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xml"/>
  <Override PartName="/xl/comments1.xml" ContentType="application/vnd.openxmlformats-officedocument.spreadsheetml.comments+xml"/>
  <Override PartName="/xl/charts/chart17.xml" ContentType="application/vnd.openxmlformats-officedocument.drawingml.chart+xml"/>
  <Override PartName="/xl/drawings/drawing7.xml" ContentType="application/vnd.openxmlformats-officedocument.drawingml.chartshapes+xml"/>
  <Override PartName="/xl/charts/chart18.xml" ContentType="application/vnd.openxmlformats-officedocument.drawingml.chart+xml"/>
  <Override PartName="/xl/drawings/drawing8.xml" ContentType="application/vnd.openxmlformats-officedocument.drawingml.chartshapes+xml"/>
  <Override PartName="/xl/charts/chart19.xml" ContentType="application/vnd.openxmlformats-officedocument.drawingml.chart+xml"/>
  <Override PartName="/xl/drawings/drawing9.xml" ContentType="application/vnd.openxmlformats-officedocument.drawingml.chartshapes+xml"/>
  <Override PartName="/xl/charts/chart20.xml" ContentType="application/vnd.openxmlformats-officedocument.drawingml.chart+xml"/>
  <Override PartName="/xl/drawings/drawing10.xml" ContentType="application/vnd.openxmlformats-officedocument.drawingml.chartshapes+xml"/>
  <Override PartName="/xl/charts/chart21.xml" ContentType="application/vnd.openxmlformats-officedocument.drawingml.chart+xml"/>
  <Override PartName="/xl/drawings/drawing11.xml" ContentType="application/vnd.openxmlformats-officedocument.drawingml.chartshapes+xml"/>
  <Override PartName="/xl/charts/chart22.xml" ContentType="application/vnd.openxmlformats-officedocument.drawingml.chart+xml"/>
  <Override PartName="/xl/charts/chart23.xml" ContentType="application/vnd.openxmlformats-officedocument.drawingml.chart+xml"/>
  <Override PartName="/xl/drawings/drawing12.xml" ContentType="application/vnd.openxmlformats-officedocument.drawingml.chartshapes+xml"/>
  <Override PartName="/xl/charts/chart24.xml" ContentType="application/vnd.openxmlformats-officedocument.drawingml.chart+xml"/>
  <Override PartName="/xl/drawings/drawing13.xml" ContentType="application/vnd.openxmlformats-officedocument.drawingml.chartshap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4.xml" ContentType="application/vnd.openxmlformats-officedocument.drawingml.chartshapes+xml"/>
  <Override PartName="/xl/charts/chart28.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17.xml" ContentType="application/vnd.openxmlformats-officedocument.drawing+xml"/>
  <Override PartName="/xl/comments2.xml" ContentType="application/vnd.openxmlformats-officedocument.spreadsheetml.comments+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drawings/drawing18.xml" ContentType="application/vnd.openxmlformats-officedocument.drawing+xml"/>
  <Override PartName="/xl/comments3.xml" ContentType="application/vnd.openxmlformats-officedocument.spreadsheetml.comments+xml"/>
  <Override PartName="/xl/charts/chart56.xml" ContentType="application/vnd.openxmlformats-officedocument.drawingml.chart+xml"/>
  <Override PartName="/xl/charts/chart57.xml" ContentType="application/vnd.openxmlformats-officedocument.drawingml.chart+xml"/>
  <Override PartName="/xl/drawings/drawing19.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20.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drawings/drawing21.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22.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drawings/drawing23.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drawings/drawing24.xml" ContentType="application/vnd.openxmlformats-officedocument.drawing+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25.xml" ContentType="application/vnd.openxmlformats-officedocument.drawing+xml"/>
  <Override PartName="/xl/charts/chart74.xml" ContentType="application/vnd.openxmlformats-officedocument.drawingml.chart+xml"/>
  <Override PartName="/xl/drawings/drawing26.xml" ContentType="application/vnd.openxmlformats-officedocument.drawing+xml"/>
  <Override PartName="/xl/charts/chart75.xml" ContentType="application/vnd.openxmlformats-officedocument.drawingml.chart+xml"/>
  <Override PartName="/xl/comments4.xml" ContentType="application/vnd.openxmlformats-officedocument.spreadsheetml.comments+xml"/>
  <Override PartName="/xl/drawings/drawing27.xml" ContentType="application/vnd.openxmlformats-officedocument.drawing+xml"/>
  <Override PartName="/xl/charts/chart76.xml" ContentType="application/vnd.openxmlformats-officedocument.drawingml.chart+xml"/>
  <Override PartName="/xl/charts/chart77.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https://kwrwater-my.sharepoint.com/personal/alex_hockin_kwrwater_nl/Documents/VEWIN Permatie/pipepermcalc/research/Monte_carlo/"/>
    </mc:Choice>
  </mc:AlternateContent>
  <xr:revisionPtr revIDLastSave="333" documentId="11_94A0968A66DB5FA452CA5EC4B10620CD789AB0E0" xr6:coauthVersionLast="47" xr6:coauthVersionMax="47" xr10:uidLastSave="{6E369534-CEE2-43F8-BAB2-E2AD00322108}"/>
  <bookViews>
    <workbookView minimized="1" xWindow="2340" yWindow="2355" windowWidth="21600" windowHeight="12855" firstSheet="3" activeTab="7" xr2:uid="{00000000-000D-0000-FFFF-FFFF00000000}"/>
  </bookViews>
  <sheets>
    <sheet name="Almalaika1991" sheetId="35" r:id="rId1"/>
    <sheet name="Aminabavi1999" sheetId="15" r:id="rId2"/>
    <sheet name="Booij2003" sheetId="36" r:id="rId3"/>
    <sheet name="Chao 2007" sheetId="16" r:id="rId4"/>
    <sheet name="LAB" sheetId="39" r:id="rId5"/>
    <sheet name="PE" sheetId="38" r:id="rId6"/>
    <sheet name="TEMP" sheetId="34" r:id="rId7"/>
    <sheet name="CONC" sheetId="37" r:id="rId8"/>
    <sheet name="Age" sheetId="46" r:id="rId9"/>
    <sheet name="PermDbase" sheetId="50" r:id="rId10"/>
    <sheet name="CompDbase" sheetId="32" r:id="rId11"/>
    <sheet name="Literatuur" sheetId="47" r:id="rId12"/>
    <sheet name="Sanscrit" sheetId="6" r:id="rId13"/>
    <sheet name="Choi2013" sheetId="17" r:id="rId14"/>
    <sheet name="Heijden1985" sheetId="14" r:id="rId15"/>
    <sheet name="Hinrichs2002" sheetId="23" r:id="rId16"/>
    <sheet name="Islam 2009" sheetId="45" r:id="rId17"/>
    <sheet name="Joo2005" sheetId="18" r:id="rId18"/>
    <sheet name="Lohman2011" sheetId="19" r:id="rId19"/>
    <sheet name="Mao2006" sheetId="13" r:id="rId20"/>
    <sheet name="Park1993" sheetId="20" r:id="rId21"/>
    <sheet name="Park1996" sheetId="21" r:id="rId22"/>
    <sheet name="Piringer2008" sheetId="22" r:id="rId23"/>
    <sheet name="Rowe2011" sheetId="44" r:id="rId24"/>
    <sheet name="Sangam2001" sheetId="24" r:id="rId25"/>
    <sheet name="Tang2013" sheetId="25" r:id="rId26"/>
    <sheet name="Vonk1985" sheetId="27" r:id="rId27"/>
    <sheet name="Welton2009-2010" sheetId="26" r:id="rId28"/>
  </sheets>
  <definedNames>
    <definedName name="_xlnm._FilterDatabase" localSheetId="10" hidden="1">CompDbase!$A$7:$CF$381</definedName>
    <definedName name="_xlnm._FilterDatabase" localSheetId="9" hidden="1">PermDbase!$A$46:$FL$927</definedName>
    <definedName name="_xlnm._FilterDatabase" localSheetId="12" hidden="1">Sanscrit!$A$1:$X$199</definedName>
    <definedName name="polly" localSheetId="8">#REF!</definedName>
    <definedName name="polly" localSheetId="9">#REF!</definedName>
    <definedName name="polly">#REF!</definedName>
    <definedName name="poly" localSheetId="8">#REF!</definedName>
    <definedName name="poly" localSheetId="9">#REF!</definedName>
    <definedName name="poly">#REF!</definedName>
    <definedName name="Polymeer" localSheetId="8">#REF!</definedName>
    <definedName name="Polymeer" localSheetId="9">#REF!</definedName>
    <definedName name="Polymeer">#REF!</definedName>
    <definedName name="solver_eng" localSheetId="10" hidden="1">1</definedName>
    <definedName name="solver_neg" localSheetId="10" hidden="1">1</definedName>
    <definedName name="solver_num" localSheetId="10" hidden="1">0</definedName>
    <definedName name="solver_opt" localSheetId="10" hidden="1">CompDbase!$CU$33</definedName>
    <definedName name="solver_typ" localSheetId="10" hidden="1">1</definedName>
    <definedName name="solver_val" localSheetId="10" hidden="1">0</definedName>
    <definedName name="solver_ver" localSheetId="10"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8" i="37" l="1"/>
  <c r="W4" i="37" s="1"/>
  <c r="DM25" i="50"/>
  <c r="AE8" i="37"/>
  <c r="AE4" i="37" s="1"/>
  <c r="CJ125" i="34" l="1"/>
  <c r="CJ120" i="34" s="1"/>
  <c r="CJ129" i="34"/>
  <c r="CJ128" i="34"/>
  <c r="CO119" i="34"/>
  <c r="BJ49" i="34"/>
  <c r="W5" i="37"/>
  <c r="AL25" i="50"/>
  <c r="BP114" i="34" l="1"/>
  <c r="BP113" i="34"/>
  <c r="BP112" i="34"/>
  <c r="BP110" i="34"/>
  <c r="BP109" i="34"/>
  <c r="BP108" i="34"/>
  <c r="BP107" i="34"/>
  <c r="BP106" i="34"/>
  <c r="BP105" i="34"/>
  <c r="BP104" i="34"/>
  <c r="BP103" i="34"/>
  <c r="BP102" i="34"/>
  <c r="BP101" i="34"/>
  <c r="BP100" i="34"/>
  <c r="BP99" i="34"/>
  <c r="BP98" i="34"/>
  <c r="BP97" i="34"/>
  <c r="BP96" i="34"/>
  <c r="BP95" i="34"/>
  <c r="BO114" i="34"/>
  <c r="BN114" i="34"/>
  <c r="BL114" i="34"/>
  <c r="BO113" i="34"/>
  <c r="BN113" i="34"/>
  <c r="BL113" i="34"/>
  <c r="BO112" i="34"/>
  <c r="BN112" i="34"/>
  <c r="BL112" i="34"/>
  <c r="BO110" i="34"/>
  <c r="BN110" i="34"/>
  <c r="BL110" i="34"/>
  <c r="BO109" i="34"/>
  <c r="BN109" i="34"/>
  <c r="BL109" i="34"/>
  <c r="BO108" i="34"/>
  <c r="BN108" i="34"/>
  <c r="BL108" i="34"/>
  <c r="BO107" i="34"/>
  <c r="BN107" i="34"/>
  <c r="BL107" i="34"/>
  <c r="BO106" i="34"/>
  <c r="BN106" i="34"/>
  <c r="BL106" i="34"/>
  <c r="BO105" i="34"/>
  <c r="BN105" i="34"/>
  <c r="BL105" i="34"/>
  <c r="BO104" i="34"/>
  <c r="BN104" i="34"/>
  <c r="BL104" i="34"/>
  <c r="BO103" i="34"/>
  <c r="BN103" i="34"/>
  <c r="BL103" i="34"/>
  <c r="BO102" i="34"/>
  <c r="BN102" i="34"/>
  <c r="BL102" i="34"/>
  <c r="BO101" i="34"/>
  <c r="BN101" i="34"/>
  <c r="BL101" i="34"/>
  <c r="BO100" i="34"/>
  <c r="BN100" i="34"/>
  <c r="BL100" i="34"/>
  <c r="BO99" i="34"/>
  <c r="BN99" i="34"/>
  <c r="BL99" i="34"/>
  <c r="BO98" i="34"/>
  <c r="BN98" i="34"/>
  <c r="BL98" i="34"/>
  <c r="BO97" i="34"/>
  <c r="BN97" i="34"/>
  <c r="BL97" i="34"/>
  <c r="BO96" i="34"/>
  <c r="BN96" i="34"/>
  <c r="BL96" i="34"/>
  <c r="BO95" i="34"/>
  <c r="BN95" i="34"/>
  <c r="BL95" i="34"/>
  <c r="BY94" i="34"/>
  <c r="BO94" i="34"/>
  <c r="BN94" i="34"/>
  <c r="BL94" i="34"/>
  <c r="CA92" i="34"/>
  <c r="CA91" i="34"/>
  <c r="CA90" i="34"/>
  <c r="CA89" i="34"/>
  <c r="CA88" i="34"/>
  <c r="BY93" i="34"/>
  <c r="BO93" i="34"/>
  <c r="BN93" i="34"/>
  <c r="BL93" i="34"/>
  <c r="BY92" i="34"/>
  <c r="BO92" i="34"/>
  <c r="BN92" i="34"/>
  <c r="BL92" i="34"/>
  <c r="BY91" i="34"/>
  <c r="BO91" i="34"/>
  <c r="BN91" i="34"/>
  <c r="BL91" i="34"/>
  <c r="BY90" i="34"/>
  <c r="BO90" i="34"/>
  <c r="BN90" i="34"/>
  <c r="BL90" i="34"/>
  <c r="BY89" i="34"/>
  <c r="BO89" i="34"/>
  <c r="BN89" i="34"/>
  <c r="BL89" i="34"/>
  <c r="BY88" i="34"/>
  <c r="BO88" i="34"/>
  <c r="BN88" i="34"/>
  <c r="BL88" i="34"/>
  <c r="BO86" i="34"/>
  <c r="BN86" i="34"/>
  <c r="BL86" i="34"/>
  <c r="BO85" i="34"/>
  <c r="BN85" i="34"/>
  <c r="BL85" i="34"/>
  <c r="BO84" i="34"/>
  <c r="BN84" i="34"/>
  <c r="BL84" i="34"/>
  <c r="BO83" i="34"/>
  <c r="BN83" i="34"/>
  <c r="BL83" i="34"/>
  <c r="BO82" i="34"/>
  <c r="BN82" i="34"/>
  <c r="BL82" i="34"/>
  <c r="BO81" i="34"/>
  <c r="BN81" i="34"/>
  <c r="BL81" i="34"/>
  <c r="BO80" i="34"/>
  <c r="BN80" i="34"/>
  <c r="BL80" i="34"/>
  <c r="BO79" i="34"/>
  <c r="BN79" i="34"/>
  <c r="BL79" i="34"/>
  <c r="BO78" i="34"/>
  <c r="BN78" i="34"/>
  <c r="BL78" i="34"/>
  <c r="BO77" i="34"/>
  <c r="BN77" i="34"/>
  <c r="BL77" i="34"/>
  <c r="BP69" i="34"/>
  <c r="BO69" i="34"/>
  <c r="BN69" i="34"/>
  <c r="BL69" i="34"/>
  <c r="BL60" i="34"/>
  <c r="BL62" i="34"/>
  <c r="BL66" i="34"/>
  <c r="BP66" i="34"/>
  <c r="BO66" i="34"/>
  <c r="BN66" i="34"/>
  <c r="BP62" i="34"/>
  <c r="BO62" i="34"/>
  <c r="BN62" i="34"/>
  <c r="BP60" i="34"/>
  <c r="BO60" i="34"/>
  <c r="BN60" i="34"/>
  <c r="BM68" i="34"/>
  <c r="BM67" i="34"/>
  <c r="BM65" i="34"/>
  <c r="BM64" i="34"/>
  <c r="BM61" i="34"/>
  <c r="BM59" i="34"/>
  <c r="BM57" i="34"/>
  <c r="BV68" i="34"/>
  <c r="BV67" i="34"/>
  <c r="BV65" i="34"/>
  <c r="BV64" i="34"/>
  <c r="BV61" i="34"/>
  <c r="BV59" i="34"/>
  <c r="BV57" i="34"/>
  <c r="BP68" i="34"/>
  <c r="BO68" i="34"/>
  <c r="BN68" i="34"/>
  <c r="BL68" i="34"/>
  <c r="BP67" i="34"/>
  <c r="BO67" i="34"/>
  <c r="BN67" i="34"/>
  <c r="BL67" i="34"/>
  <c r="BP65" i="34"/>
  <c r="BO65" i="34"/>
  <c r="BN65" i="34"/>
  <c r="BL65" i="34"/>
  <c r="BP64" i="34"/>
  <c r="BO64" i="34"/>
  <c r="BN64" i="34"/>
  <c r="BL64" i="34"/>
  <c r="BW61" i="34"/>
  <c r="BP61" i="34"/>
  <c r="BO61" i="34"/>
  <c r="BN61" i="34"/>
  <c r="BL61" i="34"/>
  <c r="BP59" i="34"/>
  <c r="BO59" i="34"/>
  <c r="BN59" i="34"/>
  <c r="BL59" i="34"/>
  <c r="BP57" i="34"/>
  <c r="BO57" i="34"/>
  <c r="BN57" i="34"/>
  <c r="BL57" i="34"/>
  <c r="BP55" i="34"/>
  <c r="BO55" i="34"/>
  <c r="BN55" i="34"/>
  <c r="BL55" i="34"/>
  <c r="BP54" i="34"/>
  <c r="BO54" i="34"/>
  <c r="BN54" i="34"/>
  <c r="BL54" i="34"/>
  <c r="BP53" i="34"/>
  <c r="BO53" i="34"/>
  <c r="BN53" i="34"/>
  <c r="BL53" i="34"/>
  <c r="BV52" i="34"/>
  <c r="BM52" i="34"/>
  <c r="BM51" i="34"/>
  <c r="BM50" i="34"/>
  <c r="BW49" i="34"/>
  <c r="BP52" i="34"/>
  <c r="BO52" i="34"/>
  <c r="BN52" i="34"/>
  <c r="BL52" i="34"/>
  <c r="BP51" i="34"/>
  <c r="BO51" i="34"/>
  <c r="BN51" i="34"/>
  <c r="BL51" i="34"/>
  <c r="BT50" i="34"/>
  <c r="BP50" i="34"/>
  <c r="BO50" i="34"/>
  <c r="BN50" i="34"/>
  <c r="BL50" i="34"/>
  <c r="BM49" i="34"/>
  <c r="BL49" i="34"/>
  <c r="BN49" i="34"/>
  <c r="BP49" i="34"/>
  <c r="BO49" i="34"/>
  <c r="BV138" i="37" l="1"/>
  <c r="BV137" i="37"/>
  <c r="BV136" i="37"/>
  <c r="BV135" i="37"/>
  <c r="BV134" i="37"/>
  <c r="BV133" i="37"/>
  <c r="BV132" i="37"/>
  <c r="BV131" i="37"/>
  <c r="BV130" i="37"/>
  <c r="BV129" i="37"/>
  <c r="BV128" i="37"/>
  <c r="BV127" i="37"/>
  <c r="BV126" i="37"/>
  <c r="BV125" i="37"/>
  <c r="BV124" i="37"/>
  <c r="BV123" i="37"/>
  <c r="BV122" i="37"/>
  <c r="BU133" i="37"/>
  <c r="BU130" i="37"/>
  <c r="BU129" i="37"/>
  <c r="BU127" i="37"/>
  <c r="BU125" i="37"/>
  <c r="BU138" i="37"/>
  <c r="BU137" i="37"/>
  <c r="BU136" i="37"/>
  <c r="BU135" i="37"/>
  <c r="BU134" i="37"/>
  <c r="BU132" i="37"/>
  <c r="BU131" i="37"/>
  <c r="BU128" i="37"/>
  <c r="BU126" i="37"/>
  <c r="BU124" i="37"/>
  <c r="BU123" i="37"/>
  <c r="BU122" i="37"/>
  <c r="CB116" i="37"/>
  <c r="CA116" i="37"/>
  <c r="BZ116" i="37"/>
  <c r="BX116" i="37"/>
  <c r="BW116" i="37"/>
  <c r="BV116" i="37"/>
  <c r="BU116" i="37"/>
  <c r="BT116" i="37"/>
  <c r="CB115" i="37"/>
  <c r="CA115" i="37"/>
  <c r="BZ115" i="37"/>
  <c r="BX115" i="37"/>
  <c r="BW115" i="37"/>
  <c r="BV115" i="37"/>
  <c r="BU115" i="37"/>
  <c r="BT115" i="37"/>
  <c r="CB114" i="37"/>
  <c r="CA114" i="37"/>
  <c r="BZ114" i="37"/>
  <c r="BX114" i="37"/>
  <c r="BW114" i="37"/>
  <c r="BV114" i="37"/>
  <c r="BU114" i="37"/>
  <c r="BT114" i="37"/>
  <c r="CB113" i="37"/>
  <c r="CA113" i="37"/>
  <c r="BZ113" i="37"/>
  <c r="BX113" i="37"/>
  <c r="BW113" i="37"/>
  <c r="BV113" i="37"/>
  <c r="BU113" i="37"/>
  <c r="BT113" i="37"/>
  <c r="CB112" i="37"/>
  <c r="CA112" i="37"/>
  <c r="BZ112" i="37"/>
  <c r="BX112" i="37"/>
  <c r="BW112" i="37"/>
  <c r="BV112" i="37"/>
  <c r="BU112" i="37"/>
  <c r="BT112" i="37"/>
  <c r="CB111" i="37"/>
  <c r="CA111" i="37"/>
  <c r="BZ111" i="37"/>
  <c r="BX111" i="37"/>
  <c r="BW111" i="37"/>
  <c r="BV111" i="37"/>
  <c r="BU111" i="37"/>
  <c r="BT111" i="37"/>
  <c r="CB110" i="37"/>
  <c r="CA110" i="37"/>
  <c r="BZ110" i="37"/>
  <c r="BX110" i="37"/>
  <c r="BW110" i="37"/>
  <c r="BV110" i="37"/>
  <c r="BU110" i="37"/>
  <c r="BT110" i="37"/>
  <c r="CB107" i="37"/>
  <c r="CA107" i="37"/>
  <c r="BZ107" i="37"/>
  <c r="BX107" i="37"/>
  <c r="BW107" i="37"/>
  <c r="BV107" i="37"/>
  <c r="BU107" i="37"/>
  <c r="BT107" i="37"/>
  <c r="CB106" i="37"/>
  <c r="CA106" i="37"/>
  <c r="BZ106" i="37"/>
  <c r="BX106" i="37"/>
  <c r="BW106" i="37"/>
  <c r="BV106" i="37"/>
  <c r="BU106" i="37"/>
  <c r="BT106" i="37"/>
  <c r="CB105" i="37"/>
  <c r="CA105" i="37"/>
  <c r="BZ105" i="37"/>
  <c r="BX105" i="37"/>
  <c r="BW105" i="37"/>
  <c r="BV105" i="37"/>
  <c r="BU105" i="37"/>
  <c r="BT105" i="37"/>
  <c r="CB104" i="37"/>
  <c r="CA104" i="37"/>
  <c r="BZ104" i="37"/>
  <c r="BX104" i="37"/>
  <c r="BW104" i="37"/>
  <c r="BV104" i="37"/>
  <c r="BU104" i="37"/>
  <c r="BT104" i="37"/>
  <c r="CB103" i="37"/>
  <c r="CA103" i="37"/>
  <c r="BZ103" i="37"/>
  <c r="BX103" i="37"/>
  <c r="BW103" i="37"/>
  <c r="BV103" i="37"/>
  <c r="BU103" i="37"/>
  <c r="BT103" i="37"/>
  <c r="CB102" i="37"/>
  <c r="CA102" i="37"/>
  <c r="BZ102" i="37"/>
  <c r="BX102" i="37"/>
  <c r="BW102" i="37"/>
  <c r="BV102" i="37"/>
  <c r="BU102" i="37"/>
  <c r="BT102" i="37"/>
  <c r="CB101" i="37"/>
  <c r="CA101" i="37"/>
  <c r="BZ101" i="37"/>
  <c r="BX101" i="37"/>
  <c r="BW101" i="37"/>
  <c r="BV101" i="37"/>
  <c r="BU101" i="37"/>
  <c r="BT101" i="37"/>
  <c r="CB98" i="37"/>
  <c r="CA98" i="37"/>
  <c r="BZ98" i="37"/>
  <c r="BX98" i="37"/>
  <c r="BW98" i="37"/>
  <c r="BV98" i="37"/>
  <c r="BU98" i="37"/>
  <c r="BT98" i="37"/>
  <c r="CB97" i="37"/>
  <c r="CA97" i="37"/>
  <c r="BZ97" i="37"/>
  <c r="BX97" i="37"/>
  <c r="BW97" i="37"/>
  <c r="BV97" i="37"/>
  <c r="BU97" i="37"/>
  <c r="BT97" i="37"/>
  <c r="CB96" i="37"/>
  <c r="CA96" i="37"/>
  <c r="BZ96" i="37"/>
  <c r="BX96" i="37"/>
  <c r="BW96" i="37"/>
  <c r="BV96" i="37"/>
  <c r="BU96" i="37"/>
  <c r="BT96" i="37"/>
  <c r="CB95" i="37"/>
  <c r="CA95" i="37"/>
  <c r="BZ95" i="37"/>
  <c r="BX95" i="37"/>
  <c r="BW95" i="37"/>
  <c r="BV95" i="37"/>
  <c r="BU95" i="37"/>
  <c r="BT95" i="37"/>
  <c r="CB94" i="37"/>
  <c r="CA94" i="37"/>
  <c r="BZ94" i="37"/>
  <c r="BX94" i="37"/>
  <c r="BW94" i="37"/>
  <c r="BV94" i="37"/>
  <c r="BU94" i="37"/>
  <c r="BT94" i="37"/>
  <c r="CB93" i="37"/>
  <c r="CA93" i="37"/>
  <c r="BZ93" i="37"/>
  <c r="BX93" i="37"/>
  <c r="BW93" i="37"/>
  <c r="BV93" i="37"/>
  <c r="BU93" i="37"/>
  <c r="BT93" i="37"/>
  <c r="CB92" i="37"/>
  <c r="CA92" i="37"/>
  <c r="BZ92" i="37"/>
  <c r="BX92" i="37"/>
  <c r="BW92" i="37"/>
  <c r="BV92" i="37"/>
  <c r="BU92" i="37"/>
  <c r="BT92" i="37"/>
  <c r="CB88" i="37"/>
  <c r="CA88" i="37"/>
  <c r="BZ88" i="37"/>
  <c r="BX88" i="37"/>
  <c r="BW88" i="37"/>
  <c r="BV88" i="37"/>
  <c r="BU88" i="37"/>
  <c r="BT88" i="37"/>
  <c r="CB87" i="37"/>
  <c r="CA87" i="37"/>
  <c r="BZ87" i="37"/>
  <c r="BX87" i="37"/>
  <c r="BW87" i="37"/>
  <c r="BV87" i="37"/>
  <c r="BU87" i="37"/>
  <c r="BT87" i="37"/>
  <c r="CB85" i="37"/>
  <c r="CA85" i="37"/>
  <c r="BZ85" i="37"/>
  <c r="BX85" i="37"/>
  <c r="BW85" i="37"/>
  <c r="BV85" i="37"/>
  <c r="BU85" i="37"/>
  <c r="BT85" i="37"/>
  <c r="CB84" i="37"/>
  <c r="CA84" i="37"/>
  <c r="BZ84" i="37"/>
  <c r="BX84" i="37"/>
  <c r="BW84" i="37"/>
  <c r="BV84" i="37"/>
  <c r="BU84" i="37"/>
  <c r="BT84" i="37"/>
  <c r="CB81" i="37"/>
  <c r="CA81" i="37"/>
  <c r="BZ81" i="37"/>
  <c r="BX81" i="37"/>
  <c r="BW81" i="37"/>
  <c r="BV81" i="37"/>
  <c r="BU81" i="37"/>
  <c r="BT81" i="37"/>
  <c r="CB80" i="37"/>
  <c r="CA80" i="37"/>
  <c r="BZ80" i="37"/>
  <c r="BX80" i="37"/>
  <c r="BW80" i="37"/>
  <c r="BV80" i="37"/>
  <c r="BU80" i="37"/>
  <c r="BT80" i="37"/>
  <c r="CB78" i="37"/>
  <c r="CA78" i="37"/>
  <c r="BZ78" i="37"/>
  <c r="BX78" i="37"/>
  <c r="BW78" i="37"/>
  <c r="BV78" i="37"/>
  <c r="BU78" i="37"/>
  <c r="BT78" i="37"/>
  <c r="CB77" i="37"/>
  <c r="CA77" i="37"/>
  <c r="BZ77" i="37"/>
  <c r="BX77" i="37"/>
  <c r="BW77" i="37"/>
  <c r="BV77" i="37"/>
  <c r="BU77" i="37"/>
  <c r="BT77" i="37"/>
  <c r="CB75" i="37"/>
  <c r="CA75" i="37"/>
  <c r="BZ75" i="37"/>
  <c r="BX75" i="37"/>
  <c r="BW75" i="37"/>
  <c r="BV75" i="37"/>
  <c r="BU75" i="37"/>
  <c r="BT75" i="37"/>
  <c r="CB74" i="37"/>
  <c r="CA74" i="37"/>
  <c r="BZ74" i="37"/>
  <c r="BX74" i="37"/>
  <c r="BW74" i="37"/>
  <c r="BV74" i="37"/>
  <c r="BU74" i="37"/>
  <c r="BT74" i="37"/>
  <c r="CB72" i="37"/>
  <c r="CA72" i="37"/>
  <c r="BZ72" i="37"/>
  <c r="BX72" i="37"/>
  <c r="BW72" i="37"/>
  <c r="BV72" i="37"/>
  <c r="BU72" i="37"/>
  <c r="BT72" i="37"/>
  <c r="CB71" i="37"/>
  <c r="CA71" i="37"/>
  <c r="BZ71" i="37"/>
  <c r="BX71" i="37"/>
  <c r="BW71" i="37"/>
  <c r="BV71" i="37"/>
  <c r="BU71" i="37"/>
  <c r="BT71" i="37"/>
  <c r="CB69" i="37"/>
  <c r="CA69" i="37"/>
  <c r="BZ69" i="37"/>
  <c r="BX69" i="37"/>
  <c r="BW69" i="37"/>
  <c r="BV69" i="37"/>
  <c r="BU69" i="37"/>
  <c r="BT69" i="37"/>
  <c r="CB68" i="37"/>
  <c r="CA68" i="37"/>
  <c r="BZ68" i="37"/>
  <c r="BX68" i="37"/>
  <c r="BW68" i="37"/>
  <c r="BV68" i="37"/>
  <c r="BU68" i="37"/>
  <c r="BT68" i="37"/>
  <c r="CB66" i="37"/>
  <c r="CA66" i="37"/>
  <c r="BZ66" i="37"/>
  <c r="BX66" i="37"/>
  <c r="BW66" i="37"/>
  <c r="BV66" i="37"/>
  <c r="BU66" i="37"/>
  <c r="BT66" i="37"/>
  <c r="CB65" i="37"/>
  <c r="CA65" i="37"/>
  <c r="BZ65" i="37"/>
  <c r="BX65" i="37"/>
  <c r="BW65" i="37"/>
  <c r="BV65" i="37"/>
  <c r="BU65" i="37"/>
  <c r="BT65" i="37"/>
  <c r="BV63" i="37"/>
  <c r="BV62" i="37"/>
  <c r="BV61" i="37"/>
  <c r="BV60" i="37"/>
  <c r="BV59" i="37"/>
  <c r="BV58" i="37"/>
  <c r="BV57" i="37"/>
  <c r="BV56" i="37"/>
  <c r="BV55" i="37"/>
  <c r="BV54" i="37"/>
  <c r="BV53" i="37"/>
  <c r="BV52" i="37"/>
  <c r="BV49" i="37"/>
  <c r="BV48" i="37"/>
  <c r="BV47" i="37"/>
  <c r="BV46" i="37"/>
  <c r="BV45" i="37"/>
  <c r="BV44" i="37"/>
  <c r="BV43" i="37"/>
  <c r="BV42" i="37"/>
  <c r="BV41" i="37"/>
  <c r="BV40" i="37"/>
  <c r="BV39" i="37"/>
  <c r="BV38" i="37"/>
  <c r="BV37" i="37"/>
  <c r="BV36" i="37"/>
  <c r="BV35" i="37"/>
  <c r="BV34" i="37"/>
  <c r="BV33" i="37"/>
  <c r="BV32" i="37"/>
  <c r="BV31" i="37"/>
  <c r="BV30" i="37"/>
  <c r="BV29" i="37"/>
  <c r="BV28" i="37"/>
  <c r="BV27" i="37"/>
  <c r="BV26" i="37"/>
  <c r="BV25" i="37"/>
  <c r="BV24" i="37"/>
  <c r="BV21" i="37"/>
  <c r="BV20" i="37"/>
  <c r="BV19" i="37"/>
  <c r="BV18" i="37"/>
  <c r="BV17" i="37"/>
  <c r="BV16" i="37"/>
  <c r="BV15" i="37"/>
  <c r="BV14" i="37"/>
  <c r="BV13" i="37"/>
  <c r="BV12" i="37"/>
  <c r="BV11" i="37"/>
  <c r="BV10" i="37"/>
  <c r="BV9" i="37"/>
  <c r="BV8" i="37"/>
  <c r="CB63" i="37"/>
  <c r="CA63" i="37"/>
  <c r="BZ63" i="37"/>
  <c r="BX63" i="37"/>
  <c r="BW63" i="37"/>
  <c r="BU63" i="37"/>
  <c r="BT63" i="37"/>
  <c r="CB62" i="37"/>
  <c r="CA62" i="37"/>
  <c r="BZ62" i="37"/>
  <c r="BX62" i="37"/>
  <c r="BW62" i="37"/>
  <c r="BU62" i="37"/>
  <c r="BT62" i="37"/>
  <c r="CB61" i="37"/>
  <c r="CA61" i="37"/>
  <c r="BZ61" i="37"/>
  <c r="BX61" i="37"/>
  <c r="BW61" i="37"/>
  <c r="BU61" i="37"/>
  <c r="BT61" i="37"/>
  <c r="CB60" i="37"/>
  <c r="CA60" i="37"/>
  <c r="BZ60" i="37"/>
  <c r="BX60" i="37"/>
  <c r="BW60" i="37"/>
  <c r="BU60" i="37"/>
  <c r="BT60" i="37"/>
  <c r="CB59" i="37"/>
  <c r="CA59" i="37"/>
  <c r="BZ59" i="37"/>
  <c r="BX59" i="37"/>
  <c r="BW59" i="37"/>
  <c r="BU59" i="37"/>
  <c r="BT59" i="37"/>
  <c r="CB58" i="37"/>
  <c r="CA58" i="37"/>
  <c r="BZ58" i="37"/>
  <c r="BX58" i="37"/>
  <c r="BW58" i="37"/>
  <c r="BU58" i="37"/>
  <c r="BT58" i="37"/>
  <c r="CB57" i="37"/>
  <c r="CA57" i="37"/>
  <c r="BZ57" i="37"/>
  <c r="BX57" i="37"/>
  <c r="BW57" i="37"/>
  <c r="BU57" i="37"/>
  <c r="BT57" i="37"/>
  <c r="CB56" i="37"/>
  <c r="CA56" i="37"/>
  <c r="BZ56" i="37"/>
  <c r="BX56" i="37"/>
  <c r="BW56" i="37"/>
  <c r="BU56" i="37"/>
  <c r="BT56" i="37"/>
  <c r="CA55" i="37"/>
  <c r="BZ55" i="37"/>
  <c r="BX55" i="37"/>
  <c r="BW55" i="37"/>
  <c r="BU55" i="37"/>
  <c r="BT55" i="37"/>
  <c r="CA54" i="37"/>
  <c r="BZ54" i="37"/>
  <c r="BX54" i="37"/>
  <c r="BW54" i="37"/>
  <c r="BU54" i="37"/>
  <c r="BT54" i="37"/>
  <c r="CA53" i="37"/>
  <c r="BZ53" i="37"/>
  <c r="BX53" i="37"/>
  <c r="BW53" i="37"/>
  <c r="BU53" i="37"/>
  <c r="BT53" i="37"/>
  <c r="CA52" i="37"/>
  <c r="BZ52" i="37"/>
  <c r="BX52" i="37"/>
  <c r="BW52" i="37"/>
  <c r="BU52" i="37"/>
  <c r="BT52" i="37"/>
  <c r="CB29" i="37"/>
  <c r="CA29" i="37"/>
  <c r="BZ29" i="37"/>
  <c r="BX29" i="37"/>
  <c r="BW29" i="37"/>
  <c r="BU29" i="37"/>
  <c r="BT29" i="37"/>
  <c r="CB28" i="37"/>
  <c r="CA28" i="37"/>
  <c r="BZ28" i="37"/>
  <c r="BX28" i="37"/>
  <c r="BW28" i="37"/>
  <c r="BU28" i="37"/>
  <c r="BT28" i="37"/>
  <c r="CA49" i="37"/>
  <c r="BZ49" i="37"/>
  <c r="BX49" i="37"/>
  <c r="BW49" i="37"/>
  <c r="BU49" i="37"/>
  <c r="BT49" i="37"/>
  <c r="CB48" i="37"/>
  <c r="CA48" i="37"/>
  <c r="BZ48" i="37"/>
  <c r="BX48" i="37"/>
  <c r="BW48" i="37"/>
  <c r="BU48" i="37"/>
  <c r="BT48" i="37"/>
  <c r="CB47" i="37"/>
  <c r="CA47" i="37"/>
  <c r="BZ47" i="37"/>
  <c r="BX47" i="37"/>
  <c r="BW47" i="37"/>
  <c r="BU47" i="37"/>
  <c r="BT47" i="37"/>
  <c r="CB46" i="37"/>
  <c r="CA46" i="37"/>
  <c r="BZ46" i="37"/>
  <c r="BX46" i="37"/>
  <c r="BW46" i="37"/>
  <c r="BU46" i="37"/>
  <c r="BT46" i="37"/>
  <c r="CB45" i="37"/>
  <c r="CA45" i="37"/>
  <c r="BZ45" i="37"/>
  <c r="BX45" i="37"/>
  <c r="BW45" i="37"/>
  <c r="BU45" i="37"/>
  <c r="BT45" i="37"/>
  <c r="CB44" i="37"/>
  <c r="CA44" i="37"/>
  <c r="BZ44" i="37"/>
  <c r="BX44" i="37"/>
  <c r="BW44" i="37"/>
  <c r="BU44" i="37"/>
  <c r="BT44" i="37"/>
  <c r="CB43" i="37"/>
  <c r="CA43" i="37"/>
  <c r="BZ43" i="37"/>
  <c r="BX43" i="37"/>
  <c r="BW43" i="37"/>
  <c r="BU43" i="37"/>
  <c r="BT43" i="37"/>
  <c r="CB42" i="37"/>
  <c r="CA42" i="37"/>
  <c r="BZ42" i="37"/>
  <c r="BX42" i="37"/>
  <c r="BW42" i="37"/>
  <c r="BU42" i="37"/>
  <c r="BT42" i="37"/>
  <c r="CB41" i="37"/>
  <c r="CA41" i="37"/>
  <c r="BZ41" i="37"/>
  <c r="BX41" i="37"/>
  <c r="BW41" i="37"/>
  <c r="BU41" i="37"/>
  <c r="BT41" i="37"/>
  <c r="CB40" i="37"/>
  <c r="CA40" i="37"/>
  <c r="BZ40" i="37"/>
  <c r="BX40" i="37"/>
  <c r="BW40" i="37"/>
  <c r="BU40" i="37"/>
  <c r="BT40" i="37"/>
  <c r="CB39" i="37"/>
  <c r="CA39" i="37"/>
  <c r="BZ39" i="37"/>
  <c r="BX39" i="37"/>
  <c r="BW39" i="37"/>
  <c r="BU39" i="37"/>
  <c r="BT39" i="37"/>
  <c r="CB38" i="37"/>
  <c r="CA38" i="37"/>
  <c r="BZ38" i="37"/>
  <c r="BX38" i="37"/>
  <c r="BW38" i="37"/>
  <c r="BU38" i="37"/>
  <c r="BT38" i="37"/>
  <c r="CB37" i="37"/>
  <c r="CA37" i="37"/>
  <c r="BZ37" i="37"/>
  <c r="BX37" i="37"/>
  <c r="BW37" i="37"/>
  <c r="BU37" i="37"/>
  <c r="BT37" i="37"/>
  <c r="CB36" i="37"/>
  <c r="CA36" i="37"/>
  <c r="BZ36" i="37"/>
  <c r="BX36" i="37"/>
  <c r="BW36" i="37"/>
  <c r="BU36" i="37"/>
  <c r="BT36" i="37"/>
  <c r="CB35" i="37"/>
  <c r="CA35" i="37"/>
  <c r="BZ35" i="37"/>
  <c r="BX35" i="37"/>
  <c r="BW35" i="37"/>
  <c r="BU35" i="37"/>
  <c r="BT35" i="37"/>
  <c r="CB34" i="37"/>
  <c r="CA34" i="37"/>
  <c r="BZ34" i="37"/>
  <c r="BX34" i="37"/>
  <c r="BW34" i="37"/>
  <c r="BU34" i="37"/>
  <c r="BT34" i="37"/>
  <c r="CB33" i="37"/>
  <c r="CA33" i="37"/>
  <c r="BZ33" i="37"/>
  <c r="BX33" i="37"/>
  <c r="BW33" i="37"/>
  <c r="BU33" i="37"/>
  <c r="BT33" i="37"/>
  <c r="CB32" i="37"/>
  <c r="CA32" i="37"/>
  <c r="BZ32" i="37"/>
  <c r="BX32" i="37"/>
  <c r="BW32" i="37"/>
  <c r="BU32" i="37"/>
  <c r="BT32" i="37"/>
  <c r="CB31" i="37"/>
  <c r="CA31" i="37"/>
  <c r="BZ31" i="37"/>
  <c r="BX31" i="37"/>
  <c r="BW31" i="37"/>
  <c r="BU31" i="37"/>
  <c r="BT31" i="37"/>
  <c r="CB30" i="37"/>
  <c r="CA30" i="37"/>
  <c r="BZ30" i="37"/>
  <c r="BX30" i="37"/>
  <c r="BW30" i="37"/>
  <c r="BU30" i="37"/>
  <c r="BT30" i="37"/>
  <c r="CB27" i="37"/>
  <c r="CA27" i="37"/>
  <c r="BZ27" i="37"/>
  <c r="BX27" i="37"/>
  <c r="BW27" i="37"/>
  <c r="BU27" i="37"/>
  <c r="BT27" i="37"/>
  <c r="CB26" i="37"/>
  <c r="CA26" i="37"/>
  <c r="BZ26" i="37"/>
  <c r="BX26" i="37"/>
  <c r="BW26" i="37"/>
  <c r="BU26" i="37"/>
  <c r="BT26" i="37"/>
  <c r="CA25" i="37"/>
  <c r="BZ25" i="37"/>
  <c r="BX25" i="37"/>
  <c r="BW25" i="37"/>
  <c r="BU25" i="37"/>
  <c r="BT25" i="37"/>
  <c r="CB24" i="37"/>
  <c r="CA24" i="37"/>
  <c r="BZ24" i="37"/>
  <c r="BX24" i="37"/>
  <c r="BW24" i="37"/>
  <c r="BU24" i="37"/>
  <c r="BT24" i="37"/>
  <c r="CB21" i="37"/>
  <c r="CA21" i="37"/>
  <c r="BZ21" i="37"/>
  <c r="BX21" i="37"/>
  <c r="BW21" i="37"/>
  <c r="BU21" i="37"/>
  <c r="BT21" i="37"/>
  <c r="CB20" i="37"/>
  <c r="CA20" i="37"/>
  <c r="BZ20" i="37"/>
  <c r="BX20" i="37"/>
  <c r="BW20" i="37"/>
  <c r="BU20" i="37"/>
  <c r="BT20" i="37"/>
  <c r="CB19" i="37"/>
  <c r="CA19" i="37"/>
  <c r="BZ19" i="37"/>
  <c r="BX19" i="37"/>
  <c r="BW19" i="37"/>
  <c r="BU19" i="37"/>
  <c r="BT19" i="37"/>
  <c r="CB18" i="37"/>
  <c r="CA18" i="37"/>
  <c r="BZ18" i="37"/>
  <c r="BX18" i="37"/>
  <c r="BW18" i="37"/>
  <c r="BU18" i="37"/>
  <c r="BT18" i="37"/>
  <c r="CB17" i="37"/>
  <c r="CA17" i="37"/>
  <c r="BZ17" i="37"/>
  <c r="BX17" i="37"/>
  <c r="BW17" i="37"/>
  <c r="BU17" i="37"/>
  <c r="BT17" i="37"/>
  <c r="CB16" i="37"/>
  <c r="CA16" i="37"/>
  <c r="BZ16" i="37"/>
  <c r="BX16" i="37"/>
  <c r="BW16" i="37"/>
  <c r="BU16" i="37"/>
  <c r="BT16" i="37"/>
  <c r="CB15" i="37"/>
  <c r="CA15" i="37"/>
  <c r="BZ15" i="37"/>
  <c r="BX15" i="37"/>
  <c r="BW15" i="37"/>
  <c r="BU15" i="37"/>
  <c r="BT15" i="37"/>
  <c r="CB14" i="37"/>
  <c r="CA14" i="37"/>
  <c r="BZ14" i="37"/>
  <c r="BX14" i="37"/>
  <c r="BW14" i="37"/>
  <c r="BU14" i="37"/>
  <c r="BT14" i="37"/>
  <c r="CB13" i="37"/>
  <c r="CA13" i="37"/>
  <c r="BZ13" i="37"/>
  <c r="BX13" i="37"/>
  <c r="BW13" i="37"/>
  <c r="BU13" i="37"/>
  <c r="BT13" i="37"/>
  <c r="CB12" i="37"/>
  <c r="CA12" i="37"/>
  <c r="BZ12" i="37"/>
  <c r="BX12" i="37"/>
  <c r="BW12" i="37"/>
  <c r="BU12" i="37"/>
  <c r="BT12" i="37"/>
  <c r="CB11" i="37"/>
  <c r="CA11" i="37"/>
  <c r="BZ11" i="37"/>
  <c r="BX11" i="37"/>
  <c r="BW11" i="37"/>
  <c r="BU11" i="37"/>
  <c r="BT11" i="37"/>
  <c r="CB10" i="37"/>
  <c r="CA10" i="37"/>
  <c r="BZ10" i="37"/>
  <c r="BX10" i="37"/>
  <c r="BW10" i="37"/>
  <c r="BU10" i="37"/>
  <c r="BT10" i="37"/>
  <c r="CB9" i="37"/>
  <c r="CA9" i="37"/>
  <c r="BZ9" i="37"/>
  <c r="BX9" i="37"/>
  <c r="BW9" i="37"/>
  <c r="BU9" i="37"/>
  <c r="BT9" i="37"/>
  <c r="CB8" i="37"/>
  <c r="CA8" i="37"/>
  <c r="BZ8" i="37"/>
  <c r="BX8" i="37"/>
  <c r="BW8" i="37"/>
  <c r="BU8" i="37"/>
  <c r="BT8" i="37"/>
  <c r="AK113" i="38"/>
  <c r="AJ113" i="38"/>
  <c r="AI113" i="38"/>
  <c r="AH113" i="38"/>
  <c r="AG113" i="38"/>
  <c r="AF113" i="38"/>
  <c r="AE113" i="38"/>
  <c r="AK112" i="38"/>
  <c r="AJ112" i="38"/>
  <c r="AI112" i="38"/>
  <c r="AH112" i="38"/>
  <c r="AG112" i="38"/>
  <c r="AF112" i="38"/>
  <c r="AE112" i="38"/>
  <c r="AK111" i="38"/>
  <c r="AJ111" i="38"/>
  <c r="AI111" i="38"/>
  <c r="AH111" i="38"/>
  <c r="AG111" i="38"/>
  <c r="AF111" i="38"/>
  <c r="AE111" i="38"/>
  <c r="AK110" i="38"/>
  <c r="AJ110" i="38"/>
  <c r="AI110" i="38"/>
  <c r="AH110" i="38"/>
  <c r="AG110" i="38"/>
  <c r="AF110" i="38"/>
  <c r="AE110" i="38"/>
  <c r="AK109" i="38"/>
  <c r="AJ109" i="38"/>
  <c r="AI109" i="38"/>
  <c r="AH109" i="38"/>
  <c r="AG109" i="38"/>
  <c r="AF109" i="38"/>
  <c r="AE109" i="38"/>
  <c r="AK108" i="38"/>
  <c r="AJ108" i="38"/>
  <c r="AI108" i="38"/>
  <c r="AH108" i="38"/>
  <c r="AG108" i="38"/>
  <c r="AF108" i="38"/>
  <c r="AE108" i="38"/>
  <c r="AK107" i="38"/>
  <c r="AJ107" i="38"/>
  <c r="AI107" i="38"/>
  <c r="AH107" i="38"/>
  <c r="AG107" i="38"/>
  <c r="AF107" i="38"/>
  <c r="AE107" i="38"/>
  <c r="AK105" i="38"/>
  <c r="AJ105" i="38"/>
  <c r="AI105" i="38"/>
  <c r="AH105" i="38"/>
  <c r="AG105" i="38"/>
  <c r="AF105" i="38"/>
  <c r="AE105" i="38"/>
  <c r="AK104" i="38"/>
  <c r="AJ104" i="38"/>
  <c r="AI104" i="38"/>
  <c r="AH104" i="38"/>
  <c r="AG104" i="38"/>
  <c r="AF104" i="38"/>
  <c r="AE104" i="38"/>
  <c r="AK103" i="38"/>
  <c r="AJ103" i="38"/>
  <c r="AI103" i="38"/>
  <c r="AH103" i="38"/>
  <c r="AG103" i="38"/>
  <c r="AF103" i="38"/>
  <c r="AE103" i="38"/>
  <c r="AK102" i="38"/>
  <c r="AJ102" i="38"/>
  <c r="AI102" i="38"/>
  <c r="AH102" i="38"/>
  <c r="AG102" i="38"/>
  <c r="AF102" i="38"/>
  <c r="AE102" i="38"/>
  <c r="AK101" i="38"/>
  <c r="AJ101" i="38"/>
  <c r="AI101" i="38"/>
  <c r="AH101" i="38"/>
  <c r="AG101" i="38"/>
  <c r="AF101" i="38"/>
  <c r="AE101" i="38"/>
  <c r="AK100" i="38"/>
  <c r="AJ100" i="38"/>
  <c r="AI100" i="38"/>
  <c r="AH100" i="38"/>
  <c r="AG100" i="38"/>
  <c r="AF100" i="38"/>
  <c r="AE100" i="38"/>
  <c r="AK96" i="38"/>
  <c r="AJ96" i="38"/>
  <c r="AI96" i="38"/>
  <c r="AH96" i="38"/>
  <c r="AG96" i="38"/>
  <c r="AF96" i="38"/>
  <c r="AE96" i="38"/>
  <c r="AK95" i="38"/>
  <c r="AJ95" i="38"/>
  <c r="AI95" i="38"/>
  <c r="AH95" i="38"/>
  <c r="AG95" i="38"/>
  <c r="AF95" i="38"/>
  <c r="AE95" i="38"/>
  <c r="AK94" i="38"/>
  <c r="AJ94" i="38"/>
  <c r="AI94" i="38"/>
  <c r="AH94" i="38"/>
  <c r="AG94" i="38"/>
  <c r="AF94" i="38"/>
  <c r="AE94" i="38"/>
  <c r="AK93" i="38"/>
  <c r="AJ93" i="38"/>
  <c r="AI93" i="38"/>
  <c r="AH93" i="38"/>
  <c r="AG93" i="38"/>
  <c r="AF93" i="38"/>
  <c r="AE93" i="38"/>
  <c r="AK90" i="38"/>
  <c r="AJ90" i="38"/>
  <c r="AI90" i="38"/>
  <c r="AH90" i="38"/>
  <c r="AG90" i="38"/>
  <c r="AF90" i="38"/>
  <c r="AE90" i="38"/>
  <c r="AK89" i="38"/>
  <c r="AJ89" i="38"/>
  <c r="AI89" i="38"/>
  <c r="AH89" i="38"/>
  <c r="AG89" i="38"/>
  <c r="AF89" i="38"/>
  <c r="AE89" i="38"/>
  <c r="AK86" i="38"/>
  <c r="AJ86" i="38"/>
  <c r="AI86" i="38"/>
  <c r="AH86" i="38"/>
  <c r="AG86" i="38"/>
  <c r="AF86" i="38"/>
  <c r="AE86" i="38"/>
  <c r="AK85" i="38"/>
  <c r="AJ85" i="38"/>
  <c r="AI85" i="38"/>
  <c r="AH85" i="38"/>
  <c r="AG85" i="38"/>
  <c r="AF85" i="38"/>
  <c r="AE85" i="38"/>
  <c r="AK84" i="38"/>
  <c r="AJ84" i="38"/>
  <c r="AI84" i="38"/>
  <c r="AH84" i="38"/>
  <c r="AG84" i="38"/>
  <c r="AF84" i="38"/>
  <c r="AE84" i="38"/>
  <c r="AK83" i="38"/>
  <c r="AJ83" i="38"/>
  <c r="AI83" i="38"/>
  <c r="AH83" i="38"/>
  <c r="AG83" i="38"/>
  <c r="AF83" i="38"/>
  <c r="AE83" i="38"/>
  <c r="AK82" i="38"/>
  <c r="AJ82" i="38"/>
  <c r="AI82" i="38"/>
  <c r="AH82" i="38"/>
  <c r="AG82" i="38"/>
  <c r="AF82" i="38"/>
  <c r="AE82" i="38"/>
  <c r="AK77" i="38"/>
  <c r="AJ77" i="38"/>
  <c r="AI77" i="38"/>
  <c r="AH77" i="38"/>
  <c r="AG77" i="38"/>
  <c r="AF77" i="38"/>
  <c r="AE77" i="38"/>
  <c r="AK76" i="38"/>
  <c r="AJ76" i="38"/>
  <c r="AI76" i="38"/>
  <c r="AH76" i="38"/>
  <c r="AG76" i="38"/>
  <c r="AF76" i="38"/>
  <c r="AE76" i="38"/>
  <c r="AK75" i="38"/>
  <c r="AJ75" i="38"/>
  <c r="AI75" i="38"/>
  <c r="AH75" i="38"/>
  <c r="AG75" i="38"/>
  <c r="AF75" i="38"/>
  <c r="AE75" i="38"/>
  <c r="AK74" i="38"/>
  <c r="AJ74" i="38"/>
  <c r="AI74" i="38"/>
  <c r="AH74" i="38"/>
  <c r="AG74" i="38"/>
  <c r="AF74" i="38"/>
  <c r="AE74" i="38"/>
  <c r="AK73" i="38"/>
  <c r="AJ73" i="38"/>
  <c r="AI73" i="38"/>
  <c r="AH73" i="38"/>
  <c r="AG73" i="38"/>
  <c r="AF73" i="38"/>
  <c r="AE73" i="38"/>
  <c r="AK72" i="38"/>
  <c r="AJ72" i="38"/>
  <c r="AI72" i="38"/>
  <c r="AH72" i="38"/>
  <c r="AG72" i="38"/>
  <c r="AF72" i="38"/>
  <c r="AE72" i="38"/>
  <c r="AK71" i="38"/>
  <c r="AJ71" i="38"/>
  <c r="AI71" i="38"/>
  <c r="AH71" i="38"/>
  <c r="AG71" i="38"/>
  <c r="AF71" i="38"/>
  <c r="AE71" i="38"/>
  <c r="AK70" i="38"/>
  <c r="AJ70" i="38"/>
  <c r="AI70" i="38"/>
  <c r="AH70" i="38"/>
  <c r="AG70" i="38"/>
  <c r="AF70" i="38"/>
  <c r="AE70" i="38"/>
  <c r="AK69" i="38"/>
  <c r="AJ69" i="38"/>
  <c r="AI69" i="38"/>
  <c r="AH69" i="38"/>
  <c r="AG69" i="38"/>
  <c r="AF69" i="38"/>
  <c r="AE69" i="38"/>
  <c r="AK68" i="38"/>
  <c r="AJ68" i="38"/>
  <c r="AI68" i="38"/>
  <c r="AH68" i="38"/>
  <c r="AG68" i="38"/>
  <c r="AF68" i="38"/>
  <c r="AE68" i="38"/>
  <c r="AK67" i="38"/>
  <c r="AJ67" i="38"/>
  <c r="AI67" i="38"/>
  <c r="AH67" i="38"/>
  <c r="AG67" i="38"/>
  <c r="AF67" i="38"/>
  <c r="AE67" i="38"/>
  <c r="AK66" i="38"/>
  <c r="AJ66" i="38"/>
  <c r="AI66" i="38"/>
  <c r="AH66" i="38"/>
  <c r="AG66" i="38"/>
  <c r="AF66" i="38"/>
  <c r="AE66" i="38"/>
  <c r="AK65" i="38"/>
  <c r="AJ65" i="38"/>
  <c r="AI65" i="38"/>
  <c r="AH65" i="38"/>
  <c r="AG65" i="38"/>
  <c r="AF65" i="38"/>
  <c r="AE65" i="38"/>
  <c r="AK64" i="38"/>
  <c r="AJ64" i="38"/>
  <c r="AI64" i="38"/>
  <c r="AH64" i="38"/>
  <c r="AG64" i="38"/>
  <c r="AF64" i="38"/>
  <c r="AE64" i="38"/>
  <c r="AK63" i="38"/>
  <c r="AJ63" i="38"/>
  <c r="AI63" i="38"/>
  <c r="AH63" i="38"/>
  <c r="AG63" i="38"/>
  <c r="AF63" i="38"/>
  <c r="AE63" i="38"/>
  <c r="AK62" i="38"/>
  <c r="AJ62" i="38"/>
  <c r="AI62" i="38"/>
  <c r="AH62" i="38"/>
  <c r="AG62" i="38"/>
  <c r="AF62" i="38"/>
  <c r="AE62" i="38"/>
  <c r="AK61" i="38"/>
  <c r="AJ61" i="38"/>
  <c r="AI61" i="38"/>
  <c r="AH61" i="38"/>
  <c r="AG61" i="38"/>
  <c r="AF61" i="38"/>
  <c r="AE61" i="38"/>
  <c r="AK60" i="38"/>
  <c r="AJ60" i="38"/>
  <c r="AI60" i="38"/>
  <c r="AH60" i="38"/>
  <c r="AG60" i="38"/>
  <c r="AF60" i="38"/>
  <c r="AE60" i="38"/>
  <c r="AK59" i="38"/>
  <c r="AJ59" i="38"/>
  <c r="AI59" i="38"/>
  <c r="AH59" i="38"/>
  <c r="AG59" i="38"/>
  <c r="AF59" i="38"/>
  <c r="AE59" i="38"/>
  <c r="AK58" i="38"/>
  <c r="AJ58" i="38"/>
  <c r="AI58" i="38"/>
  <c r="AH58" i="38"/>
  <c r="AG58" i="38"/>
  <c r="AF58" i="38"/>
  <c r="AE58" i="38"/>
  <c r="AK57" i="38"/>
  <c r="AJ57" i="38"/>
  <c r="AI57" i="38"/>
  <c r="AH57" i="38"/>
  <c r="AG57" i="38"/>
  <c r="AF57" i="38"/>
  <c r="AE57" i="38"/>
  <c r="AK56" i="38"/>
  <c r="AJ56" i="38"/>
  <c r="AI56" i="38"/>
  <c r="AH56" i="38"/>
  <c r="AG56" i="38"/>
  <c r="AF56" i="38"/>
  <c r="AE56" i="38"/>
  <c r="AK55" i="38"/>
  <c r="AJ55" i="38"/>
  <c r="AI55" i="38"/>
  <c r="AH55" i="38"/>
  <c r="AG55" i="38"/>
  <c r="AF55" i="38"/>
  <c r="AE55" i="38"/>
  <c r="AK54" i="38"/>
  <c r="AJ54" i="38"/>
  <c r="AI54" i="38"/>
  <c r="AH54" i="38"/>
  <c r="AG54" i="38"/>
  <c r="AF54" i="38"/>
  <c r="AE54" i="38"/>
  <c r="AK53" i="38"/>
  <c r="AJ53" i="38"/>
  <c r="AI53" i="38"/>
  <c r="AH53" i="38"/>
  <c r="AG53" i="38"/>
  <c r="AF53" i="38"/>
  <c r="AE53" i="38"/>
  <c r="AK52" i="38"/>
  <c r="AJ52" i="38"/>
  <c r="AI52" i="38"/>
  <c r="AH52" i="38"/>
  <c r="AG52" i="38"/>
  <c r="AF52" i="38"/>
  <c r="AE52" i="38"/>
  <c r="AK51" i="38"/>
  <c r="AJ51" i="38"/>
  <c r="AI51" i="38"/>
  <c r="AH51" i="38"/>
  <c r="AG51" i="38"/>
  <c r="AF51" i="38"/>
  <c r="AE51" i="38"/>
  <c r="AK50" i="38"/>
  <c r="AJ50" i="38"/>
  <c r="AI50" i="38"/>
  <c r="AH50" i="38"/>
  <c r="AG50" i="38"/>
  <c r="AF50" i="38"/>
  <c r="AE50" i="38"/>
  <c r="AK49" i="38"/>
  <c r="AJ49" i="38"/>
  <c r="AI49" i="38"/>
  <c r="AH49" i="38"/>
  <c r="AG49" i="38"/>
  <c r="AF49" i="38"/>
  <c r="AE49" i="38"/>
  <c r="AK48" i="38"/>
  <c r="AJ48" i="38"/>
  <c r="AI48" i="38"/>
  <c r="AH48" i="38"/>
  <c r="AG48" i="38"/>
  <c r="AF48" i="38"/>
  <c r="AE48" i="38"/>
  <c r="AK47" i="38"/>
  <c r="AJ47" i="38"/>
  <c r="AI47" i="38"/>
  <c r="AH47" i="38"/>
  <c r="AG47" i="38"/>
  <c r="AF47" i="38"/>
  <c r="AE47" i="38"/>
  <c r="AK46" i="38"/>
  <c r="AJ46" i="38"/>
  <c r="AI46" i="38"/>
  <c r="AH46" i="38"/>
  <c r="AG46" i="38"/>
  <c r="AF46" i="38"/>
  <c r="AE46" i="38"/>
  <c r="AK45" i="38"/>
  <c r="AJ45" i="38"/>
  <c r="AI45" i="38"/>
  <c r="AH45" i="38"/>
  <c r="AG45" i="38"/>
  <c r="AF45" i="38"/>
  <c r="AE45" i="38"/>
  <c r="AK44" i="38"/>
  <c r="AJ44" i="38"/>
  <c r="AI44" i="38"/>
  <c r="AH44" i="38"/>
  <c r="AG44" i="38"/>
  <c r="AF44" i="38"/>
  <c r="AE44" i="38"/>
  <c r="AK43" i="38"/>
  <c r="AJ43" i="38"/>
  <c r="AI43" i="38"/>
  <c r="AH43" i="38"/>
  <c r="AG43" i="38"/>
  <c r="AF43" i="38"/>
  <c r="AE43" i="38"/>
  <c r="AK42" i="38"/>
  <c r="AJ42" i="38"/>
  <c r="AI42" i="38"/>
  <c r="AH42" i="38"/>
  <c r="AG42" i="38"/>
  <c r="AF42" i="38"/>
  <c r="AE42" i="38"/>
  <c r="AK41" i="38"/>
  <c r="AJ41" i="38"/>
  <c r="AI41" i="38"/>
  <c r="AH41" i="38"/>
  <c r="AG41" i="38"/>
  <c r="AF41" i="38"/>
  <c r="AE41" i="38"/>
  <c r="AK40" i="38"/>
  <c r="AJ40" i="38"/>
  <c r="AI40" i="38"/>
  <c r="AH40" i="38"/>
  <c r="AG40" i="38"/>
  <c r="AF40" i="38"/>
  <c r="AE40" i="38"/>
  <c r="AK39" i="38"/>
  <c r="AJ39" i="38"/>
  <c r="AI39" i="38"/>
  <c r="AH39" i="38"/>
  <c r="AG39" i="38"/>
  <c r="AF39" i="38"/>
  <c r="AE39" i="38"/>
  <c r="AK38" i="38"/>
  <c r="AJ38" i="38"/>
  <c r="AI38" i="38"/>
  <c r="AH38" i="38"/>
  <c r="AG38" i="38"/>
  <c r="AF38" i="38"/>
  <c r="AE38" i="38"/>
  <c r="AK37" i="38"/>
  <c r="AJ37" i="38"/>
  <c r="AI37" i="38"/>
  <c r="AH37" i="38"/>
  <c r="AG37" i="38"/>
  <c r="AF37" i="38"/>
  <c r="AE37" i="38"/>
  <c r="AK36" i="38"/>
  <c r="AJ36" i="38"/>
  <c r="AI36" i="38"/>
  <c r="AH36" i="38"/>
  <c r="AG36" i="38"/>
  <c r="AF36" i="38"/>
  <c r="AE36" i="38"/>
  <c r="AK35" i="38"/>
  <c r="AJ35" i="38"/>
  <c r="AI35" i="38"/>
  <c r="AH35" i="38"/>
  <c r="AG35" i="38"/>
  <c r="AF35" i="38"/>
  <c r="AE35" i="38"/>
  <c r="AK34" i="38"/>
  <c r="AJ34" i="38"/>
  <c r="AI34" i="38"/>
  <c r="AH34" i="38"/>
  <c r="AG34" i="38"/>
  <c r="AF34" i="38"/>
  <c r="AE34" i="38"/>
  <c r="AK33" i="38"/>
  <c r="AJ33" i="38"/>
  <c r="AI33" i="38"/>
  <c r="AH33" i="38"/>
  <c r="AG33" i="38"/>
  <c r="AF33" i="38"/>
  <c r="AE33" i="38"/>
  <c r="AK32" i="38"/>
  <c r="AJ32" i="38"/>
  <c r="AI32" i="38"/>
  <c r="AH32" i="38"/>
  <c r="AG32" i="38"/>
  <c r="AF32" i="38"/>
  <c r="AE32" i="38"/>
  <c r="AK31" i="38"/>
  <c r="AJ31" i="38"/>
  <c r="AI31" i="38"/>
  <c r="AH31" i="38"/>
  <c r="AG31" i="38"/>
  <c r="AF31" i="38"/>
  <c r="AE31" i="38"/>
  <c r="AK30" i="38"/>
  <c r="AJ30" i="38"/>
  <c r="AI30" i="38"/>
  <c r="AH30" i="38"/>
  <c r="AG30" i="38"/>
  <c r="AF30" i="38"/>
  <c r="AE30" i="38"/>
  <c r="AK29" i="38"/>
  <c r="AJ29" i="38"/>
  <c r="AI29" i="38"/>
  <c r="AH29" i="38"/>
  <c r="AG29" i="38"/>
  <c r="AF29" i="38"/>
  <c r="AE29" i="38"/>
  <c r="AK28" i="38"/>
  <c r="AJ28" i="38"/>
  <c r="AI28" i="38"/>
  <c r="AH28" i="38"/>
  <c r="AG28" i="38"/>
  <c r="AF28" i="38"/>
  <c r="AE28" i="38"/>
  <c r="AK27" i="38"/>
  <c r="AJ27" i="38"/>
  <c r="AI27" i="38"/>
  <c r="AH27" i="38"/>
  <c r="AG27" i="38"/>
  <c r="AF27" i="38"/>
  <c r="AE27" i="38"/>
  <c r="AK26" i="38"/>
  <c r="AJ26" i="38"/>
  <c r="AI26" i="38"/>
  <c r="AH26" i="38"/>
  <c r="AG26" i="38"/>
  <c r="AF26" i="38"/>
  <c r="AE26" i="38"/>
  <c r="AK25" i="38"/>
  <c r="AJ25" i="38"/>
  <c r="AI25" i="38"/>
  <c r="AH25" i="38"/>
  <c r="AG25" i="38"/>
  <c r="AF25" i="38"/>
  <c r="AE25" i="38"/>
  <c r="AK24" i="38"/>
  <c r="AJ24" i="38"/>
  <c r="AI24" i="38"/>
  <c r="AH24" i="38"/>
  <c r="AG24" i="38"/>
  <c r="AF24" i="38"/>
  <c r="AE24" i="38"/>
  <c r="AK23" i="38"/>
  <c r="AJ23" i="38"/>
  <c r="AI23" i="38"/>
  <c r="AH23" i="38"/>
  <c r="AG23" i="38"/>
  <c r="AF23" i="38"/>
  <c r="AE23" i="38"/>
  <c r="AK22" i="38"/>
  <c r="AJ22" i="38"/>
  <c r="AI22" i="38"/>
  <c r="AH22" i="38"/>
  <c r="AG22" i="38"/>
  <c r="AF22" i="38"/>
  <c r="AE22" i="38"/>
  <c r="AK21" i="38"/>
  <c r="AJ21" i="38"/>
  <c r="AI21" i="38"/>
  <c r="AH21" i="38"/>
  <c r="AG21" i="38"/>
  <c r="AF21" i="38"/>
  <c r="AE21" i="38"/>
  <c r="AK20" i="38"/>
  <c r="AJ20" i="38"/>
  <c r="AI20" i="38"/>
  <c r="AH20" i="38"/>
  <c r="AG20" i="38"/>
  <c r="AF20" i="38"/>
  <c r="AE20" i="38"/>
  <c r="AK19" i="38"/>
  <c r="AJ19" i="38"/>
  <c r="AI19" i="38"/>
  <c r="AH19" i="38"/>
  <c r="AG19" i="38"/>
  <c r="AF19" i="38"/>
  <c r="AE19" i="38"/>
  <c r="AK18" i="38"/>
  <c r="AJ18" i="38"/>
  <c r="AI18" i="38"/>
  <c r="AH18" i="38"/>
  <c r="AG18" i="38"/>
  <c r="AF18" i="38"/>
  <c r="AE18" i="38"/>
  <c r="AK17" i="38"/>
  <c r="AJ17" i="38"/>
  <c r="AI17" i="38"/>
  <c r="AH17" i="38"/>
  <c r="AG17" i="38"/>
  <c r="AF17" i="38"/>
  <c r="AE17" i="38"/>
  <c r="AF16" i="38"/>
  <c r="AE16" i="38"/>
  <c r="AK16" i="38"/>
  <c r="AJ16" i="38"/>
  <c r="AI16" i="38"/>
  <c r="AH16" i="38"/>
  <c r="AG16" i="38"/>
  <c r="AH59" i="39"/>
  <c r="AG59" i="39"/>
  <c r="AF59" i="39"/>
  <c r="AE59" i="39"/>
  <c r="AH58" i="39"/>
  <c r="AG58" i="39"/>
  <c r="AF58" i="39"/>
  <c r="AE58" i="39"/>
  <c r="AH57" i="39"/>
  <c r="AG57" i="39"/>
  <c r="AF57" i="39"/>
  <c r="AE57" i="39"/>
  <c r="AH56" i="39"/>
  <c r="AG56" i="39"/>
  <c r="AF56" i="39"/>
  <c r="AE56" i="39"/>
  <c r="AH55" i="39"/>
  <c r="AG55" i="39"/>
  <c r="AF55" i="39"/>
  <c r="AE55" i="39"/>
  <c r="AH54" i="39"/>
  <c r="AG54" i="39"/>
  <c r="AF54" i="39"/>
  <c r="AE54" i="39"/>
  <c r="AH53" i="39"/>
  <c r="AG53" i="39"/>
  <c r="AF53" i="39"/>
  <c r="AE53" i="39"/>
  <c r="AH52" i="39"/>
  <c r="AG52" i="39"/>
  <c r="AF52" i="39"/>
  <c r="AE52" i="39"/>
  <c r="AL50" i="39"/>
  <c r="AK50" i="39"/>
  <c r="AJ50" i="39"/>
  <c r="AI50" i="39"/>
  <c r="AH50" i="39"/>
  <c r="AG50" i="39"/>
  <c r="AF50" i="39"/>
  <c r="AE50" i="39"/>
  <c r="AL49" i="39"/>
  <c r="AK49" i="39"/>
  <c r="AJ49" i="39"/>
  <c r="AI49" i="39"/>
  <c r="AH49" i="39"/>
  <c r="AG49" i="39"/>
  <c r="AF49" i="39"/>
  <c r="AE49" i="39"/>
  <c r="AL48" i="39"/>
  <c r="AK48" i="39"/>
  <c r="AJ48" i="39"/>
  <c r="AI48" i="39"/>
  <c r="AH48" i="39"/>
  <c r="AG48" i="39"/>
  <c r="AF48" i="39"/>
  <c r="AE48" i="39"/>
  <c r="AL47" i="39"/>
  <c r="AK47" i="39"/>
  <c r="AJ47" i="39"/>
  <c r="AI47" i="39"/>
  <c r="AH47" i="39"/>
  <c r="AG47" i="39"/>
  <c r="AF47" i="39"/>
  <c r="AE47" i="39"/>
  <c r="AL46" i="39"/>
  <c r="AK46" i="39"/>
  <c r="AJ46" i="39"/>
  <c r="AI46" i="39"/>
  <c r="AH46" i="39"/>
  <c r="AG46" i="39"/>
  <c r="AF46" i="39"/>
  <c r="AE46" i="39"/>
  <c r="AL45" i="39"/>
  <c r="AK45" i="39"/>
  <c r="AJ45" i="39"/>
  <c r="AI45" i="39"/>
  <c r="AH45" i="39"/>
  <c r="AG45" i="39"/>
  <c r="AF45" i="39"/>
  <c r="AE45" i="39"/>
  <c r="AL44" i="39"/>
  <c r="AK44" i="39"/>
  <c r="AJ44" i="39"/>
  <c r="AI44" i="39"/>
  <c r="AH44" i="39"/>
  <c r="AG44" i="39"/>
  <c r="AF44" i="39"/>
  <c r="AE44" i="39"/>
  <c r="AL43" i="39"/>
  <c r="AK43" i="39"/>
  <c r="AH43" i="39"/>
  <c r="AG43" i="39"/>
  <c r="AJ43" i="39"/>
  <c r="AI43" i="39"/>
  <c r="AF43" i="39"/>
  <c r="AE43" i="39"/>
  <c r="AJ37" i="39"/>
  <c r="AI37" i="39"/>
  <c r="AF37" i="39"/>
  <c r="AE37" i="39"/>
  <c r="AJ36" i="39"/>
  <c r="AI36" i="39"/>
  <c r="AF36" i="39"/>
  <c r="AE36" i="39"/>
  <c r="AJ35" i="39"/>
  <c r="AI35" i="39"/>
  <c r="AF35" i="39"/>
  <c r="AE35" i="39"/>
  <c r="AJ34" i="39"/>
  <c r="AI34" i="39"/>
  <c r="AF34" i="39"/>
  <c r="AE34" i="39"/>
  <c r="AJ33" i="39"/>
  <c r="AI33" i="39"/>
  <c r="AF33" i="39"/>
  <c r="AE33" i="39"/>
  <c r="AJ32" i="39"/>
  <c r="AI32" i="39"/>
  <c r="AF32" i="39"/>
  <c r="AE32" i="39"/>
  <c r="AJ31" i="39"/>
  <c r="AI31" i="39"/>
  <c r="AF31" i="39"/>
  <c r="AE31" i="39"/>
  <c r="AF30" i="39"/>
  <c r="AE30" i="39"/>
  <c r="AF29" i="39"/>
  <c r="AE29" i="39"/>
  <c r="AF28" i="39"/>
  <c r="AE28" i="39"/>
  <c r="AF27" i="39"/>
  <c r="AE27" i="39"/>
  <c r="AF26" i="39"/>
  <c r="AE26" i="39"/>
  <c r="AF25" i="39"/>
  <c r="AE25" i="39"/>
  <c r="AJ22" i="39"/>
  <c r="AI22" i="39"/>
  <c r="AF22" i="39"/>
  <c r="AE22" i="39"/>
  <c r="AJ21" i="39"/>
  <c r="AI21" i="39"/>
  <c r="AF21" i="39"/>
  <c r="AE21" i="39"/>
  <c r="AJ20" i="39"/>
  <c r="AI20" i="39"/>
  <c r="AF20" i="39"/>
  <c r="AE20" i="39"/>
  <c r="AJ19" i="39"/>
  <c r="AI19" i="39"/>
  <c r="AF19" i="39"/>
  <c r="AE19" i="39"/>
  <c r="AJ18" i="39"/>
  <c r="AI18" i="39"/>
  <c r="AF18" i="39"/>
  <c r="AE18" i="39"/>
  <c r="AJ17" i="39"/>
  <c r="AI17" i="39"/>
  <c r="AF17" i="39"/>
  <c r="AE17" i="39"/>
  <c r="AJ16" i="39"/>
  <c r="AI16" i="39"/>
  <c r="AF16" i="39"/>
  <c r="AE16" i="39"/>
  <c r="AJ15" i="39"/>
  <c r="AI15" i="39"/>
  <c r="AF15" i="39"/>
  <c r="AE15" i="39"/>
  <c r="AJ14" i="39"/>
  <c r="AI14" i="39"/>
  <c r="AF14" i="39"/>
  <c r="AE14" i="39"/>
  <c r="AJ13" i="39"/>
  <c r="AI13" i="39"/>
  <c r="AF13" i="39"/>
  <c r="AE13" i="39"/>
  <c r="AJ12" i="39"/>
  <c r="AI12" i="39"/>
  <c r="AF12" i="39"/>
  <c r="AE12" i="39"/>
  <c r="AJ11" i="39"/>
  <c r="AI11" i="39"/>
  <c r="AF11" i="39"/>
  <c r="AE11" i="39"/>
  <c r="AJ10" i="39"/>
  <c r="AI10" i="39"/>
  <c r="AF10" i="39"/>
  <c r="AE10" i="39"/>
  <c r="AJ9" i="39"/>
  <c r="AI9" i="39"/>
  <c r="AF9" i="39"/>
  <c r="AE9" i="39"/>
  <c r="CY213" i="32"/>
  <c r="CW213" i="32"/>
  <c r="CU213" i="32"/>
  <c r="CS213" i="32"/>
  <c r="CR213" i="32"/>
  <c r="CY209" i="32"/>
  <c r="CW209" i="32"/>
  <c r="CU209" i="32"/>
  <c r="CS209" i="32"/>
  <c r="CR209" i="32"/>
  <c r="CY207" i="32"/>
  <c r="CW207" i="32"/>
  <c r="CU207" i="32"/>
  <c r="CS207" i="32"/>
  <c r="CR207" i="32"/>
  <c r="AA37" i="46"/>
  <c r="Z37" i="46"/>
  <c r="Y37" i="46"/>
  <c r="AA36" i="46"/>
  <c r="Z36" i="46"/>
  <c r="Y36" i="46"/>
  <c r="AA35" i="46"/>
  <c r="Z35" i="46"/>
  <c r="Y35" i="46"/>
  <c r="AA34" i="46"/>
  <c r="Z34" i="46"/>
  <c r="Y34" i="46"/>
  <c r="AA33" i="46"/>
  <c r="Z33" i="46"/>
  <c r="Y33" i="46"/>
  <c r="AA32" i="46"/>
  <c r="Z32" i="46"/>
  <c r="Y32" i="46"/>
  <c r="AA30" i="46"/>
  <c r="Z30" i="46"/>
  <c r="Y30" i="46"/>
  <c r="AA29" i="46"/>
  <c r="Z29" i="46"/>
  <c r="Y29" i="46"/>
  <c r="AA28" i="46"/>
  <c r="Z28" i="46"/>
  <c r="Y28" i="46"/>
  <c r="AA27" i="46"/>
  <c r="Z27" i="46"/>
  <c r="Y27" i="46"/>
  <c r="AA26" i="46"/>
  <c r="Z26" i="46"/>
  <c r="Y26" i="46"/>
  <c r="AA24" i="46"/>
  <c r="Z24" i="46"/>
  <c r="Y24" i="46"/>
  <c r="AA25" i="46"/>
  <c r="Z25" i="46"/>
  <c r="Y25" i="46"/>
  <c r="AA15" i="46"/>
  <c r="Z15" i="46"/>
  <c r="Y15" i="46"/>
  <c r="AA14" i="46"/>
  <c r="Z14" i="46"/>
  <c r="Y14" i="46"/>
  <c r="AA13" i="46"/>
  <c r="Z13" i="46"/>
  <c r="Y13" i="46"/>
  <c r="AA12" i="46"/>
  <c r="Z12" i="46"/>
  <c r="Y12" i="46"/>
  <c r="AA11" i="46"/>
  <c r="Z11" i="46"/>
  <c r="Y11" i="46"/>
  <c r="AA9" i="46"/>
  <c r="Z9" i="46"/>
  <c r="Y9" i="46"/>
  <c r="AA8" i="46"/>
  <c r="Z8" i="46"/>
  <c r="Y8" i="46"/>
  <c r="AA7" i="46"/>
  <c r="Z7" i="46"/>
  <c r="Y7" i="46"/>
  <c r="AA6" i="46"/>
  <c r="Z6" i="46"/>
  <c r="Y6" i="46"/>
  <c r="Z5" i="46"/>
  <c r="AA5" i="46"/>
  <c r="Y5" i="46"/>
  <c r="FI579" i="50"/>
  <c r="FI578" i="50"/>
  <c r="FI577" i="50"/>
  <c r="FI576" i="50"/>
  <c r="FI575" i="50"/>
  <c r="FI574" i="50"/>
  <c r="FI573" i="50"/>
  <c r="FI572" i="50"/>
  <c r="FI571" i="50"/>
  <c r="FI570" i="50"/>
  <c r="FI569" i="50"/>
  <c r="FI568" i="50"/>
  <c r="FI567" i="50"/>
  <c r="FI566" i="50"/>
  <c r="FI565" i="50"/>
  <c r="FI564" i="50"/>
  <c r="FI563" i="50"/>
  <c r="FI562" i="50"/>
  <c r="FI561" i="50"/>
  <c r="FI560" i="50"/>
  <c r="FI559" i="50"/>
  <c r="FI558" i="50"/>
  <c r="FI557" i="50"/>
  <c r="FI556" i="50"/>
  <c r="FI555" i="50"/>
  <c r="FI554" i="50"/>
  <c r="FI553" i="50"/>
  <c r="FI552" i="50"/>
  <c r="FI551" i="50"/>
  <c r="FI550" i="50"/>
  <c r="FI549" i="50"/>
  <c r="FI548" i="50"/>
  <c r="FI547" i="50"/>
  <c r="FI546" i="50"/>
  <c r="FI545" i="50"/>
  <c r="FI544" i="50"/>
  <c r="FI543" i="50"/>
  <c r="FI542" i="50"/>
  <c r="FI541" i="50"/>
  <c r="FI540" i="50"/>
  <c r="FI539" i="50"/>
  <c r="FI538" i="50"/>
  <c r="FI537" i="50"/>
  <c r="FI536" i="50"/>
  <c r="FI535" i="50"/>
  <c r="FI534" i="50"/>
  <c r="FI533" i="50"/>
  <c r="FI532" i="50"/>
  <c r="FI531" i="50"/>
  <c r="FI530" i="50"/>
  <c r="FI529" i="50"/>
  <c r="FI528" i="50"/>
  <c r="FI527" i="50"/>
  <c r="FI526" i="50"/>
  <c r="FI516" i="50"/>
  <c r="FI512" i="50"/>
  <c r="FI425" i="50"/>
  <c r="FI412" i="50"/>
  <c r="FI411" i="50"/>
  <c r="FI410" i="50"/>
  <c r="FI409" i="50"/>
  <c r="FI408" i="50"/>
  <c r="FI407" i="50"/>
  <c r="FI406" i="50"/>
  <c r="FI405" i="50"/>
  <c r="FI404" i="50"/>
  <c r="FI403" i="50"/>
  <c r="FI402" i="50"/>
  <c r="FI401" i="50"/>
  <c r="FI400" i="50"/>
  <c r="FI399" i="50"/>
  <c r="FI398" i="50"/>
  <c r="FI397" i="50"/>
  <c r="FI396" i="50"/>
  <c r="FI395" i="50"/>
  <c r="FI394" i="50"/>
  <c r="FI393" i="50"/>
  <c r="FI392" i="50"/>
  <c r="FI391" i="50"/>
  <c r="FI390" i="50"/>
  <c r="FI389" i="50"/>
  <c r="FI356" i="50"/>
  <c r="FI355" i="50"/>
  <c r="FI351" i="50"/>
  <c r="FI350" i="50"/>
  <c r="FI349" i="50"/>
  <c r="FI308" i="50"/>
  <c r="FI307" i="50"/>
  <c r="FI306" i="50"/>
  <c r="FI305" i="50"/>
  <c r="FI304" i="50"/>
  <c r="FI303" i="50"/>
  <c r="FI302" i="50"/>
  <c r="FI301" i="50"/>
  <c r="FI300" i="50"/>
  <c r="FI299" i="50"/>
  <c r="FI298" i="50"/>
  <c r="FI297" i="50"/>
  <c r="FI296" i="50"/>
  <c r="FI295" i="50"/>
  <c r="FI294" i="50"/>
  <c r="FI293" i="50"/>
  <c r="FI292" i="50"/>
  <c r="FI291" i="50"/>
  <c r="FI290" i="50"/>
  <c r="FI289" i="50"/>
  <c r="FI288" i="50"/>
  <c r="FI287" i="50"/>
  <c r="FI286" i="50"/>
  <c r="FI285" i="50"/>
  <c r="FI284" i="50"/>
  <c r="FI283" i="50"/>
  <c r="FI282" i="50"/>
  <c r="FI281" i="50"/>
  <c r="FI280" i="50"/>
  <c r="FI279" i="50"/>
  <c r="FI278" i="50"/>
  <c r="FI277" i="50"/>
  <c r="FI276" i="50"/>
  <c r="FI275" i="50"/>
  <c r="FI274" i="50"/>
  <c r="FI273" i="50"/>
  <c r="FI272" i="50"/>
  <c r="FI271" i="50"/>
  <c r="FI270" i="50"/>
  <c r="FI269" i="50"/>
  <c r="FI268" i="50"/>
  <c r="FI267" i="50"/>
  <c r="FI266" i="50"/>
  <c r="FI265" i="50"/>
  <c r="FI264" i="50"/>
  <c r="FI263" i="50"/>
  <c r="FI262" i="50"/>
  <c r="FI261" i="50"/>
  <c r="FI260" i="50"/>
  <c r="FI259" i="50"/>
  <c r="FI258" i="50"/>
  <c r="FI257" i="50"/>
  <c r="FI256" i="50"/>
  <c r="FI255" i="50"/>
  <c r="FI254" i="50"/>
  <c r="FI253" i="50"/>
  <c r="FI252" i="50"/>
  <c r="FI251" i="50"/>
  <c r="FI250" i="50"/>
  <c r="FI249" i="50"/>
  <c r="FI248" i="50"/>
  <c r="FI247" i="50"/>
  <c r="FI246" i="50"/>
  <c r="FI245" i="50"/>
  <c r="FI244" i="50"/>
  <c r="FI243" i="50"/>
  <c r="FI242" i="50"/>
  <c r="FI241" i="50"/>
  <c r="FI240" i="50"/>
  <c r="FI239" i="50"/>
  <c r="FI238" i="50"/>
  <c r="FI237" i="50"/>
  <c r="FI236" i="50"/>
  <c r="FI235" i="50"/>
  <c r="FI234" i="50"/>
  <c r="FI233" i="50"/>
  <c r="FI226" i="50"/>
  <c r="FI224" i="50"/>
  <c r="FI223" i="50"/>
  <c r="FI222" i="50"/>
  <c r="FI221" i="50"/>
  <c r="FI220" i="50"/>
  <c r="FI219" i="50"/>
  <c r="FI218" i="50"/>
  <c r="FI217" i="50"/>
  <c r="FI216" i="50"/>
  <c r="FI215" i="50"/>
  <c r="FI214" i="50"/>
  <c r="FI213" i="50"/>
  <c r="FI212" i="50"/>
  <c r="FI211" i="50"/>
  <c r="FI210" i="50"/>
  <c r="FI209" i="50"/>
  <c r="FI208" i="50"/>
  <c r="FI207" i="50"/>
  <c r="FI206" i="50"/>
  <c r="FI205" i="50"/>
  <c r="FI204" i="50"/>
  <c r="FI203" i="50"/>
  <c r="FI202" i="50"/>
  <c r="FI201" i="50"/>
  <c r="FI200" i="50"/>
  <c r="FI199" i="50"/>
  <c r="FI198" i="50"/>
  <c r="FI197" i="50"/>
  <c r="FI196" i="50"/>
  <c r="FI195" i="50"/>
  <c r="FI194" i="50"/>
  <c r="FI193" i="50"/>
  <c r="FI192" i="50"/>
  <c r="FI191" i="50"/>
  <c r="FI190" i="50"/>
  <c r="FI189" i="50"/>
  <c r="FI188" i="50"/>
  <c r="FI187" i="50"/>
  <c r="FI186" i="50"/>
  <c r="FI185" i="50"/>
  <c r="FI184" i="50"/>
  <c r="FI183" i="50"/>
  <c r="FI182" i="50"/>
  <c r="FI172" i="50"/>
  <c r="FI171" i="50"/>
  <c r="FI170" i="50"/>
  <c r="FI169" i="50"/>
  <c r="FI168" i="50"/>
  <c r="FI167" i="50"/>
  <c r="FI166" i="50"/>
  <c r="FI165" i="50"/>
  <c r="FI164" i="50"/>
  <c r="FI163" i="50"/>
  <c r="FI162" i="50"/>
  <c r="FI161" i="50"/>
  <c r="FI160" i="50"/>
  <c r="FI159" i="50"/>
  <c r="FI158" i="50"/>
  <c r="FI157" i="50"/>
  <c r="FI156" i="50"/>
  <c r="FI155" i="50"/>
  <c r="FI149" i="50"/>
  <c r="FI144" i="50"/>
  <c r="FI138" i="50"/>
  <c r="FI135" i="50"/>
  <c r="FI119" i="50"/>
  <c r="FI116" i="50"/>
  <c r="FI115" i="50"/>
  <c r="FI114" i="50"/>
  <c r="FI113" i="50"/>
  <c r="FI112" i="50"/>
  <c r="FI111" i="50"/>
  <c r="FI110" i="50"/>
  <c r="FI109" i="50"/>
  <c r="FI108" i="50"/>
  <c r="FI107" i="50"/>
  <c r="FI106" i="50"/>
  <c r="FI105" i="50"/>
  <c r="FI104" i="50"/>
  <c r="FI103" i="50"/>
  <c r="FI102" i="50"/>
  <c r="FI101" i="50"/>
  <c r="FI94" i="50"/>
  <c r="FI93" i="50"/>
  <c r="FI92" i="50"/>
  <c r="FI91" i="50"/>
  <c r="FI90" i="50"/>
  <c r="FI89" i="50"/>
  <c r="FI88" i="50"/>
  <c r="FI87" i="50"/>
  <c r="FI86" i="50"/>
  <c r="FI85" i="50"/>
  <c r="FI84" i="50"/>
  <c r="FI83" i="50"/>
  <c r="FI82" i="50"/>
  <c r="FI81" i="50"/>
  <c r="FI80" i="50"/>
  <c r="FI79" i="50"/>
  <c r="FI78" i="50"/>
  <c r="FI77" i="50"/>
  <c r="FI76" i="50"/>
  <c r="FI75" i="50"/>
  <c r="FI74" i="50"/>
  <c r="FI73" i="50"/>
  <c r="FI72" i="50"/>
  <c r="FI71" i="50"/>
  <c r="FI70" i="50"/>
  <c r="FI69" i="50"/>
  <c r="FI68" i="50"/>
  <c r="FI67" i="50"/>
  <c r="FI66" i="50"/>
  <c r="FI65" i="50"/>
  <c r="FI64" i="50"/>
  <c r="FI63" i="50"/>
  <c r="FI62" i="50"/>
  <c r="FI61" i="50"/>
  <c r="FI60" i="50"/>
  <c r="FI59" i="50"/>
  <c r="FI58" i="50"/>
  <c r="FI57" i="50"/>
  <c r="FI56" i="50"/>
  <c r="FI55" i="50"/>
  <c r="FI54" i="50"/>
  <c r="FI53" i="50"/>
  <c r="FI52" i="50"/>
  <c r="FI51" i="50"/>
  <c r="FI50" i="50"/>
  <c r="FI49" i="50"/>
  <c r="FI48" i="50"/>
  <c r="FI47" i="50"/>
  <c r="FG927" i="50"/>
  <c r="FG926" i="50"/>
  <c r="FG925" i="50"/>
  <c r="FG924" i="50"/>
  <c r="FG923" i="50"/>
  <c r="FG922" i="50"/>
  <c r="FG921" i="50"/>
  <c r="FG920" i="50"/>
  <c r="FG919" i="50"/>
  <c r="FG918" i="50"/>
  <c r="FG917" i="50"/>
  <c r="FG916" i="50"/>
  <c r="FG915" i="50"/>
  <c r="FG914" i="50"/>
  <c r="FG913" i="50"/>
  <c r="FG912" i="50"/>
  <c r="FG911" i="50"/>
  <c r="FG910" i="50"/>
  <c r="FG909" i="50"/>
  <c r="FG908" i="50"/>
  <c r="FG907" i="50"/>
  <c r="FG906" i="50"/>
  <c r="FG905" i="50"/>
  <c r="FG903" i="50"/>
  <c r="FG902" i="50"/>
  <c r="FG901" i="50"/>
  <c r="FG900" i="50"/>
  <c r="FG899" i="50"/>
  <c r="FG898" i="50"/>
  <c r="FG897" i="50"/>
  <c r="FG896" i="50"/>
  <c r="FG895" i="50"/>
  <c r="FG894" i="50"/>
  <c r="FG893" i="50"/>
  <c r="FG892" i="50"/>
  <c r="FG891" i="50"/>
  <c r="FG890" i="50"/>
  <c r="FG889" i="50"/>
  <c r="FG888" i="50"/>
  <c r="FG887" i="50"/>
  <c r="FG886" i="50"/>
  <c r="FG885" i="50"/>
  <c r="FG884" i="50"/>
  <c r="FG883" i="50"/>
  <c r="FG882" i="50"/>
  <c r="FG881" i="50"/>
  <c r="FG880" i="50"/>
  <c r="FG879" i="50"/>
  <c r="FG878" i="50"/>
  <c r="FG877" i="50"/>
  <c r="FG876" i="50"/>
  <c r="FG875" i="50"/>
  <c r="FG874" i="50"/>
  <c r="FG873" i="50"/>
  <c r="FG872" i="50"/>
  <c r="FG871" i="50"/>
  <c r="FG870" i="50"/>
  <c r="FG869" i="50"/>
  <c r="FG868" i="50"/>
  <c r="FG867" i="50"/>
  <c r="FG866" i="50"/>
  <c r="FG865" i="50"/>
  <c r="FG864" i="50"/>
  <c r="FG863" i="50"/>
  <c r="FG862" i="50"/>
  <c r="FG861" i="50"/>
  <c r="FG860" i="50"/>
  <c r="FG859" i="50"/>
  <c r="FG858" i="50"/>
  <c r="FG832" i="50"/>
  <c r="FG827" i="50"/>
  <c r="FG822" i="50"/>
  <c r="FG776" i="50"/>
  <c r="FG775" i="50"/>
  <c r="FG774" i="50"/>
  <c r="FG773" i="50"/>
  <c r="FG772" i="50"/>
  <c r="FG771" i="50"/>
  <c r="FG770" i="50"/>
  <c r="FG769" i="50"/>
  <c r="FG768" i="50"/>
  <c r="FG767" i="50"/>
  <c r="FG766" i="50"/>
  <c r="FG765" i="50"/>
  <c r="FG764" i="50"/>
  <c r="FG763" i="50"/>
  <c r="FG762" i="50"/>
  <c r="FG761" i="50"/>
  <c r="FG760" i="50"/>
  <c r="FG759" i="50"/>
  <c r="FG758" i="50"/>
  <c r="FG757" i="50"/>
  <c r="FG756" i="50"/>
  <c r="FG755" i="50"/>
  <c r="FG754" i="50"/>
  <c r="FG753" i="50"/>
  <c r="FG751" i="50"/>
  <c r="FG750" i="50"/>
  <c r="FG749" i="50"/>
  <c r="FG748" i="50"/>
  <c r="FG746" i="50"/>
  <c r="FG745" i="50"/>
  <c r="FG744" i="50"/>
  <c r="FG743" i="50"/>
  <c r="FG742" i="50"/>
  <c r="FG741" i="50"/>
  <c r="FG740" i="50"/>
  <c r="FG739" i="50"/>
  <c r="FG738" i="50"/>
  <c r="FG737" i="50"/>
  <c r="FG736" i="50"/>
  <c r="FG735" i="50"/>
  <c r="FG734" i="50"/>
  <c r="FG733" i="50"/>
  <c r="FG731" i="50"/>
  <c r="FG730" i="50"/>
  <c r="FG728" i="50"/>
  <c r="FG727" i="50"/>
  <c r="FG726" i="50"/>
  <c r="FG725" i="50"/>
  <c r="FG724" i="50"/>
  <c r="FG723" i="50"/>
  <c r="FG722" i="50"/>
  <c r="FG721" i="50"/>
  <c r="FG714" i="50"/>
  <c r="FG709" i="50"/>
  <c r="FG678" i="50"/>
  <c r="FG677" i="50"/>
  <c r="FG676" i="50"/>
  <c r="FG675" i="50"/>
  <c r="FG674" i="50"/>
  <c r="FG673" i="50"/>
  <c r="FG672" i="50"/>
  <c r="FG671" i="50"/>
  <c r="FG670" i="50"/>
  <c r="FG669" i="50"/>
  <c r="FG668" i="50"/>
  <c r="FG667" i="50"/>
  <c r="FG666" i="50"/>
  <c r="FG665" i="50"/>
  <c r="FG664" i="50"/>
  <c r="FG663" i="50"/>
  <c r="FG662" i="50"/>
  <c r="FG661" i="50"/>
  <c r="FG660" i="50"/>
  <c r="FG659" i="50"/>
  <c r="FG658" i="50"/>
  <c r="FG657" i="50"/>
  <c r="FG656" i="50"/>
  <c r="FG655" i="50"/>
  <c r="FG654" i="50"/>
  <c r="FG653" i="50"/>
  <c r="FG652" i="50"/>
  <c r="FG651" i="50"/>
  <c r="FG650" i="50"/>
  <c r="FG649" i="50"/>
  <c r="FG648" i="50"/>
  <c r="FG647" i="50"/>
  <c r="FG646" i="50"/>
  <c r="FG645" i="50"/>
  <c r="FG644" i="50"/>
  <c r="FG643" i="50"/>
  <c r="FG642" i="50"/>
  <c r="FG641" i="50"/>
  <c r="FG640" i="50"/>
  <c r="FG639" i="50"/>
  <c r="FG638" i="50"/>
  <c r="FG637" i="50"/>
  <c r="FG636" i="50"/>
  <c r="FG635" i="50"/>
  <c r="FG634" i="50"/>
  <c r="FG633" i="50"/>
  <c r="FG632" i="50"/>
  <c r="FG631" i="50"/>
  <c r="FG630" i="50"/>
  <c r="FG629" i="50"/>
  <c r="FG628" i="50"/>
  <c r="FG627" i="50"/>
  <c r="FG626" i="50"/>
  <c r="FG625" i="50"/>
  <c r="FG624" i="50"/>
  <c r="FG623" i="50"/>
  <c r="FG622" i="50"/>
  <c r="FG621" i="50"/>
  <c r="FG620" i="50"/>
  <c r="FG619" i="50"/>
  <c r="FG618" i="50"/>
  <c r="FG617" i="50"/>
  <c r="FG616" i="50"/>
  <c r="FG615" i="50"/>
  <c r="FG614" i="50"/>
  <c r="FG613" i="50"/>
  <c r="FG612" i="50"/>
  <c r="FG611" i="50"/>
  <c r="FG610" i="50"/>
  <c r="FG609" i="50"/>
  <c r="FG608" i="50"/>
  <c r="FG607" i="50"/>
  <c r="FG606" i="50"/>
  <c r="FG605" i="50"/>
  <c r="FG604" i="50"/>
  <c r="FG603" i="50"/>
  <c r="FG602" i="50"/>
  <c r="FG601" i="50"/>
  <c r="FG600" i="50"/>
  <c r="FG599" i="50"/>
  <c r="FG598" i="50"/>
  <c r="FG597" i="50"/>
  <c r="FG596" i="50"/>
  <c r="FG595" i="50"/>
  <c r="FG594" i="50"/>
  <c r="FG593" i="50"/>
  <c r="FG592" i="50"/>
  <c r="FG591" i="50"/>
  <c r="FG590" i="50"/>
  <c r="FG589" i="50"/>
  <c r="FG588" i="50"/>
  <c r="FG587" i="50"/>
  <c r="FG586" i="50"/>
  <c r="FG585" i="50"/>
  <c r="FG584" i="50"/>
  <c r="FG583" i="50"/>
  <c r="FG582" i="50"/>
  <c r="FG581" i="50"/>
  <c r="FG580" i="50"/>
  <c r="FG579" i="50"/>
  <c r="FG578" i="50"/>
  <c r="FG577" i="50"/>
  <c r="FG576" i="50"/>
  <c r="FG575" i="50"/>
  <c r="FG574" i="50"/>
  <c r="FG573" i="50"/>
  <c r="FG572" i="50"/>
  <c r="FG571" i="50"/>
  <c r="FG570" i="50"/>
  <c r="FG569" i="50"/>
  <c r="FG568" i="50"/>
  <c r="FG567" i="50"/>
  <c r="FG566" i="50"/>
  <c r="FG565" i="50"/>
  <c r="FG564" i="50"/>
  <c r="FG563" i="50"/>
  <c r="FG562" i="50"/>
  <c r="FG561" i="50"/>
  <c r="FG560" i="50"/>
  <c r="FG559" i="50"/>
  <c r="FG558" i="50"/>
  <c r="FG557" i="50"/>
  <c r="FG556" i="50"/>
  <c r="FG555" i="50"/>
  <c r="FG554" i="50"/>
  <c r="FG553" i="50"/>
  <c r="FG552" i="50"/>
  <c r="FG551" i="50"/>
  <c r="FG550" i="50"/>
  <c r="FG549" i="50"/>
  <c r="FG548" i="50"/>
  <c r="FG547" i="50"/>
  <c r="FG546" i="50"/>
  <c r="FG545" i="50"/>
  <c r="FG544" i="50"/>
  <c r="FG543" i="50"/>
  <c r="FG542" i="50"/>
  <c r="FG541" i="50"/>
  <c r="FG540" i="50"/>
  <c r="FG539" i="50"/>
  <c r="FG538" i="50"/>
  <c r="FG537" i="50"/>
  <c r="FG536" i="50"/>
  <c r="FG535" i="50"/>
  <c r="FG534" i="50"/>
  <c r="FG533" i="50"/>
  <c r="FG532" i="50"/>
  <c r="FG531" i="50"/>
  <c r="FG530" i="50"/>
  <c r="FG529" i="50"/>
  <c r="FG528" i="50"/>
  <c r="FG527" i="50"/>
  <c r="FG526" i="50"/>
  <c r="FG525" i="50"/>
  <c r="FG524" i="50"/>
  <c r="FG523" i="50"/>
  <c r="FG522" i="50"/>
  <c r="FG521" i="50"/>
  <c r="FG520" i="50"/>
  <c r="FG519" i="50"/>
  <c r="FG518" i="50"/>
  <c r="FG517" i="50"/>
  <c r="FG516" i="50"/>
  <c r="FG515" i="50"/>
  <c r="FG514" i="50"/>
  <c r="FG513" i="50"/>
  <c r="FG512" i="50"/>
  <c r="FG511" i="50"/>
  <c r="FG510" i="50"/>
  <c r="FG429" i="50"/>
  <c r="FG428" i="50"/>
  <c r="FG427" i="50"/>
  <c r="FG426" i="50"/>
  <c r="FG424" i="50"/>
  <c r="FG423" i="50"/>
  <c r="FG422" i="50"/>
  <c r="FG421" i="50"/>
  <c r="FG420" i="50"/>
  <c r="FG419" i="50"/>
  <c r="FG418" i="50"/>
  <c r="FG417" i="50"/>
  <c r="FG416" i="50"/>
  <c r="FG415" i="50"/>
  <c r="FG414" i="50"/>
  <c r="FG413" i="50"/>
  <c r="FG412" i="50"/>
  <c r="FG411" i="50"/>
  <c r="FG410" i="50"/>
  <c r="FG409" i="50"/>
  <c r="FG408" i="50"/>
  <c r="FG407" i="50"/>
  <c r="FG406" i="50"/>
  <c r="FG405" i="50"/>
  <c r="FG404" i="50"/>
  <c r="FG403" i="50"/>
  <c r="FG402" i="50"/>
  <c r="FG401" i="50"/>
  <c r="FG400" i="50"/>
  <c r="FG399" i="50"/>
  <c r="FG398" i="50"/>
  <c r="FG397" i="50"/>
  <c r="FG396" i="50"/>
  <c r="FG395" i="50"/>
  <c r="FG394" i="50"/>
  <c r="FG393" i="50"/>
  <c r="FG392" i="50"/>
  <c r="FG391" i="50"/>
  <c r="FG390" i="50"/>
  <c r="FG389" i="50"/>
  <c r="FG388" i="50"/>
  <c r="FG387" i="50"/>
  <c r="FG386" i="50"/>
  <c r="FG385" i="50"/>
  <c r="FG384" i="50"/>
  <c r="FG383" i="50"/>
  <c r="FG382" i="50"/>
  <c r="FG381" i="50"/>
  <c r="FG380" i="50"/>
  <c r="FG379" i="50"/>
  <c r="FG378" i="50"/>
  <c r="FG377" i="50"/>
  <c r="FG376" i="50"/>
  <c r="FG375" i="50"/>
  <c r="FG374" i="50"/>
  <c r="FG373" i="50"/>
  <c r="FG372" i="50"/>
  <c r="FG371" i="50"/>
  <c r="FG370" i="50"/>
  <c r="FG369" i="50"/>
  <c r="FG368" i="50"/>
  <c r="FG367" i="50"/>
  <c r="FG366" i="50"/>
  <c r="FG365" i="50"/>
  <c r="FG364" i="50"/>
  <c r="FG363" i="50"/>
  <c r="FG362" i="50"/>
  <c r="FG356" i="50"/>
  <c r="FG355" i="50"/>
  <c r="FG317" i="50"/>
  <c r="FG316" i="50"/>
  <c r="FG315" i="50"/>
  <c r="FG314" i="50"/>
  <c r="FG313" i="50"/>
  <c r="FG312" i="50"/>
  <c r="FG311" i="50"/>
  <c r="FG310" i="50"/>
  <c r="FG309" i="50"/>
  <c r="FG308" i="50"/>
  <c r="FG307" i="50"/>
  <c r="FG306" i="50"/>
  <c r="FG305" i="50"/>
  <c r="FG304" i="50"/>
  <c r="FG303" i="50"/>
  <c r="FG302" i="50"/>
  <c r="FG301" i="50"/>
  <c r="FG300" i="50"/>
  <c r="FG299" i="50"/>
  <c r="FG298" i="50"/>
  <c r="FG289" i="50"/>
  <c r="FG288" i="50"/>
  <c r="FG287" i="50"/>
  <c r="FG286" i="50"/>
  <c r="FG285" i="50"/>
  <c r="FG284" i="50"/>
  <c r="FG283" i="50"/>
  <c r="FG282" i="50"/>
  <c r="FG281" i="50"/>
  <c r="FG280" i="50"/>
  <c r="FG279" i="50"/>
  <c r="FG278" i="50"/>
  <c r="FG277" i="50"/>
  <c r="FG276" i="50"/>
  <c r="FG275" i="50"/>
  <c r="FG274" i="50"/>
  <c r="FG273" i="50"/>
  <c r="FG272" i="50"/>
  <c r="FG271" i="50"/>
  <c r="FG270" i="50"/>
  <c r="FG269" i="50"/>
  <c r="FG268" i="50"/>
  <c r="FG267" i="50"/>
  <c r="FG266" i="50"/>
  <c r="FG265" i="50"/>
  <c r="FG264" i="50"/>
  <c r="FG263" i="50"/>
  <c r="FG262" i="50"/>
  <c r="FG261" i="50"/>
  <c r="FG260" i="50"/>
  <c r="FG259" i="50"/>
  <c r="FG258" i="50"/>
  <c r="FG257" i="50"/>
  <c r="FG256" i="50"/>
  <c r="FG255" i="50"/>
  <c r="FG254" i="50"/>
  <c r="FG253" i="50"/>
  <c r="FG252" i="50"/>
  <c r="FG251" i="50"/>
  <c r="FG250" i="50"/>
  <c r="FG249" i="50"/>
  <c r="FG248" i="50"/>
  <c r="FG247" i="50"/>
  <c r="FG246" i="50"/>
  <c r="FG245" i="50"/>
  <c r="FG244" i="50"/>
  <c r="FG243" i="50"/>
  <c r="FG242" i="50"/>
  <c r="FG241" i="50"/>
  <c r="FG240" i="50"/>
  <c r="FG239" i="50"/>
  <c r="FG238" i="50"/>
  <c r="FG237" i="50"/>
  <c r="FG236" i="50"/>
  <c r="FG235" i="50"/>
  <c r="FG234" i="50"/>
  <c r="FG232" i="50"/>
  <c r="FG231" i="50"/>
  <c r="FG230" i="50"/>
  <c r="FG229" i="50"/>
  <c r="FG228" i="50"/>
  <c r="FG227" i="50"/>
  <c r="FG225" i="50"/>
  <c r="FG224" i="50"/>
  <c r="FG223" i="50"/>
  <c r="FG222" i="50"/>
  <c r="FG221" i="50"/>
  <c r="FG220" i="50"/>
  <c r="FG219" i="50"/>
  <c r="FG218" i="50"/>
  <c r="FG217" i="50"/>
  <c r="FG216" i="50"/>
  <c r="FG215" i="50"/>
  <c r="FG214" i="50"/>
  <c r="FG213" i="50"/>
  <c r="FG212" i="50"/>
  <c r="FG211" i="50"/>
  <c r="FG210" i="50"/>
  <c r="FG209" i="50"/>
  <c r="FG208" i="50"/>
  <c r="FG207" i="50"/>
  <c r="FG206" i="50"/>
  <c r="FG205" i="50"/>
  <c r="FG204" i="50"/>
  <c r="FG203" i="50"/>
  <c r="FG202" i="50"/>
  <c r="FG201" i="50"/>
  <c r="FG200" i="50"/>
  <c r="FG199" i="50"/>
  <c r="FG198" i="50"/>
  <c r="FG197" i="50"/>
  <c r="FG196" i="50"/>
  <c r="FG195" i="50"/>
  <c r="FG194" i="50"/>
  <c r="FG193" i="50"/>
  <c r="FG192" i="50"/>
  <c r="FG191" i="50"/>
  <c r="FG190" i="50"/>
  <c r="FG189" i="50"/>
  <c r="FG181" i="50"/>
  <c r="FG180" i="50"/>
  <c r="FG179" i="50"/>
  <c r="FG178" i="50"/>
  <c r="FG177" i="50"/>
  <c r="FG176" i="50"/>
  <c r="FG175" i="50"/>
  <c r="FG174" i="50"/>
  <c r="FG173" i="50"/>
  <c r="FG172" i="50"/>
  <c r="FG171" i="50"/>
  <c r="FG170" i="50"/>
  <c r="FG169" i="50"/>
  <c r="FG168" i="50"/>
  <c r="FG167" i="50"/>
  <c r="FG166" i="50"/>
  <c r="FG165" i="50"/>
  <c r="FG164" i="50"/>
  <c r="FG163" i="50"/>
  <c r="FG162" i="50"/>
  <c r="FG161" i="50"/>
  <c r="FG160" i="50"/>
  <c r="FG159" i="50"/>
  <c r="FG158" i="50"/>
  <c r="FG157" i="50"/>
  <c r="FG156" i="50"/>
  <c r="FG155" i="50"/>
  <c r="FG154" i="50"/>
  <c r="FG153" i="50"/>
  <c r="FG152" i="50"/>
  <c r="FG151" i="50"/>
  <c r="FG150" i="50"/>
  <c r="FG148" i="50"/>
  <c r="FG147" i="50"/>
  <c r="FG146" i="50"/>
  <c r="FG145" i="50"/>
  <c r="FG143" i="50"/>
  <c r="FG142" i="50"/>
  <c r="FG141" i="50"/>
  <c r="FG140" i="50"/>
  <c r="FG139" i="50"/>
  <c r="FG137" i="50"/>
  <c r="FG136" i="50"/>
  <c r="FG134" i="50"/>
  <c r="FG133" i="50"/>
  <c r="FG132" i="50"/>
  <c r="FG131" i="50"/>
  <c r="FG130" i="50"/>
  <c r="FG129" i="50"/>
  <c r="FG128" i="50"/>
  <c r="FG127" i="50"/>
  <c r="FG126" i="50"/>
  <c r="FG125" i="50"/>
  <c r="FG124" i="50"/>
  <c r="FG123" i="50"/>
  <c r="FG122" i="50"/>
  <c r="FG121" i="50"/>
  <c r="FG120" i="50"/>
  <c r="FG119" i="50"/>
  <c r="FG118" i="50"/>
  <c r="FG117" i="50"/>
  <c r="FG116" i="50"/>
  <c r="FG115" i="50"/>
  <c r="FG114" i="50"/>
  <c r="FG113" i="50"/>
  <c r="FG112" i="50"/>
  <c r="FG111" i="50"/>
  <c r="FG110" i="50"/>
  <c r="FG109" i="50"/>
  <c r="FG108" i="50"/>
  <c r="FG107" i="50"/>
  <c r="FG106" i="50"/>
  <c r="FG105" i="50"/>
  <c r="FG104" i="50"/>
  <c r="FG103" i="50"/>
  <c r="FG102" i="50"/>
  <c r="FG101" i="50"/>
  <c r="FG100" i="50"/>
  <c r="FG99" i="50"/>
  <c r="FG98" i="50"/>
  <c r="FG97" i="50"/>
  <c r="FG96" i="50"/>
  <c r="FG95" i="50"/>
  <c r="FG94" i="50"/>
  <c r="FG93" i="50"/>
  <c r="FG92" i="50"/>
  <c r="FG91" i="50"/>
  <c r="FG90" i="50"/>
  <c r="FG89" i="50"/>
  <c r="FG88" i="50"/>
  <c r="FG87" i="50"/>
  <c r="FG86" i="50"/>
  <c r="FG85" i="50"/>
  <c r="FG84" i="50"/>
  <c r="FG83" i="50"/>
  <c r="FG82" i="50"/>
  <c r="FG81" i="50"/>
  <c r="FG80" i="50"/>
  <c r="FG79" i="50"/>
  <c r="FG78" i="50"/>
  <c r="FG77" i="50"/>
  <c r="FG76" i="50"/>
  <c r="FG75" i="50"/>
  <c r="FG74" i="50"/>
  <c r="FG73" i="50"/>
  <c r="FG72" i="50"/>
  <c r="FG71" i="50"/>
  <c r="FG70" i="50"/>
  <c r="FG69" i="50"/>
  <c r="FG68" i="50"/>
  <c r="FG67" i="50"/>
  <c r="FG66" i="50"/>
  <c r="FG65" i="50"/>
  <c r="FG64" i="50"/>
  <c r="FG63" i="50"/>
  <c r="FG62" i="50"/>
  <c r="FG61" i="50"/>
  <c r="FG60" i="50"/>
  <c r="FG59" i="50"/>
  <c r="FG58" i="50"/>
  <c r="FG57" i="50"/>
  <c r="FG56" i="50"/>
  <c r="FG55" i="50"/>
  <c r="FG54" i="50"/>
  <c r="FG53" i="50"/>
  <c r="FG52" i="50"/>
  <c r="FG51" i="50"/>
  <c r="FG50" i="50"/>
  <c r="FG49" i="50"/>
  <c r="FG48" i="50"/>
  <c r="FG47" i="50"/>
  <c r="FG430" i="50"/>
  <c r="J356" i="32"/>
  <c r="J341" i="32"/>
  <c r="J337" i="32"/>
  <c r="J335" i="32"/>
  <c r="J333" i="32"/>
  <c r="J332" i="32"/>
  <c r="J330" i="32"/>
  <c r="J329" i="32"/>
  <c r="J327" i="32"/>
  <c r="J323" i="32"/>
  <c r="J322" i="32"/>
  <c r="J321" i="32"/>
  <c r="J320" i="32"/>
  <c r="J319" i="32"/>
  <c r="J318" i="32"/>
  <c r="J317" i="32"/>
  <c r="J312" i="32"/>
  <c r="J309" i="32"/>
  <c r="J304" i="32"/>
  <c r="J302" i="32"/>
  <c r="J301" i="32"/>
  <c r="J300" i="32"/>
  <c r="J299" i="32"/>
  <c r="J297" i="32"/>
  <c r="J296" i="32"/>
  <c r="J295" i="32"/>
  <c r="J292" i="32"/>
  <c r="J291" i="32"/>
  <c r="J290" i="32"/>
  <c r="J289" i="32"/>
  <c r="J285" i="32"/>
  <c r="J279" i="32"/>
  <c r="J274" i="32"/>
  <c r="J271" i="32"/>
  <c r="J269" i="32"/>
  <c r="J266" i="32"/>
  <c r="J219" i="32"/>
  <c r="J213" i="32"/>
  <c r="CV213" i="32" s="1"/>
  <c r="J209" i="32"/>
  <c r="CV209" i="32" s="1"/>
  <c r="J207" i="32"/>
  <c r="CV207" i="32" s="1"/>
  <c r="J164" i="32"/>
  <c r="J160" i="32"/>
  <c r="FI927" i="50"/>
  <c r="FI926" i="50"/>
  <c r="FI925" i="50"/>
  <c r="FI924" i="50"/>
  <c r="FI923" i="50"/>
  <c r="FI922" i="50"/>
  <c r="FI921" i="50"/>
  <c r="FI920" i="50"/>
  <c r="FI919" i="50"/>
  <c r="FI918" i="50"/>
  <c r="FI917" i="50"/>
  <c r="FI916" i="50"/>
  <c r="FI915" i="50"/>
  <c r="FI909" i="50"/>
  <c r="FI908" i="50"/>
  <c r="FI907" i="50"/>
  <c r="FI906" i="50"/>
  <c r="FI905" i="50"/>
  <c r="FI904" i="50"/>
  <c r="FI894" i="50"/>
  <c r="FI893" i="50"/>
  <c r="FI892" i="50"/>
  <c r="FI891" i="50"/>
  <c r="FI890" i="50"/>
  <c r="FI889" i="50"/>
  <c r="FI888" i="50"/>
  <c r="FI887" i="50"/>
  <c r="FI886" i="50"/>
  <c r="FI885" i="50"/>
  <c r="FI884" i="50"/>
  <c r="FI882" i="50"/>
  <c r="FI880" i="50"/>
  <c r="FI878" i="50"/>
  <c r="FI876" i="50"/>
  <c r="FI874" i="50"/>
  <c r="FI870" i="50"/>
  <c r="FI869" i="50"/>
  <c r="FI868" i="50"/>
  <c r="FI857" i="50"/>
  <c r="FI855" i="50"/>
  <c r="FI853" i="50"/>
  <c r="FI851" i="50"/>
  <c r="FI849" i="50"/>
  <c r="FI847" i="50"/>
  <c r="FI845" i="50"/>
  <c r="FI844" i="50"/>
  <c r="FI842" i="50"/>
  <c r="FI841" i="50"/>
  <c r="FI839" i="50"/>
  <c r="FI838" i="50"/>
  <c r="FI836" i="50"/>
  <c r="FI835" i="50"/>
  <c r="FI833" i="50"/>
  <c r="FI831" i="50"/>
  <c r="FI830" i="50"/>
  <c r="FI829" i="50"/>
  <c r="FI828" i="50"/>
  <c r="FI826" i="50"/>
  <c r="FI825" i="50"/>
  <c r="FI824" i="50"/>
  <c r="FI823" i="50"/>
  <c r="FI821" i="50"/>
  <c r="FI820" i="50"/>
  <c r="FI819" i="50"/>
  <c r="FI818" i="50"/>
  <c r="FI817" i="50"/>
  <c r="FI816" i="50"/>
  <c r="FI815" i="50"/>
  <c r="FI814" i="50"/>
  <c r="FI813" i="50"/>
  <c r="FI812" i="50"/>
  <c r="FI811" i="50"/>
  <c r="FI810" i="50"/>
  <c r="FI809" i="50"/>
  <c r="FI808" i="50"/>
  <c r="FI807" i="50"/>
  <c r="FI806" i="50"/>
  <c r="FI804" i="50"/>
  <c r="FI803" i="50"/>
  <c r="FI801" i="50"/>
  <c r="FI800" i="50"/>
  <c r="FI798" i="50"/>
  <c r="FI797" i="50"/>
  <c r="FI795" i="50"/>
  <c r="FI794" i="50"/>
  <c r="FI792" i="50"/>
  <c r="FI791" i="50"/>
  <c r="FI788" i="50"/>
  <c r="FI787" i="50"/>
  <c r="FI784" i="50"/>
  <c r="FI783" i="50"/>
  <c r="FI780" i="50"/>
  <c r="FI779" i="50"/>
  <c r="FI776" i="50"/>
  <c r="FI775" i="50"/>
  <c r="FI774" i="50"/>
  <c r="FI773" i="50"/>
  <c r="FI771" i="50"/>
  <c r="FI769" i="50"/>
  <c r="FI767" i="50"/>
  <c r="FI764" i="50"/>
  <c r="FI762" i="50"/>
  <c r="FI760" i="50"/>
  <c r="FI758" i="50"/>
  <c r="FI752" i="50"/>
  <c r="FI747" i="50"/>
  <c r="FI739" i="50"/>
  <c r="FI738" i="50"/>
  <c r="FI734" i="50"/>
  <c r="FI733" i="50"/>
  <c r="FI732" i="50"/>
  <c r="FI729" i="50"/>
  <c r="FI720" i="50"/>
  <c r="FI718" i="50"/>
  <c r="FI716" i="50"/>
  <c r="FI713" i="50"/>
  <c r="FI712" i="50"/>
  <c r="FI711" i="50"/>
  <c r="FI710" i="50"/>
  <c r="FI708" i="50"/>
  <c r="FI707" i="50"/>
  <c r="FI706" i="50"/>
  <c r="FI705" i="50"/>
  <c r="FI704" i="50"/>
  <c r="FI703" i="50"/>
  <c r="FI702" i="50"/>
  <c r="FI701" i="50"/>
  <c r="FI700" i="50"/>
  <c r="FI699" i="50"/>
  <c r="FI698" i="50"/>
  <c r="FI697" i="50"/>
  <c r="FI696" i="50"/>
  <c r="FI694" i="50"/>
  <c r="FI693" i="50"/>
  <c r="FI691" i="50"/>
  <c r="FI690" i="50"/>
  <c r="FI688" i="50"/>
  <c r="FI687" i="50"/>
  <c r="FI685" i="50"/>
  <c r="FI684" i="50"/>
  <c r="FI682" i="50"/>
  <c r="FI681" i="50"/>
  <c r="FI678" i="50"/>
  <c r="FI677" i="50"/>
  <c r="FI676" i="50"/>
  <c r="FI675" i="50"/>
  <c r="FI674" i="50"/>
  <c r="FI673" i="50"/>
  <c r="FI672" i="50"/>
  <c r="FI671" i="50"/>
  <c r="FI670" i="50"/>
  <c r="FI668" i="50"/>
  <c r="FI667" i="50"/>
  <c r="FI666" i="50"/>
  <c r="FI663" i="50"/>
  <c r="FI661" i="50"/>
  <c r="FI653" i="50"/>
  <c r="FI650" i="50"/>
  <c r="FI641" i="50"/>
  <c r="FI640" i="50"/>
  <c r="FI639" i="50"/>
  <c r="FI638" i="50"/>
  <c r="FI637" i="50"/>
  <c r="FI636" i="50"/>
  <c r="FI635" i="50"/>
  <c r="FI634" i="50"/>
  <c r="FI633" i="50"/>
  <c r="FI632" i="50"/>
  <c r="FI631" i="50"/>
  <c r="FI630" i="50"/>
  <c r="FI629" i="50"/>
  <c r="FI628" i="50"/>
  <c r="FI627" i="50"/>
  <c r="FI626" i="50"/>
  <c r="FI625" i="50"/>
  <c r="FI624" i="50"/>
  <c r="FI623" i="50"/>
  <c r="FI622" i="50"/>
  <c r="FI620" i="50"/>
  <c r="EY927" i="50" l="1"/>
  <c r="EY926" i="50"/>
  <c r="EY925" i="50"/>
  <c r="EY924" i="50"/>
  <c r="EY923" i="50"/>
  <c r="EY922" i="50"/>
  <c r="EY921" i="50"/>
  <c r="EY920" i="50"/>
  <c r="EY919" i="50"/>
  <c r="EY918" i="50"/>
  <c r="EY917" i="50"/>
  <c r="EY916" i="50"/>
  <c r="EY915" i="50"/>
  <c r="EY914" i="50"/>
  <c r="EY913" i="50"/>
  <c r="EY912" i="50"/>
  <c r="EY911" i="50"/>
  <c r="EY910" i="50"/>
  <c r="EY909" i="50"/>
  <c r="EY908" i="50"/>
  <c r="EY907" i="50"/>
  <c r="EY906" i="50"/>
  <c r="EY905" i="50"/>
  <c r="EY904" i="50"/>
  <c r="EY903" i="50"/>
  <c r="EY902" i="50"/>
  <c r="EY901" i="50"/>
  <c r="EY900" i="50"/>
  <c r="EY899" i="50"/>
  <c r="EY898" i="50"/>
  <c r="EY897" i="50"/>
  <c r="EY896" i="50"/>
  <c r="EY895" i="50"/>
  <c r="EY894" i="50"/>
  <c r="EY893" i="50"/>
  <c r="EY892" i="50"/>
  <c r="EY891" i="50"/>
  <c r="EY890" i="50"/>
  <c r="EY889" i="50"/>
  <c r="EY888" i="50"/>
  <c r="EY887" i="50"/>
  <c r="EY886" i="50"/>
  <c r="EY885" i="50"/>
  <c r="EY884" i="50"/>
  <c r="EY883" i="50"/>
  <c r="EY882" i="50"/>
  <c r="EY881" i="50"/>
  <c r="EY880" i="50"/>
  <c r="EY879" i="50"/>
  <c r="EY878" i="50"/>
  <c r="EY877" i="50"/>
  <c r="EY876" i="50"/>
  <c r="EY875" i="50"/>
  <c r="EY874" i="50"/>
  <c r="EY873" i="50"/>
  <c r="EY872" i="50"/>
  <c r="EY871" i="50"/>
  <c r="EY870" i="50"/>
  <c r="EY869" i="50"/>
  <c r="EY868" i="50"/>
  <c r="EY867" i="50"/>
  <c r="EY866" i="50"/>
  <c r="EY865" i="50"/>
  <c r="EY864" i="50"/>
  <c r="EY863" i="50"/>
  <c r="EY862" i="50"/>
  <c r="EY861" i="50"/>
  <c r="EY860" i="50"/>
  <c r="EY859" i="50"/>
  <c r="EY858" i="50"/>
  <c r="EY857" i="50"/>
  <c r="EY856" i="50"/>
  <c r="EY855" i="50"/>
  <c r="EY854" i="50"/>
  <c r="EY853" i="50"/>
  <c r="EY852" i="50"/>
  <c r="EY851" i="50"/>
  <c r="EY850" i="50"/>
  <c r="EY849" i="50"/>
  <c r="EY848" i="50"/>
  <c r="EY847" i="50"/>
  <c r="EY846" i="50"/>
  <c r="EY845" i="50"/>
  <c r="EY844" i="50"/>
  <c r="EY843" i="50"/>
  <c r="EY842" i="50"/>
  <c r="EY841" i="50"/>
  <c r="EY840" i="50"/>
  <c r="EY839" i="50"/>
  <c r="EY838" i="50"/>
  <c r="EY837" i="50"/>
  <c r="EY836" i="50"/>
  <c r="EY835" i="50"/>
  <c r="EY834" i="50"/>
  <c r="EY833" i="50"/>
  <c r="EY832" i="50"/>
  <c r="EY831" i="50"/>
  <c r="EY830" i="50"/>
  <c r="EY829" i="50"/>
  <c r="EY828" i="50"/>
  <c r="EY827" i="50"/>
  <c r="EY826" i="50"/>
  <c r="EY825" i="50"/>
  <c r="EY824" i="50"/>
  <c r="EY823" i="50"/>
  <c r="EY822" i="50"/>
  <c r="EY821" i="50"/>
  <c r="EY820" i="50"/>
  <c r="EY819" i="50"/>
  <c r="EY818" i="50"/>
  <c r="EY817" i="50"/>
  <c r="EY816" i="50"/>
  <c r="EY815" i="50"/>
  <c r="EY814" i="50"/>
  <c r="EY813" i="50"/>
  <c r="EY812" i="50"/>
  <c r="EY811" i="50"/>
  <c r="EY810" i="50"/>
  <c r="EY809" i="50"/>
  <c r="EY808" i="50"/>
  <c r="EY807" i="50"/>
  <c r="EY806" i="50"/>
  <c r="EY805" i="50"/>
  <c r="EY804" i="50"/>
  <c r="EY803" i="50"/>
  <c r="EY802" i="50"/>
  <c r="EY801" i="50"/>
  <c r="EY800" i="50"/>
  <c r="EY799" i="50"/>
  <c r="EY798" i="50"/>
  <c r="EY797" i="50"/>
  <c r="EY796" i="50"/>
  <c r="EY795" i="50"/>
  <c r="EY794" i="50"/>
  <c r="EY793" i="50"/>
  <c r="EY792" i="50"/>
  <c r="EY791" i="50"/>
  <c r="EY790" i="50"/>
  <c r="EY789" i="50"/>
  <c r="EY788" i="50"/>
  <c r="EY787" i="50"/>
  <c r="EY786" i="50"/>
  <c r="EY785" i="50"/>
  <c r="EY784" i="50"/>
  <c r="EY783" i="50"/>
  <c r="EY782" i="50"/>
  <c r="EY781" i="50"/>
  <c r="EY780" i="50"/>
  <c r="EY779" i="50"/>
  <c r="EY778" i="50"/>
  <c r="EY777" i="50"/>
  <c r="EY776" i="50"/>
  <c r="EY775" i="50"/>
  <c r="EY774" i="50"/>
  <c r="EY773" i="50"/>
  <c r="EY772" i="50"/>
  <c r="EY771" i="50"/>
  <c r="EY770" i="50"/>
  <c r="EY769" i="50"/>
  <c r="EY768" i="50"/>
  <c r="EY767" i="50"/>
  <c r="EY766" i="50"/>
  <c r="EY765" i="50"/>
  <c r="EY764" i="50"/>
  <c r="EY763" i="50"/>
  <c r="EY762" i="50"/>
  <c r="EY761" i="50"/>
  <c r="EY760" i="50"/>
  <c r="EY759" i="50"/>
  <c r="EY758" i="50"/>
  <c r="EY757" i="50"/>
  <c r="EY756" i="50"/>
  <c r="EY755" i="50"/>
  <c r="EY754" i="50"/>
  <c r="EY753" i="50"/>
  <c r="EY752" i="50"/>
  <c r="EY751" i="50"/>
  <c r="EY750" i="50"/>
  <c r="EY749" i="50"/>
  <c r="EY748" i="50"/>
  <c r="EY747" i="50"/>
  <c r="EY746" i="50"/>
  <c r="EY745" i="50"/>
  <c r="EY744" i="50"/>
  <c r="EY743" i="50"/>
  <c r="EY742" i="50"/>
  <c r="EY741" i="50"/>
  <c r="EY740" i="50"/>
  <c r="EY739" i="50"/>
  <c r="EY738" i="50"/>
  <c r="EY737" i="50"/>
  <c r="EY736" i="50"/>
  <c r="EY735" i="50"/>
  <c r="EY734" i="50"/>
  <c r="EY733" i="50"/>
  <c r="EY732" i="50"/>
  <c r="EY731" i="50"/>
  <c r="EY730" i="50"/>
  <c r="EY729" i="50"/>
  <c r="EY728" i="50"/>
  <c r="EY727" i="50"/>
  <c r="EY726" i="50"/>
  <c r="EY725" i="50"/>
  <c r="EY724" i="50"/>
  <c r="EY723" i="50"/>
  <c r="EY722" i="50"/>
  <c r="EY721" i="50"/>
  <c r="EY720" i="50"/>
  <c r="EY719" i="50"/>
  <c r="EY718" i="50"/>
  <c r="EY717" i="50"/>
  <c r="EY716" i="50"/>
  <c r="EY715" i="50"/>
  <c r="EY714" i="50"/>
  <c r="EY713" i="50"/>
  <c r="EY712" i="50"/>
  <c r="EY711" i="50"/>
  <c r="EY710" i="50"/>
  <c r="EY709" i="50"/>
  <c r="EY708" i="50"/>
  <c r="EY707" i="50"/>
  <c r="EY706" i="50"/>
  <c r="EY705" i="50"/>
  <c r="EY704" i="50"/>
  <c r="EY703" i="50"/>
  <c r="EY702" i="50"/>
  <c r="EY701" i="50"/>
  <c r="EY700" i="50"/>
  <c r="EY699" i="50"/>
  <c r="EY698" i="50"/>
  <c r="EY697" i="50"/>
  <c r="EY696" i="50"/>
  <c r="EY695" i="50"/>
  <c r="EY694" i="50"/>
  <c r="EY693" i="50"/>
  <c r="EY692" i="50"/>
  <c r="EY691" i="50"/>
  <c r="EY690" i="50"/>
  <c r="EY689" i="50"/>
  <c r="EY688" i="50"/>
  <c r="EY687" i="50"/>
  <c r="EY686" i="50"/>
  <c r="EY685" i="50"/>
  <c r="EY684" i="50"/>
  <c r="EY683" i="50"/>
  <c r="EY682" i="50"/>
  <c r="EY681" i="50"/>
  <c r="EY680" i="50"/>
  <c r="EY679" i="50"/>
  <c r="EY678" i="50"/>
  <c r="EY677" i="50"/>
  <c r="EY676" i="50"/>
  <c r="EY675" i="50"/>
  <c r="EY674" i="50"/>
  <c r="EY673" i="50"/>
  <c r="EY672" i="50"/>
  <c r="EY671" i="50"/>
  <c r="EY670" i="50"/>
  <c r="EY669" i="50"/>
  <c r="EY668" i="50"/>
  <c r="EY667" i="50"/>
  <c r="EY666" i="50"/>
  <c r="EY665" i="50"/>
  <c r="EY664" i="50"/>
  <c r="EY663" i="50"/>
  <c r="EY662" i="50"/>
  <c r="EY661" i="50"/>
  <c r="EY660" i="50"/>
  <c r="EY659" i="50"/>
  <c r="EY658" i="50"/>
  <c r="EY657" i="50"/>
  <c r="EY656" i="50"/>
  <c r="EY655" i="50"/>
  <c r="EY654" i="50"/>
  <c r="EY653" i="50"/>
  <c r="EY652" i="50"/>
  <c r="EY651" i="50"/>
  <c r="EY650" i="50"/>
  <c r="EY649" i="50"/>
  <c r="EY648" i="50"/>
  <c r="EY647" i="50"/>
  <c r="EY646" i="50"/>
  <c r="EY645" i="50"/>
  <c r="EY644" i="50"/>
  <c r="EY643" i="50"/>
  <c r="EY642" i="50"/>
  <c r="EY641" i="50"/>
  <c r="EY640" i="50"/>
  <c r="EY639" i="50"/>
  <c r="EY638" i="50"/>
  <c r="EY637" i="50"/>
  <c r="EY636" i="50"/>
  <c r="EY635" i="50"/>
  <c r="EY634" i="50"/>
  <c r="EY633" i="50"/>
  <c r="EY632" i="50"/>
  <c r="EY631" i="50"/>
  <c r="EY630" i="50"/>
  <c r="EY629" i="50"/>
  <c r="EY628" i="50"/>
  <c r="EY627" i="50"/>
  <c r="EY626" i="50"/>
  <c r="EY625" i="50"/>
  <c r="EY624" i="50"/>
  <c r="EY623" i="50"/>
  <c r="EY622" i="50"/>
  <c r="EY621" i="50"/>
  <c r="EY620" i="50"/>
  <c r="EY619" i="50"/>
  <c r="EY618" i="50"/>
  <c r="EY617" i="50"/>
  <c r="EY616" i="50"/>
  <c r="EY615" i="50"/>
  <c r="EY614" i="50"/>
  <c r="EY613" i="50"/>
  <c r="EY612" i="50"/>
  <c r="EY611" i="50"/>
  <c r="EY610" i="50"/>
  <c r="EY609" i="50"/>
  <c r="EY608" i="50"/>
  <c r="EY607" i="50"/>
  <c r="EY606" i="50"/>
  <c r="EY605" i="50"/>
  <c r="EY604" i="50"/>
  <c r="EY603" i="50"/>
  <c r="EY602" i="50"/>
  <c r="EY601" i="50"/>
  <c r="EY600" i="50"/>
  <c r="EY599" i="50"/>
  <c r="EY598" i="50"/>
  <c r="EY597" i="50"/>
  <c r="EY596" i="50"/>
  <c r="EY595" i="50"/>
  <c r="EY594" i="50"/>
  <c r="EY593" i="50"/>
  <c r="EY592" i="50"/>
  <c r="EY591" i="50"/>
  <c r="EY590" i="50"/>
  <c r="EY589" i="50"/>
  <c r="EY588" i="50"/>
  <c r="EY587" i="50"/>
  <c r="EY586" i="50"/>
  <c r="EY585" i="50"/>
  <c r="EY584" i="50"/>
  <c r="EY583" i="50"/>
  <c r="EY582" i="50"/>
  <c r="EY581" i="50"/>
  <c r="EY580" i="50"/>
  <c r="EY579" i="50"/>
  <c r="EY578" i="50"/>
  <c r="EY577" i="50"/>
  <c r="EY576" i="50"/>
  <c r="EY575" i="50"/>
  <c r="EY574" i="50"/>
  <c r="EY573" i="50"/>
  <c r="EY572" i="50"/>
  <c r="EY571" i="50"/>
  <c r="EY570" i="50"/>
  <c r="EY569" i="50"/>
  <c r="EY568" i="50"/>
  <c r="EY567" i="50"/>
  <c r="EY566" i="50"/>
  <c r="EY565" i="50"/>
  <c r="EY564" i="50"/>
  <c r="EY563" i="50"/>
  <c r="EY562" i="50"/>
  <c r="EY561" i="50"/>
  <c r="EY560" i="50"/>
  <c r="EY559" i="50"/>
  <c r="EY558" i="50"/>
  <c r="EY557" i="50"/>
  <c r="EY556" i="50"/>
  <c r="EY555" i="50"/>
  <c r="EY554" i="50"/>
  <c r="EY553" i="50"/>
  <c r="EY552" i="50"/>
  <c r="EY551" i="50"/>
  <c r="EY550" i="50"/>
  <c r="EY549" i="50"/>
  <c r="EY548" i="50"/>
  <c r="EY547" i="50"/>
  <c r="EY546" i="50"/>
  <c r="EY545" i="50"/>
  <c r="EY544" i="50"/>
  <c r="EY543" i="50"/>
  <c r="EY542" i="50"/>
  <c r="EY541" i="50"/>
  <c r="EY540" i="50"/>
  <c r="EY539" i="50"/>
  <c r="EY538" i="50"/>
  <c r="EY537" i="50"/>
  <c r="EY536" i="50"/>
  <c r="EY535" i="50"/>
  <c r="EY534" i="50"/>
  <c r="EY533" i="50"/>
  <c r="EY532" i="50"/>
  <c r="EY531" i="50"/>
  <c r="EY530" i="50"/>
  <c r="EY529" i="50"/>
  <c r="EY528" i="50"/>
  <c r="EY527" i="50"/>
  <c r="EY526" i="50"/>
  <c r="EY525" i="50"/>
  <c r="EY524" i="50"/>
  <c r="EY523" i="50"/>
  <c r="EY522" i="50"/>
  <c r="EY521" i="50"/>
  <c r="EY520" i="50"/>
  <c r="EY519" i="50"/>
  <c r="EY518" i="50"/>
  <c r="EY517" i="50"/>
  <c r="EY516" i="50"/>
  <c r="EY515" i="50"/>
  <c r="EY514" i="50"/>
  <c r="EY513" i="50"/>
  <c r="EY512" i="50"/>
  <c r="EY511" i="50"/>
  <c r="EY510" i="50"/>
  <c r="EY509" i="50"/>
  <c r="EY508" i="50"/>
  <c r="EY507" i="50"/>
  <c r="EY506" i="50"/>
  <c r="EY505" i="50"/>
  <c r="EY504" i="50"/>
  <c r="EY503" i="50"/>
  <c r="EY502" i="50"/>
  <c r="EY501" i="50"/>
  <c r="EY500" i="50"/>
  <c r="EY499" i="50"/>
  <c r="EY498" i="50"/>
  <c r="EY497" i="50"/>
  <c r="EY496" i="50"/>
  <c r="EY495" i="50"/>
  <c r="EY494" i="50"/>
  <c r="EY493" i="50"/>
  <c r="EY492" i="50"/>
  <c r="EY491" i="50"/>
  <c r="EY490" i="50"/>
  <c r="EY489" i="50"/>
  <c r="EY488" i="50"/>
  <c r="EY487" i="50"/>
  <c r="EY486" i="50"/>
  <c r="EY485" i="50"/>
  <c r="EY484" i="50"/>
  <c r="EY483" i="50"/>
  <c r="EY482" i="50"/>
  <c r="EY481" i="50"/>
  <c r="EY480" i="50"/>
  <c r="EY479" i="50"/>
  <c r="EY478" i="50"/>
  <c r="EY477" i="50"/>
  <c r="EY476" i="50"/>
  <c r="EY475" i="50"/>
  <c r="EY474" i="50"/>
  <c r="EY473" i="50"/>
  <c r="EY472" i="50"/>
  <c r="EY471" i="50"/>
  <c r="EY470" i="50"/>
  <c r="EY469" i="50"/>
  <c r="EY468" i="50"/>
  <c r="EY467" i="50"/>
  <c r="EY466" i="50"/>
  <c r="EY465" i="50"/>
  <c r="EY464" i="50"/>
  <c r="EY463" i="50"/>
  <c r="EY462" i="50"/>
  <c r="EY461" i="50"/>
  <c r="EY460" i="50"/>
  <c r="EY459" i="50"/>
  <c r="EY458" i="50"/>
  <c r="EY457" i="50"/>
  <c r="EY456" i="50"/>
  <c r="EY455" i="50"/>
  <c r="EY454" i="50"/>
  <c r="EY453" i="50"/>
  <c r="EY452" i="50"/>
  <c r="EY451" i="50"/>
  <c r="EY450" i="50"/>
  <c r="EY449" i="50"/>
  <c r="EY448" i="50"/>
  <c r="EY447" i="50"/>
  <c r="EY446" i="50"/>
  <c r="EY445" i="50"/>
  <c r="EY444" i="50"/>
  <c r="EY443" i="50"/>
  <c r="EY442" i="50"/>
  <c r="EY441" i="50"/>
  <c r="EY440" i="50"/>
  <c r="EY439" i="50"/>
  <c r="EY438" i="50"/>
  <c r="EY437" i="50"/>
  <c r="EY436" i="50"/>
  <c r="EY435" i="50"/>
  <c r="EY434" i="50"/>
  <c r="EY433" i="50"/>
  <c r="EY432" i="50"/>
  <c r="EY431" i="50"/>
  <c r="EY430" i="50"/>
  <c r="EY429" i="50"/>
  <c r="EY428" i="50"/>
  <c r="EY427" i="50"/>
  <c r="EY426" i="50"/>
  <c r="EY425" i="50"/>
  <c r="EY424" i="50"/>
  <c r="EY423" i="50"/>
  <c r="EY422" i="50"/>
  <c r="EY421" i="50"/>
  <c r="EY420" i="50"/>
  <c r="EY419" i="50"/>
  <c r="EY418" i="50"/>
  <c r="EY417" i="50"/>
  <c r="EY416" i="50"/>
  <c r="EY415" i="50"/>
  <c r="EY414" i="50"/>
  <c r="EY413" i="50"/>
  <c r="EY412" i="50"/>
  <c r="EY411" i="50"/>
  <c r="EY410" i="50"/>
  <c r="EY409" i="50"/>
  <c r="EY408" i="50"/>
  <c r="EY407" i="50"/>
  <c r="EY406" i="50"/>
  <c r="EY405" i="50"/>
  <c r="EY404" i="50"/>
  <c r="EY403" i="50"/>
  <c r="EY402" i="50"/>
  <c r="EY401" i="50"/>
  <c r="EY400" i="50"/>
  <c r="EY399" i="50"/>
  <c r="EY398" i="50"/>
  <c r="EY397" i="50"/>
  <c r="EY396" i="50"/>
  <c r="EY395" i="50"/>
  <c r="EY394" i="50"/>
  <c r="EY393" i="50"/>
  <c r="EY392" i="50"/>
  <c r="EY391" i="50"/>
  <c r="EY390" i="50"/>
  <c r="EY389" i="50"/>
  <c r="EY388" i="50"/>
  <c r="EY387" i="50"/>
  <c r="EY386" i="50"/>
  <c r="EY385" i="50"/>
  <c r="EY384" i="50"/>
  <c r="EY383" i="50"/>
  <c r="EY382" i="50"/>
  <c r="EY381" i="50"/>
  <c r="EY380" i="50"/>
  <c r="EY379" i="50"/>
  <c r="EY378" i="50"/>
  <c r="EY377" i="50"/>
  <c r="EY376" i="50"/>
  <c r="EY375" i="50"/>
  <c r="EY374" i="50"/>
  <c r="EY373" i="50"/>
  <c r="EY372" i="50"/>
  <c r="EY371" i="50"/>
  <c r="EY370" i="50"/>
  <c r="EY369" i="50"/>
  <c r="EY368" i="50"/>
  <c r="EY367" i="50"/>
  <c r="EY366" i="50"/>
  <c r="EY365" i="50"/>
  <c r="EY364" i="50"/>
  <c r="EY363" i="50"/>
  <c r="EY362" i="50"/>
  <c r="EY361" i="50"/>
  <c r="EY360" i="50"/>
  <c r="EY359" i="50"/>
  <c r="EY358" i="50"/>
  <c r="EY357" i="50"/>
  <c r="EY356" i="50"/>
  <c r="EY355" i="50"/>
  <c r="EY354" i="50"/>
  <c r="EY353" i="50"/>
  <c r="EY352" i="50"/>
  <c r="EY351" i="50"/>
  <c r="EY350" i="50"/>
  <c r="EY349" i="50"/>
  <c r="EY348" i="50"/>
  <c r="EY347" i="50"/>
  <c r="EY346" i="50"/>
  <c r="EY345" i="50"/>
  <c r="EY344" i="50"/>
  <c r="EY343" i="50"/>
  <c r="EY342" i="50"/>
  <c r="EY341" i="50"/>
  <c r="EY340" i="50"/>
  <c r="EY339" i="50"/>
  <c r="EY338" i="50"/>
  <c r="EY337" i="50"/>
  <c r="EY336" i="50"/>
  <c r="EY335" i="50"/>
  <c r="EY334" i="50"/>
  <c r="EY333" i="50"/>
  <c r="EY332" i="50"/>
  <c r="EY331" i="50"/>
  <c r="EY330" i="50"/>
  <c r="EY329" i="50"/>
  <c r="EY328" i="50"/>
  <c r="EY327" i="50"/>
  <c r="EY326" i="50"/>
  <c r="EY325" i="50"/>
  <c r="EY324" i="50"/>
  <c r="EY323" i="50"/>
  <c r="EY322" i="50"/>
  <c r="EY321" i="50"/>
  <c r="EY320" i="50"/>
  <c r="EY319" i="50"/>
  <c r="EY318" i="50"/>
  <c r="EY317" i="50"/>
  <c r="EY316" i="50"/>
  <c r="EY315" i="50"/>
  <c r="EY314" i="50"/>
  <c r="EY313" i="50"/>
  <c r="EY312" i="50"/>
  <c r="EY311" i="50"/>
  <c r="EY310" i="50"/>
  <c r="EY309" i="50"/>
  <c r="EY308" i="50"/>
  <c r="EY307" i="50"/>
  <c r="EY306" i="50"/>
  <c r="EY305" i="50"/>
  <c r="EY304" i="50"/>
  <c r="EY303" i="50"/>
  <c r="EY302" i="50"/>
  <c r="EY301" i="50"/>
  <c r="EY300" i="50"/>
  <c r="EY299" i="50"/>
  <c r="EY298" i="50"/>
  <c r="EY297" i="50"/>
  <c r="EY296" i="50"/>
  <c r="EY295" i="50"/>
  <c r="EY294" i="50"/>
  <c r="EY293" i="50"/>
  <c r="EY292" i="50"/>
  <c r="EY291" i="50"/>
  <c r="EY290" i="50"/>
  <c r="EY289" i="50"/>
  <c r="EY288" i="50"/>
  <c r="EY287" i="50"/>
  <c r="EY286" i="50"/>
  <c r="EY285" i="50"/>
  <c r="EY284" i="50"/>
  <c r="EY283" i="50"/>
  <c r="EY282" i="50"/>
  <c r="EY281" i="50"/>
  <c r="EY280" i="50"/>
  <c r="EY279" i="50"/>
  <c r="EY278" i="50"/>
  <c r="EY277" i="50"/>
  <c r="EY276" i="50"/>
  <c r="EY275" i="50"/>
  <c r="EY274" i="50"/>
  <c r="EY273" i="50"/>
  <c r="EY272" i="50"/>
  <c r="EY271" i="50"/>
  <c r="EY270" i="50"/>
  <c r="EY269" i="50"/>
  <c r="EY268" i="50"/>
  <c r="EY267" i="50"/>
  <c r="EY266" i="50"/>
  <c r="EY265" i="50"/>
  <c r="EY264" i="50"/>
  <c r="EY263" i="50"/>
  <c r="EY262" i="50"/>
  <c r="EY261" i="50"/>
  <c r="EY260" i="50"/>
  <c r="EY259" i="50"/>
  <c r="EY258" i="50"/>
  <c r="EY257" i="50"/>
  <c r="EY256" i="50"/>
  <c r="EY255" i="50"/>
  <c r="EY254" i="50"/>
  <c r="EY253" i="50"/>
  <c r="EY252" i="50"/>
  <c r="EY251" i="50"/>
  <c r="EY250" i="50"/>
  <c r="EY249" i="50"/>
  <c r="EY248" i="50"/>
  <c r="EY247" i="50"/>
  <c r="EY246" i="50"/>
  <c r="EY245" i="50"/>
  <c r="EY244" i="50"/>
  <c r="EY243" i="50"/>
  <c r="EY242" i="50"/>
  <c r="EY241" i="50"/>
  <c r="EY240" i="50"/>
  <c r="EY239" i="50"/>
  <c r="EY238" i="50"/>
  <c r="EY237" i="50"/>
  <c r="EY236" i="50"/>
  <c r="EY235" i="50"/>
  <c r="EY234" i="50"/>
  <c r="EY233" i="50"/>
  <c r="EY232" i="50"/>
  <c r="EY231" i="50"/>
  <c r="EY230" i="50"/>
  <c r="EY229" i="50"/>
  <c r="EY228" i="50"/>
  <c r="EY227" i="50"/>
  <c r="EY226" i="50"/>
  <c r="EY225" i="50"/>
  <c r="EY224" i="50"/>
  <c r="EY223" i="50"/>
  <c r="EY222" i="50"/>
  <c r="EY221" i="50"/>
  <c r="EY220" i="50"/>
  <c r="EY219" i="50"/>
  <c r="EY218" i="50"/>
  <c r="EY217" i="50"/>
  <c r="EY216" i="50"/>
  <c r="EY215" i="50"/>
  <c r="EY214" i="50"/>
  <c r="EY213" i="50"/>
  <c r="EY212" i="50"/>
  <c r="EY211" i="50"/>
  <c r="EY210" i="50"/>
  <c r="EY209" i="50"/>
  <c r="EY208" i="50"/>
  <c r="EY207" i="50"/>
  <c r="EY206" i="50"/>
  <c r="EY205" i="50"/>
  <c r="EY204" i="50"/>
  <c r="EY203" i="50"/>
  <c r="EY202" i="50"/>
  <c r="EY201" i="50"/>
  <c r="EY200" i="50"/>
  <c r="EY199" i="50"/>
  <c r="EY198" i="50"/>
  <c r="EY197" i="50"/>
  <c r="EY196" i="50"/>
  <c r="EY195" i="50"/>
  <c r="EY194" i="50"/>
  <c r="EY193" i="50"/>
  <c r="EY192" i="50"/>
  <c r="EY191" i="50"/>
  <c r="EY190" i="50"/>
  <c r="EY189" i="50"/>
  <c r="EY188" i="50"/>
  <c r="EY187" i="50"/>
  <c r="EY186" i="50"/>
  <c r="EY185" i="50"/>
  <c r="EY184" i="50"/>
  <c r="EY183" i="50"/>
  <c r="EY182" i="50"/>
  <c r="EY181" i="50"/>
  <c r="EY180" i="50"/>
  <c r="EY179" i="50"/>
  <c r="EY178" i="50"/>
  <c r="EY177" i="50"/>
  <c r="EY176" i="50"/>
  <c r="EY175" i="50"/>
  <c r="EY174" i="50"/>
  <c r="EY173" i="50"/>
  <c r="EY172" i="50"/>
  <c r="EY171" i="50"/>
  <c r="EY170" i="50"/>
  <c r="EY169" i="50"/>
  <c r="EY168" i="50"/>
  <c r="EY167" i="50"/>
  <c r="EY166" i="50"/>
  <c r="EY165" i="50"/>
  <c r="EY164" i="50"/>
  <c r="EY163" i="50"/>
  <c r="EY162" i="50"/>
  <c r="EY161" i="50"/>
  <c r="EY160" i="50"/>
  <c r="EY159" i="50"/>
  <c r="EY158" i="50"/>
  <c r="EY157" i="50"/>
  <c r="EY156" i="50"/>
  <c r="EY155" i="50"/>
  <c r="EY154" i="50"/>
  <c r="EY153" i="50"/>
  <c r="EY152" i="50"/>
  <c r="EY151" i="50"/>
  <c r="EY150" i="50"/>
  <c r="EY149" i="50"/>
  <c r="EY148" i="50"/>
  <c r="EY147" i="50"/>
  <c r="EY146" i="50"/>
  <c r="EY145" i="50"/>
  <c r="EY144" i="50"/>
  <c r="EY143" i="50"/>
  <c r="EY142" i="50"/>
  <c r="EY141" i="50"/>
  <c r="EY140" i="50"/>
  <c r="EY139" i="50"/>
  <c r="EY138" i="50"/>
  <c r="EY137" i="50"/>
  <c r="EY136" i="50"/>
  <c r="EY135" i="50"/>
  <c r="EY134" i="50"/>
  <c r="EY133" i="50"/>
  <c r="EY132" i="50"/>
  <c r="EY131" i="50"/>
  <c r="EY130" i="50"/>
  <c r="EY129" i="50"/>
  <c r="EY128" i="50"/>
  <c r="EY127" i="50"/>
  <c r="EY126" i="50"/>
  <c r="EY125" i="50"/>
  <c r="EY124" i="50"/>
  <c r="EY123" i="50"/>
  <c r="EY122" i="50"/>
  <c r="EY121" i="50"/>
  <c r="EY120" i="50"/>
  <c r="EY119" i="50"/>
  <c r="EY118" i="50"/>
  <c r="EY117" i="50"/>
  <c r="EY116" i="50"/>
  <c r="EY115" i="50"/>
  <c r="EY114" i="50"/>
  <c r="EY113" i="50"/>
  <c r="EY112" i="50"/>
  <c r="EY111" i="50"/>
  <c r="EY110" i="50"/>
  <c r="EY109" i="50"/>
  <c r="EY108" i="50"/>
  <c r="EY107" i="50"/>
  <c r="EY106" i="50"/>
  <c r="EY105" i="50"/>
  <c r="EY104" i="50"/>
  <c r="EY103" i="50"/>
  <c r="EY102" i="50"/>
  <c r="EY101" i="50"/>
  <c r="EY100" i="50"/>
  <c r="EY99" i="50"/>
  <c r="EY98" i="50"/>
  <c r="EY97" i="50"/>
  <c r="EY96" i="50"/>
  <c r="EY95" i="50"/>
  <c r="EY94" i="50"/>
  <c r="EY93" i="50"/>
  <c r="EY92" i="50"/>
  <c r="EY91" i="50"/>
  <c r="EY90" i="50"/>
  <c r="EY89" i="50"/>
  <c r="EY88" i="50"/>
  <c r="EY87" i="50"/>
  <c r="EY86" i="50"/>
  <c r="EY85" i="50"/>
  <c r="EY84" i="50"/>
  <c r="EY83" i="50"/>
  <c r="EY82" i="50"/>
  <c r="EY81" i="50"/>
  <c r="EY80" i="50"/>
  <c r="EY79" i="50"/>
  <c r="EY78" i="50"/>
  <c r="EY77" i="50"/>
  <c r="EY76" i="50"/>
  <c r="EY75" i="50"/>
  <c r="EY74" i="50"/>
  <c r="EY73" i="50"/>
  <c r="EY72" i="50"/>
  <c r="EY71" i="50"/>
  <c r="EY70" i="50"/>
  <c r="EY69" i="50"/>
  <c r="EY68" i="50"/>
  <c r="EY67" i="50"/>
  <c r="EY66" i="50"/>
  <c r="EY65" i="50"/>
  <c r="EY64" i="50"/>
  <c r="EY63" i="50"/>
  <c r="EY62" i="50"/>
  <c r="EY61" i="50"/>
  <c r="EY60" i="50"/>
  <c r="EY59" i="50"/>
  <c r="EY58" i="50"/>
  <c r="EY57" i="50"/>
  <c r="EY56" i="50"/>
  <c r="EY55" i="50"/>
  <c r="EY54" i="50"/>
  <c r="EY53" i="50"/>
  <c r="EY52" i="50"/>
  <c r="EY51" i="50"/>
  <c r="EY50" i="50"/>
  <c r="EY49" i="50"/>
  <c r="EY48" i="50"/>
  <c r="EY47" i="50"/>
  <c r="FC927" i="50"/>
  <c r="FC926" i="50"/>
  <c r="FC925" i="50"/>
  <c r="FC924" i="50"/>
  <c r="FC923" i="50"/>
  <c r="FC922" i="50"/>
  <c r="FC921" i="50"/>
  <c r="FC920" i="50"/>
  <c r="FC919" i="50"/>
  <c r="FC918" i="50"/>
  <c r="FC917" i="50"/>
  <c r="FC916" i="50"/>
  <c r="FC915" i="50"/>
  <c r="FC914" i="50"/>
  <c r="FC913" i="50"/>
  <c r="FC912" i="50"/>
  <c r="FC911" i="50"/>
  <c r="FC910" i="50"/>
  <c r="FC909" i="50"/>
  <c r="FC908" i="50"/>
  <c r="FC907" i="50"/>
  <c r="FC906" i="50"/>
  <c r="FC905" i="50"/>
  <c r="FC904" i="50"/>
  <c r="FC903" i="50"/>
  <c r="FC902" i="50"/>
  <c r="FC901" i="50"/>
  <c r="FC900" i="50"/>
  <c r="FC899" i="50"/>
  <c r="FC898" i="50"/>
  <c r="FC897" i="50"/>
  <c r="FC896" i="50"/>
  <c r="FC895" i="50"/>
  <c r="FC894" i="50"/>
  <c r="FC893" i="50"/>
  <c r="FC892" i="50"/>
  <c r="FC891" i="50"/>
  <c r="FC890" i="50"/>
  <c r="FC889" i="50"/>
  <c r="FC888" i="50"/>
  <c r="FC887" i="50"/>
  <c r="FC886" i="50"/>
  <c r="FC885" i="50"/>
  <c r="FC884" i="50"/>
  <c r="FC883" i="50"/>
  <c r="FC882" i="50"/>
  <c r="FC881" i="50"/>
  <c r="FC880" i="50"/>
  <c r="FC879" i="50"/>
  <c r="FC878" i="50"/>
  <c r="FC877" i="50"/>
  <c r="FC876" i="50"/>
  <c r="FC875" i="50"/>
  <c r="FC874" i="50"/>
  <c r="FC873" i="50"/>
  <c r="FC872" i="50"/>
  <c r="FC871" i="50"/>
  <c r="FC870" i="50"/>
  <c r="FC869" i="50"/>
  <c r="FC868" i="50"/>
  <c r="FC867" i="50"/>
  <c r="FC866" i="50"/>
  <c r="FC865" i="50"/>
  <c r="FC864" i="50"/>
  <c r="FC863" i="50"/>
  <c r="FC862" i="50"/>
  <c r="FC861" i="50"/>
  <c r="FC860" i="50"/>
  <c r="FC859" i="50"/>
  <c r="FC858" i="50"/>
  <c r="FC857" i="50"/>
  <c r="FC856" i="50"/>
  <c r="FC855" i="50"/>
  <c r="FC854" i="50"/>
  <c r="FC853" i="50"/>
  <c r="FC852" i="50"/>
  <c r="FC851" i="50"/>
  <c r="FC850" i="50"/>
  <c r="FC849" i="50"/>
  <c r="FC848" i="50"/>
  <c r="FC847" i="50"/>
  <c r="FC846" i="50"/>
  <c r="FC845" i="50"/>
  <c r="FC844" i="50"/>
  <c r="FC843" i="50"/>
  <c r="FC842" i="50"/>
  <c r="FC841" i="50"/>
  <c r="FC840" i="50"/>
  <c r="FC839" i="50"/>
  <c r="FC838" i="50"/>
  <c r="FC837" i="50"/>
  <c r="FC836" i="50"/>
  <c r="FC835" i="50"/>
  <c r="FC834" i="50"/>
  <c r="FC833" i="50"/>
  <c r="FC832" i="50"/>
  <c r="FC831" i="50"/>
  <c r="FC830" i="50"/>
  <c r="FC829" i="50"/>
  <c r="FC828" i="50"/>
  <c r="FC827" i="50"/>
  <c r="FC826" i="50"/>
  <c r="FC825" i="50"/>
  <c r="FC824" i="50"/>
  <c r="FC823" i="50"/>
  <c r="FC822" i="50"/>
  <c r="FC821" i="50"/>
  <c r="FC820" i="50"/>
  <c r="FC819" i="50"/>
  <c r="FC818" i="50"/>
  <c r="FC817" i="50"/>
  <c r="FC816" i="50"/>
  <c r="FC815" i="50"/>
  <c r="FC814" i="50"/>
  <c r="FC813" i="50"/>
  <c r="FC812" i="50"/>
  <c r="FC811" i="50"/>
  <c r="FC810" i="50"/>
  <c r="FC809" i="50"/>
  <c r="FC808" i="50"/>
  <c r="FC807" i="50"/>
  <c r="FC806" i="50"/>
  <c r="FC805" i="50"/>
  <c r="FC804" i="50"/>
  <c r="FC803" i="50"/>
  <c r="FC802" i="50"/>
  <c r="FC801" i="50"/>
  <c r="FC800" i="50"/>
  <c r="FC799" i="50"/>
  <c r="FC798" i="50"/>
  <c r="FC797" i="50"/>
  <c r="FC796" i="50"/>
  <c r="FC795" i="50"/>
  <c r="FC794" i="50"/>
  <c r="FC793" i="50"/>
  <c r="FC792" i="50"/>
  <c r="FC791" i="50"/>
  <c r="FC790" i="50"/>
  <c r="FC789" i="50"/>
  <c r="FC788" i="50"/>
  <c r="FC787" i="50"/>
  <c r="FC786" i="50"/>
  <c r="FC785" i="50"/>
  <c r="FC784" i="50"/>
  <c r="FC783" i="50"/>
  <c r="FC782" i="50"/>
  <c r="FC781" i="50"/>
  <c r="FC780" i="50"/>
  <c r="FC779" i="50"/>
  <c r="FC778" i="50"/>
  <c r="FC777" i="50"/>
  <c r="FC776" i="50"/>
  <c r="FC775" i="50"/>
  <c r="FC774" i="50"/>
  <c r="FC773" i="50"/>
  <c r="FC772" i="50"/>
  <c r="FC771" i="50"/>
  <c r="FC770" i="50"/>
  <c r="FC769" i="50"/>
  <c r="FC768" i="50"/>
  <c r="FC767" i="50"/>
  <c r="FC766" i="50"/>
  <c r="FC765" i="50"/>
  <c r="FC764" i="50"/>
  <c r="FC763" i="50"/>
  <c r="FC762" i="50"/>
  <c r="FC761" i="50"/>
  <c r="FC760" i="50"/>
  <c r="FC759" i="50"/>
  <c r="FC758" i="50"/>
  <c r="FC757" i="50"/>
  <c r="FC756" i="50"/>
  <c r="FC755" i="50"/>
  <c r="FC754" i="50"/>
  <c r="FC753" i="50"/>
  <c r="FC752" i="50"/>
  <c r="FC751" i="50"/>
  <c r="FC750" i="50"/>
  <c r="FC749" i="50"/>
  <c r="FC748" i="50"/>
  <c r="FC747" i="50"/>
  <c r="FC746" i="50"/>
  <c r="FC745" i="50"/>
  <c r="FC744" i="50"/>
  <c r="FC743" i="50"/>
  <c r="FC742" i="50"/>
  <c r="FC741" i="50"/>
  <c r="FC740" i="50"/>
  <c r="FC739" i="50"/>
  <c r="FC738" i="50"/>
  <c r="FC737" i="50"/>
  <c r="FC736" i="50"/>
  <c r="FC735" i="50"/>
  <c r="FC734" i="50"/>
  <c r="FC733" i="50"/>
  <c r="FC732" i="50"/>
  <c r="FC731" i="50"/>
  <c r="FC730" i="50"/>
  <c r="FC729" i="50"/>
  <c r="FC728" i="50"/>
  <c r="FC727" i="50"/>
  <c r="FC726" i="50"/>
  <c r="FC725" i="50"/>
  <c r="FC724" i="50"/>
  <c r="FC723" i="50"/>
  <c r="FC722" i="50"/>
  <c r="FC721" i="50"/>
  <c r="FC720" i="50"/>
  <c r="FC719" i="50"/>
  <c r="FC718" i="50"/>
  <c r="FC717" i="50"/>
  <c r="FC716" i="50"/>
  <c r="FC715" i="50"/>
  <c r="FC714" i="50"/>
  <c r="FC713" i="50"/>
  <c r="FC712" i="50"/>
  <c r="FC711" i="50"/>
  <c r="FC710" i="50"/>
  <c r="FC709" i="50"/>
  <c r="FC708" i="50"/>
  <c r="FC707" i="50"/>
  <c r="FC706" i="50"/>
  <c r="FC705" i="50"/>
  <c r="FC704" i="50"/>
  <c r="FC703" i="50"/>
  <c r="FC702" i="50"/>
  <c r="FC701" i="50"/>
  <c r="FC700" i="50"/>
  <c r="FC699" i="50"/>
  <c r="FC698" i="50"/>
  <c r="FC697" i="50"/>
  <c r="FC696" i="50"/>
  <c r="FC695" i="50"/>
  <c r="FC694" i="50"/>
  <c r="FC693" i="50"/>
  <c r="FC692" i="50"/>
  <c r="FC691" i="50"/>
  <c r="FC690" i="50"/>
  <c r="FC689" i="50"/>
  <c r="FC688" i="50"/>
  <c r="FC687" i="50"/>
  <c r="FC686" i="50"/>
  <c r="FC685" i="50"/>
  <c r="FC684" i="50"/>
  <c r="FC683" i="50"/>
  <c r="FC682" i="50"/>
  <c r="FC681" i="50"/>
  <c r="FC680" i="50"/>
  <c r="FC679" i="50"/>
  <c r="FC678" i="50"/>
  <c r="FC677" i="50"/>
  <c r="FC676" i="50"/>
  <c r="FC675" i="50"/>
  <c r="FC674" i="50"/>
  <c r="FC673" i="50"/>
  <c r="FC672" i="50"/>
  <c r="FC671" i="50"/>
  <c r="FC670" i="50"/>
  <c r="FC669" i="50"/>
  <c r="FC668" i="50"/>
  <c r="FC667" i="50"/>
  <c r="FC666" i="50"/>
  <c r="FC665" i="50"/>
  <c r="FC664" i="50"/>
  <c r="FC663" i="50"/>
  <c r="FC662" i="50"/>
  <c r="FC661" i="50"/>
  <c r="FC660" i="50"/>
  <c r="FC659" i="50"/>
  <c r="FC658" i="50"/>
  <c r="FC657" i="50"/>
  <c r="FC656" i="50"/>
  <c r="FC655" i="50"/>
  <c r="FC654" i="50"/>
  <c r="FC653" i="50"/>
  <c r="FC652" i="50"/>
  <c r="FC651" i="50"/>
  <c r="FC650" i="50"/>
  <c r="FC649" i="50"/>
  <c r="FC648" i="50"/>
  <c r="FC647" i="50"/>
  <c r="FC646" i="50"/>
  <c r="FC645" i="50"/>
  <c r="FC644" i="50"/>
  <c r="FC643" i="50"/>
  <c r="FC642" i="50"/>
  <c r="FC641" i="50"/>
  <c r="FC640" i="50"/>
  <c r="FC639" i="50"/>
  <c r="FC638" i="50"/>
  <c r="FC637" i="50"/>
  <c r="FC636" i="50"/>
  <c r="FC635" i="50"/>
  <c r="FC634" i="50"/>
  <c r="FC633" i="50"/>
  <c r="FC632" i="50"/>
  <c r="FC631" i="50"/>
  <c r="FC630" i="50"/>
  <c r="FC629" i="50"/>
  <c r="FC628" i="50"/>
  <c r="FC627" i="50"/>
  <c r="FC626" i="50"/>
  <c r="FC625" i="50"/>
  <c r="FC624" i="50"/>
  <c r="FC623" i="50"/>
  <c r="FC622" i="50"/>
  <c r="FC621" i="50"/>
  <c r="FC620" i="50"/>
  <c r="FC619" i="50"/>
  <c r="FC618" i="50"/>
  <c r="FC617" i="50"/>
  <c r="FC616" i="50"/>
  <c r="FC615" i="50"/>
  <c r="FC614" i="50"/>
  <c r="FC613" i="50"/>
  <c r="FC612" i="50"/>
  <c r="FC611" i="50"/>
  <c r="FC610" i="50"/>
  <c r="FC609" i="50"/>
  <c r="FC608" i="50"/>
  <c r="FC607" i="50"/>
  <c r="FC606" i="50"/>
  <c r="FC605" i="50"/>
  <c r="FC604" i="50"/>
  <c r="FC603" i="50"/>
  <c r="FC602" i="50"/>
  <c r="FC601" i="50"/>
  <c r="FC600" i="50"/>
  <c r="FC599" i="50"/>
  <c r="FC598" i="50"/>
  <c r="FC597" i="50"/>
  <c r="FC596" i="50"/>
  <c r="FC595" i="50"/>
  <c r="FC594" i="50"/>
  <c r="FC593" i="50"/>
  <c r="FC592" i="50"/>
  <c r="FC591" i="50"/>
  <c r="FC590" i="50"/>
  <c r="FC589" i="50"/>
  <c r="FC588" i="50"/>
  <c r="FC587" i="50"/>
  <c r="FC586" i="50"/>
  <c r="FC585" i="50"/>
  <c r="FC584" i="50"/>
  <c r="FC583" i="50"/>
  <c r="FC582" i="50"/>
  <c r="FC581" i="50"/>
  <c r="FC580" i="50"/>
  <c r="FC579" i="50"/>
  <c r="FC578" i="50"/>
  <c r="FC577" i="50"/>
  <c r="FC576" i="50"/>
  <c r="FC575" i="50"/>
  <c r="FC574" i="50"/>
  <c r="FC573" i="50"/>
  <c r="FC572" i="50"/>
  <c r="FC571" i="50"/>
  <c r="FC570" i="50"/>
  <c r="FC569" i="50"/>
  <c r="FC568" i="50"/>
  <c r="FC567" i="50"/>
  <c r="FC566" i="50"/>
  <c r="FC565" i="50"/>
  <c r="FC564" i="50"/>
  <c r="FC563" i="50"/>
  <c r="FC562" i="50"/>
  <c r="FC561" i="50"/>
  <c r="FC560" i="50"/>
  <c r="FC559" i="50"/>
  <c r="FC558" i="50"/>
  <c r="FC557" i="50"/>
  <c r="FC556" i="50"/>
  <c r="FC555" i="50"/>
  <c r="FC554" i="50"/>
  <c r="FC553" i="50"/>
  <c r="FC552" i="50"/>
  <c r="FC551" i="50"/>
  <c r="FC550" i="50"/>
  <c r="FC549" i="50"/>
  <c r="FC548" i="50"/>
  <c r="FC547" i="50"/>
  <c r="FC546" i="50"/>
  <c r="FC545" i="50"/>
  <c r="FC544" i="50"/>
  <c r="FC543" i="50"/>
  <c r="FC542" i="50"/>
  <c r="FC541" i="50"/>
  <c r="FC540" i="50"/>
  <c r="FC539" i="50"/>
  <c r="FC538" i="50"/>
  <c r="FC537" i="50"/>
  <c r="FC536" i="50"/>
  <c r="FC535" i="50"/>
  <c r="FC534" i="50"/>
  <c r="FC533" i="50"/>
  <c r="FC532" i="50"/>
  <c r="FC531" i="50"/>
  <c r="FC530" i="50"/>
  <c r="FC529" i="50"/>
  <c r="FC528" i="50"/>
  <c r="FC527" i="50"/>
  <c r="FC526" i="50"/>
  <c r="FC525" i="50"/>
  <c r="FC524" i="50"/>
  <c r="FC523" i="50"/>
  <c r="FC522" i="50"/>
  <c r="FC521" i="50"/>
  <c r="FC520" i="50"/>
  <c r="FC519" i="50"/>
  <c r="FC518" i="50"/>
  <c r="FC517" i="50"/>
  <c r="FC516" i="50"/>
  <c r="FC515" i="50"/>
  <c r="FC514" i="50"/>
  <c r="FC513" i="50"/>
  <c r="FC512" i="50"/>
  <c r="FC511" i="50"/>
  <c r="FC510" i="50"/>
  <c r="FC509" i="50"/>
  <c r="FC508" i="50"/>
  <c r="FC507" i="50"/>
  <c r="FC506" i="50"/>
  <c r="FC505" i="50"/>
  <c r="FC504" i="50"/>
  <c r="FC503" i="50"/>
  <c r="FC502" i="50"/>
  <c r="FC501" i="50"/>
  <c r="FC500" i="50"/>
  <c r="FC499" i="50"/>
  <c r="FC498" i="50"/>
  <c r="FC497" i="50"/>
  <c r="FC496" i="50"/>
  <c r="FC495" i="50"/>
  <c r="FC494" i="50"/>
  <c r="FC493" i="50"/>
  <c r="FC492" i="50"/>
  <c r="FC491" i="50"/>
  <c r="FC490" i="50"/>
  <c r="FC489" i="50"/>
  <c r="FC488" i="50"/>
  <c r="FC487" i="50"/>
  <c r="FC486" i="50"/>
  <c r="FC485" i="50"/>
  <c r="FC484" i="50"/>
  <c r="FC483" i="50"/>
  <c r="FC482" i="50"/>
  <c r="FC481" i="50"/>
  <c r="FC480" i="50"/>
  <c r="FC479" i="50"/>
  <c r="FC478" i="50"/>
  <c r="FC477" i="50"/>
  <c r="FC476" i="50"/>
  <c r="FC475" i="50"/>
  <c r="FC474" i="50"/>
  <c r="FC473" i="50"/>
  <c r="FC472" i="50"/>
  <c r="FC471" i="50"/>
  <c r="FC470" i="50"/>
  <c r="FC469" i="50"/>
  <c r="FC468" i="50"/>
  <c r="FC467" i="50"/>
  <c r="FC466" i="50"/>
  <c r="FC465" i="50"/>
  <c r="FC464" i="50"/>
  <c r="FC463" i="50"/>
  <c r="FC462" i="50"/>
  <c r="FC461" i="50"/>
  <c r="FC460" i="50"/>
  <c r="FC459" i="50"/>
  <c r="FC458" i="50"/>
  <c r="FC457" i="50"/>
  <c r="FC456" i="50"/>
  <c r="FC455" i="50"/>
  <c r="FC454" i="50"/>
  <c r="FC453" i="50"/>
  <c r="FC452" i="50"/>
  <c r="FC451" i="50"/>
  <c r="FC450" i="50"/>
  <c r="FC449" i="50"/>
  <c r="FC448" i="50"/>
  <c r="FC447" i="50"/>
  <c r="FC446" i="50"/>
  <c r="FC445" i="50"/>
  <c r="FC444" i="50"/>
  <c r="FC443" i="50"/>
  <c r="FC442" i="50"/>
  <c r="FC441" i="50"/>
  <c r="FC440" i="50"/>
  <c r="FC439" i="50"/>
  <c r="FC438" i="50"/>
  <c r="FC437" i="50"/>
  <c r="FC436" i="50"/>
  <c r="FC435" i="50"/>
  <c r="FC434" i="50"/>
  <c r="FC433" i="50"/>
  <c r="FC432" i="50"/>
  <c r="FC431" i="50"/>
  <c r="FC430" i="50"/>
  <c r="FC429" i="50"/>
  <c r="FC428" i="50"/>
  <c r="FC427" i="50"/>
  <c r="FC426" i="50"/>
  <c r="FC425" i="50"/>
  <c r="FC424" i="50"/>
  <c r="FC423" i="50"/>
  <c r="FC422" i="50"/>
  <c r="FC421" i="50"/>
  <c r="FC420" i="50"/>
  <c r="FC419" i="50"/>
  <c r="FC418" i="50"/>
  <c r="FC417" i="50"/>
  <c r="FC416" i="50"/>
  <c r="FC415" i="50"/>
  <c r="FC414" i="50"/>
  <c r="FC413" i="50"/>
  <c r="FC412" i="50"/>
  <c r="FC411" i="50"/>
  <c r="FC410" i="50"/>
  <c r="FC409" i="50"/>
  <c r="FC408" i="50"/>
  <c r="FC407" i="50"/>
  <c r="FC406" i="50"/>
  <c r="FC405" i="50"/>
  <c r="FC404" i="50"/>
  <c r="FC403" i="50"/>
  <c r="FC402" i="50"/>
  <c r="FC401" i="50"/>
  <c r="FC400" i="50"/>
  <c r="FC399" i="50"/>
  <c r="FC398" i="50"/>
  <c r="FC397" i="50"/>
  <c r="FC396" i="50"/>
  <c r="FC395" i="50"/>
  <c r="FC394" i="50"/>
  <c r="FC393" i="50"/>
  <c r="FC392" i="50"/>
  <c r="FC391" i="50"/>
  <c r="FC390" i="50"/>
  <c r="FC389" i="50"/>
  <c r="FC388" i="50"/>
  <c r="FC387" i="50"/>
  <c r="FC386" i="50"/>
  <c r="FC385" i="50"/>
  <c r="FC384" i="50"/>
  <c r="FC383" i="50"/>
  <c r="FC382" i="50"/>
  <c r="FC381" i="50"/>
  <c r="FC380" i="50"/>
  <c r="FC379" i="50"/>
  <c r="FC378" i="50"/>
  <c r="FC377" i="50"/>
  <c r="FC376" i="50"/>
  <c r="FC375" i="50"/>
  <c r="FC374" i="50"/>
  <c r="FC373" i="50"/>
  <c r="FC372" i="50"/>
  <c r="FC371" i="50"/>
  <c r="FC370" i="50"/>
  <c r="FC369" i="50"/>
  <c r="FC368" i="50"/>
  <c r="FC367" i="50"/>
  <c r="FC366" i="50"/>
  <c r="FC365" i="50"/>
  <c r="FC364" i="50"/>
  <c r="FC363" i="50"/>
  <c r="FC362" i="50"/>
  <c r="FC361" i="50"/>
  <c r="FC360" i="50"/>
  <c r="FC359" i="50"/>
  <c r="FC358" i="50"/>
  <c r="FC357" i="50"/>
  <c r="FC356" i="50"/>
  <c r="FC355" i="50"/>
  <c r="FC354" i="50"/>
  <c r="FC353" i="50"/>
  <c r="FC352" i="50"/>
  <c r="FC351" i="50"/>
  <c r="FC350" i="50"/>
  <c r="FC349" i="50"/>
  <c r="FC348" i="50"/>
  <c r="FC347" i="50"/>
  <c r="FC346" i="50"/>
  <c r="FC345" i="50"/>
  <c r="FC344" i="50"/>
  <c r="FC343" i="50"/>
  <c r="FC342" i="50"/>
  <c r="FC341" i="50"/>
  <c r="FC340" i="50"/>
  <c r="FC339" i="50"/>
  <c r="FC338" i="50"/>
  <c r="FC337" i="50"/>
  <c r="FC336" i="50"/>
  <c r="FC335" i="50"/>
  <c r="FC334" i="50"/>
  <c r="FC333" i="50"/>
  <c r="FC332" i="50"/>
  <c r="FC331" i="50"/>
  <c r="FC330" i="50"/>
  <c r="FC329" i="50"/>
  <c r="FC328" i="50"/>
  <c r="FC327" i="50"/>
  <c r="FC326" i="50"/>
  <c r="FC325" i="50"/>
  <c r="FC324" i="50"/>
  <c r="FC323" i="50"/>
  <c r="FC322" i="50"/>
  <c r="FC321" i="50"/>
  <c r="FC320" i="50"/>
  <c r="FC319" i="50"/>
  <c r="FC318" i="50"/>
  <c r="FC317" i="50"/>
  <c r="FC316" i="50"/>
  <c r="FC315" i="50"/>
  <c r="FC314" i="50"/>
  <c r="FC313" i="50"/>
  <c r="FC312" i="50"/>
  <c r="FC311" i="50"/>
  <c r="FC310" i="50"/>
  <c r="FC309" i="50"/>
  <c r="FC308" i="50"/>
  <c r="FC307" i="50"/>
  <c r="FC306" i="50"/>
  <c r="FC305" i="50"/>
  <c r="FC304" i="50"/>
  <c r="FC303" i="50"/>
  <c r="FC302" i="50"/>
  <c r="FC301" i="50"/>
  <c r="FC300" i="50"/>
  <c r="FC299" i="50"/>
  <c r="FC298" i="50"/>
  <c r="FC297" i="50"/>
  <c r="FC296" i="50"/>
  <c r="FC295" i="50"/>
  <c r="FC294" i="50"/>
  <c r="FC293" i="50"/>
  <c r="FC292" i="50"/>
  <c r="FC291" i="50"/>
  <c r="FC290" i="50"/>
  <c r="FC289" i="50"/>
  <c r="FC288" i="50"/>
  <c r="FC287" i="50"/>
  <c r="FC286" i="50"/>
  <c r="FC285" i="50"/>
  <c r="FC284" i="50"/>
  <c r="FC283" i="50"/>
  <c r="FC282" i="50"/>
  <c r="FC281" i="50"/>
  <c r="FC280" i="50"/>
  <c r="FC279" i="50"/>
  <c r="FC278" i="50"/>
  <c r="FC277" i="50"/>
  <c r="FC276" i="50"/>
  <c r="FC275" i="50"/>
  <c r="FC274" i="50"/>
  <c r="FC273" i="50"/>
  <c r="FC272" i="50"/>
  <c r="FC271" i="50"/>
  <c r="FC270" i="50"/>
  <c r="FC269" i="50"/>
  <c r="FC268" i="50"/>
  <c r="FC267" i="50"/>
  <c r="FC266" i="50"/>
  <c r="FC265" i="50"/>
  <c r="FC264" i="50"/>
  <c r="FC263" i="50"/>
  <c r="FC262" i="50"/>
  <c r="FC261" i="50"/>
  <c r="FC260" i="50"/>
  <c r="FC259" i="50"/>
  <c r="FC258" i="50"/>
  <c r="FC257" i="50"/>
  <c r="FC256" i="50"/>
  <c r="FC255" i="50"/>
  <c r="FC254" i="50"/>
  <c r="FC253" i="50"/>
  <c r="FC252" i="50"/>
  <c r="FC251" i="50"/>
  <c r="FC250" i="50"/>
  <c r="FC249" i="50"/>
  <c r="FC248" i="50"/>
  <c r="FC247" i="50"/>
  <c r="FC246" i="50"/>
  <c r="FC245" i="50"/>
  <c r="FC244" i="50"/>
  <c r="FC243" i="50"/>
  <c r="FC242" i="50"/>
  <c r="FC241" i="50"/>
  <c r="FC240" i="50"/>
  <c r="FC239" i="50"/>
  <c r="FC238" i="50"/>
  <c r="FC237" i="50"/>
  <c r="FC236" i="50"/>
  <c r="FC235" i="50"/>
  <c r="FC234" i="50"/>
  <c r="FC233" i="50"/>
  <c r="FC232" i="50"/>
  <c r="FC231" i="50"/>
  <c r="FC230" i="50"/>
  <c r="FC229" i="50"/>
  <c r="FC228" i="50"/>
  <c r="FC227" i="50"/>
  <c r="FC226" i="50"/>
  <c r="FC225" i="50"/>
  <c r="FC224" i="50"/>
  <c r="FC223" i="50"/>
  <c r="FC222" i="50"/>
  <c r="FC221" i="50"/>
  <c r="FC220" i="50"/>
  <c r="FC219" i="50"/>
  <c r="FC218" i="50"/>
  <c r="FC217" i="50"/>
  <c r="FC216" i="50"/>
  <c r="FC215" i="50"/>
  <c r="FC214" i="50"/>
  <c r="FC213" i="50"/>
  <c r="FC212" i="50"/>
  <c r="FC211" i="50"/>
  <c r="FC210" i="50"/>
  <c r="FC209" i="50"/>
  <c r="FC208" i="50"/>
  <c r="FC207" i="50"/>
  <c r="FC206" i="50"/>
  <c r="FC205" i="50"/>
  <c r="FC204" i="50"/>
  <c r="FC203" i="50"/>
  <c r="FC202" i="50"/>
  <c r="FC201" i="50"/>
  <c r="FC200" i="50"/>
  <c r="FC199" i="50"/>
  <c r="FC198" i="50"/>
  <c r="FC197" i="50"/>
  <c r="FC196" i="50"/>
  <c r="FC195" i="50"/>
  <c r="FC194" i="50"/>
  <c r="FC193" i="50"/>
  <c r="FC192" i="50"/>
  <c r="FC191" i="50"/>
  <c r="FC190" i="50"/>
  <c r="FC189" i="50"/>
  <c r="FC188" i="50"/>
  <c r="FC187" i="50"/>
  <c r="FC186" i="50"/>
  <c r="FC185" i="50"/>
  <c r="FC184" i="50"/>
  <c r="FC183" i="50"/>
  <c r="FC182" i="50"/>
  <c r="FC181" i="50"/>
  <c r="FC180" i="50"/>
  <c r="FC179" i="50"/>
  <c r="FC178" i="50"/>
  <c r="FC177" i="50"/>
  <c r="FC176" i="50"/>
  <c r="FC175" i="50"/>
  <c r="FC174" i="50"/>
  <c r="FC173" i="50"/>
  <c r="FC172" i="50"/>
  <c r="FC171" i="50"/>
  <c r="FC170" i="50"/>
  <c r="FC169" i="50"/>
  <c r="FC168" i="50"/>
  <c r="FC167" i="50"/>
  <c r="FC166" i="50"/>
  <c r="FC165" i="50"/>
  <c r="FC164" i="50"/>
  <c r="FC163" i="50"/>
  <c r="FC162" i="50"/>
  <c r="FC161" i="50"/>
  <c r="FC160" i="50"/>
  <c r="FC159" i="50"/>
  <c r="FC158" i="50"/>
  <c r="FC157" i="50"/>
  <c r="FC156" i="50"/>
  <c r="FC155" i="50"/>
  <c r="FC154" i="50"/>
  <c r="FC153" i="50"/>
  <c r="FC152" i="50"/>
  <c r="FC151" i="50"/>
  <c r="FC150" i="50"/>
  <c r="FC149" i="50"/>
  <c r="FC148" i="50"/>
  <c r="FC147" i="50"/>
  <c r="FC146" i="50"/>
  <c r="FC145" i="50"/>
  <c r="FC144" i="50"/>
  <c r="FC143" i="50"/>
  <c r="FC142" i="50"/>
  <c r="FC141" i="50"/>
  <c r="FC140" i="50"/>
  <c r="FC139" i="50"/>
  <c r="FC138" i="50"/>
  <c r="FC137" i="50"/>
  <c r="FC136" i="50"/>
  <c r="FC135" i="50"/>
  <c r="FC134" i="50"/>
  <c r="FC133" i="50"/>
  <c r="FC132" i="50"/>
  <c r="FC131" i="50"/>
  <c r="FC130" i="50"/>
  <c r="FC129" i="50"/>
  <c r="FC128" i="50"/>
  <c r="FC127" i="50"/>
  <c r="FC126" i="50"/>
  <c r="FC125" i="50"/>
  <c r="FC124" i="50"/>
  <c r="FC123" i="50"/>
  <c r="FC122" i="50"/>
  <c r="FC121" i="50"/>
  <c r="FC120" i="50"/>
  <c r="FC119" i="50"/>
  <c r="FC118" i="50"/>
  <c r="FC117" i="50"/>
  <c r="FC116" i="50"/>
  <c r="FC115" i="50"/>
  <c r="FC114" i="50"/>
  <c r="FC113" i="50"/>
  <c r="FC112" i="50"/>
  <c r="FC111" i="50"/>
  <c r="FC110" i="50"/>
  <c r="FC109" i="50"/>
  <c r="FC108" i="50"/>
  <c r="FC107" i="50"/>
  <c r="FC106" i="50"/>
  <c r="FC105" i="50"/>
  <c r="FC104" i="50"/>
  <c r="FC103" i="50"/>
  <c r="FC102" i="50"/>
  <c r="FC101" i="50"/>
  <c r="FC100" i="50"/>
  <c r="FC99" i="50"/>
  <c r="FC98" i="50"/>
  <c r="FC97" i="50"/>
  <c r="FC96" i="50"/>
  <c r="FC95" i="50"/>
  <c r="FC94" i="50"/>
  <c r="FC93" i="50"/>
  <c r="FC92" i="50"/>
  <c r="FC91" i="50"/>
  <c r="FC90" i="50"/>
  <c r="FC89" i="50"/>
  <c r="FC88" i="50"/>
  <c r="FC87" i="50"/>
  <c r="FC86" i="50"/>
  <c r="FC85" i="50"/>
  <c r="FC84" i="50"/>
  <c r="FC83" i="50"/>
  <c r="FC82" i="50"/>
  <c r="FC81" i="50"/>
  <c r="FC80" i="50"/>
  <c r="FC79" i="50"/>
  <c r="FC78" i="50"/>
  <c r="FC77" i="50"/>
  <c r="FC76" i="50"/>
  <c r="FC75" i="50"/>
  <c r="FC74" i="50"/>
  <c r="FC73" i="50"/>
  <c r="FC72" i="50"/>
  <c r="FC71" i="50"/>
  <c r="FC70" i="50"/>
  <c r="FC69" i="50"/>
  <c r="FC68" i="50"/>
  <c r="FC67" i="50"/>
  <c r="FC66" i="50"/>
  <c r="FC65" i="50"/>
  <c r="FC64" i="50"/>
  <c r="FC63" i="50"/>
  <c r="FC62" i="50"/>
  <c r="FC61" i="50"/>
  <c r="FC60" i="50"/>
  <c r="FC59" i="50"/>
  <c r="FC58" i="50"/>
  <c r="FC57" i="50"/>
  <c r="FC56" i="50"/>
  <c r="FC55" i="50"/>
  <c r="FC54" i="50"/>
  <c r="FC53" i="50"/>
  <c r="FC52" i="50"/>
  <c r="FC51" i="50"/>
  <c r="FC50" i="50"/>
  <c r="FC49" i="50"/>
  <c r="FC48" i="50"/>
  <c r="FC47" i="50"/>
  <c r="FK927" i="50"/>
  <c r="FK926" i="50"/>
  <c r="FK925" i="50"/>
  <c r="FK924" i="50"/>
  <c r="FK923" i="50"/>
  <c r="FK922" i="50"/>
  <c r="FK921" i="50"/>
  <c r="FK920" i="50"/>
  <c r="FK919" i="50"/>
  <c r="FK918" i="50"/>
  <c r="FK917" i="50"/>
  <c r="FK916" i="50"/>
  <c r="FK915" i="50"/>
  <c r="FK914" i="50"/>
  <c r="FK913" i="50"/>
  <c r="FK912" i="50"/>
  <c r="FK911" i="50"/>
  <c r="FK910" i="50"/>
  <c r="FK909" i="50"/>
  <c r="FK908" i="50"/>
  <c r="FK907" i="50"/>
  <c r="FK906" i="50"/>
  <c r="FK905" i="50"/>
  <c r="FK903" i="50"/>
  <c r="FK902" i="50"/>
  <c r="FK901" i="50"/>
  <c r="FK900" i="50"/>
  <c r="FK899" i="50"/>
  <c r="FK898" i="50"/>
  <c r="FK897" i="50"/>
  <c r="FK896" i="50"/>
  <c r="FK895" i="50"/>
  <c r="FK894" i="50"/>
  <c r="FK893" i="50"/>
  <c r="FK892" i="50"/>
  <c r="FK891" i="50"/>
  <c r="FK890" i="50"/>
  <c r="FK889" i="50"/>
  <c r="FK888" i="50"/>
  <c r="FK887" i="50"/>
  <c r="FK886" i="50"/>
  <c r="FK885" i="50"/>
  <c r="FK884" i="50"/>
  <c r="FK883" i="50"/>
  <c r="FK882" i="50"/>
  <c r="FK881" i="50"/>
  <c r="FK880" i="50"/>
  <c r="FK879" i="50"/>
  <c r="FK878" i="50"/>
  <c r="FK877" i="50"/>
  <c r="FK876" i="50"/>
  <c r="FK875" i="50"/>
  <c r="FK874" i="50"/>
  <c r="FK873" i="50"/>
  <c r="FK872" i="50"/>
  <c r="FK871" i="50"/>
  <c r="FK870" i="50"/>
  <c r="FK869" i="50"/>
  <c r="FK868" i="50"/>
  <c r="FK867" i="50"/>
  <c r="FK866" i="50"/>
  <c r="FK865" i="50"/>
  <c r="FK864" i="50"/>
  <c r="FK863" i="50"/>
  <c r="FK862" i="50"/>
  <c r="FK861" i="50"/>
  <c r="FK860" i="50"/>
  <c r="FK859" i="50"/>
  <c r="FK858" i="50"/>
  <c r="FK856" i="50"/>
  <c r="FK854" i="50"/>
  <c r="FK852" i="50"/>
  <c r="FK850" i="50"/>
  <c r="FK848" i="50"/>
  <c r="FK846" i="50"/>
  <c r="FK845" i="50"/>
  <c r="FK844" i="50"/>
  <c r="FK843" i="50"/>
  <c r="FK842" i="50"/>
  <c r="FK841" i="50"/>
  <c r="FK840" i="50"/>
  <c r="FK839" i="50"/>
  <c r="FK838" i="50"/>
  <c r="FK837" i="50"/>
  <c r="FK836" i="50"/>
  <c r="FK834" i="50"/>
  <c r="FK833" i="50"/>
  <c r="FK832" i="50"/>
  <c r="FK831" i="50"/>
  <c r="FK830" i="50"/>
  <c r="FK829" i="50"/>
  <c r="FK828" i="50"/>
  <c r="FK827" i="50"/>
  <c r="FK826" i="50"/>
  <c r="FK825" i="50"/>
  <c r="FK824" i="50"/>
  <c r="FK823" i="50"/>
  <c r="FK822" i="50"/>
  <c r="FK820" i="50"/>
  <c r="FK819" i="50"/>
  <c r="FK817" i="50"/>
  <c r="FK816" i="50"/>
  <c r="FK814" i="50"/>
  <c r="FK813" i="50"/>
  <c r="FK812" i="50"/>
  <c r="FK810" i="50"/>
  <c r="FK809" i="50"/>
  <c r="FK808" i="50"/>
  <c r="FK806" i="50"/>
  <c r="FK805" i="50"/>
  <c r="FK803" i="50"/>
  <c r="FK802" i="50"/>
  <c r="FK800" i="50"/>
  <c r="FK799" i="50"/>
  <c r="FK797" i="50"/>
  <c r="FK796" i="50"/>
  <c r="FK794" i="50"/>
  <c r="FK793" i="50"/>
  <c r="FK790" i="50"/>
  <c r="FK789" i="50"/>
  <c r="FK786" i="50"/>
  <c r="FK785" i="50"/>
  <c r="FK782" i="50"/>
  <c r="FK781" i="50"/>
  <c r="FK778" i="50"/>
  <c r="FK777" i="50"/>
  <c r="FK776" i="50"/>
  <c r="FK775" i="50"/>
  <c r="FK774" i="50"/>
  <c r="FK773" i="50"/>
  <c r="FK772" i="50"/>
  <c r="FK771" i="50"/>
  <c r="FK770" i="50"/>
  <c r="FK769" i="50"/>
  <c r="FK768" i="50"/>
  <c r="FK767" i="50"/>
  <c r="FK766" i="50"/>
  <c r="FK765" i="50"/>
  <c r="FK764" i="50"/>
  <c r="FK763" i="50"/>
  <c r="FK762" i="50"/>
  <c r="FK761" i="50"/>
  <c r="FK760" i="50"/>
  <c r="FK759" i="50"/>
  <c r="FK758" i="50"/>
  <c r="FK757" i="50"/>
  <c r="FK756" i="50"/>
  <c r="FK755" i="50"/>
  <c r="FK754" i="50"/>
  <c r="FK753" i="50"/>
  <c r="FK751" i="50"/>
  <c r="FK750" i="50"/>
  <c r="FK749" i="50"/>
  <c r="FK748" i="50"/>
  <c r="FK746" i="50"/>
  <c r="FK745" i="50"/>
  <c r="FK744" i="50"/>
  <c r="FK743" i="50"/>
  <c r="FK742" i="50"/>
  <c r="FK741" i="50"/>
  <c r="FK740" i="50"/>
  <c r="FK739" i="50"/>
  <c r="FK738" i="50"/>
  <c r="FK737" i="50"/>
  <c r="FK736" i="50"/>
  <c r="FK735" i="50"/>
  <c r="FK734" i="50"/>
  <c r="FK733" i="50"/>
  <c r="FK731" i="50"/>
  <c r="FK730" i="50"/>
  <c r="FK728" i="50"/>
  <c r="FK727" i="50"/>
  <c r="FK726" i="50"/>
  <c r="FK725" i="50"/>
  <c r="FK724" i="50"/>
  <c r="FK723" i="50"/>
  <c r="FK722" i="50"/>
  <c r="FK721" i="50"/>
  <c r="FK719" i="50"/>
  <c r="FK717" i="50"/>
  <c r="FK715" i="50"/>
  <c r="FK714" i="50"/>
  <c r="FK713" i="50"/>
  <c r="FK712" i="50"/>
  <c r="FK711" i="50"/>
  <c r="FK710" i="50"/>
  <c r="FK709" i="50"/>
  <c r="FK708" i="50"/>
  <c r="FK707" i="50"/>
  <c r="FK706" i="50"/>
  <c r="FK705" i="50"/>
  <c r="FK704" i="50"/>
  <c r="FK701" i="50"/>
  <c r="FK698" i="50"/>
  <c r="FK696" i="50"/>
  <c r="FK695" i="50"/>
  <c r="FK694" i="50"/>
  <c r="FK692" i="50"/>
  <c r="FK690" i="50"/>
  <c r="FK689" i="50"/>
  <c r="FK687" i="50"/>
  <c r="FK686" i="50"/>
  <c r="FK684" i="50"/>
  <c r="FK683" i="50"/>
  <c r="FK680" i="50"/>
  <c r="FK679" i="50"/>
  <c r="FK678" i="50"/>
  <c r="FK677" i="50"/>
  <c r="FK676" i="50"/>
  <c r="FK675" i="50"/>
  <c r="FK674" i="50"/>
  <c r="FK673" i="50"/>
  <c r="FK672" i="50"/>
  <c r="FK671" i="50"/>
  <c r="FK670" i="50"/>
  <c r="FK669" i="50"/>
  <c r="FK668" i="50"/>
  <c r="FK667" i="50"/>
  <c r="FK666" i="50"/>
  <c r="FK665" i="50"/>
  <c r="FK664" i="50"/>
  <c r="FK663" i="50"/>
  <c r="FK662" i="50"/>
  <c r="FK661" i="50"/>
  <c r="FK660" i="50"/>
  <c r="FK659" i="50"/>
  <c r="FK658" i="50"/>
  <c r="FK657" i="50"/>
  <c r="FK656" i="50"/>
  <c r="FK655" i="50"/>
  <c r="FK654" i="50"/>
  <c r="FK653" i="50"/>
  <c r="FK652" i="50"/>
  <c r="FK651" i="50"/>
  <c r="FK650" i="50"/>
  <c r="FK649" i="50"/>
  <c r="FK648" i="50"/>
  <c r="FK647" i="50"/>
  <c r="FK646" i="50"/>
  <c r="FK645" i="50"/>
  <c r="FK644" i="50"/>
  <c r="FK643" i="50"/>
  <c r="FK642" i="50"/>
  <c r="FK641" i="50"/>
  <c r="FK640" i="50"/>
  <c r="FK639" i="50"/>
  <c r="FK638" i="50"/>
  <c r="FK637" i="50"/>
  <c r="FK636" i="50"/>
  <c r="FK635" i="50"/>
  <c r="FK634" i="50"/>
  <c r="FK633" i="50"/>
  <c r="FK632" i="50"/>
  <c r="FK631" i="50"/>
  <c r="FK630" i="50"/>
  <c r="FK629" i="50"/>
  <c r="FK628" i="50"/>
  <c r="FK627" i="50"/>
  <c r="FK626" i="50"/>
  <c r="FK625" i="50"/>
  <c r="FK624" i="50"/>
  <c r="FK623" i="50"/>
  <c r="FK622" i="50"/>
  <c r="FK621" i="50"/>
  <c r="FK620" i="50"/>
  <c r="FK619" i="50"/>
  <c r="FK618" i="50"/>
  <c r="FK617" i="50"/>
  <c r="FK616" i="50"/>
  <c r="FK615" i="50"/>
  <c r="FK614" i="50"/>
  <c r="FK613" i="50"/>
  <c r="FK612" i="50"/>
  <c r="FK611" i="50"/>
  <c r="FK610" i="50"/>
  <c r="FK609" i="50"/>
  <c r="FK608" i="50"/>
  <c r="FK607" i="50"/>
  <c r="FK606" i="50"/>
  <c r="FK605" i="50"/>
  <c r="FK604" i="50"/>
  <c r="FK603" i="50"/>
  <c r="FK602" i="50"/>
  <c r="FK601" i="50"/>
  <c r="FK600" i="50"/>
  <c r="FK599" i="50"/>
  <c r="FK598" i="50"/>
  <c r="FK597" i="50"/>
  <c r="FK596" i="50"/>
  <c r="FK595" i="50"/>
  <c r="FK594" i="50"/>
  <c r="FK593" i="50"/>
  <c r="FK592" i="50"/>
  <c r="FK591" i="50"/>
  <c r="FK590" i="50"/>
  <c r="FK589" i="50"/>
  <c r="FK588" i="50"/>
  <c r="FK587" i="50"/>
  <c r="FK586" i="50"/>
  <c r="FK585" i="50"/>
  <c r="FK584" i="50"/>
  <c r="FK583" i="50"/>
  <c r="FK582" i="50"/>
  <c r="FK581" i="50"/>
  <c r="FK580" i="50"/>
  <c r="FK540" i="50"/>
  <c r="FK539" i="50"/>
  <c r="FK538" i="50"/>
  <c r="FK537" i="50"/>
  <c r="FK536" i="50"/>
  <c r="FK535" i="50"/>
  <c r="FK534" i="50"/>
  <c r="FK533" i="50"/>
  <c r="FK532" i="50"/>
  <c r="FK531" i="50"/>
  <c r="FK530" i="50"/>
  <c r="FK529" i="50"/>
  <c r="FK528" i="50"/>
  <c r="FK527" i="50"/>
  <c r="FK526" i="50"/>
  <c r="FK525" i="50"/>
  <c r="FK524" i="50"/>
  <c r="FK523" i="50"/>
  <c r="FK522" i="50"/>
  <c r="FK521" i="50"/>
  <c r="FK520" i="50"/>
  <c r="FK519" i="50"/>
  <c r="FK518" i="50"/>
  <c r="FK517" i="50"/>
  <c r="FK516" i="50"/>
  <c r="FK515" i="50"/>
  <c r="FK514" i="50"/>
  <c r="FK513" i="50"/>
  <c r="FK512" i="50"/>
  <c r="FK511" i="50"/>
  <c r="FK510" i="50"/>
  <c r="FK509" i="50"/>
  <c r="FK508" i="50"/>
  <c r="FK507" i="50"/>
  <c r="FK506" i="50"/>
  <c r="FK505" i="50"/>
  <c r="FK504" i="50"/>
  <c r="FK503" i="50"/>
  <c r="FK502" i="50"/>
  <c r="FK501" i="50"/>
  <c r="FK500" i="50"/>
  <c r="FK499" i="50"/>
  <c r="FK498" i="50"/>
  <c r="FK497" i="50"/>
  <c r="FK496" i="50"/>
  <c r="FK495" i="50"/>
  <c r="FK494" i="50"/>
  <c r="FK493" i="50"/>
  <c r="FK492" i="50"/>
  <c r="FK491" i="50"/>
  <c r="FK490" i="50"/>
  <c r="FK489" i="50"/>
  <c r="FK488" i="50"/>
  <c r="FK487" i="50"/>
  <c r="FK486" i="50"/>
  <c r="FK485" i="50"/>
  <c r="FK484" i="50"/>
  <c r="FK483" i="50"/>
  <c r="FK482" i="50"/>
  <c r="FK481" i="50"/>
  <c r="FK480" i="50"/>
  <c r="FK479" i="50"/>
  <c r="FK478" i="50"/>
  <c r="FK477" i="50"/>
  <c r="FK476" i="50"/>
  <c r="FK475" i="50"/>
  <c r="FK474" i="50"/>
  <c r="FK473" i="50"/>
  <c r="FK472" i="50"/>
  <c r="FK471" i="50"/>
  <c r="FK470" i="50"/>
  <c r="FK469" i="50"/>
  <c r="FK468" i="50"/>
  <c r="FK467" i="50"/>
  <c r="FK466" i="50"/>
  <c r="FK465" i="50"/>
  <c r="FK464" i="50"/>
  <c r="FK463" i="50"/>
  <c r="FK462" i="50"/>
  <c r="FK461" i="50"/>
  <c r="FK460" i="50"/>
  <c r="FK459" i="50"/>
  <c r="FK458" i="50"/>
  <c r="FK457" i="50"/>
  <c r="FK456" i="50"/>
  <c r="FK455" i="50"/>
  <c r="FK454" i="50"/>
  <c r="FK453" i="50"/>
  <c r="FK452" i="50"/>
  <c r="FK451" i="50"/>
  <c r="FK450" i="50"/>
  <c r="FK449" i="50"/>
  <c r="FK448" i="50"/>
  <c r="FK447" i="50"/>
  <c r="FK446" i="50"/>
  <c r="FK445" i="50"/>
  <c r="FK444" i="50"/>
  <c r="FK443" i="50"/>
  <c r="FK442" i="50"/>
  <c r="FK441" i="50"/>
  <c r="FK440" i="50"/>
  <c r="FK439" i="50"/>
  <c r="FK438" i="50"/>
  <c r="FK437" i="50"/>
  <c r="FK436" i="50"/>
  <c r="FK435" i="50"/>
  <c r="FK434" i="50"/>
  <c r="FK433" i="50"/>
  <c r="FK432" i="50"/>
  <c r="FK431" i="50"/>
  <c r="FK430" i="50"/>
  <c r="FK429" i="50"/>
  <c r="FK428" i="50"/>
  <c r="FK427" i="50"/>
  <c r="FK426" i="50"/>
  <c r="FK424" i="50"/>
  <c r="FK423" i="50"/>
  <c r="FK422" i="50"/>
  <c r="FK421" i="50"/>
  <c r="FK420" i="50"/>
  <c r="FK419" i="50"/>
  <c r="FK418" i="50"/>
  <c r="FK417" i="50"/>
  <c r="FK416" i="50"/>
  <c r="FK415" i="50"/>
  <c r="FK414" i="50"/>
  <c r="FK413" i="50"/>
  <c r="FK397" i="50"/>
  <c r="FK396" i="50"/>
  <c r="FK395" i="50"/>
  <c r="FK394" i="50"/>
  <c r="FK393" i="50"/>
  <c r="FK392" i="50"/>
  <c r="FK391" i="50"/>
  <c r="FK390" i="50"/>
  <c r="FK389" i="50"/>
  <c r="FK388" i="50"/>
  <c r="FK387" i="50"/>
  <c r="FK386" i="50"/>
  <c r="FK385" i="50"/>
  <c r="FK384" i="50"/>
  <c r="FK383" i="50"/>
  <c r="FK382" i="50"/>
  <c r="FK381" i="50"/>
  <c r="FK380" i="50"/>
  <c r="FK379" i="50"/>
  <c r="FK378" i="50"/>
  <c r="FK377" i="50"/>
  <c r="FK376" i="50"/>
  <c r="FK375" i="50"/>
  <c r="FK374" i="50"/>
  <c r="FK373" i="50"/>
  <c r="FK372" i="50"/>
  <c r="FK371" i="50"/>
  <c r="FK370" i="50"/>
  <c r="FK369" i="50"/>
  <c r="FK368" i="50"/>
  <c r="FK367" i="50"/>
  <c r="FK366" i="50"/>
  <c r="FK365" i="50"/>
  <c r="FK364" i="50"/>
  <c r="FK363" i="50"/>
  <c r="FK362" i="50"/>
  <c r="FK361" i="50"/>
  <c r="FK360" i="50"/>
  <c r="FK359" i="50"/>
  <c r="FK358" i="50"/>
  <c r="FK357" i="50"/>
  <c r="FK356" i="50"/>
  <c r="FK355" i="50"/>
  <c r="FK354" i="50"/>
  <c r="FK353" i="50"/>
  <c r="FK352" i="50"/>
  <c r="FK351" i="50"/>
  <c r="FK350" i="50"/>
  <c r="FK349" i="50"/>
  <c r="FK348" i="50"/>
  <c r="FK347" i="50"/>
  <c r="FK346" i="50"/>
  <c r="FK345" i="50"/>
  <c r="FK344" i="50"/>
  <c r="FK343" i="50"/>
  <c r="FK342" i="50"/>
  <c r="FK341" i="50"/>
  <c r="FK340" i="50"/>
  <c r="FK339" i="50"/>
  <c r="FK338" i="50"/>
  <c r="FK337" i="50"/>
  <c r="FK336" i="50"/>
  <c r="FK335" i="50"/>
  <c r="FK334" i="50"/>
  <c r="FK333" i="50"/>
  <c r="FK332" i="50"/>
  <c r="FK331" i="50"/>
  <c r="FK330" i="50"/>
  <c r="FK329" i="50"/>
  <c r="FK328" i="50"/>
  <c r="FK327" i="50"/>
  <c r="FK326" i="50"/>
  <c r="FK325" i="50"/>
  <c r="FK324" i="50"/>
  <c r="FK323" i="50"/>
  <c r="FK322" i="50"/>
  <c r="FK321" i="50"/>
  <c r="FK320" i="50"/>
  <c r="FK319" i="50"/>
  <c r="FK318" i="50"/>
  <c r="FK317" i="50"/>
  <c r="FK316" i="50"/>
  <c r="FK315" i="50"/>
  <c r="FK314" i="50"/>
  <c r="FK313" i="50"/>
  <c r="FK312" i="50"/>
  <c r="FK311" i="50"/>
  <c r="FK310" i="50"/>
  <c r="FK309" i="50"/>
  <c r="FK308" i="50"/>
  <c r="FK307" i="50"/>
  <c r="FK306" i="50"/>
  <c r="FK305" i="50"/>
  <c r="FK304" i="50"/>
  <c r="FK303" i="50"/>
  <c r="FK302" i="50"/>
  <c r="FK301" i="50"/>
  <c r="FK300" i="50"/>
  <c r="FK299" i="50"/>
  <c r="FK298" i="50"/>
  <c r="FK297" i="50"/>
  <c r="FK296" i="50"/>
  <c r="FK295" i="50"/>
  <c r="FK294" i="50"/>
  <c r="FK293" i="50"/>
  <c r="FK292" i="50"/>
  <c r="FK291" i="50"/>
  <c r="FK290" i="50"/>
  <c r="FK289" i="50"/>
  <c r="FK288" i="50"/>
  <c r="FK287" i="50"/>
  <c r="FK286" i="50"/>
  <c r="FK285" i="50"/>
  <c r="FK284" i="50"/>
  <c r="FK283" i="50"/>
  <c r="FK282" i="50"/>
  <c r="FK281" i="50"/>
  <c r="FK280" i="50"/>
  <c r="FK279" i="50"/>
  <c r="FK278" i="50"/>
  <c r="FK277" i="50"/>
  <c r="FK276" i="50"/>
  <c r="FK275" i="50"/>
  <c r="FK274" i="50"/>
  <c r="FK273" i="50"/>
  <c r="FK272" i="50"/>
  <c r="FK271" i="50"/>
  <c r="FK270" i="50"/>
  <c r="FK269" i="50"/>
  <c r="FK268" i="50"/>
  <c r="FK267" i="50"/>
  <c r="FK266" i="50"/>
  <c r="FK265" i="50"/>
  <c r="FK264" i="50"/>
  <c r="FK263" i="50"/>
  <c r="FK262" i="50"/>
  <c r="FK261" i="50"/>
  <c r="FK260" i="50"/>
  <c r="FK259" i="50"/>
  <c r="FK258" i="50"/>
  <c r="FK257" i="50"/>
  <c r="FK256" i="50"/>
  <c r="FK255" i="50"/>
  <c r="FK254" i="50"/>
  <c r="FK253" i="50"/>
  <c r="FK252" i="50"/>
  <c r="FK251" i="50"/>
  <c r="FK250" i="50"/>
  <c r="FK249" i="50"/>
  <c r="FK248" i="50"/>
  <c r="FK247" i="50"/>
  <c r="FK246" i="50"/>
  <c r="FK245" i="50"/>
  <c r="FK244" i="50"/>
  <c r="FK243" i="50"/>
  <c r="FK242" i="50"/>
  <c r="FK241" i="50"/>
  <c r="FK240" i="50"/>
  <c r="FK239" i="50"/>
  <c r="FK238" i="50"/>
  <c r="FK237" i="50"/>
  <c r="FK236" i="50"/>
  <c r="FK235" i="50"/>
  <c r="FK234" i="50"/>
  <c r="FK232" i="50"/>
  <c r="FK231" i="50"/>
  <c r="FK230" i="50"/>
  <c r="FK229" i="50"/>
  <c r="FK228" i="50"/>
  <c r="FK227" i="50"/>
  <c r="FK225" i="50"/>
  <c r="FK224" i="50"/>
  <c r="FK223" i="50"/>
  <c r="FK222" i="50"/>
  <c r="FK221" i="50"/>
  <c r="FK220" i="50"/>
  <c r="FK219" i="50"/>
  <c r="FK218" i="50"/>
  <c r="FK217" i="50"/>
  <c r="FK216" i="50"/>
  <c r="FK215" i="50"/>
  <c r="FK214" i="50"/>
  <c r="FK213" i="50"/>
  <c r="FK212" i="50"/>
  <c r="FK211" i="50"/>
  <c r="FK210" i="50"/>
  <c r="FK209" i="50"/>
  <c r="FK208" i="50"/>
  <c r="FK207" i="50"/>
  <c r="FK206" i="50"/>
  <c r="FK205" i="50"/>
  <c r="FK204" i="50"/>
  <c r="FK203" i="50"/>
  <c r="FK202" i="50"/>
  <c r="FK201" i="50"/>
  <c r="FK200" i="50"/>
  <c r="FK199" i="50"/>
  <c r="FK198" i="50"/>
  <c r="FK197" i="50"/>
  <c r="FK196" i="50"/>
  <c r="FK195" i="50"/>
  <c r="FK194" i="50"/>
  <c r="FK193" i="50"/>
  <c r="FK192" i="50"/>
  <c r="FK191" i="50"/>
  <c r="FK190" i="50"/>
  <c r="FK189" i="50"/>
  <c r="FK187" i="50"/>
  <c r="FK186" i="50"/>
  <c r="FK185" i="50"/>
  <c r="FK184" i="50"/>
  <c r="FK183" i="50"/>
  <c r="FK182" i="50"/>
  <c r="FK181" i="50"/>
  <c r="FK180" i="50"/>
  <c r="FK179" i="50"/>
  <c r="FK178" i="50"/>
  <c r="FK177" i="50"/>
  <c r="FK176" i="50"/>
  <c r="FK175" i="50"/>
  <c r="FK174" i="50"/>
  <c r="FK173" i="50"/>
  <c r="FK172" i="50"/>
  <c r="FK171" i="50"/>
  <c r="FK170" i="50"/>
  <c r="FK169" i="50"/>
  <c r="FK168" i="50"/>
  <c r="FK167" i="50"/>
  <c r="FK166" i="50"/>
  <c r="FK165" i="50"/>
  <c r="FK164" i="50"/>
  <c r="FK163" i="50"/>
  <c r="FK162" i="50"/>
  <c r="FK161" i="50"/>
  <c r="FK160" i="50"/>
  <c r="FK159" i="50"/>
  <c r="FK158" i="50"/>
  <c r="FK157" i="50"/>
  <c r="FK156" i="50"/>
  <c r="FK155" i="50"/>
  <c r="FK154" i="50"/>
  <c r="FK153" i="50"/>
  <c r="FK152" i="50"/>
  <c r="FK151" i="50"/>
  <c r="FK150" i="50"/>
  <c r="FK148" i="50"/>
  <c r="FK147" i="50"/>
  <c r="FK146" i="50"/>
  <c r="FK145" i="50"/>
  <c r="FK143" i="50"/>
  <c r="FK142" i="50"/>
  <c r="FK141" i="50"/>
  <c r="FK140" i="50"/>
  <c r="FK139" i="50"/>
  <c r="FK137" i="50"/>
  <c r="FK136" i="50"/>
  <c r="FK134" i="50"/>
  <c r="FK133" i="50"/>
  <c r="FK132" i="50"/>
  <c r="FK131" i="50"/>
  <c r="FK130" i="50"/>
  <c r="FK129" i="50"/>
  <c r="FK128" i="50"/>
  <c r="FK127" i="50"/>
  <c r="FK126" i="50"/>
  <c r="FK125" i="50"/>
  <c r="FK124" i="50"/>
  <c r="FK123" i="50"/>
  <c r="FK122" i="50"/>
  <c r="FK121" i="50"/>
  <c r="FK120" i="50"/>
  <c r="FK119" i="50"/>
  <c r="FK118" i="50"/>
  <c r="FK117" i="50"/>
  <c r="FK116" i="50"/>
  <c r="FK115" i="50"/>
  <c r="FK114" i="50"/>
  <c r="FK113" i="50"/>
  <c r="FK112" i="50"/>
  <c r="FK111" i="50"/>
  <c r="FK110" i="50"/>
  <c r="FK109" i="50"/>
  <c r="FK108" i="50"/>
  <c r="FK107" i="50"/>
  <c r="FK106" i="50"/>
  <c r="FK105" i="50"/>
  <c r="FK104" i="50"/>
  <c r="FK103" i="50"/>
  <c r="FK102" i="50"/>
  <c r="FK101" i="50"/>
  <c r="FK100" i="50"/>
  <c r="FK99" i="50"/>
  <c r="FK98" i="50"/>
  <c r="FK97" i="50"/>
  <c r="FK96" i="50"/>
  <c r="FK95" i="50"/>
  <c r="FK94" i="50"/>
  <c r="FK93" i="50"/>
  <c r="FK92" i="50"/>
  <c r="FK91" i="50"/>
  <c r="FK90" i="50"/>
  <c r="FK89" i="50"/>
  <c r="FK88" i="50"/>
  <c r="FK87" i="50"/>
  <c r="FK86" i="50"/>
  <c r="FK85" i="50"/>
  <c r="FK84" i="50"/>
  <c r="FK83" i="50"/>
  <c r="FK82" i="50"/>
  <c r="FK81" i="50"/>
  <c r="FK80" i="50"/>
  <c r="FK79" i="50"/>
  <c r="FK78" i="50"/>
  <c r="FK77" i="50"/>
  <c r="FK76" i="50"/>
  <c r="FK75" i="50"/>
  <c r="FK74" i="50"/>
  <c r="FK73" i="50"/>
  <c r="FK72" i="50"/>
  <c r="FK71" i="50"/>
  <c r="FK70" i="50"/>
  <c r="FK69" i="50"/>
  <c r="FK68" i="50"/>
  <c r="FK67" i="50"/>
  <c r="FK66" i="50"/>
  <c r="FK65" i="50"/>
  <c r="FK64" i="50"/>
  <c r="FK63" i="50"/>
  <c r="FK62" i="50"/>
  <c r="FK61" i="50"/>
  <c r="FK60" i="50"/>
  <c r="FK59" i="50"/>
  <c r="FK58" i="50"/>
  <c r="FK57" i="50"/>
  <c r="FK56" i="50"/>
  <c r="FK55" i="50"/>
  <c r="FK54" i="50"/>
  <c r="FK53" i="50"/>
  <c r="FK52" i="50"/>
  <c r="FK51" i="50"/>
  <c r="FK50" i="50"/>
  <c r="FK49" i="50"/>
  <c r="FK48" i="50"/>
  <c r="FK47" i="50"/>
  <c r="FH927" i="50"/>
  <c r="FH926" i="50"/>
  <c r="FH921" i="50"/>
  <c r="FH917" i="50"/>
  <c r="FH916" i="50"/>
  <c r="FH915" i="50"/>
  <c r="FH909" i="50"/>
  <c r="FH908" i="50"/>
  <c r="FH907" i="50"/>
  <c r="FH906" i="50"/>
  <c r="FH905" i="50"/>
  <c r="FH894" i="50"/>
  <c r="FH893" i="50"/>
  <c r="FH892" i="50"/>
  <c r="FH891" i="50"/>
  <c r="FH890" i="50"/>
  <c r="FH889" i="50"/>
  <c r="FH888" i="50"/>
  <c r="FH887" i="50"/>
  <c r="FH886" i="50"/>
  <c r="FH885" i="50"/>
  <c r="FH884" i="50"/>
  <c r="FH882" i="50"/>
  <c r="FH880" i="50"/>
  <c r="FH878" i="50"/>
  <c r="FH876" i="50"/>
  <c r="FH874" i="50"/>
  <c r="FH870" i="50"/>
  <c r="FH869" i="50"/>
  <c r="FH868" i="50"/>
  <c r="FH847" i="50"/>
  <c r="FH844" i="50"/>
  <c r="FH841" i="50"/>
  <c r="FH838" i="50"/>
  <c r="FH835" i="50"/>
  <c r="FH792" i="50"/>
  <c r="FH791" i="50"/>
  <c r="FH788" i="50"/>
  <c r="FH787" i="50"/>
  <c r="FH784" i="50"/>
  <c r="FH783" i="50"/>
  <c r="FH780" i="50"/>
  <c r="FH779" i="50"/>
  <c r="FH776" i="50"/>
  <c r="FH775" i="50"/>
  <c r="FH774" i="50"/>
  <c r="FH764" i="50"/>
  <c r="FH762" i="50"/>
  <c r="FH760" i="50"/>
  <c r="FH758" i="50"/>
  <c r="FH739" i="50"/>
  <c r="FH738" i="50"/>
  <c r="FH734" i="50"/>
  <c r="FH733" i="50"/>
  <c r="FH682" i="50"/>
  <c r="FH681" i="50"/>
  <c r="FH663" i="50"/>
  <c r="FH661" i="50"/>
  <c r="FH641" i="50"/>
  <c r="FH640" i="50"/>
  <c r="FH639" i="50"/>
  <c r="FH638" i="50"/>
  <c r="FH637" i="50"/>
  <c r="FH636" i="50"/>
  <c r="FH635" i="50"/>
  <c r="FH634" i="50"/>
  <c r="FH633" i="50"/>
  <c r="FH632" i="50"/>
  <c r="FH631" i="50"/>
  <c r="FH630" i="50"/>
  <c r="FH629" i="50"/>
  <c r="FH628" i="50"/>
  <c r="FH627" i="50"/>
  <c r="FH626" i="50"/>
  <c r="FH625" i="50"/>
  <c r="FH624" i="50"/>
  <c r="FH623" i="50"/>
  <c r="FH622" i="50"/>
  <c r="FH620" i="50"/>
  <c r="FH619" i="50"/>
  <c r="FH618" i="50"/>
  <c r="FH617" i="50"/>
  <c r="FH616" i="50"/>
  <c r="FH615" i="50"/>
  <c r="FH614" i="50"/>
  <c r="FH613" i="50"/>
  <c r="FH612" i="50"/>
  <c r="FH611" i="50"/>
  <c r="FH610" i="50"/>
  <c r="FH609" i="50"/>
  <c r="FH608" i="50"/>
  <c r="FH607" i="50"/>
  <c r="FH606" i="50"/>
  <c r="FH605" i="50"/>
  <c r="FH604" i="50"/>
  <c r="FH603" i="50"/>
  <c r="FH602" i="50"/>
  <c r="FH601" i="50"/>
  <c r="FH600" i="50"/>
  <c r="FH599" i="50"/>
  <c r="FH598" i="50"/>
  <c r="FH597" i="50"/>
  <c r="FH596" i="50"/>
  <c r="FH595" i="50"/>
  <c r="FH594" i="50"/>
  <c r="FH593" i="50"/>
  <c r="FH592" i="50"/>
  <c r="FH591" i="50"/>
  <c r="FH590" i="50"/>
  <c r="FH589" i="50"/>
  <c r="FH588" i="50"/>
  <c r="FH587" i="50"/>
  <c r="FH586" i="50"/>
  <c r="FH585" i="50"/>
  <c r="FH584" i="50"/>
  <c r="FH583" i="50"/>
  <c r="FH582" i="50"/>
  <c r="FH581" i="50"/>
  <c r="FH580" i="50"/>
  <c r="FH579" i="50"/>
  <c r="FH578" i="50"/>
  <c r="FH577" i="50"/>
  <c r="FH576" i="50"/>
  <c r="FH575" i="50"/>
  <c r="FH574" i="50"/>
  <c r="FH573" i="50"/>
  <c r="FH572" i="50"/>
  <c r="FH571" i="50"/>
  <c r="FH570" i="50"/>
  <c r="FH569" i="50"/>
  <c r="FH568" i="50"/>
  <c r="FH567" i="50"/>
  <c r="FH566" i="50"/>
  <c r="FH565" i="50"/>
  <c r="FH564" i="50"/>
  <c r="FH563" i="50"/>
  <c r="FH562" i="50"/>
  <c r="FH561" i="50"/>
  <c r="FH560" i="50"/>
  <c r="FH559" i="50"/>
  <c r="FH558" i="50"/>
  <c r="FH557" i="50"/>
  <c r="FH556" i="50"/>
  <c r="FH555" i="50"/>
  <c r="FH554" i="50"/>
  <c r="FH553" i="50"/>
  <c r="FH552" i="50"/>
  <c r="FH551" i="50"/>
  <c r="FH550" i="50"/>
  <c r="FH549" i="50"/>
  <c r="FH548" i="50"/>
  <c r="FH547" i="50"/>
  <c r="FH546" i="50"/>
  <c r="FH545" i="50"/>
  <c r="FH544" i="50"/>
  <c r="FH543" i="50"/>
  <c r="FH542" i="50"/>
  <c r="FH541" i="50"/>
  <c r="FH540" i="50"/>
  <c r="FH539" i="50"/>
  <c r="FH538" i="50"/>
  <c r="FH537" i="50"/>
  <c r="FH536" i="50"/>
  <c r="FH535" i="50"/>
  <c r="FH534" i="50"/>
  <c r="FH533" i="50"/>
  <c r="FH532" i="50"/>
  <c r="FH531" i="50"/>
  <c r="FH530" i="50"/>
  <c r="FH529" i="50"/>
  <c r="FH528" i="50"/>
  <c r="FH527" i="50"/>
  <c r="FH526" i="50"/>
  <c r="FH525" i="50"/>
  <c r="FH524" i="50"/>
  <c r="FH523" i="50"/>
  <c r="FH522" i="50"/>
  <c r="FH521" i="50"/>
  <c r="FH520" i="50"/>
  <c r="FH519" i="50"/>
  <c r="FH518" i="50"/>
  <c r="FH517" i="50"/>
  <c r="FH516" i="50"/>
  <c r="FH515" i="50"/>
  <c r="FH514" i="50"/>
  <c r="FH513" i="50"/>
  <c r="FH512" i="50"/>
  <c r="FH511" i="50"/>
  <c r="FH510" i="50"/>
  <c r="FH430" i="50"/>
  <c r="FH429" i="50"/>
  <c r="FH428" i="50"/>
  <c r="FH427" i="50"/>
  <c r="FH426" i="50"/>
  <c r="FH424" i="50"/>
  <c r="FH423" i="50"/>
  <c r="FH422" i="50"/>
  <c r="FH421" i="50"/>
  <c r="FH420" i="50"/>
  <c r="FH419" i="50"/>
  <c r="FH418" i="50"/>
  <c r="FH417" i="50"/>
  <c r="FH416" i="50"/>
  <c r="FH415" i="50"/>
  <c r="FH414" i="50"/>
  <c r="FH413" i="50"/>
  <c r="FH412" i="50"/>
  <c r="FH411" i="50"/>
  <c r="FH410" i="50"/>
  <c r="FH409" i="50"/>
  <c r="FH408" i="50"/>
  <c r="FH407" i="50"/>
  <c r="FH406" i="50"/>
  <c r="FH405" i="50"/>
  <c r="FH404" i="50"/>
  <c r="FH403" i="50"/>
  <c r="FH402" i="50"/>
  <c r="FH401" i="50"/>
  <c r="FH400" i="50"/>
  <c r="FH399" i="50"/>
  <c r="FH398" i="50"/>
  <c r="FH397" i="50"/>
  <c r="FH396" i="50"/>
  <c r="FH395" i="50"/>
  <c r="FH394" i="50"/>
  <c r="FH393" i="50"/>
  <c r="FH392" i="50"/>
  <c r="FH391" i="50"/>
  <c r="FH390" i="50"/>
  <c r="FH389" i="50"/>
  <c r="FH388" i="50"/>
  <c r="FH387" i="50"/>
  <c r="FH386" i="50"/>
  <c r="FH385" i="50"/>
  <c r="FH384" i="50"/>
  <c r="FH383" i="50"/>
  <c r="FH382" i="50"/>
  <c r="FH381" i="50"/>
  <c r="FH380" i="50"/>
  <c r="FH379" i="50"/>
  <c r="FH378" i="50"/>
  <c r="FH377" i="50"/>
  <c r="FH376" i="50"/>
  <c r="FH375" i="50"/>
  <c r="FH374" i="50"/>
  <c r="FH373" i="50"/>
  <c r="FH372" i="50"/>
  <c r="FH371" i="50"/>
  <c r="FH370" i="50"/>
  <c r="FH369" i="50"/>
  <c r="FH368" i="50"/>
  <c r="FH367" i="50"/>
  <c r="FH366" i="50"/>
  <c r="FH365" i="50"/>
  <c r="FH364" i="50"/>
  <c r="FH363" i="50"/>
  <c r="FH362" i="50"/>
  <c r="FH356" i="50"/>
  <c r="FH355" i="50"/>
  <c r="FH317" i="50"/>
  <c r="FH316" i="50"/>
  <c r="FH315" i="50"/>
  <c r="FH314" i="50"/>
  <c r="FH313" i="50"/>
  <c r="FH312" i="50"/>
  <c r="FH311" i="50"/>
  <c r="FH310" i="50"/>
  <c r="FH309" i="50"/>
  <c r="FH304" i="50"/>
  <c r="FH303" i="50"/>
  <c r="FH302" i="50"/>
  <c r="FH301" i="50"/>
  <c r="FH300" i="50"/>
  <c r="FH299" i="50"/>
  <c r="FH298" i="50"/>
  <c r="FH297" i="50"/>
  <c r="FH296" i="50"/>
  <c r="FH295" i="50"/>
  <c r="FH294" i="50"/>
  <c r="FH293" i="50"/>
  <c r="FH292" i="50"/>
  <c r="FH291" i="50"/>
  <c r="FH290" i="50"/>
  <c r="FH289" i="50"/>
  <c r="FH288" i="50"/>
  <c r="FH287" i="50"/>
  <c r="FH286" i="50"/>
  <c r="FH285" i="50"/>
  <c r="FH284" i="50"/>
  <c r="FH283" i="50"/>
  <c r="FH282" i="50"/>
  <c r="FH281" i="50"/>
  <c r="FH280" i="50"/>
  <c r="FH279" i="50"/>
  <c r="FH278" i="50"/>
  <c r="FH277" i="50"/>
  <c r="FH276" i="50"/>
  <c r="FH275" i="50"/>
  <c r="FH274" i="50"/>
  <c r="FH273" i="50"/>
  <c r="FH272" i="50"/>
  <c r="FH271" i="50"/>
  <c r="FH270" i="50"/>
  <c r="FH269" i="50"/>
  <c r="FH268" i="50"/>
  <c r="FH267" i="50"/>
  <c r="FH266" i="50"/>
  <c r="FH265" i="50"/>
  <c r="FH264" i="50"/>
  <c r="FH263" i="50"/>
  <c r="FH262" i="50"/>
  <c r="FH261" i="50"/>
  <c r="FH260" i="50"/>
  <c r="FH259" i="50"/>
  <c r="FH258" i="50"/>
  <c r="FH257" i="50"/>
  <c r="FH256" i="50"/>
  <c r="FH255" i="50"/>
  <c r="FH254" i="50"/>
  <c r="FH253" i="50"/>
  <c r="FH252" i="50"/>
  <c r="FH251" i="50"/>
  <c r="FH250" i="50"/>
  <c r="FH249" i="50"/>
  <c r="FH248" i="50"/>
  <c r="FH247" i="50"/>
  <c r="FH246" i="50"/>
  <c r="FH245" i="50"/>
  <c r="FH244" i="50"/>
  <c r="FH243" i="50"/>
  <c r="FH242" i="50"/>
  <c r="FH241" i="50"/>
  <c r="FH240" i="50"/>
  <c r="FH239" i="50"/>
  <c r="FH238" i="50"/>
  <c r="FH237" i="50"/>
  <c r="FH236" i="50"/>
  <c r="FH235" i="50"/>
  <c r="FH234" i="50"/>
  <c r="FH224" i="50"/>
  <c r="FH223" i="50"/>
  <c r="FH222" i="50"/>
  <c r="FH221" i="50"/>
  <c r="FH220" i="50"/>
  <c r="FH219" i="50"/>
  <c r="FH218" i="50"/>
  <c r="FH217" i="50"/>
  <c r="FH216" i="50"/>
  <c r="FH215" i="50"/>
  <c r="FH214" i="50"/>
  <c r="FH213" i="50"/>
  <c r="FH212" i="50"/>
  <c r="FH211" i="50"/>
  <c r="FH210" i="50"/>
  <c r="FH209" i="50"/>
  <c r="FH208" i="50"/>
  <c r="FH207" i="50"/>
  <c r="FH206" i="50"/>
  <c r="FH205" i="50"/>
  <c r="FH204" i="50"/>
  <c r="FH203" i="50"/>
  <c r="FH202" i="50"/>
  <c r="FH201" i="50"/>
  <c r="FH200" i="50"/>
  <c r="FH199" i="50"/>
  <c r="FH198" i="50"/>
  <c r="FH197" i="50"/>
  <c r="FH196" i="50"/>
  <c r="FH195" i="50"/>
  <c r="FH194" i="50"/>
  <c r="FH193" i="50"/>
  <c r="FH192" i="50"/>
  <c r="FH191" i="50"/>
  <c r="FH190" i="50"/>
  <c r="FH172" i="50"/>
  <c r="FH171" i="50"/>
  <c r="FH170" i="50"/>
  <c r="FH169" i="50"/>
  <c r="FH168" i="50"/>
  <c r="FH167" i="50"/>
  <c r="FH166" i="50"/>
  <c r="FH165" i="50"/>
  <c r="FH164" i="50"/>
  <c r="FH163" i="50"/>
  <c r="FH162" i="50"/>
  <c r="FH161" i="50"/>
  <c r="FH160" i="50"/>
  <c r="FH159" i="50"/>
  <c r="FH158" i="50"/>
  <c r="FH157" i="50"/>
  <c r="FH156" i="50"/>
  <c r="FH155" i="50"/>
  <c r="FH115" i="50"/>
  <c r="FH114" i="50"/>
  <c r="FH113" i="50"/>
  <c r="FH112" i="50"/>
  <c r="FH111" i="50"/>
  <c r="FH110" i="50"/>
  <c r="FH109" i="50"/>
  <c r="FH108" i="50"/>
  <c r="FH107" i="50"/>
  <c r="FH106" i="50"/>
  <c r="FH105" i="50"/>
  <c r="FH104" i="50"/>
  <c r="FH103" i="50"/>
  <c r="FH102" i="50"/>
  <c r="FH101" i="50"/>
  <c r="FH94" i="50"/>
  <c r="FH93" i="50"/>
  <c r="FH92" i="50"/>
  <c r="FH91" i="50"/>
  <c r="FH90" i="50"/>
  <c r="FH89" i="50"/>
  <c r="FH88" i="50"/>
  <c r="FH87" i="50"/>
  <c r="FH86" i="50"/>
  <c r="FH85" i="50"/>
  <c r="FH84" i="50"/>
  <c r="FH83" i="50"/>
  <c r="FH82" i="50"/>
  <c r="FH81" i="50"/>
  <c r="FH80" i="50"/>
  <c r="FH79" i="50"/>
  <c r="FH78" i="50"/>
  <c r="FH77" i="50"/>
  <c r="FH76" i="50"/>
  <c r="FH75" i="50"/>
  <c r="FH74" i="50"/>
  <c r="FH73" i="50"/>
  <c r="FH72" i="50"/>
  <c r="FH71" i="50"/>
  <c r="FH70" i="50"/>
  <c r="FH69" i="50"/>
  <c r="FH68" i="50"/>
  <c r="FH67" i="50"/>
  <c r="FH66" i="50"/>
  <c r="FH65" i="50"/>
  <c r="FH64" i="50"/>
  <c r="FH63" i="50"/>
  <c r="FH62" i="50"/>
  <c r="FH61" i="50"/>
  <c r="FH60" i="50"/>
  <c r="FH59" i="50"/>
  <c r="FH58" i="50"/>
  <c r="FH57" i="50"/>
  <c r="FH56" i="50"/>
  <c r="FH55" i="50"/>
  <c r="FH54" i="50"/>
  <c r="FH53" i="50"/>
  <c r="FH52" i="50"/>
  <c r="FH51" i="50"/>
  <c r="FH50" i="50"/>
  <c r="FH49" i="50"/>
  <c r="FH48" i="50"/>
  <c r="FH47" i="50"/>
  <c r="FF927" i="50"/>
  <c r="FF926" i="50"/>
  <c r="FF925" i="50"/>
  <c r="FF924" i="50"/>
  <c r="FF923" i="50"/>
  <c r="FF922" i="50"/>
  <c r="FF921" i="50"/>
  <c r="FF920" i="50"/>
  <c r="FF919" i="50"/>
  <c r="FF918" i="50"/>
  <c r="FF917" i="50"/>
  <c r="FF916" i="50"/>
  <c r="FF915" i="50"/>
  <c r="FF914" i="50"/>
  <c r="FF913" i="50"/>
  <c r="FF912" i="50"/>
  <c r="FF911" i="50"/>
  <c r="FF910" i="50"/>
  <c r="FF909" i="50"/>
  <c r="FF908" i="50"/>
  <c r="FF907" i="50"/>
  <c r="FF906" i="50"/>
  <c r="FF905" i="50"/>
  <c r="FF904" i="50"/>
  <c r="FF903" i="50"/>
  <c r="FF902" i="50"/>
  <c r="FF901" i="50"/>
  <c r="FF900" i="50"/>
  <c r="FF899" i="50"/>
  <c r="FF898" i="50"/>
  <c r="FF897" i="50"/>
  <c r="FF896" i="50"/>
  <c r="FF895" i="50"/>
  <c r="FF894" i="50"/>
  <c r="FF893" i="50"/>
  <c r="FF892" i="50"/>
  <c r="FF891" i="50"/>
  <c r="FF890" i="50"/>
  <c r="FF889" i="50"/>
  <c r="FF888" i="50"/>
  <c r="FF887" i="50"/>
  <c r="FF886" i="50"/>
  <c r="FF885" i="50"/>
  <c r="FF884" i="50"/>
  <c r="FF883" i="50"/>
  <c r="FF882" i="50"/>
  <c r="FF881" i="50"/>
  <c r="FF880" i="50"/>
  <c r="FF879" i="50"/>
  <c r="FF878" i="50"/>
  <c r="FF877" i="50"/>
  <c r="FF876" i="50"/>
  <c r="FF875" i="50"/>
  <c r="FF874" i="50"/>
  <c r="FF873" i="50"/>
  <c r="FF872" i="50"/>
  <c r="FF871" i="50"/>
  <c r="FF870" i="50"/>
  <c r="FF869" i="50"/>
  <c r="FF868" i="50"/>
  <c r="FF867" i="50"/>
  <c r="FF866" i="50"/>
  <c r="FF865" i="50"/>
  <c r="FF864" i="50"/>
  <c r="FF863" i="50"/>
  <c r="FF862" i="50"/>
  <c r="FF861" i="50"/>
  <c r="FF860" i="50"/>
  <c r="FF859" i="50"/>
  <c r="FF858" i="50"/>
  <c r="FF857" i="50"/>
  <c r="FF856" i="50"/>
  <c r="FF855" i="50"/>
  <c r="FF854" i="50"/>
  <c r="FF853" i="50"/>
  <c r="FF852" i="50"/>
  <c r="FF851" i="50"/>
  <c r="FF850" i="50"/>
  <c r="FF849" i="50"/>
  <c r="FF848" i="50"/>
  <c r="FF847" i="50"/>
  <c r="FF846" i="50"/>
  <c r="FF845" i="50"/>
  <c r="FF844" i="50"/>
  <c r="FF843" i="50"/>
  <c r="FF842" i="50"/>
  <c r="FF841" i="50"/>
  <c r="FF840" i="50"/>
  <c r="FF839" i="50"/>
  <c r="FF838" i="50"/>
  <c r="FF837" i="50"/>
  <c r="FF836" i="50"/>
  <c r="FF835" i="50"/>
  <c r="FF834" i="50"/>
  <c r="FF833" i="50"/>
  <c r="FF832" i="50"/>
  <c r="FF831" i="50"/>
  <c r="FF830" i="50"/>
  <c r="FF829" i="50"/>
  <c r="FF828" i="50"/>
  <c r="FF827" i="50"/>
  <c r="FF826" i="50"/>
  <c r="FF825" i="50"/>
  <c r="FF824" i="50"/>
  <c r="FF823" i="50"/>
  <c r="FF822" i="50"/>
  <c r="FF821" i="50"/>
  <c r="FF820" i="50"/>
  <c r="FF819" i="50"/>
  <c r="FF818" i="50"/>
  <c r="FF817" i="50"/>
  <c r="FF816" i="50"/>
  <c r="FF815" i="50"/>
  <c r="FF814" i="50"/>
  <c r="FF813" i="50"/>
  <c r="FF812" i="50"/>
  <c r="FF811" i="50"/>
  <c r="FF810" i="50"/>
  <c r="FF809" i="50"/>
  <c r="FF808" i="50"/>
  <c r="FF807" i="50"/>
  <c r="FF806" i="50"/>
  <c r="FF805" i="50"/>
  <c r="FF804" i="50"/>
  <c r="FF803" i="50"/>
  <c r="FF802" i="50"/>
  <c r="FF801" i="50"/>
  <c r="FF800" i="50"/>
  <c r="FF799" i="50"/>
  <c r="FF798" i="50"/>
  <c r="FF797" i="50"/>
  <c r="FF796" i="50"/>
  <c r="FF795" i="50"/>
  <c r="FF794" i="50"/>
  <c r="FF793" i="50"/>
  <c r="FF792" i="50"/>
  <c r="FF791" i="50"/>
  <c r="FF790" i="50"/>
  <c r="FF789" i="50"/>
  <c r="FF788" i="50"/>
  <c r="FF787" i="50"/>
  <c r="FF786" i="50"/>
  <c r="FF785" i="50"/>
  <c r="FF784" i="50"/>
  <c r="FF783" i="50"/>
  <c r="FF782" i="50"/>
  <c r="FF781" i="50"/>
  <c r="FF780" i="50"/>
  <c r="FF779" i="50"/>
  <c r="FF778" i="50"/>
  <c r="FF777" i="50"/>
  <c r="FF776" i="50"/>
  <c r="FF775" i="50"/>
  <c r="FF774" i="50"/>
  <c r="FF773" i="50"/>
  <c r="FF772" i="50"/>
  <c r="FF771" i="50"/>
  <c r="FF770" i="50"/>
  <c r="FF769" i="50"/>
  <c r="FF768" i="50"/>
  <c r="FF767" i="50"/>
  <c r="FF766" i="50"/>
  <c r="FF765" i="50"/>
  <c r="FF764" i="50"/>
  <c r="FF763" i="50"/>
  <c r="FF762" i="50"/>
  <c r="FF761" i="50"/>
  <c r="FF760" i="50"/>
  <c r="FF759" i="50"/>
  <c r="FF758" i="50"/>
  <c r="FF757" i="50"/>
  <c r="FF756" i="50"/>
  <c r="FF755" i="50"/>
  <c r="FF754" i="50"/>
  <c r="FF753" i="50"/>
  <c r="FF752" i="50"/>
  <c r="FF751" i="50"/>
  <c r="FF750" i="50"/>
  <c r="FF749" i="50"/>
  <c r="FF748" i="50"/>
  <c r="FF747" i="50"/>
  <c r="FF746" i="50"/>
  <c r="FF745" i="50"/>
  <c r="FF744" i="50"/>
  <c r="FF743" i="50"/>
  <c r="FF742" i="50"/>
  <c r="FF741" i="50"/>
  <c r="FF740" i="50"/>
  <c r="FF739" i="50"/>
  <c r="FF738" i="50"/>
  <c r="FF737" i="50"/>
  <c r="FF736" i="50"/>
  <c r="FF735" i="50"/>
  <c r="FF734" i="50"/>
  <c r="FF733" i="50"/>
  <c r="FF732" i="50"/>
  <c r="FF731" i="50"/>
  <c r="FF730" i="50"/>
  <c r="FF729" i="50"/>
  <c r="FF728" i="50"/>
  <c r="FF727" i="50"/>
  <c r="FF726" i="50"/>
  <c r="FF725" i="50"/>
  <c r="FF724" i="50"/>
  <c r="FF723" i="50"/>
  <c r="FF722" i="50"/>
  <c r="FF721" i="50"/>
  <c r="FF720" i="50"/>
  <c r="FF719" i="50"/>
  <c r="FF718" i="50"/>
  <c r="FF717" i="50"/>
  <c r="FF716" i="50"/>
  <c r="FF715" i="50"/>
  <c r="FF714" i="50"/>
  <c r="FF713" i="50"/>
  <c r="FF712" i="50"/>
  <c r="FF711" i="50"/>
  <c r="FF710" i="50"/>
  <c r="FF709" i="50"/>
  <c r="FF708" i="50"/>
  <c r="FF707" i="50"/>
  <c r="FF706" i="50"/>
  <c r="FF705" i="50"/>
  <c r="FF704" i="50"/>
  <c r="FF703" i="50"/>
  <c r="FF702" i="50"/>
  <c r="FF701" i="50"/>
  <c r="FF700" i="50"/>
  <c r="FF699" i="50"/>
  <c r="FF698" i="50"/>
  <c r="FF697" i="50"/>
  <c r="FF696" i="50"/>
  <c r="FF695" i="50"/>
  <c r="FF694" i="50"/>
  <c r="FF693" i="50"/>
  <c r="FF692" i="50"/>
  <c r="FF691" i="50"/>
  <c r="FF690" i="50"/>
  <c r="FF689" i="50"/>
  <c r="FF688" i="50"/>
  <c r="FF687" i="50"/>
  <c r="FF686" i="50"/>
  <c r="FF685" i="50"/>
  <c r="FF684" i="50"/>
  <c r="FF683" i="50"/>
  <c r="FF682" i="50"/>
  <c r="FF681" i="50"/>
  <c r="FF680" i="50"/>
  <c r="FF679" i="50"/>
  <c r="FF678" i="50"/>
  <c r="FF677" i="50"/>
  <c r="FF676" i="50"/>
  <c r="FF675" i="50"/>
  <c r="FF674" i="50"/>
  <c r="FF673" i="50"/>
  <c r="FF672" i="50"/>
  <c r="FF671" i="50"/>
  <c r="FF670" i="50"/>
  <c r="FF669" i="50"/>
  <c r="FF668" i="50"/>
  <c r="FF667" i="50"/>
  <c r="FF666" i="50"/>
  <c r="FF665" i="50"/>
  <c r="FF664" i="50"/>
  <c r="FF663" i="50"/>
  <c r="FF662" i="50"/>
  <c r="FF661" i="50"/>
  <c r="FF660" i="50"/>
  <c r="FF659" i="50"/>
  <c r="FF658" i="50"/>
  <c r="FF657" i="50"/>
  <c r="FF656" i="50"/>
  <c r="FF655" i="50"/>
  <c r="FF654" i="50"/>
  <c r="FF653" i="50"/>
  <c r="FF652" i="50"/>
  <c r="FF651" i="50"/>
  <c r="FF650" i="50"/>
  <c r="FF649" i="50"/>
  <c r="FF648" i="50"/>
  <c r="FF647" i="50"/>
  <c r="FF646" i="50"/>
  <c r="FF645" i="50"/>
  <c r="FF644" i="50"/>
  <c r="FF643" i="50"/>
  <c r="FF642" i="50"/>
  <c r="FF641" i="50"/>
  <c r="FF640" i="50"/>
  <c r="FF639" i="50"/>
  <c r="FF638" i="50"/>
  <c r="FF637" i="50"/>
  <c r="FF636" i="50"/>
  <c r="FF635" i="50"/>
  <c r="FF634" i="50"/>
  <c r="FF633" i="50"/>
  <c r="FF632" i="50"/>
  <c r="FF631" i="50"/>
  <c r="FF630" i="50"/>
  <c r="FF629" i="50"/>
  <c r="FF628" i="50"/>
  <c r="FF627" i="50"/>
  <c r="FF626" i="50"/>
  <c r="FF625" i="50"/>
  <c r="FF624" i="50"/>
  <c r="FF623" i="50"/>
  <c r="FF622" i="50"/>
  <c r="FF621" i="50"/>
  <c r="FF620" i="50"/>
  <c r="FF619" i="50"/>
  <c r="FF618" i="50"/>
  <c r="FF617" i="50"/>
  <c r="FF616" i="50"/>
  <c r="FF615" i="50"/>
  <c r="FF614" i="50"/>
  <c r="FF613" i="50"/>
  <c r="FF612" i="50"/>
  <c r="FF611" i="50"/>
  <c r="FF610" i="50"/>
  <c r="FF609" i="50"/>
  <c r="FF608" i="50"/>
  <c r="FF607" i="50"/>
  <c r="FF606" i="50"/>
  <c r="FF605" i="50"/>
  <c r="FF604" i="50"/>
  <c r="FF603" i="50"/>
  <c r="FF602" i="50"/>
  <c r="FF601" i="50"/>
  <c r="FF600" i="50"/>
  <c r="FF599" i="50"/>
  <c r="FF598" i="50"/>
  <c r="FF597" i="50"/>
  <c r="FF596" i="50"/>
  <c r="FF595" i="50"/>
  <c r="FF594" i="50"/>
  <c r="FF593" i="50"/>
  <c r="FF592" i="50"/>
  <c r="FF591" i="50"/>
  <c r="FF590" i="50"/>
  <c r="FF589" i="50"/>
  <c r="FF588" i="50"/>
  <c r="FF587" i="50"/>
  <c r="FF586" i="50"/>
  <c r="FF585" i="50"/>
  <c r="FF584" i="50"/>
  <c r="FF583" i="50"/>
  <c r="FF582" i="50"/>
  <c r="FF581" i="50"/>
  <c r="FF580" i="50"/>
  <c r="FF579" i="50"/>
  <c r="FF578" i="50"/>
  <c r="FF577" i="50"/>
  <c r="FF576" i="50"/>
  <c r="FF575" i="50"/>
  <c r="FF574" i="50"/>
  <c r="FF573" i="50"/>
  <c r="FF572" i="50"/>
  <c r="FF571" i="50"/>
  <c r="FF570" i="50"/>
  <c r="FF569" i="50"/>
  <c r="FF568" i="50"/>
  <c r="FF567" i="50"/>
  <c r="FF566" i="50"/>
  <c r="FF565" i="50"/>
  <c r="FF564" i="50"/>
  <c r="FF563" i="50"/>
  <c r="FF562" i="50"/>
  <c r="FF561" i="50"/>
  <c r="FF560" i="50"/>
  <c r="FF559" i="50"/>
  <c r="FF558" i="50"/>
  <c r="FF557" i="50"/>
  <c r="FF556" i="50"/>
  <c r="FF555" i="50"/>
  <c r="FF554" i="50"/>
  <c r="FF553" i="50"/>
  <c r="FF552" i="50"/>
  <c r="FF551" i="50"/>
  <c r="FF550" i="50"/>
  <c r="FF549" i="50"/>
  <c r="FF548" i="50"/>
  <c r="FF547" i="50"/>
  <c r="FF546" i="50"/>
  <c r="FF545" i="50"/>
  <c r="FF544" i="50"/>
  <c r="FF543" i="50"/>
  <c r="FF542" i="50"/>
  <c r="FF541" i="50"/>
  <c r="FF540" i="50"/>
  <c r="FF539" i="50"/>
  <c r="FF538" i="50"/>
  <c r="FF537" i="50"/>
  <c r="FF536" i="50"/>
  <c r="FF535" i="50"/>
  <c r="FF534" i="50"/>
  <c r="FF533" i="50"/>
  <c r="FF532" i="50"/>
  <c r="FF531" i="50"/>
  <c r="FF530" i="50"/>
  <c r="FF529" i="50"/>
  <c r="FF528" i="50"/>
  <c r="FF527" i="50"/>
  <c r="FF526" i="50"/>
  <c r="FF525" i="50"/>
  <c r="FF524" i="50"/>
  <c r="FF523" i="50"/>
  <c r="FF522" i="50"/>
  <c r="FF521" i="50"/>
  <c r="FF520" i="50"/>
  <c r="FF519" i="50"/>
  <c r="FF518" i="50"/>
  <c r="FF517" i="50"/>
  <c r="FF516" i="50"/>
  <c r="FF515" i="50"/>
  <c r="FF514" i="50"/>
  <c r="FF513" i="50"/>
  <c r="FF512" i="50"/>
  <c r="FF511" i="50"/>
  <c r="FF510" i="50"/>
  <c r="FF430" i="50"/>
  <c r="FF429" i="50"/>
  <c r="FF428" i="50"/>
  <c r="FF427" i="50"/>
  <c r="FF426" i="50"/>
  <c r="FF425" i="50"/>
  <c r="FF424" i="50"/>
  <c r="FF423" i="50"/>
  <c r="FF422" i="50"/>
  <c r="FF421" i="50"/>
  <c r="FF420" i="50"/>
  <c r="FF419" i="50"/>
  <c r="FF418" i="50"/>
  <c r="FF417" i="50"/>
  <c r="FF416" i="50"/>
  <c r="FF415" i="50"/>
  <c r="FF414" i="50"/>
  <c r="FF413" i="50"/>
  <c r="FF412" i="50"/>
  <c r="FF411" i="50"/>
  <c r="FF410" i="50"/>
  <c r="FF409" i="50"/>
  <c r="FF408" i="50"/>
  <c r="FF407" i="50"/>
  <c r="FF406" i="50"/>
  <c r="FF405" i="50"/>
  <c r="FF404" i="50"/>
  <c r="FF403" i="50"/>
  <c r="FF402" i="50"/>
  <c r="FF401" i="50"/>
  <c r="FF400" i="50"/>
  <c r="FF399" i="50"/>
  <c r="FF398" i="50"/>
  <c r="FF397" i="50"/>
  <c r="FF396" i="50"/>
  <c r="FF395" i="50"/>
  <c r="FF394" i="50"/>
  <c r="FF393" i="50"/>
  <c r="FF392" i="50"/>
  <c r="FF391" i="50"/>
  <c r="FF390" i="50"/>
  <c r="FF389" i="50"/>
  <c r="FF388" i="50"/>
  <c r="FF387" i="50"/>
  <c r="FF386" i="50"/>
  <c r="FF385" i="50"/>
  <c r="FF384" i="50"/>
  <c r="FF383" i="50"/>
  <c r="FF382" i="50"/>
  <c r="FF381" i="50"/>
  <c r="FF380" i="50"/>
  <c r="FF379" i="50"/>
  <c r="FF378" i="50"/>
  <c r="FF377" i="50"/>
  <c r="FF376" i="50"/>
  <c r="FF375" i="50"/>
  <c r="FF374" i="50"/>
  <c r="FF373" i="50"/>
  <c r="FF372" i="50"/>
  <c r="FF371" i="50"/>
  <c r="FF370" i="50"/>
  <c r="FF369" i="50"/>
  <c r="FF368" i="50"/>
  <c r="FF367" i="50"/>
  <c r="FF366" i="50"/>
  <c r="FF365" i="50"/>
  <c r="FF364" i="50"/>
  <c r="FF363" i="50"/>
  <c r="FF362" i="50"/>
  <c r="FF356" i="50"/>
  <c r="FF355" i="50"/>
  <c r="FF317" i="50"/>
  <c r="FF316" i="50"/>
  <c r="FF315" i="50"/>
  <c r="FF314" i="50"/>
  <c r="FF313" i="50"/>
  <c r="FF312" i="50"/>
  <c r="FF311" i="50"/>
  <c r="FF310" i="50"/>
  <c r="FF309" i="50"/>
  <c r="FF308" i="50"/>
  <c r="FF307" i="50"/>
  <c r="FF306" i="50"/>
  <c r="FF305" i="50"/>
  <c r="FF304" i="50"/>
  <c r="FF303" i="50"/>
  <c r="FF302" i="50"/>
  <c r="FF301" i="50"/>
  <c r="FF300" i="50"/>
  <c r="FF299" i="50"/>
  <c r="FF298" i="50"/>
  <c r="FF289" i="50"/>
  <c r="FF288" i="50"/>
  <c r="FF287" i="50"/>
  <c r="FF286" i="50"/>
  <c r="FF285" i="50"/>
  <c r="FF284" i="50"/>
  <c r="FF283" i="50"/>
  <c r="FF282" i="50"/>
  <c r="FF281" i="50"/>
  <c r="FF280" i="50"/>
  <c r="FF279" i="50"/>
  <c r="FF278" i="50"/>
  <c r="FF277" i="50"/>
  <c r="FF276" i="50"/>
  <c r="FF275" i="50"/>
  <c r="FF274" i="50"/>
  <c r="FF273" i="50"/>
  <c r="FF272" i="50"/>
  <c r="FF271" i="50"/>
  <c r="FF270" i="50"/>
  <c r="FF269" i="50"/>
  <c r="FF268" i="50"/>
  <c r="FF267" i="50"/>
  <c r="FF266" i="50"/>
  <c r="FF265" i="50"/>
  <c r="FF264" i="50"/>
  <c r="FF263" i="50"/>
  <c r="FF262" i="50"/>
  <c r="FF261" i="50"/>
  <c r="FF260" i="50"/>
  <c r="FF259" i="50"/>
  <c r="FF258" i="50"/>
  <c r="FF257" i="50"/>
  <c r="FF256" i="50"/>
  <c r="FF255" i="50"/>
  <c r="FF254" i="50"/>
  <c r="FF253" i="50"/>
  <c r="FF252" i="50"/>
  <c r="FF251" i="50"/>
  <c r="FF250" i="50"/>
  <c r="FF249" i="50"/>
  <c r="FF248" i="50"/>
  <c r="FF247" i="50"/>
  <c r="FF246" i="50"/>
  <c r="FF245" i="50"/>
  <c r="FF244" i="50"/>
  <c r="FF243" i="50"/>
  <c r="FF242" i="50"/>
  <c r="FF241" i="50"/>
  <c r="FF240" i="50"/>
  <c r="FF239" i="50"/>
  <c r="FF238" i="50"/>
  <c r="FF237" i="50"/>
  <c r="FF236" i="50"/>
  <c r="FF235" i="50"/>
  <c r="FF234" i="50"/>
  <c r="FF233" i="50"/>
  <c r="FF232" i="50"/>
  <c r="FF231" i="50"/>
  <c r="FF230" i="50"/>
  <c r="FF229" i="50"/>
  <c r="FF228" i="50"/>
  <c r="FF227" i="50"/>
  <c r="FF226" i="50"/>
  <c r="FF225" i="50"/>
  <c r="FF224" i="50"/>
  <c r="FF223" i="50"/>
  <c r="FF222" i="50"/>
  <c r="FF221" i="50"/>
  <c r="FF220" i="50"/>
  <c r="FF219" i="50"/>
  <c r="FF218" i="50"/>
  <c r="FF217" i="50"/>
  <c r="FF216" i="50"/>
  <c r="FF215" i="50"/>
  <c r="FF214" i="50"/>
  <c r="FF213" i="50"/>
  <c r="FF212" i="50"/>
  <c r="FF211" i="50"/>
  <c r="FF210" i="50"/>
  <c r="FF209" i="50"/>
  <c r="FF208" i="50"/>
  <c r="FF207" i="50"/>
  <c r="FF206" i="50"/>
  <c r="FF205" i="50"/>
  <c r="FF204" i="50"/>
  <c r="FF203" i="50"/>
  <c r="FF202" i="50"/>
  <c r="FF201" i="50"/>
  <c r="FF200" i="50"/>
  <c r="FF199" i="50"/>
  <c r="FF198" i="50"/>
  <c r="FF197" i="50"/>
  <c r="FF196" i="50"/>
  <c r="FF195" i="50"/>
  <c r="FF194" i="50"/>
  <c r="FF193" i="50"/>
  <c r="FF192" i="50"/>
  <c r="FF191" i="50"/>
  <c r="FF190" i="50"/>
  <c r="FF189" i="50"/>
  <c r="FF188" i="50"/>
  <c r="FF187" i="50"/>
  <c r="FF186" i="50"/>
  <c r="FF185" i="50"/>
  <c r="FF184" i="50"/>
  <c r="FF183" i="50"/>
  <c r="FF182" i="50"/>
  <c r="FF181" i="50"/>
  <c r="FF180" i="50"/>
  <c r="FF179" i="50"/>
  <c r="FF178" i="50"/>
  <c r="FF177" i="50"/>
  <c r="FF176" i="50"/>
  <c r="FF175" i="50"/>
  <c r="FF174" i="50"/>
  <c r="FF173" i="50"/>
  <c r="FF172" i="50"/>
  <c r="FF171" i="50"/>
  <c r="FF170" i="50"/>
  <c r="FF169" i="50"/>
  <c r="FF168" i="50"/>
  <c r="FF167" i="50"/>
  <c r="FF166" i="50"/>
  <c r="FF165" i="50"/>
  <c r="FF164" i="50"/>
  <c r="FF163" i="50"/>
  <c r="FF162" i="50"/>
  <c r="FF161" i="50"/>
  <c r="FF160" i="50"/>
  <c r="FF159" i="50"/>
  <c r="FF158" i="50"/>
  <c r="FF157" i="50"/>
  <c r="FF156" i="50"/>
  <c r="FF155" i="50"/>
  <c r="FF154" i="50"/>
  <c r="FF153" i="50"/>
  <c r="FF152" i="50"/>
  <c r="FF151" i="50"/>
  <c r="FF150" i="50"/>
  <c r="FF149" i="50"/>
  <c r="FF148" i="50"/>
  <c r="FF147" i="50"/>
  <c r="FF146" i="50"/>
  <c r="FF145" i="50"/>
  <c r="FF144" i="50"/>
  <c r="FF143" i="50"/>
  <c r="FF142" i="50"/>
  <c r="FF141" i="50"/>
  <c r="FF140" i="50"/>
  <c r="FF139" i="50"/>
  <c r="FF138" i="50"/>
  <c r="FF137" i="50"/>
  <c r="FF136" i="50"/>
  <c r="FF135" i="50"/>
  <c r="FF134" i="50"/>
  <c r="FF133" i="50"/>
  <c r="FF132" i="50"/>
  <c r="FF131" i="50"/>
  <c r="FF130" i="50"/>
  <c r="FF129" i="50"/>
  <c r="FF128" i="50"/>
  <c r="FF127" i="50"/>
  <c r="FF126" i="50"/>
  <c r="FF125" i="50"/>
  <c r="FF124" i="50"/>
  <c r="FF123" i="50"/>
  <c r="FF122" i="50"/>
  <c r="FF121" i="50"/>
  <c r="FF120" i="50"/>
  <c r="FF119" i="50"/>
  <c r="FF118" i="50"/>
  <c r="FF117" i="50"/>
  <c r="FF116" i="50"/>
  <c r="FF115" i="50"/>
  <c r="FF114" i="50"/>
  <c r="FF113" i="50"/>
  <c r="FF112" i="50"/>
  <c r="FF111" i="50"/>
  <c r="FF110" i="50"/>
  <c r="FF109" i="50"/>
  <c r="FF108" i="50"/>
  <c r="FF107" i="50"/>
  <c r="FF106" i="50"/>
  <c r="FF105" i="50"/>
  <c r="FF104" i="50"/>
  <c r="FF103" i="50"/>
  <c r="FF102" i="50"/>
  <c r="FF101" i="50"/>
  <c r="FF100" i="50"/>
  <c r="FF99" i="50"/>
  <c r="FF98" i="50"/>
  <c r="FF97" i="50"/>
  <c r="FF96" i="50"/>
  <c r="FF95" i="50"/>
  <c r="FF94" i="50"/>
  <c r="FF93" i="50"/>
  <c r="FF92" i="50"/>
  <c r="FF91" i="50"/>
  <c r="FF90" i="50"/>
  <c r="FF89" i="50"/>
  <c r="FF88" i="50"/>
  <c r="FF87" i="50"/>
  <c r="FF86" i="50"/>
  <c r="FF85" i="50"/>
  <c r="FF84" i="50"/>
  <c r="FF83" i="50"/>
  <c r="FF82" i="50"/>
  <c r="FF81" i="50"/>
  <c r="FF80" i="50"/>
  <c r="FF79" i="50"/>
  <c r="FF78" i="50"/>
  <c r="FF77" i="50"/>
  <c r="FF76" i="50"/>
  <c r="FF75" i="50"/>
  <c r="FF74" i="50"/>
  <c r="FF73" i="50"/>
  <c r="FF72" i="50"/>
  <c r="FF71" i="50"/>
  <c r="FF70" i="50"/>
  <c r="FF69" i="50"/>
  <c r="FF68" i="50"/>
  <c r="FF67" i="50"/>
  <c r="FF66" i="50"/>
  <c r="FF65" i="50"/>
  <c r="FF64" i="50"/>
  <c r="FF63" i="50"/>
  <c r="FF62" i="50"/>
  <c r="FF61" i="50"/>
  <c r="FF60" i="50"/>
  <c r="FF59" i="50"/>
  <c r="FF58" i="50"/>
  <c r="FF57" i="50"/>
  <c r="FF56" i="50"/>
  <c r="FF55" i="50"/>
  <c r="FF54" i="50"/>
  <c r="FF53" i="50"/>
  <c r="FF52" i="50"/>
  <c r="FF51" i="50"/>
  <c r="FF50" i="50"/>
  <c r="FF49" i="50"/>
  <c r="FF48" i="50"/>
  <c r="FF47" i="50"/>
  <c r="FE927" i="50"/>
  <c r="FB927" i="50"/>
  <c r="FA927" i="50"/>
  <c r="EZ927" i="50"/>
  <c r="FE926" i="50"/>
  <c r="FB926" i="50"/>
  <c r="FA926" i="50"/>
  <c r="EZ926" i="50"/>
  <c r="FJ925" i="50"/>
  <c r="FE925" i="50"/>
  <c r="FD925" i="50"/>
  <c r="FB925" i="50"/>
  <c r="EZ925" i="50"/>
  <c r="FJ924" i="50"/>
  <c r="FE924" i="50"/>
  <c r="FD924" i="50"/>
  <c r="FB924" i="50"/>
  <c r="EZ924" i="50"/>
  <c r="FJ923" i="50"/>
  <c r="FE923" i="50"/>
  <c r="FD923" i="50"/>
  <c r="FB923" i="50"/>
  <c r="EZ923" i="50"/>
  <c r="FJ922" i="50"/>
  <c r="FE922" i="50"/>
  <c r="FD922" i="50"/>
  <c r="FB922" i="50"/>
  <c r="EZ922" i="50"/>
  <c r="FE921" i="50"/>
  <c r="FD921" i="50"/>
  <c r="FB921" i="50"/>
  <c r="EZ921" i="50"/>
  <c r="FE920" i="50"/>
  <c r="FD920" i="50"/>
  <c r="FB920" i="50"/>
  <c r="EZ920" i="50"/>
  <c r="FE919" i="50"/>
  <c r="FD919" i="50"/>
  <c r="FB919" i="50"/>
  <c r="EZ919" i="50"/>
  <c r="FE918" i="50"/>
  <c r="FD918" i="50"/>
  <c r="FB918" i="50"/>
  <c r="EZ918" i="50"/>
  <c r="FE917" i="50"/>
  <c r="FD917" i="50"/>
  <c r="FB917" i="50"/>
  <c r="EZ917" i="50"/>
  <c r="FE916" i="50"/>
  <c r="FD916" i="50"/>
  <c r="FB916" i="50"/>
  <c r="EZ916" i="50"/>
  <c r="FE915" i="50"/>
  <c r="FD915" i="50"/>
  <c r="FB915" i="50"/>
  <c r="EZ915" i="50"/>
  <c r="FE914" i="50"/>
  <c r="FD914" i="50"/>
  <c r="FB914" i="50"/>
  <c r="EZ914" i="50"/>
  <c r="FE913" i="50"/>
  <c r="FD913" i="50"/>
  <c r="FB913" i="50"/>
  <c r="EZ913" i="50"/>
  <c r="FE912" i="50"/>
  <c r="FD912" i="50"/>
  <c r="FB912" i="50"/>
  <c r="EZ912" i="50"/>
  <c r="FE911" i="50"/>
  <c r="FD911" i="50"/>
  <c r="FB911" i="50"/>
  <c r="EZ911" i="50"/>
  <c r="FE910" i="50"/>
  <c r="FD910" i="50"/>
  <c r="FB910" i="50"/>
  <c r="EZ910" i="50"/>
  <c r="FE909" i="50"/>
  <c r="FD909" i="50"/>
  <c r="FB909" i="50"/>
  <c r="EZ909" i="50"/>
  <c r="FE908" i="50"/>
  <c r="FD908" i="50"/>
  <c r="FB908" i="50"/>
  <c r="EZ908" i="50"/>
  <c r="FE907" i="50"/>
  <c r="FD907" i="50"/>
  <c r="FB907" i="50"/>
  <c r="EZ907" i="50"/>
  <c r="FE906" i="50"/>
  <c r="FD906" i="50"/>
  <c r="FB906" i="50"/>
  <c r="EZ906" i="50"/>
  <c r="FE905" i="50"/>
  <c r="FD905" i="50"/>
  <c r="FB905" i="50"/>
  <c r="EZ905" i="50"/>
  <c r="FE904" i="50"/>
  <c r="FD904" i="50"/>
  <c r="FB904" i="50"/>
  <c r="EZ904" i="50"/>
  <c r="FE903" i="50"/>
  <c r="FD903" i="50"/>
  <c r="FB903" i="50"/>
  <c r="EZ903" i="50"/>
  <c r="FJ902" i="50"/>
  <c r="FE902" i="50"/>
  <c r="FD902" i="50"/>
  <c r="FB902" i="50"/>
  <c r="EZ902" i="50"/>
  <c r="FJ901" i="50"/>
  <c r="FE901" i="50"/>
  <c r="FD901" i="50"/>
  <c r="FB901" i="50"/>
  <c r="EZ901" i="50"/>
  <c r="FJ900" i="50"/>
  <c r="FE900" i="50"/>
  <c r="FD900" i="50"/>
  <c r="FB900" i="50"/>
  <c r="EZ900" i="50"/>
  <c r="FJ899" i="50"/>
  <c r="FE899" i="50"/>
  <c r="FD899" i="50"/>
  <c r="FB899" i="50"/>
  <c r="EZ899" i="50"/>
  <c r="FJ898" i="50"/>
  <c r="FE898" i="50"/>
  <c r="FD898" i="50"/>
  <c r="FB898" i="50"/>
  <c r="EZ898" i="50"/>
  <c r="FJ897" i="50"/>
  <c r="FE897" i="50"/>
  <c r="FD897" i="50"/>
  <c r="FB897" i="50"/>
  <c r="EZ897" i="50"/>
  <c r="FE896" i="50"/>
  <c r="FD896" i="50"/>
  <c r="FB896" i="50"/>
  <c r="EZ896" i="50"/>
  <c r="FE895" i="50"/>
  <c r="FD895" i="50"/>
  <c r="FB895" i="50"/>
  <c r="EZ895" i="50"/>
  <c r="FE894" i="50"/>
  <c r="FD894" i="50"/>
  <c r="FB894" i="50"/>
  <c r="EZ894" i="50"/>
  <c r="FE893" i="50"/>
  <c r="FD893" i="50"/>
  <c r="FB893" i="50"/>
  <c r="EZ893" i="50"/>
  <c r="FE892" i="50"/>
  <c r="FD892" i="50"/>
  <c r="FB892" i="50"/>
  <c r="EZ892" i="50"/>
  <c r="FE891" i="50"/>
  <c r="FD891" i="50"/>
  <c r="FB891" i="50"/>
  <c r="EZ891" i="50"/>
  <c r="FE890" i="50"/>
  <c r="FD890" i="50"/>
  <c r="FB890" i="50"/>
  <c r="EZ890" i="50"/>
  <c r="FE889" i="50"/>
  <c r="FD889" i="50"/>
  <c r="FB889" i="50"/>
  <c r="EZ889" i="50"/>
  <c r="FE888" i="50"/>
  <c r="FD888" i="50"/>
  <c r="FB888" i="50"/>
  <c r="EZ888" i="50"/>
  <c r="FE887" i="50"/>
  <c r="FD887" i="50"/>
  <c r="FB887" i="50"/>
  <c r="EZ887" i="50"/>
  <c r="FE886" i="50"/>
  <c r="FD886" i="50"/>
  <c r="FB886" i="50"/>
  <c r="EZ886" i="50"/>
  <c r="FE885" i="50"/>
  <c r="FD885" i="50"/>
  <c r="FB885" i="50"/>
  <c r="EZ885" i="50"/>
  <c r="FE884" i="50"/>
  <c r="FD884" i="50"/>
  <c r="FB884" i="50"/>
  <c r="EZ884" i="50"/>
  <c r="FE883" i="50"/>
  <c r="FD883" i="50"/>
  <c r="FB883" i="50"/>
  <c r="EZ883" i="50"/>
  <c r="FE882" i="50"/>
  <c r="FD882" i="50"/>
  <c r="FB882" i="50"/>
  <c r="EZ882" i="50"/>
  <c r="FE881" i="50"/>
  <c r="FD881" i="50"/>
  <c r="FB881" i="50"/>
  <c r="EZ881" i="50"/>
  <c r="FE880" i="50"/>
  <c r="FD880" i="50"/>
  <c r="FB880" i="50"/>
  <c r="EZ880" i="50"/>
  <c r="FE879" i="50"/>
  <c r="FD879" i="50"/>
  <c r="FB879" i="50"/>
  <c r="EZ879" i="50"/>
  <c r="FE878" i="50"/>
  <c r="FD878" i="50"/>
  <c r="FB878" i="50"/>
  <c r="EZ878" i="50"/>
  <c r="FE877" i="50"/>
  <c r="FD877" i="50"/>
  <c r="FB877" i="50"/>
  <c r="EZ877" i="50"/>
  <c r="FE876" i="50"/>
  <c r="FD876" i="50"/>
  <c r="FB876" i="50"/>
  <c r="EZ876" i="50"/>
  <c r="FE875" i="50"/>
  <c r="FD875" i="50"/>
  <c r="FB875" i="50"/>
  <c r="EZ875" i="50"/>
  <c r="FE874" i="50"/>
  <c r="FD874" i="50"/>
  <c r="FB874" i="50"/>
  <c r="EZ874" i="50"/>
  <c r="FE873" i="50"/>
  <c r="FD873" i="50"/>
  <c r="FB873" i="50"/>
  <c r="EZ873" i="50"/>
  <c r="FE872" i="50"/>
  <c r="FD872" i="50"/>
  <c r="FB872" i="50"/>
  <c r="EZ872" i="50"/>
  <c r="FE871" i="50"/>
  <c r="FD871" i="50"/>
  <c r="FB871" i="50"/>
  <c r="EZ871" i="50"/>
  <c r="FE870" i="50"/>
  <c r="FD870" i="50"/>
  <c r="FB870" i="50"/>
  <c r="EZ870" i="50"/>
  <c r="FE869" i="50"/>
  <c r="FD869" i="50"/>
  <c r="FB869" i="50"/>
  <c r="EZ869" i="50"/>
  <c r="FE868" i="50"/>
  <c r="FD868" i="50"/>
  <c r="FB868" i="50"/>
  <c r="EZ868" i="50"/>
  <c r="FJ867" i="50"/>
  <c r="FE867" i="50"/>
  <c r="FD867" i="50"/>
  <c r="FB867" i="50"/>
  <c r="EZ867" i="50"/>
  <c r="FE866" i="50"/>
  <c r="FD866" i="50"/>
  <c r="FB866" i="50"/>
  <c r="EZ866" i="50"/>
  <c r="FJ865" i="50"/>
  <c r="FE865" i="50"/>
  <c r="FD865" i="50"/>
  <c r="FB865" i="50"/>
  <c r="EZ865" i="50"/>
  <c r="FJ864" i="50"/>
  <c r="FE864" i="50"/>
  <c r="FD864" i="50"/>
  <c r="FB864" i="50"/>
  <c r="EZ864" i="50"/>
  <c r="FJ863" i="50"/>
  <c r="FE863" i="50"/>
  <c r="FD863" i="50"/>
  <c r="FB863" i="50"/>
  <c r="EZ863" i="50"/>
  <c r="FJ862" i="50"/>
  <c r="FE862" i="50"/>
  <c r="FD862" i="50"/>
  <c r="FB862" i="50"/>
  <c r="EZ862" i="50"/>
  <c r="FJ861" i="50"/>
  <c r="FE861" i="50"/>
  <c r="FD861" i="50"/>
  <c r="FB861" i="50"/>
  <c r="EZ861" i="50"/>
  <c r="FJ860" i="50"/>
  <c r="FE860" i="50"/>
  <c r="FD860" i="50"/>
  <c r="FB860" i="50"/>
  <c r="EZ860" i="50"/>
  <c r="FJ859" i="50"/>
  <c r="FE859" i="50"/>
  <c r="FD859" i="50"/>
  <c r="FB859" i="50"/>
  <c r="EZ859" i="50"/>
  <c r="FJ858" i="50"/>
  <c r="FE858" i="50"/>
  <c r="FD858" i="50"/>
  <c r="FB858" i="50"/>
  <c r="EZ858" i="50"/>
  <c r="FE857" i="50"/>
  <c r="FD857" i="50"/>
  <c r="FB857" i="50"/>
  <c r="EZ857" i="50"/>
  <c r="FJ856" i="50"/>
  <c r="FE856" i="50"/>
  <c r="FD856" i="50"/>
  <c r="FB856" i="50"/>
  <c r="EZ856" i="50"/>
  <c r="FE855" i="50"/>
  <c r="FD855" i="50"/>
  <c r="FB855" i="50"/>
  <c r="EZ855" i="50"/>
  <c r="FJ854" i="50"/>
  <c r="FE854" i="50"/>
  <c r="FD854" i="50"/>
  <c r="FB854" i="50"/>
  <c r="EZ854" i="50"/>
  <c r="FE853" i="50"/>
  <c r="FD853" i="50"/>
  <c r="FB853" i="50"/>
  <c r="EZ853" i="50"/>
  <c r="FJ852" i="50"/>
  <c r="FE852" i="50"/>
  <c r="FD852" i="50"/>
  <c r="FB852" i="50"/>
  <c r="EZ852" i="50"/>
  <c r="FE851" i="50"/>
  <c r="FD851" i="50"/>
  <c r="FB851" i="50"/>
  <c r="EZ851" i="50"/>
  <c r="FJ850" i="50"/>
  <c r="FE850" i="50"/>
  <c r="FD850" i="50"/>
  <c r="FB850" i="50"/>
  <c r="EZ850" i="50"/>
  <c r="FE849" i="50"/>
  <c r="FD849" i="50"/>
  <c r="FB849" i="50"/>
  <c r="EZ849" i="50"/>
  <c r="FJ848" i="50"/>
  <c r="FE848" i="50"/>
  <c r="FD848" i="50"/>
  <c r="FB848" i="50"/>
  <c r="EZ848" i="50"/>
  <c r="FE847" i="50"/>
  <c r="FD847" i="50"/>
  <c r="FB847" i="50"/>
  <c r="EZ847" i="50"/>
  <c r="FJ846" i="50"/>
  <c r="FE846" i="50"/>
  <c r="FD846" i="50"/>
  <c r="FB846" i="50"/>
  <c r="EZ846" i="50"/>
  <c r="FJ845" i="50"/>
  <c r="FE845" i="50"/>
  <c r="FD845" i="50"/>
  <c r="FB845" i="50"/>
  <c r="EZ845" i="50"/>
  <c r="FE844" i="50"/>
  <c r="FD844" i="50"/>
  <c r="FB844" i="50"/>
  <c r="EZ844" i="50"/>
  <c r="FJ843" i="50"/>
  <c r="FE843" i="50"/>
  <c r="FD843" i="50"/>
  <c r="FB843" i="50"/>
  <c r="EZ843" i="50"/>
  <c r="FJ842" i="50"/>
  <c r="FE842" i="50"/>
  <c r="FD842" i="50"/>
  <c r="FB842" i="50"/>
  <c r="EZ842" i="50"/>
  <c r="FE841" i="50"/>
  <c r="FD841" i="50"/>
  <c r="FB841" i="50"/>
  <c r="EZ841" i="50"/>
  <c r="FJ840" i="50"/>
  <c r="FE840" i="50"/>
  <c r="FD840" i="50"/>
  <c r="FB840" i="50"/>
  <c r="EZ840" i="50"/>
  <c r="FJ839" i="50"/>
  <c r="FE839" i="50"/>
  <c r="FD839" i="50"/>
  <c r="FB839" i="50"/>
  <c r="EZ839" i="50"/>
  <c r="FE838" i="50"/>
  <c r="FD838" i="50"/>
  <c r="FB838" i="50"/>
  <c r="EZ838" i="50"/>
  <c r="FJ837" i="50"/>
  <c r="FE837" i="50"/>
  <c r="FD837" i="50"/>
  <c r="FB837" i="50"/>
  <c r="EZ837" i="50"/>
  <c r="FJ836" i="50"/>
  <c r="FE836" i="50"/>
  <c r="FD836" i="50"/>
  <c r="FB836" i="50"/>
  <c r="EZ836" i="50"/>
  <c r="FE835" i="50"/>
  <c r="FD835" i="50"/>
  <c r="FB835" i="50"/>
  <c r="EZ835" i="50"/>
  <c r="FJ834" i="50"/>
  <c r="FE834" i="50"/>
  <c r="FD834" i="50"/>
  <c r="FB834" i="50"/>
  <c r="EZ834" i="50"/>
  <c r="FJ833" i="50"/>
  <c r="FE833" i="50"/>
  <c r="FD833" i="50"/>
  <c r="FB833" i="50"/>
  <c r="EZ833" i="50"/>
  <c r="FE832" i="50"/>
  <c r="FD832" i="50"/>
  <c r="FB832" i="50"/>
  <c r="EZ832" i="50"/>
  <c r="FE831" i="50"/>
  <c r="FD831" i="50"/>
  <c r="FB831" i="50"/>
  <c r="EZ831" i="50"/>
  <c r="FE830" i="50"/>
  <c r="FD830" i="50"/>
  <c r="FB830" i="50"/>
  <c r="EZ830" i="50"/>
  <c r="FE829" i="50"/>
  <c r="FD829" i="50"/>
  <c r="FB829" i="50"/>
  <c r="EZ829" i="50"/>
  <c r="FE828" i="50"/>
  <c r="FD828" i="50"/>
  <c r="FB828" i="50"/>
  <c r="EZ828" i="50"/>
  <c r="FE827" i="50"/>
  <c r="FD827" i="50"/>
  <c r="FB827" i="50"/>
  <c r="EZ827" i="50"/>
  <c r="FE826" i="50"/>
  <c r="FD826" i="50"/>
  <c r="FB826" i="50"/>
  <c r="EZ826" i="50"/>
  <c r="FE825" i="50"/>
  <c r="FD825" i="50"/>
  <c r="FB825" i="50"/>
  <c r="EZ825" i="50"/>
  <c r="FE824" i="50"/>
  <c r="FD824" i="50"/>
  <c r="FB824" i="50"/>
  <c r="EZ824" i="50"/>
  <c r="FE823" i="50"/>
  <c r="FD823" i="50"/>
  <c r="FB823" i="50"/>
  <c r="EZ823" i="50"/>
  <c r="FE822" i="50"/>
  <c r="FD822" i="50"/>
  <c r="FB822" i="50"/>
  <c r="EZ822" i="50"/>
  <c r="FE821" i="50"/>
  <c r="FD821" i="50"/>
  <c r="FB821" i="50"/>
  <c r="EZ821" i="50"/>
  <c r="FE820" i="50"/>
  <c r="FD820" i="50"/>
  <c r="FB820" i="50"/>
  <c r="EZ820" i="50"/>
  <c r="FE819" i="50"/>
  <c r="FD819" i="50"/>
  <c r="FB819" i="50"/>
  <c r="EZ819" i="50"/>
  <c r="FE818" i="50"/>
  <c r="FD818" i="50"/>
  <c r="FB818" i="50"/>
  <c r="EZ818" i="50"/>
  <c r="FE817" i="50"/>
  <c r="FD817" i="50"/>
  <c r="FB817" i="50"/>
  <c r="EZ817" i="50"/>
  <c r="FE816" i="50"/>
  <c r="FD816" i="50"/>
  <c r="FB816" i="50"/>
  <c r="EZ816" i="50"/>
  <c r="FE815" i="50"/>
  <c r="FD815" i="50"/>
  <c r="FB815" i="50"/>
  <c r="EZ815" i="50"/>
  <c r="FE814" i="50"/>
  <c r="FD814" i="50"/>
  <c r="FB814" i="50"/>
  <c r="EZ814" i="50"/>
  <c r="FE813" i="50"/>
  <c r="FD813" i="50"/>
  <c r="FB813" i="50"/>
  <c r="EZ813" i="50"/>
  <c r="FE812" i="50"/>
  <c r="FD812" i="50"/>
  <c r="FB812" i="50"/>
  <c r="EZ812" i="50"/>
  <c r="FE811" i="50"/>
  <c r="FD811" i="50"/>
  <c r="FB811" i="50"/>
  <c r="EZ811" i="50"/>
  <c r="FE810" i="50"/>
  <c r="FD810" i="50"/>
  <c r="FB810" i="50"/>
  <c r="EZ810" i="50"/>
  <c r="FE809" i="50"/>
  <c r="FD809" i="50"/>
  <c r="FB809" i="50"/>
  <c r="EZ809" i="50"/>
  <c r="FE808" i="50"/>
  <c r="FD808" i="50"/>
  <c r="FB808" i="50"/>
  <c r="EZ808" i="50"/>
  <c r="FE807" i="50"/>
  <c r="FD807" i="50"/>
  <c r="FB807" i="50"/>
  <c r="EZ807" i="50"/>
  <c r="FE806" i="50"/>
  <c r="FD806" i="50"/>
  <c r="FB806" i="50"/>
  <c r="EZ806" i="50"/>
  <c r="FE805" i="50"/>
  <c r="FD805" i="50"/>
  <c r="FB805" i="50"/>
  <c r="EZ805" i="50"/>
  <c r="FE804" i="50"/>
  <c r="FD804" i="50"/>
  <c r="FB804" i="50"/>
  <c r="EZ804" i="50"/>
  <c r="FE803" i="50"/>
  <c r="FD803" i="50"/>
  <c r="FB803" i="50"/>
  <c r="EZ803" i="50"/>
  <c r="FE802" i="50"/>
  <c r="FD802" i="50"/>
  <c r="FB802" i="50"/>
  <c r="EZ802" i="50"/>
  <c r="FE801" i="50"/>
  <c r="FD801" i="50"/>
  <c r="FB801" i="50"/>
  <c r="EZ801" i="50"/>
  <c r="FE800" i="50"/>
  <c r="FD800" i="50"/>
  <c r="FB800" i="50"/>
  <c r="EZ800" i="50"/>
  <c r="FE799" i="50"/>
  <c r="FD799" i="50"/>
  <c r="FB799" i="50"/>
  <c r="EZ799" i="50"/>
  <c r="FE798" i="50"/>
  <c r="FD798" i="50"/>
  <c r="FB798" i="50"/>
  <c r="EZ798" i="50"/>
  <c r="FE797" i="50"/>
  <c r="FD797" i="50"/>
  <c r="FB797" i="50"/>
  <c r="EZ797" i="50"/>
  <c r="FE796" i="50"/>
  <c r="FD796" i="50"/>
  <c r="FB796" i="50"/>
  <c r="EZ796" i="50"/>
  <c r="FE795" i="50"/>
  <c r="FD795" i="50"/>
  <c r="FB795" i="50"/>
  <c r="EZ795" i="50"/>
  <c r="FE794" i="50"/>
  <c r="FD794" i="50"/>
  <c r="FB794" i="50"/>
  <c r="EZ794" i="50"/>
  <c r="FE793" i="50"/>
  <c r="FD793" i="50"/>
  <c r="FB793" i="50"/>
  <c r="EZ793" i="50"/>
  <c r="FE792" i="50"/>
  <c r="FB792" i="50"/>
  <c r="EZ792" i="50"/>
  <c r="FE791" i="50"/>
  <c r="FB791" i="50"/>
  <c r="EZ791" i="50"/>
  <c r="FJ790" i="50"/>
  <c r="FE790" i="50"/>
  <c r="FB790" i="50"/>
  <c r="EZ790" i="50"/>
  <c r="FJ789" i="50"/>
  <c r="FE789" i="50"/>
  <c r="FB789" i="50"/>
  <c r="EZ789" i="50"/>
  <c r="FE788" i="50"/>
  <c r="FB788" i="50"/>
  <c r="EZ788" i="50"/>
  <c r="FE787" i="50"/>
  <c r="FB787" i="50"/>
  <c r="EZ787" i="50"/>
  <c r="FJ786" i="50"/>
  <c r="FE786" i="50"/>
  <c r="FB786" i="50"/>
  <c r="EZ786" i="50"/>
  <c r="FJ785" i="50"/>
  <c r="FE785" i="50"/>
  <c r="FB785" i="50"/>
  <c r="EZ785" i="50"/>
  <c r="FE784" i="50"/>
  <c r="FB784" i="50"/>
  <c r="EZ784" i="50"/>
  <c r="FE783" i="50"/>
  <c r="FB783" i="50"/>
  <c r="EZ783" i="50"/>
  <c r="FJ782" i="50"/>
  <c r="FE782" i="50"/>
  <c r="FB782" i="50"/>
  <c r="EZ782" i="50"/>
  <c r="FJ781" i="50"/>
  <c r="FE781" i="50"/>
  <c r="FB781" i="50"/>
  <c r="EZ781" i="50"/>
  <c r="FE780" i="50"/>
  <c r="FB780" i="50"/>
  <c r="EZ780" i="50"/>
  <c r="FE779" i="50"/>
  <c r="FB779" i="50"/>
  <c r="EZ779" i="50"/>
  <c r="FJ778" i="50"/>
  <c r="FE778" i="50"/>
  <c r="FB778" i="50"/>
  <c r="EZ778" i="50"/>
  <c r="FJ777" i="50"/>
  <c r="FE777" i="50"/>
  <c r="FB777" i="50"/>
  <c r="EZ777" i="50"/>
  <c r="FE776" i="50"/>
  <c r="FD776" i="50"/>
  <c r="FB776" i="50"/>
  <c r="EZ776" i="50"/>
  <c r="FE775" i="50"/>
  <c r="FD775" i="50"/>
  <c r="FB775" i="50"/>
  <c r="EZ775" i="50"/>
  <c r="FE774" i="50"/>
  <c r="FD774" i="50"/>
  <c r="FB774" i="50"/>
  <c r="EZ774" i="50"/>
  <c r="FE773" i="50"/>
  <c r="FD773" i="50"/>
  <c r="FB773" i="50"/>
  <c r="EZ773" i="50"/>
  <c r="FE772" i="50"/>
  <c r="FD772" i="50"/>
  <c r="FB772" i="50"/>
  <c r="EZ772" i="50"/>
  <c r="FE771" i="50"/>
  <c r="FD771" i="50"/>
  <c r="FB771" i="50"/>
  <c r="EZ771" i="50"/>
  <c r="FE770" i="50"/>
  <c r="FD770" i="50"/>
  <c r="FB770" i="50"/>
  <c r="EZ770" i="50"/>
  <c r="FE769" i="50"/>
  <c r="FD769" i="50"/>
  <c r="FB769" i="50"/>
  <c r="EZ769" i="50"/>
  <c r="FE768" i="50"/>
  <c r="FD768" i="50"/>
  <c r="FB768" i="50"/>
  <c r="EZ768" i="50"/>
  <c r="FE767" i="50"/>
  <c r="FD767" i="50"/>
  <c r="FB767" i="50"/>
  <c r="EZ767" i="50"/>
  <c r="FE766" i="50"/>
  <c r="FD766" i="50"/>
  <c r="FB766" i="50"/>
  <c r="EZ766" i="50"/>
  <c r="FE765" i="50"/>
  <c r="FD765" i="50"/>
  <c r="FB765" i="50"/>
  <c r="EZ765" i="50"/>
  <c r="FE764" i="50"/>
  <c r="FD764" i="50"/>
  <c r="FB764" i="50"/>
  <c r="EZ764" i="50"/>
  <c r="FE763" i="50"/>
  <c r="FD763" i="50"/>
  <c r="FB763" i="50"/>
  <c r="EZ763" i="50"/>
  <c r="FE762" i="50"/>
  <c r="FD762" i="50"/>
  <c r="FB762" i="50"/>
  <c r="EZ762" i="50"/>
  <c r="FE761" i="50"/>
  <c r="FD761" i="50"/>
  <c r="FB761" i="50"/>
  <c r="EZ761" i="50"/>
  <c r="FE760" i="50"/>
  <c r="FD760" i="50"/>
  <c r="FB760" i="50"/>
  <c r="EZ760" i="50"/>
  <c r="FE759" i="50"/>
  <c r="FD759" i="50"/>
  <c r="FB759" i="50"/>
  <c r="EZ759" i="50"/>
  <c r="FE758" i="50"/>
  <c r="FD758" i="50"/>
  <c r="FB758" i="50"/>
  <c r="EZ758" i="50"/>
  <c r="FJ757" i="50"/>
  <c r="FE757" i="50"/>
  <c r="FD757" i="50"/>
  <c r="FB757" i="50"/>
  <c r="EZ757" i="50"/>
  <c r="FJ756" i="50"/>
  <c r="FE756" i="50"/>
  <c r="FD756" i="50"/>
  <c r="FB756" i="50"/>
  <c r="EZ756" i="50"/>
  <c r="FJ755" i="50"/>
  <c r="FE755" i="50"/>
  <c r="FD755" i="50"/>
  <c r="FB755" i="50"/>
  <c r="EZ755" i="50"/>
  <c r="FJ754" i="50"/>
  <c r="FE754" i="50"/>
  <c r="FD754" i="50"/>
  <c r="FB754" i="50"/>
  <c r="EZ754" i="50"/>
  <c r="FJ753" i="50"/>
  <c r="FE753" i="50"/>
  <c r="FD753" i="50"/>
  <c r="FB753" i="50"/>
  <c r="EZ753" i="50"/>
  <c r="FE752" i="50"/>
  <c r="FD752" i="50"/>
  <c r="FB752" i="50"/>
  <c r="EZ752" i="50"/>
  <c r="FJ751" i="50"/>
  <c r="FE751" i="50"/>
  <c r="FD751" i="50"/>
  <c r="FB751" i="50"/>
  <c r="EZ751" i="50"/>
  <c r="FJ750" i="50"/>
  <c r="FE750" i="50"/>
  <c r="FD750" i="50"/>
  <c r="FB750" i="50"/>
  <c r="EZ750" i="50"/>
  <c r="FJ749" i="50"/>
  <c r="FE749" i="50"/>
  <c r="FD749" i="50"/>
  <c r="FB749" i="50"/>
  <c r="EZ749" i="50"/>
  <c r="FJ748" i="50"/>
  <c r="FE748" i="50"/>
  <c r="FD748" i="50"/>
  <c r="FB748" i="50"/>
  <c r="EZ748" i="50"/>
  <c r="FE747" i="50"/>
  <c r="FD747" i="50"/>
  <c r="FB747" i="50"/>
  <c r="EZ747" i="50"/>
  <c r="FE746" i="50"/>
  <c r="FD746" i="50"/>
  <c r="FB746" i="50"/>
  <c r="EZ746" i="50"/>
  <c r="FJ745" i="50"/>
  <c r="FE745" i="50"/>
  <c r="FD745" i="50"/>
  <c r="FB745" i="50"/>
  <c r="EZ745" i="50"/>
  <c r="FJ744" i="50"/>
  <c r="FE744" i="50"/>
  <c r="FD744" i="50"/>
  <c r="FB744" i="50"/>
  <c r="EZ744" i="50"/>
  <c r="FJ743" i="50"/>
  <c r="FE743" i="50"/>
  <c r="FD743" i="50"/>
  <c r="FB743" i="50"/>
  <c r="EZ743" i="50"/>
  <c r="FJ742" i="50"/>
  <c r="FE742" i="50"/>
  <c r="FD742" i="50"/>
  <c r="FB742" i="50"/>
  <c r="EZ742" i="50"/>
  <c r="FE741" i="50"/>
  <c r="FD741" i="50"/>
  <c r="FB741" i="50"/>
  <c r="EZ741" i="50"/>
  <c r="FE740" i="50"/>
  <c r="FD740" i="50"/>
  <c r="FB740" i="50"/>
  <c r="EZ740" i="50"/>
  <c r="FE739" i="50"/>
  <c r="FD739" i="50"/>
  <c r="FB739" i="50"/>
  <c r="EZ739" i="50"/>
  <c r="FE738" i="50"/>
  <c r="FD738" i="50"/>
  <c r="FB738" i="50"/>
  <c r="EZ738" i="50"/>
  <c r="FE737" i="50"/>
  <c r="FD737" i="50"/>
  <c r="FB737" i="50"/>
  <c r="EZ737" i="50"/>
  <c r="FE736" i="50"/>
  <c r="FD736" i="50"/>
  <c r="FB736" i="50"/>
  <c r="EZ736" i="50"/>
  <c r="FE735" i="50"/>
  <c r="FD735" i="50"/>
  <c r="FB735" i="50"/>
  <c r="EZ735" i="50"/>
  <c r="FE734" i="50"/>
  <c r="FD734" i="50"/>
  <c r="FB734" i="50"/>
  <c r="EZ734" i="50"/>
  <c r="FE733" i="50"/>
  <c r="FD733" i="50"/>
  <c r="FB733" i="50"/>
  <c r="EZ733" i="50"/>
  <c r="FE732" i="50"/>
  <c r="FD732" i="50"/>
  <c r="FB732" i="50"/>
  <c r="EZ732" i="50"/>
  <c r="FE731" i="50"/>
  <c r="FD731" i="50"/>
  <c r="FB731" i="50"/>
  <c r="EZ731" i="50"/>
  <c r="FJ730" i="50"/>
  <c r="FE730" i="50"/>
  <c r="FD730" i="50"/>
  <c r="FB730" i="50"/>
  <c r="EZ730" i="50"/>
  <c r="FE729" i="50"/>
  <c r="FD729" i="50"/>
  <c r="FB729" i="50"/>
  <c r="EZ729" i="50"/>
  <c r="FE728" i="50"/>
  <c r="FD728" i="50"/>
  <c r="FB728" i="50"/>
  <c r="EZ728" i="50"/>
  <c r="FJ727" i="50"/>
  <c r="FE727" i="50"/>
  <c r="FD727" i="50"/>
  <c r="FB727" i="50"/>
  <c r="EZ727" i="50"/>
  <c r="FJ726" i="50"/>
  <c r="FE726" i="50"/>
  <c r="FD726" i="50"/>
  <c r="FB726" i="50"/>
  <c r="EZ726" i="50"/>
  <c r="FJ725" i="50"/>
  <c r="FE725" i="50"/>
  <c r="FD725" i="50"/>
  <c r="FB725" i="50"/>
  <c r="EZ725" i="50"/>
  <c r="FJ724" i="50"/>
  <c r="FE724" i="50"/>
  <c r="FD724" i="50"/>
  <c r="FB724" i="50"/>
  <c r="EZ724" i="50"/>
  <c r="FJ723" i="50"/>
  <c r="FE723" i="50"/>
  <c r="FD723" i="50"/>
  <c r="FB723" i="50"/>
  <c r="EZ723" i="50"/>
  <c r="FJ722" i="50"/>
  <c r="FE722" i="50"/>
  <c r="FD722" i="50"/>
  <c r="FB722" i="50"/>
  <c r="EZ722" i="50"/>
  <c r="FJ721" i="50"/>
  <c r="FE721" i="50"/>
  <c r="FD721" i="50"/>
  <c r="FB721" i="50"/>
  <c r="EZ721" i="50"/>
  <c r="FE720" i="50"/>
  <c r="FD720" i="50"/>
  <c r="FB720" i="50"/>
  <c r="EZ720" i="50"/>
  <c r="FJ719" i="50"/>
  <c r="FE719" i="50"/>
  <c r="FD719" i="50"/>
  <c r="FB719" i="50"/>
  <c r="EZ719" i="50"/>
  <c r="FE718" i="50"/>
  <c r="FD718" i="50"/>
  <c r="FB718" i="50"/>
  <c r="EZ718" i="50"/>
  <c r="FJ717" i="50"/>
  <c r="FE717" i="50"/>
  <c r="FD717" i="50"/>
  <c r="FB717" i="50"/>
  <c r="EZ717" i="50"/>
  <c r="FE716" i="50"/>
  <c r="FD716" i="50"/>
  <c r="FB716" i="50"/>
  <c r="EZ716" i="50"/>
  <c r="FJ715" i="50"/>
  <c r="FE715" i="50"/>
  <c r="FD715" i="50"/>
  <c r="FB715" i="50"/>
  <c r="EZ715" i="50"/>
  <c r="FE714" i="50"/>
  <c r="FD714" i="50"/>
  <c r="FB714" i="50"/>
  <c r="EZ714" i="50"/>
  <c r="FE713" i="50"/>
  <c r="FD713" i="50"/>
  <c r="FB713" i="50"/>
  <c r="EZ713" i="50"/>
  <c r="FE712" i="50"/>
  <c r="FD712" i="50"/>
  <c r="FB712" i="50"/>
  <c r="EZ712" i="50"/>
  <c r="FE711" i="50"/>
  <c r="FD711" i="50"/>
  <c r="FB711" i="50"/>
  <c r="EZ711" i="50"/>
  <c r="FE710" i="50"/>
  <c r="FD710" i="50"/>
  <c r="FB710" i="50"/>
  <c r="EZ710" i="50"/>
  <c r="FE709" i="50"/>
  <c r="FD709" i="50"/>
  <c r="FB709" i="50"/>
  <c r="EZ709" i="50"/>
  <c r="FE708" i="50"/>
  <c r="FD708" i="50"/>
  <c r="FB708" i="50"/>
  <c r="EZ708" i="50"/>
  <c r="FE707" i="50"/>
  <c r="FD707" i="50"/>
  <c r="FB707" i="50"/>
  <c r="EZ707" i="50"/>
  <c r="FE706" i="50"/>
  <c r="FD706" i="50"/>
  <c r="FB706" i="50"/>
  <c r="EZ706" i="50"/>
  <c r="FE705" i="50"/>
  <c r="FD705" i="50"/>
  <c r="FB705" i="50"/>
  <c r="EZ705" i="50"/>
  <c r="FE704" i="50"/>
  <c r="FD704" i="50"/>
  <c r="FB704" i="50"/>
  <c r="EZ704" i="50"/>
  <c r="FE703" i="50"/>
  <c r="FD703" i="50"/>
  <c r="FB703" i="50"/>
  <c r="EZ703" i="50"/>
  <c r="FE702" i="50"/>
  <c r="FD702" i="50"/>
  <c r="FB702" i="50"/>
  <c r="EZ702" i="50"/>
  <c r="FE701" i="50"/>
  <c r="FD701" i="50"/>
  <c r="FB701" i="50"/>
  <c r="EZ701" i="50"/>
  <c r="FE700" i="50"/>
  <c r="FD700" i="50"/>
  <c r="FB700" i="50"/>
  <c r="EZ700" i="50"/>
  <c r="FE699" i="50"/>
  <c r="FD699" i="50"/>
  <c r="FB699" i="50"/>
  <c r="EZ699" i="50"/>
  <c r="FE698" i="50"/>
  <c r="FD698" i="50"/>
  <c r="FB698" i="50"/>
  <c r="EZ698" i="50"/>
  <c r="FE697" i="50"/>
  <c r="FD697" i="50"/>
  <c r="FB697" i="50"/>
  <c r="EZ697" i="50"/>
  <c r="FE696" i="50"/>
  <c r="FD696" i="50"/>
  <c r="FB696" i="50"/>
  <c r="EZ696" i="50"/>
  <c r="FE695" i="50"/>
  <c r="FD695" i="50"/>
  <c r="FB695" i="50"/>
  <c r="EZ695" i="50"/>
  <c r="FE694" i="50"/>
  <c r="FD694" i="50"/>
  <c r="FB694" i="50"/>
  <c r="EZ694" i="50"/>
  <c r="FE693" i="50"/>
  <c r="FD693" i="50"/>
  <c r="FB693" i="50"/>
  <c r="EZ693" i="50"/>
  <c r="FE692" i="50"/>
  <c r="FD692" i="50"/>
  <c r="FB692" i="50"/>
  <c r="EZ692" i="50"/>
  <c r="FE691" i="50"/>
  <c r="FD691" i="50"/>
  <c r="FB691" i="50"/>
  <c r="EZ691" i="50"/>
  <c r="FE690" i="50"/>
  <c r="FD690" i="50"/>
  <c r="FB690" i="50"/>
  <c r="EZ690" i="50"/>
  <c r="FE689" i="50"/>
  <c r="FD689" i="50"/>
  <c r="FB689" i="50"/>
  <c r="EZ689" i="50"/>
  <c r="FE688" i="50"/>
  <c r="FD688" i="50"/>
  <c r="FB688" i="50"/>
  <c r="EZ688" i="50"/>
  <c r="FE687" i="50"/>
  <c r="FD687" i="50"/>
  <c r="FB687" i="50"/>
  <c r="EZ687" i="50"/>
  <c r="FE686" i="50"/>
  <c r="FD686" i="50"/>
  <c r="FB686" i="50"/>
  <c r="EZ686" i="50"/>
  <c r="FE685" i="50"/>
  <c r="FD685" i="50"/>
  <c r="FB685" i="50"/>
  <c r="EZ685" i="50"/>
  <c r="FE684" i="50"/>
  <c r="FD684" i="50"/>
  <c r="FB684" i="50"/>
  <c r="EZ684" i="50"/>
  <c r="FE683" i="50"/>
  <c r="FD683" i="50"/>
  <c r="FB683" i="50"/>
  <c r="EZ683" i="50"/>
  <c r="FE682" i="50"/>
  <c r="FB682" i="50"/>
  <c r="EZ682" i="50"/>
  <c r="FE681" i="50"/>
  <c r="FB681" i="50"/>
  <c r="EZ681" i="50"/>
  <c r="FJ680" i="50"/>
  <c r="FE680" i="50"/>
  <c r="FB680" i="50"/>
  <c r="EZ680" i="50"/>
  <c r="FJ679" i="50"/>
  <c r="FE679" i="50"/>
  <c r="FB679" i="50"/>
  <c r="EZ679" i="50"/>
  <c r="FE678" i="50"/>
  <c r="FD678" i="50"/>
  <c r="FB678" i="50"/>
  <c r="EZ678" i="50"/>
  <c r="FE677" i="50"/>
  <c r="FD677" i="50"/>
  <c r="FB677" i="50"/>
  <c r="EZ677" i="50"/>
  <c r="FE676" i="50"/>
  <c r="FD676" i="50"/>
  <c r="FB676" i="50"/>
  <c r="EZ676" i="50"/>
  <c r="FE675" i="50"/>
  <c r="FD675" i="50"/>
  <c r="FB675" i="50"/>
  <c r="EZ675" i="50"/>
  <c r="FE674" i="50"/>
  <c r="FD674" i="50"/>
  <c r="FB674" i="50"/>
  <c r="EZ674" i="50"/>
  <c r="FE673" i="50"/>
  <c r="FD673" i="50"/>
  <c r="FB673" i="50"/>
  <c r="EZ673" i="50"/>
  <c r="FE672" i="50"/>
  <c r="FD672" i="50"/>
  <c r="FB672" i="50"/>
  <c r="EZ672" i="50"/>
  <c r="FE671" i="50"/>
  <c r="FD671" i="50"/>
  <c r="FB671" i="50"/>
  <c r="EZ671" i="50"/>
  <c r="FE670" i="50"/>
  <c r="FD670" i="50"/>
  <c r="FB670" i="50"/>
  <c r="EZ670" i="50"/>
  <c r="FE669" i="50"/>
  <c r="FD669" i="50"/>
  <c r="FB669" i="50"/>
  <c r="EZ669" i="50"/>
  <c r="FE668" i="50"/>
  <c r="FD668" i="50"/>
  <c r="FB668" i="50"/>
  <c r="EZ668" i="50"/>
  <c r="FE667" i="50"/>
  <c r="FD667" i="50"/>
  <c r="FB667" i="50"/>
  <c r="EZ667" i="50"/>
  <c r="FE666" i="50"/>
  <c r="FD666" i="50"/>
  <c r="FB666" i="50"/>
  <c r="EZ666" i="50"/>
  <c r="FE665" i="50"/>
  <c r="FD665" i="50"/>
  <c r="FB665" i="50"/>
  <c r="EZ665" i="50"/>
  <c r="FE664" i="50"/>
  <c r="FD664" i="50"/>
  <c r="FB664" i="50"/>
  <c r="EZ664" i="50"/>
  <c r="FE663" i="50"/>
  <c r="FD663" i="50"/>
  <c r="FB663" i="50"/>
  <c r="EZ663" i="50"/>
  <c r="FE662" i="50"/>
  <c r="FD662" i="50"/>
  <c r="FB662" i="50"/>
  <c r="EZ662" i="50"/>
  <c r="FE661" i="50"/>
  <c r="FD661" i="50"/>
  <c r="FB661" i="50"/>
  <c r="EZ661" i="50"/>
  <c r="FJ660" i="50"/>
  <c r="FE660" i="50"/>
  <c r="FD660" i="50"/>
  <c r="FB660" i="50"/>
  <c r="EZ660" i="50"/>
  <c r="FJ659" i="50"/>
  <c r="FE659" i="50"/>
  <c r="FD659" i="50"/>
  <c r="FB659" i="50"/>
  <c r="EZ659" i="50"/>
  <c r="FJ658" i="50"/>
  <c r="FE658" i="50"/>
  <c r="FD658" i="50"/>
  <c r="FB658" i="50"/>
  <c r="EZ658" i="50"/>
  <c r="FJ657" i="50"/>
  <c r="FE657" i="50"/>
  <c r="FD657" i="50"/>
  <c r="FB657" i="50"/>
  <c r="EZ657" i="50"/>
  <c r="FJ656" i="50"/>
  <c r="FE656" i="50"/>
  <c r="FD656" i="50"/>
  <c r="FB656" i="50"/>
  <c r="EZ656" i="50"/>
  <c r="FJ655" i="50"/>
  <c r="FE655" i="50"/>
  <c r="FD655" i="50"/>
  <c r="FB655" i="50"/>
  <c r="EZ655" i="50"/>
  <c r="FJ654" i="50"/>
  <c r="FE654" i="50"/>
  <c r="FD654" i="50"/>
  <c r="FB654" i="50"/>
  <c r="EZ654" i="50"/>
  <c r="FJ653" i="50"/>
  <c r="FE653" i="50"/>
  <c r="FD653" i="50"/>
  <c r="FB653" i="50"/>
  <c r="EZ653" i="50"/>
  <c r="FJ652" i="50"/>
  <c r="FE652" i="50"/>
  <c r="FD652" i="50"/>
  <c r="FB652" i="50"/>
  <c r="EZ652" i="50"/>
  <c r="FJ651" i="50"/>
  <c r="FE651" i="50"/>
  <c r="FD651" i="50"/>
  <c r="FB651" i="50"/>
  <c r="EZ651" i="50"/>
  <c r="FJ650" i="50"/>
  <c r="FE650" i="50"/>
  <c r="FD650" i="50"/>
  <c r="FB650" i="50"/>
  <c r="EZ650" i="50"/>
  <c r="FJ649" i="50"/>
  <c r="FE649" i="50"/>
  <c r="FD649" i="50"/>
  <c r="FB649" i="50"/>
  <c r="EZ649" i="50"/>
  <c r="FJ648" i="50"/>
  <c r="FE648" i="50"/>
  <c r="FD648" i="50"/>
  <c r="FB648" i="50"/>
  <c r="EZ648" i="50"/>
  <c r="FJ647" i="50"/>
  <c r="FE647" i="50"/>
  <c r="FD647" i="50"/>
  <c r="FB647" i="50"/>
  <c r="EZ647" i="50"/>
  <c r="FJ646" i="50"/>
  <c r="FE646" i="50"/>
  <c r="FD646" i="50"/>
  <c r="FB646" i="50"/>
  <c r="EZ646" i="50"/>
  <c r="FJ645" i="50"/>
  <c r="FE645" i="50"/>
  <c r="FD645" i="50"/>
  <c r="FB645" i="50"/>
  <c r="EZ645" i="50"/>
  <c r="FJ644" i="50"/>
  <c r="FE644" i="50"/>
  <c r="FD644" i="50"/>
  <c r="FB644" i="50"/>
  <c r="EZ644" i="50"/>
  <c r="FE643" i="50"/>
  <c r="FD643" i="50"/>
  <c r="FB643" i="50"/>
  <c r="EZ643" i="50"/>
  <c r="FE642" i="50"/>
  <c r="FD642" i="50"/>
  <c r="FB642" i="50"/>
  <c r="EZ642" i="50"/>
  <c r="FE641" i="50"/>
  <c r="FD641" i="50"/>
  <c r="FB641" i="50"/>
  <c r="EZ641" i="50"/>
  <c r="FE640" i="50"/>
  <c r="FD640" i="50"/>
  <c r="FB640" i="50"/>
  <c r="EZ640" i="50"/>
  <c r="FE639" i="50"/>
  <c r="FD639" i="50"/>
  <c r="FB639" i="50"/>
  <c r="EZ639" i="50"/>
  <c r="FE638" i="50"/>
  <c r="FD638" i="50"/>
  <c r="FB638" i="50"/>
  <c r="EZ638" i="50"/>
  <c r="FE637" i="50"/>
  <c r="FD637" i="50"/>
  <c r="FB637" i="50"/>
  <c r="EZ637" i="50"/>
  <c r="FE636" i="50"/>
  <c r="FD636" i="50"/>
  <c r="FB636" i="50"/>
  <c r="EZ636" i="50"/>
  <c r="FE635" i="50"/>
  <c r="FD635" i="50"/>
  <c r="FB635" i="50"/>
  <c r="EZ635" i="50"/>
  <c r="FE634" i="50"/>
  <c r="FD634" i="50"/>
  <c r="FB634" i="50"/>
  <c r="EZ634" i="50"/>
  <c r="FE633" i="50"/>
  <c r="FD633" i="50"/>
  <c r="FB633" i="50"/>
  <c r="EZ633" i="50"/>
  <c r="FE632" i="50"/>
  <c r="FD632" i="50"/>
  <c r="FB632" i="50"/>
  <c r="EZ632" i="50"/>
  <c r="FE631" i="50"/>
  <c r="FD631" i="50"/>
  <c r="FB631" i="50"/>
  <c r="EZ631" i="50"/>
  <c r="FE630" i="50"/>
  <c r="FD630" i="50"/>
  <c r="FB630" i="50"/>
  <c r="EZ630" i="50"/>
  <c r="FE629" i="50"/>
  <c r="FD629" i="50"/>
  <c r="FB629" i="50"/>
  <c r="EZ629" i="50"/>
  <c r="FE628" i="50"/>
  <c r="FD628" i="50"/>
  <c r="FB628" i="50"/>
  <c r="EZ628" i="50"/>
  <c r="FE627" i="50"/>
  <c r="FD627" i="50"/>
  <c r="FB627" i="50"/>
  <c r="EZ627" i="50"/>
  <c r="FE626" i="50"/>
  <c r="FD626" i="50"/>
  <c r="FB626" i="50"/>
  <c r="EZ626" i="50"/>
  <c r="FE625" i="50"/>
  <c r="FD625" i="50"/>
  <c r="FB625" i="50"/>
  <c r="EZ625" i="50"/>
  <c r="FE624" i="50"/>
  <c r="FD624" i="50"/>
  <c r="FB624" i="50"/>
  <c r="EZ624" i="50"/>
  <c r="FE623" i="50"/>
  <c r="FD623" i="50"/>
  <c r="FB623" i="50"/>
  <c r="EZ623" i="50"/>
  <c r="FE622" i="50"/>
  <c r="FD622" i="50"/>
  <c r="FB622" i="50"/>
  <c r="EZ622" i="50"/>
  <c r="FE621" i="50"/>
  <c r="FD621" i="50"/>
  <c r="FB621" i="50"/>
  <c r="EZ621" i="50"/>
  <c r="FE620" i="50"/>
  <c r="FD620" i="50"/>
  <c r="FB620" i="50"/>
  <c r="EZ620" i="50"/>
  <c r="FJ619" i="50"/>
  <c r="FE619" i="50"/>
  <c r="FB619" i="50"/>
  <c r="EZ619" i="50"/>
  <c r="FJ618" i="50"/>
  <c r="FE618" i="50"/>
  <c r="FB618" i="50"/>
  <c r="EZ618" i="50"/>
  <c r="FJ617" i="50"/>
  <c r="FE617" i="50"/>
  <c r="FB617" i="50"/>
  <c r="EZ617" i="50"/>
  <c r="FJ616" i="50"/>
  <c r="FE616" i="50"/>
  <c r="FB616" i="50"/>
  <c r="EZ616" i="50"/>
  <c r="FJ615" i="50"/>
  <c r="FE615" i="50"/>
  <c r="FB615" i="50"/>
  <c r="EZ615" i="50"/>
  <c r="FJ614" i="50"/>
  <c r="FE614" i="50"/>
  <c r="FB614" i="50"/>
  <c r="EZ614" i="50"/>
  <c r="FJ613" i="50"/>
  <c r="FE613" i="50"/>
  <c r="FB613" i="50"/>
  <c r="EZ613" i="50"/>
  <c r="FJ612" i="50"/>
  <c r="FE612" i="50"/>
  <c r="FB612" i="50"/>
  <c r="EZ612" i="50"/>
  <c r="FJ611" i="50"/>
  <c r="FE611" i="50"/>
  <c r="FB611" i="50"/>
  <c r="EZ611" i="50"/>
  <c r="FJ610" i="50"/>
  <c r="FE610" i="50"/>
  <c r="FB610" i="50"/>
  <c r="EZ610" i="50"/>
  <c r="FJ609" i="50"/>
  <c r="FE609" i="50"/>
  <c r="FB609" i="50"/>
  <c r="EZ609" i="50"/>
  <c r="FJ608" i="50"/>
  <c r="FE608" i="50"/>
  <c r="FB608" i="50"/>
  <c r="EZ608" i="50"/>
  <c r="FJ607" i="50"/>
  <c r="FE607" i="50"/>
  <c r="FB607" i="50"/>
  <c r="EZ607" i="50"/>
  <c r="FJ606" i="50"/>
  <c r="FE606" i="50"/>
  <c r="FB606" i="50"/>
  <c r="EZ606" i="50"/>
  <c r="FJ605" i="50"/>
  <c r="FE605" i="50"/>
  <c r="FB605" i="50"/>
  <c r="EZ605" i="50"/>
  <c r="FJ604" i="50"/>
  <c r="FE604" i="50"/>
  <c r="FB604" i="50"/>
  <c r="EZ604" i="50"/>
  <c r="FJ603" i="50"/>
  <c r="FE603" i="50"/>
  <c r="FB603" i="50"/>
  <c r="EZ603" i="50"/>
  <c r="FJ602" i="50"/>
  <c r="FE602" i="50"/>
  <c r="FB602" i="50"/>
  <c r="EZ602" i="50"/>
  <c r="FJ601" i="50"/>
  <c r="FE601" i="50"/>
  <c r="FB601" i="50"/>
  <c r="EZ601" i="50"/>
  <c r="FJ600" i="50"/>
  <c r="FE600" i="50"/>
  <c r="FB600" i="50"/>
  <c r="EZ600" i="50"/>
  <c r="FJ599" i="50"/>
  <c r="FE599" i="50"/>
  <c r="FB599" i="50"/>
  <c r="EZ599" i="50"/>
  <c r="FJ598" i="50"/>
  <c r="FE598" i="50"/>
  <c r="FB598" i="50"/>
  <c r="EZ598" i="50"/>
  <c r="FJ597" i="50"/>
  <c r="FE597" i="50"/>
  <c r="FB597" i="50"/>
  <c r="EZ597" i="50"/>
  <c r="FJ596" i="50"/>
  <c r="FE596" i="50"/>
  <c r="FB596" i="50"/>
  <c r="EZ596" i="50"/>
  <c r="FJ595" i="50"/>
  <c r="FE595" i="50"/>
  <c r="FB595" i="50"/>
  <c r="EZ595" i="50"/>
  <c r="FJ594" i="50"/>
  <c r="FE594" i="50"/>
  <c r="FB594" i="50"/>
  <c r="EZ594" i="50"/>
  <c r="FJ593" i="50"/>
  <c r="FE593" i="50"/>
  <c r="FB593" i="50"/>
  <c r="EZ593" i="50"/>
  <c r="FJ592" i="50"/>
  <c r="FE592" i="50"/>
  <c r="FB592" i="50"/>
  <c r="EZ592" i="50"/>
  <c r="FJ591" i="50"/>
  <c r="FE591" i="50"/>
  <c r="FB591" i="50"/>
  <c r="EZ591" i="50"/>
  <c r="FJ590" i="50"/>
  <c r="FE590" i="50"/>
  <c r="FB590" i="50"/>
  <c r="EZ590" i="50"/>
  <c r="FJ589" i="50"/>
  <c r="FE589" i="50"/>
  <c r="FB589" i="50"/>
  <c r="EZ589" i="50"/>
  <c r="FJ588" i="50"/>
  <c r="FE588" i="50"/>
  <c r="FB588" i="50"/>
  <c r="EZ588" i="50"/>
  <c r="FJ587" i="50"/>
  <c r="FE587" i="50"/>
  <c r="FB587" i="50"/>
  <c r="EZ587" i="50"/>
  <c r="FJ586" i="50"/>
  <c r="FE586" i="50"/>
  <c r="FB586" i="50"/>
  <c r="EZ586" i="50"/>
  <c r="FJ585" i="50"/>
  <c r="FE585" i="50"/>
  <c r="FB585" i="50"/>
  <c r="EZ585" i="50"/>
  <c r="FJ584" i="50"/>
  <c r="FE584" i="50"/>
  <c r="FB584" i="50"/>
  <c r="EZ584" i="50"/>
  <c r="FJ583" i="50"/>
  <c r="FE583" i="50"/>
  <c r="FB583" i="50"/>
  <c r="EZ583" i="50"/>
  <c r="FJ582" i="50"/>
  <c r="FE582" i="50"/>
  <c r="FB582" i="50"/>
  <c r="EZ582" i="50"/>
  <c r="FJ581" i="50"/>
  <c r="FE581" i="50"/>
  <c r="FB581" i="50"/>
  <c r="EZ581" i="50"/>
  <c r="FJ580" i="50"/>
  <c r="FE580" i="50"/>
  <c r="FB580" i="50"/>
  <c r="EZ580" i="50"/>
  <c r="FJ579" i="50"/>
  <c r="FE579" i="50"/>
  <c r="FD579" i="50"/>
  <c r="FB579" i="50"/>
  <c r="EZ579" i="50"/>
  <c r="FJ578" i="50"/>
  <c r="FE578" i="50"/>
  <c r="FD578" i="50"/>
  <c r="FB578" i="50"/>
  <c r="EZ578" i="50"/>
  <c r="FJ577" i="50"/>
  <c r="FE577" i="50"/>
  <c r="FD577" i="50"/>
  <c r="FB577" i="50"/>
  <c r="EZ577" i="50"/>
  <c r="FJ576" i="50"/>
  <c r="FE576" i="50"/>
  <c r="FD576" i="50"/>
  <c r="FB576" i="50"/>
  <c r="EZ576" i="50"/>
  <c r="FJ575" i="50"/>
  <c r="FE575" i="50"/>
  <c r="FD575" i="50"/>
  <c r="FB575" i="50"/>
  <c r="EZ575" i="50"/>
  <c r="FJ574" i="50"/>
  <c r="FE574" i="50"/>
  <c r="FD574" i="50"/>
  <c r="FB574" i="50"/>
  <c r="EZ574" i="50"/>
  <c r="FJ573" i="50"/>
  <c r="FE573" i="50"/>
  <c r="FD573" i="50"/>
  <c r="FB573" i="50"/>
  <c r="EZ573" i="50"/>
  <c r="FJ572" i="50"/>
  <c r="FE572" i="50"/>
  <c r="FD572" i="50"/>
  <c r="FB572" i="50"/>
  <c r="EZ572" i="50"/>
  <c r="FJ571" i="50"/>
  <c r="FE571" i="50"/>
  <c r="FD571" i="50"/>
  <c r="FB571" i="50"/>
  <c r="EZ571" i="50"/>
  <c r="FJ570" i="50"/>
  <c r="FE570" i="50"/>
  <c r="FD570" i="50"/>
  <c r="FB570" i="50"/>
  <c r="EZ570" i="50"/>
  <c r="FJ569" i="50"/>
  <c r="FE569" i="50"/>
  <c r="FD569" i="50"/>
  <c r="FB569" i="50"/>
  <c r="EZ569" i="50"/>
  <c r="FJ568" i="50"/>
  <c r="FE568" i="50"/>
  <c r="FD568" i="50"/>
  <c r="FB568" i="50"/>
  <c r="EZ568" i="50"/>
  <c r="FJ567" i="50"/>
  <c r="FE567" i="50"/>
  <c r="FD567" i="50"/>
  <c r="FB567" i="50"/>
  <c r="EZ567" i="50"/>
  <c r="FJ566" i="50"/>
  <c r="FE566" i="50"/>
  <c r="FD566" i="50"/>
  <c r="FB566" i="50"/>
  <c r="EZ566" i="50"/>
  <c r="FJ565" i="50"/>
  <c r="FE565" i="50"/>
  <c r="FD565" i="50"/>
  <c r="FB565" i="50"/>
  <c r="EZ565" i="50"/>
  <c r="FJ564" i="50"/>
  <c r="FE564" i="50"/>
  <c r="FD564" i="50"/>
  <c r="FB564" i="50"/>
  <c r="EZ564" i="50"/>
  <c r="FJ563" i="50"/>
  <c r="FE563" i="50"/>
  <c r="FD563" i="50"/>
  <c r="FB563" i="50"/>
  <c r="EZ563" i="50"/>
  <c r="FJ562" i="50"/>
  <c r="FE562" i="50"/>
  <c r="FD562" i="50"/>
  <c r="FB562" i="50"/>
  <c r="EZ562" i="50"/>
  <c r="FJ561" i="50"/>
  <c r="FE561" i="50"/>
  <c r="FD561" i="50"/>
  <c r="FB561" i="50"/>
  <c r="EZ561" i="50"/>
  <c r="FJ560" i="50"/>
  <c r="FE560" i="50"/>
  <c r="FD560" i="50"/>
  <c r="FB560" i="50"/>
  <c r="EZ560" i="50"/>
  <c r="FJ559" i="50"/>
  <c r="FE559" i="50"/>
  <c r="FD559" i="50"/>
  <c r="FB559" i="50"/>
  <c r="EZ559" i="50"/>
  <c r="FJ558" i="50"/>
  <c r="FE558" i="50"/>
  <c r="FD558" i="50"/>
  <c r="FB558" i="50"/>
  <c r="EZ558" i="50"/>
  <c r="FJ557" i="50"/>
  <c r="FE557" i="50"/>
  <c r="FD557" i="50"/>
  <c r="FB557" i="50"/>
  <c r="EZ557" i="50"/>
  <c r="FJ556" i="50"/>
  <c r="FE556" i="50"/>
  <c r="FD556" i="50"/>
  <c r="FB556" i="50"/>
  <c r="EZ556" i="50"/>
  <c r="FJ555" i="50"/>
  <c r="FE555" i="50"/>
  <c r="FD555" i="50"/>
  <c r="FB555" i="50"/>
  <c r="EZ555" i="50"/>
  <c r="FJ554" i="50"/>
  <c r="FE554" i="50"/>
  <c r="FD554" i="50"/>
  <c r="FB554" i="50"/>
  <c r="EZ554" i="50"/>
  <c r="FJ553" i="50"/>
  <c r="FE553" i="50"/>
  <c r="FD553" i="50"/>
  <c r="FB553" i="50"/>
  <c r="EZ553" i="50"/>
  <c r="FJ552" i="50"/>
  <c r="FE552" i="50"/>
  <c r="FD552" i="50"/>
  <c r="FB552" i="50"/>
  <c r="EZ552" i="50"/>
  <c r="FJ551" i="50"/>
  <c r="FE551" i="50"/>
  <c r="FD551" i="50"/>
  <c r="FB551" i="50"/>
  <c r="EZ551" i="50"/>
  <c r="FJ550" i="50"/>
  <c r="FE550" i="50"/>
  <c r="FD550" i="50"/>
  <c r="FB550" i="50"/>
  <c r="EZ550" i="50"/>
  <c r="FJ549" i="50"/>
  <c r="FE549" i="50"/>
  <c r="FD549" i="50"/>
  <c r="FB549" i="50"/>
  <c r="EZ549" i="50"/>
  <c r="FJ548" i="50"/>
  <c r="FE548" i="50"/>
  <c r="FD548" i="50"/>
  <c r="FB548" i="50"/>
  <c r="EZ548" i="50"/>
  <c r="FJ547" i="50"/>
  <c r="FE547" i="50"/>
  <c r="FD547" i="50"/>
  <c r="FB547" i="50"/>
  <c r="EZ547" i="50"/>
  <c r="FJ546" i="50"/>
  <c r="FE546" i="50"/>
  <c r="FD546" i="50"/>
  <c r="FB546" i="50"/>
  <c r="EZ546" i="50"/>
  <c r="FJ545" i="50"/>
  <c r="FE545" i="50"/>
  <c r="FD545" i="50"/>
  <c r="FB545" i="50"/>
  <c r="EZ545" i="50"/>
  <c r="FJ544" i="50"/>
  <c r="FE544" i="50"/>
  <c r="FD544" i="50"/>
  <c r="FB544" i="50"/>
  <c r="EZ544" i="50"/>
  <c r="FJ543" i="50"/>
  <c r="FE543" i="50"/>
  <c r="FD543" i="50"/>
  <c r="FB543" i="50"/>
  <c r="EZ543" i="50"/>
  <c r="FJ542" i="50"/>
  <c r="FE542" i="50"/>
  <c r="FD542" i="50"/>
  <c r="FB542" i="50"/>
  <c r="EZ542" i="50"/>
  <c r="FJ541" i="50"/>
  <c r="FE541" i="50"/>
  <c r="FD541" i="50"/>
  <c r="FB541" i="50"/>
  <c r="EZ541" i="50"/>
  <c r="FJ540" i="50"/>
  <c r="FE540" i="50"/>
  <c r="FD540" i="50"/>
  <c r="FB540" i="50"/>
  <c r="EZ540" i="50"/>
  <c r="FJ539" i="50"/>
  <c r="FE539" i="50"/>
  <c r="FD539" i="50"/>
  <c r="FB539" i="50"/>
  <c r="EZ539" i="50"/>
  <c r="FJ538" i="50"/>
  <c r="FE538" i="50"/>
  <c r="FD538" i="50"/>
  <c r="FB538" i="50"/>
  <c r="EZ538" i="50"/>
  <c r="FJ537" i="50"/>
  <c r="FE537" i="50"/>
  <c r="FD537" i="50"/>
  <c r="FB537" i="50"/>
  <c r="EZ537" i="50"/>
  <c r="FJ536" i="50"/>
  <c r="FE536" i="50"/>
  <c r="FD536" i="50"/>
  <c r="FB536" i="50"/>
  <c r="EZ536" i="50"/>
  <c r="FJ535" i="50"/>
  <c r="FE535" i="50"/>
  <c r="FD535" i="50"/>
  <c r="FB535" i="50"/>
  <c r="EZ535" i="50"/>
  <c r="FJ534" i="50"/>
  <c r="FE534" i="50"/>
  <c r="FD534" i="50"/>
  <c r="FB534" i="50"/>
  <c r="EZ534" i="50"/>
  <c r="FJ533" i="50"/>
  <c r="FE533" i="50"/>
  <c r="FD533" i="50"/>
  <c r="FB533" i="50"/>
  <c r="EZ533" i="50"/>
  <c r="FJ532" i="50"/>
  <c r="FE532" i="50"/>
  <c r="FD532" i="50"/>
  <c r="FB532" i="50"/>
  <c r="EZ532" i="50"/>
  <c r="FJ531" i="50"/>
  <c r="FE531" i="50"/>
  <c r="FD531" i="50"/>
  <c r="FB531" i="50"/>
  <c r="EZ531" i="50"/>
  <c r="FJ530" i="50"/>
  <c r="FE530" i="50"/>
  <c r="FD530" i="50"/>
  <c r="FB530" i="50"/>
  <c r="EZ530" i="50"/>
  <c r="FJ529" i="50"/>
  <c r="FE529" i="50"/>
  <c r="FD529" i="50"/>
  <c r="FB529" i="50"/>
  <c r="EZ529" i="50"/>
  <c r="FJ528" i="50"/>
  <c r="FE528" i="50"/>
  <c r="FD528" i="50"/>
  <c r="FB528" i="50"/>
  <c r="EZ528" i="50"/>
  <c r="FJ527" i="50"/>
  <c r="FE527" i="50"/>
  <c r="FD527" i="50"/>
  <c r="FB527" i="50"/>
  <c r="EZ527" i="50"/>
  <c r="FJ526" i="50"/>
  <c r="FE526" i="50"/>
  <c r="FD526" i="50"/>
  <c r="FB526" i="50"/>
  <c r="EZ526" i="50"/>
  <c r="FJ525" i="50"/>
  <c r="FE525" i="50"/>
  <c r="FD525" i="50"/>
  <c r="FB525" i="50"/>
  <c r="EZ525" i="50"/>
  <c r="FJ524" i="50"/>
  <c r="FE524" i="50"/>
  <c r="FD524" i="50"/>
  <c r="FB524" i="50"/>
  <c r="EZ524" i="50"/>
  <c r="FJ523" i="50"/>
  <c r="FE523" i="50"/>
  <c r="FD523" i="50"/>
  <c r="FB523" i="50"/>
  <c r="EZ523" i="50"/>
  <c r="FJ522" i="50"/>
  <c r="FE522" i="50"/>
  <c r="FD522" i="50"/>
  <c r="FB522" i="50"/>
  <c r="EZ522" i="50"/>
  <c r="FJ521" i="50"/>
  <c r="FE521" i="50"/>
  <c r="FD521" i="50"/>
  <c r="FB521" i="50"/>
  <c r="EZ521" i="50"/>
  <c r="FJ520" i="50"/>
  <c r="FE520" i="50"/>
  <c r="FD520" i="50"/>
  <c r="FB520" i="50"/>
  <c r="EZ520" i="50"/>
  <c r="FJ519" i="50"/>
  <c r="FE519" i="50"/>
  <c r="FD519" i="50"/>
  <c r="FB519" i="50"/>
  <c r="EZ519" i="50"/>
  <c r="FJ518" i="50"/>
  <c r="FE518" i="50"/>
  <c r="FD518" i="50"/>
  <c r="FB518" i="50"/>
  <c r="EZ518" i="50"/>
  <c r="FJ517" i="50"/>
  <c r="FE517" i="50"/>
  <c r="FD517" i="50"/>
  <c r="FB517" i="50"/>
  <c r="EZ517" i="50"/>
  <c r="FJ516" i="50"/>
  <c r="FE516" i="50"/>
  <c r="FD516" i="50"/>
  <c r="FB516" i="50"/>
  <c r="EZ516" i="50"/>
  <c r="FJ515" i="50"/>
  <c r="FE515" i="50"/>
  <c r="FD515" i="50"/>
  <c r="FB515" i="50"/>
  <c r="EZ515" i="50"/>
  <c r="FJ514" i="50"/>
  <c r="FE514" i="50"/>
  <c r="FD514" i="50"/>
  <c r="FB514" i="50"/>
  <c r="EZ514" i="50"/>
  <c r="FJ513" i="50"/>
  <c r="FE513" i="50"/>
  <c r="FD513" i="50"/>
  <c r="FB513" i="50"/>
  <c r="EZ513" i="50"/>
  <c r="FJ512" i="50"/>
  <c r="FE512" i="50"/>
  <c r="FD512" i="50"/>
  <c r="FB512" i="50"/>
  <c r="EZ512" i="50"/>
  <c r="FJ511" i="50"/>
  <c r="FE511" i="50"/>
  <c r="FD511" i="50"/>
  <c r="FB511" i="50"/>
  <c r="EZ511" i="50"/>
  <c r="FJ510" i="50"/>
  <c r="FE510" i="50"/>
  <c r="FD510" i="50"/>
  <c r="FB510" i="50"/>
  <c r="EZ510" i="50"/>
  <c r="FJ509" i="50"/>
  <c r="FE509" i="50"/>
  <c r="FD509" i="50"/>
  <c r="FB509" i="50"/>
  <c r="EZ509" i="50"/>
  <c r="FJ508" i="50"/>
  <c r="FE508" i="50"/>
  <c r="FD508" i="50"/>
  <c r="FB508" i="50"/>
  <c r="EZ508" i="50"/>
  <c r="FJ507" i="50"/>
  <c r="FE507" i="50"/>
  <c r="FD507" i="50"/>
  <c r="FB507" i="50"/>
  <c r="EZ507" i="50"/>
  <c r="FJ506" i="50"/>
  <c r="FE506" i="50"/>
  <c r="FD506" i="50"/>
  <c r="FB506" i="50"/>
  <c r="EZ506" i="50"/>
  <c r="FJ505" i="50"/>
  <c r="FE505" i="50"/>
  <c r="FD505" i="50"/>
  <c r="FB505" i="50"/>
  <c r="EZ505" i="50"/>
  <c r="FJ504" i="50"/>
  <c r="FE504" i="50"/>
  <c r="FD504" i="50"/>
  <c r="FB504" i="50"/>
  <c r="EZ504" i="50"/>
  <c r="FJ503" i="50"/>
  <c r="FE503" i="50"/>
  <c r="FD503" i="50"/>
  <c r="FB503" i="50"/>
  <c r="EZ503" i="50"/>
  <c r="FJ502" i="50"/>
  <c r="FE502" i="50"/>
  <c r="FD502" i="50"/>
  <c r="FB502" i="50"/>
  <c r="EZ502" i="50"/>
  <c r="FJ501" i="50"/>
  <c r="FE501" i="50"/>
  <c r="FD501" i="50"/>
  <c r="FB501" i="50"/>
  <c r="EZ501" i="50"/>
  <c r="FJ500" i="50"/>
  <c r="FE500" i="50"/>
  <c r="FD500" i="50"/>
  <c r="FB500" i="50"/>
  <c r="EZ500" i="50"/>
  <c r="FJ499" i="50"/>
  <c r="FE499" i="50"/>
  <c r="FD499" i="50"/>
  <c r="FB499" i="50"/>
  <c r="EZ499" i="50"/>
  <c r="FJ498" i="50"/>
  <c r="FE498" i="50"/>
  <c r="FD498" i="50"/>
  <c r="FB498" i="50"/>
  <c r="EZ498" i="50"/>
  <c r="FJ497" i="50"/>
  <c r="FE497" i="50"/>
  <c r="FD497" i="50"/>
  <c r="FB497" i="50"/>
  <c r="EZ497" i="50"/>
  <c r="FJ496" i="50"/>
  <c r="FE496" i="50"/>
  <c r="FD496" i="50"/>
  <c r="FB496" i="50"/>
  <c r="EZ496" i="50"/>
  <c r="FJ495" i="50"/>
  <c r="FE495" i="50"/>
  <c r="FD495" i="50"/>
  <c r="FB495" i="50"/>
  <c r="EZ495" i="50"/>
  <c r="FJ494" i="50"/>
  <c r="FE494" i="50"/>
  <c r="FD494" i="50"/>
  <c r="FB494" i="50"/>
  <c r="EZ494" i="50"/>
  <c r="FJ493" i="50"/>
  <c r="FE493" i="50"/>
  <c r="FD493" i="50"/>
  <c r="FB493" i="50"/>
  <c r="EZ493" i="50"/>
  <c r="FJ492" i="50"/>
  <c r="FE492" i="50"/>
  <c r="FD492" i="50"/>
  <c r="FB492" i="50"/>
  <c r="EZ492" i="50"/>
  <c r="FJ491" i="50"/>
  <c r="FE491" i="50"/>
  <c r="FD491" i="50"/>
  <c r="FB491" i="50"/>
  <c r="EZ491" i="50"/>
  <c r="FJ490" i="50"/>
  <c r="FE490" i="50"/>
  <c r="FD490" i="50"/>
  <c r="FB490" i="50"/>
  <c r="EZ490" i="50"/>
  <c r="FJ489" i="50"/>
  <c r="FE489" i="50"/>
  <c r="FD489" i="50"/>
  <c r="FB489" i="50"/>
  <c r="EZ489" i="50"/>
  <c r="FJ488" i="50"/>
  <c r="FE488" i="50"/>
  <c r="FD488" i="50"/>
  <c r="FB488" i="50"/>
  <c r="EZ488" i="50"/>
  <c r="FJ487" i="50"/>
  <c r="FE487" i="50"/>
  <c r="FD487" i="50"/>
  <c r="FB487" i="50"/>
  <c r="EZ487" i="50"/>
  <c r="FJ486" i="50"/>
  <c r="FE486" i="50"/>
  <c r="FD486" i="50"/>
  <c r="FB486" i="50"/>
  <c r="EZ486" i="50"/>
  <c r="FJ485" i="50"/>
  <c r="FE485" i="50"/>
  <c r="FD485" i="50"/>
  <c r="FB485" i="50"/>
  <c r="EZ485" i="50"/>
  <c r="FJ484" i="50"/>
  <c r="FE484" i="50"/>
  <c r="FD484" i="50"/>
  <c r="FB484" i="50"/>
  <c r="EZ484" i="50"/>
  <c r="FJ483" i="50"/>
  <c r="FE483" i="50"/>
  <c r="FD483" i="50"/>
  <c r="FB483" i="50"/>
  <c r="EZ483" i="50"/>
  <c r="FJ482" i="50"/>
  <c r="FE482" i="50"/>
  <c r="FD482" i="50"/>
  <c r="FB482" i="50"/>
  <c r="EZ482" i="50"/>
  <c r="FJ481" i="50"/>
  <c r="FE481" i="50"/>
  <c r="FD481" i="50"/>
  <c r="FB481" i="50"/>
  <c r="EZ481" i="50"/>
  <c r="FJ480" i="50"/>
  <c r="FE480" i="50"/>
  <c r="FD480" i="50"/>
  <c r="FB480" i="50"/>
  <c r="EZ480" i="50"/>
  <c r="FJ479" i="50"/>
  <c r="FE479" i="50"/>
  <c r="FD479" i="50"/>
  <c r="FB479" i="50"/>
  <c r="EZ479" i="50"/>
  <c r="FJ478" i="50"/>
  <c r="FE478" i="50"/>
  <c r="FD478" i="50"/>
  <c r="FB478" i="50"/>
  <c r="EZ478" i="50"/>
  <c r="FJ477" i="50"/>
  <c r="FE477" i="50"/>
  <c r="FD477" i="50"/>
  <c r="FB477" i="50"/>
  <c r="EZ477" i="50"/>
  <c r="FJ476" i="50"/>
  <c r="FE476" i="50"/>
  <c r="FD476" i="50"/>
  <c r="FB476" i="50"/>
  <c r="EZ476" i="50"/>
  <c r="FJ475" i="50"/>
  <c r="FE475" i="50"/>
  <c r="FD475" i="50"/>
  <c r="FB475" i="50"/>
  <c r="EZ475" i="50"/>
  <c r="FJ474" i="50"/>
  <c r="FE474" i="50"/>
  <c r="FD474" i="50"/>
  <c r="FB474" i="50"/>
  <c r="EZ474" i="50"/>
  <c r="FJ473" i="50"/>
  <c r="FE473" i="50"/>
  <c r="FD473" i="50"/>
  <c r="FB473" i="50"/>
  <c r="EZ473" i="50"/>
  <c r="FJ472" i="50"/>
  <c r="FE472" i="50"/>
  <c r="FD472" i="50"/>
  <c r="FB472" i="50"/>
  <c r="EZ472" i="50"/>
  <c r="FJ471" i="50"/>
  <c r="FE471" i="50"/>
  <c r="FD471" i="50"/>
  <c r="FB471" i="50"/>
  <c r="EZ471" i="50"/>
  <c r="FJ470" i="50"/>
  <c r="FE470" i="50"/>
  <c r="FD470" i="50"/>
  <c r="FB470" i="50"/>
  <c r="EZ470" i="50"/>
  <c r="FJ469" i="50"/>
  <c r="FE469" i="50"/>
  <c r="FD469" i="50"/>
  <c r="FB469" i="50"/>
  <c r="EZ469" i="50"/>
  <c r="FJ468" i="50"/>
  <c r="FE468" i="50"/>
  <c r="FD468" i="50"/>
  <c r="FB468" i="50"/>
  <c r="EZ468" i="50"/>
  <c r="FJ467" i="50"/>
  <c r="FE467" i="50"/>
  <c r="FD467" i="50"/>
  <c r="FB467" i="50"/>
  <c r="EZ467" i="50"/>
  <c r="FJ466" i="50"/>
  <c r="FE466" i="50"/>
  <c r="FD466" i="50"/>
  <c r="FB466" i="50"/>
  <c r="EZ466" i="50"/>
  <c r="FJ465" i="50"/>
  <c r="FE465" i="50"/>
  <c r="FD465" i="50"/>
  <c r="FB465" i="50"/>
  <c r="EZ465" i="50"/>
  <c r="FJ464" i="50"/>
  <c r="FE464" i="50"/>
  <c r="FD464" i="50"/>
  <c r="FB464" i="50"/>
  <c r="EZ464" i="50"/>
  <c r="FJ463" i="50"/>
  <c r="FE463" i="50"/>
  <c r="FD463" i="50"/>
  <c r="FB463" i="50"/>
  <c r="EZ463" i="50"/>
  <c r="FJ462" i="50"/>
  <c r="FE462" i="50"/>
  <c r="FD462" i="50"/>
  <c r="FB462" i="50"/>
  <c r="EZ462" i="50"/>
  <c r="FJ461" i="50"/>
  <c r="FE461" i="50"/>
  <c r="FD461" i="50"/>
  <c r="FB461" i="50"/>
  <c r="EZ461" i="50"/>
  <c r="FJ460" i="50"/>
  <c r="FE460" i="50"/>
  <c r="FD460" i="50"/>
  <c r="FB460" i="50"/>
  <c r="EZ460" i="50"/>
  <c r="FJ459" i="50"/>
  <c r="FE459" i="50"/>
  <c r="FD459" i="50"/>
  <c r="FB459" i="50"/>
  <c r="EZ459" i="50"/>
  <c r="FJ458" i="50"/>
  <c r="FE458" i="50"/>
  <c r="FD458" i="50"/>
  <c r="FB458" i="50"/>
  <c r="EZ458" i="50"/>
  <c r="FJ457" i="50"/>
  <c r="FE457" i="50"/>
  <c r="FD457" i="50"/>
  <c r="FB457" i="50"/>
  <c r="EZ457" i="50"/>
  <c r="FJ456" i="50"/>
  <c r="FE456" i="50"/>
  <c r="FD456" i="50"/>
  <c r="FB456" i="50"/>
  <c r="EZ456" i="50"/>
  <c r="FJ455" i="50"/>
  <c r="FE455" i="50"/>
  <c r="FD455" i="50"/>
  <c r="FB455" i="50"/>
  <c r="EZ455" i="50"/>
  <c r="FJ454" i="50"/>
  <c r="FE454" i="50"/>
  <c r="FD454" i="50"/>
  <c r="FB454" i="50"/>
  <c r="EZ454" i="50"/>
  <c r="FJ453" i="50"/>
  <c r="FE453" i="50"/>
  <c r="FD453" i="50"/>
  <c r="FB453" i="50"/>
  <c r="EZ453" i="50"/>
  <c r="FJ452" i="50"/>
  <c r="FE452" i="50"/>
  <c r="FD452" i="50"/>
  <c r="FB452" i="50"/>
  <c r="EZ452" i="50"/>
  <c r="FJ451" i="50"/>
  <c r="FE451" i="50"/>
  <c r="FD451" i="50"/>
  <c r="FB451" i="50"/>
  <c r="EZ451" i="50"/>
  <c r="FJ450" i="50"/>
  <c r="FE450" i="50"/>
  <c r="FD450" i="50"/>
  <c r="FB450" i="50"/>
  <c r="EZ450" i="50"/>
  <c r="FJ449" i="50"/>
  <c r="FE449" i="50"/>
  <c r="FD449" i="50"/>
  <c r="FB449" i="50"/>
  <c r="EZ449" i="50"/>
  <c r="FJ448" i="50"/>
  <c r="FE448" i="50"/>
  <c r="FD448" i="50"/>
  <c r="FB448" i="50"/>
  <c r="EZ448" i="50"/>
  <c r="FJ447" i="50"/>
  <c r="FE447" i="50"/>
  <c r="FD447" i="50"/>
  <c r="FB447" i="50"/>
  <c r="EZ447" i="50"/>
  <c r="FJ446" i="50"/>
  <c r="FE446" i="50"/>
  <c r="FD446" i="50"/>
  <c r="FB446" i="50"/>
  <c r="EZ446" i="50"/>
  <c r="FJ445" i="50"/>
  <c r="FE445" i="50"/>
  <c r="FD445" i="50"/>
  <c r="FB445" i="50"/>
  <c r="EZ445" i="50"/>
  <c r="FJ444" i="50"/>
  <c r="FE444" i="50"/>
  <c r="FD444" i="50"/>
  <c r="FB444" i="50"/>
  <c r="EZ444" i="50"/>
  <c r="FJ443" i="50"/>
  <c r="FE443" i="50"/>
  <c r="FD443" i="50"/>
  <c r="FB443" i="50"/>
  <c r="EZ443" i="50"/>
  <c r="FJ442" i="50"/>
  <c r="FE442" i="50"/>
  <c r="FD442" i="50"/>
  <c r="FB442" i="50"/>
  <c r="EZ442" i="50"/>
  <c r="FJ441" i="50"/>
  <c r="FE441" i="50"/>
  <c r="FD441" i="50"/>
  <c r="FB441" i="50"/>
  <c r="EZ441" i="50"/>
  <c r="FJ440" i="50"/>
  <c r="FE440" i="50"/>
  <c r="FD440" i="50"/>
  <c r="FB440" i="50"/>
  <c r="EZ440" i="50"/>
  <c r="FJ439" i="50"/>
  <c r="FE439" i="50"/>
  <c r="FD439" i="50"/>
  <c r="FB439" i="50"/>
  <c r="EZ439" i="50"/>
  <c r="FJ438" i="50"/>
  <c r="FE438" i="50"/>
  <c r="FD438" i="50"/>
  <c r="FB438" i="50"/>
  <c r="EZ438" i="50"/>
  <c r="FJ437" i="50"/>
  <c r="FE437" i="50"/>
  <c r="FD437" i="50"/>
  <c r="FB437" i="50"/>
  <c r="EZ437" i="50"/>
  <c r="FJ436" i="50"/>
  <c r="FE436" i="50"/>
  <c r="FD436" i="50"/>
  <c r="FB436" i="50"/>
  <c r="EZ436" i="50"/>
  <c r="FJ435" i="50"/>
  <c r="FE435" i="50"/>
  <c r="FD435" i="50"/>
  <c r="FB435" i="50"/>
  <c r="EZ435" i="50"/>
  <c r="FJ434" i="50"/>
  <c r="FE434" i="50"/>
  <c r="FD434" i="50"/>
  <c r="FB434" i="50"/>
  <c r="EZ434" i="50"/>
  <c r="FJ433" i="50"/>
  <c r="FE433" i="50"/>
  <c r="FD433" i="50"/>
  <c r="FB433" i="50"/>
  <c r="EZ433" i="50"/>
  <c r="FJ432" i="50"/>
  <c r="FE432" i="50"/>
  <c r="FD432" i="50"/>
  <c r="FB432" i="50"/>
  <c r="EZ432" i="50"/>
  <c r="FJ431" i="50"/>
  <c r="FE431" i="50"/>
  <c r="FD431" i="50"/>
  <c r="FB431" i="50"/>
  <c r="EZ431" i="50"/>
  <c r="FJ430" i="50"/>
  <c r="FE430" i="50"/>
  <c r="FB430" i="50"/>
  <c r="EZ430" i="50"/>
  <c r="FJ429" i="50"/>
  <c r="FE429" i="50"/>
  <c r="FB429" i="50"/>
  <c r="EZ429" i="50"/>
  <c r="FJ428" i="50"/>
  <c r="FE428" i="50"/>
  <c r="FB428" i="50"/>
  <c r="EZ428" i="50"/>
  <c r="FJ427" i="50"/>
  <c r="FE427" i="50"/>
  <c r="FB427" i="50"/>
  <c r="EZ427" i="50"/>
  <c r="FJ426" i="50"/>
  <c r="FE426" i="50"/>
  <c r="FB426" i="50"/>
  <c r="EZ426" i="50"/>
  <c r="FE425" i="50"/>
  <c r="FD425" i="50"/>
  <c r="FB425" i="50"/>
  <c r="EZ425" i="50"/>
  <c r="FJ424" i="50"/>
  <c r="FE424" i="50"/>
  <c r="FB424" i="50"/>
  <c r="EZ424" i="50"/>
  <c r="FJ423" i="50"/>
  <c r="FE423" i="50"/>
  <c r="FB423" i="50"/>
  <c r="EZ423" i="50"/>
  <c r="FJ422" i="50"/>
  <c r="FE422" i="50"/>
  <c r="FB422" i="50"/>
  <c r="EZ422" i="50"/>
  <c r="FJ421" i="50"/>
  <c r="FE421" i="50"/>
  <c r="FB421" i="50"/>
  <c r="EZ421" i="50"/>
  <c r="FJ420" i="50"/>
  <c r="FE420" i="50"/>
  <c r="FB420" i="50"/>
  <c r="EZ420" i="50"/>
  <c r="FJ419" i="50"/>
  <c r="FE419" i="50"/>
  <c r="FB419" i="50"/>
  <c r="EZ419" i="50"/>
  <c r="FJ418" i="50"/>
  <c r="FE418" i="50"/>
  <c r="FB418" i="50"/>
  <c r="EZ418" i="50"/>
  <c r="FJ417" i="50"/>
  <c r="FE417" i="50"/>
  <c r="FB417" i="50"/>
  <c r="EZ417" i="50"/>
  <c r="FJ416" i="50"/>
  <c r="FE416" i="50"/>
  <c r="FB416" i="50"/>
  <c r="EZ416" i="50"/>
  <c r="FJ415" i="50"/>
  <c r="FE415" i="50"/>
  <c r="FB415" i="50"/>
  <c r="EZ415" i="50"/>
  <c r="FJ414" i="50"/>
  <c r="FE414" i="50"/>
  <c r="FB414" i="50"/>
  <c r="EZ414" i="50"/>
  <c r="FJ413" i="50"/>
  <c r="FE413" i="50"/>
  <c r="FB413" i="50"/>
  <c r="EZ413" i="50"/>
  <c r="FJ412" i="50"/>
  <c r="FE412" i="50"/>
  <c r="FD412" i="50"/>
  <c r="FB412" i="50"/>
  <c r="EZ412" i="50"/>
  <c r="FJ411" i="50"/>
  <c r="FE411" i="50"/>
  <c r="FD411" i="50"/>
  <c r="FB411" i="50"/>
  <c r="EZ411" i="50"/>
  <c r="FJ410" i="50"/>
  <c r="FE410" i="50"/>
  <c r="FD410" i="50"/>
  <c r="FB410" i="50"/>
  <c r="EZ410" i="50"/>
  <c r="FJ409" i="50"/>
  <c r="FE409" i="50"/>
  <c r="FD409" i="50"/>
  <c r="FB409" i="50"/>
  <c r="EZ409" i="50"/>
  <c r="FJ408" i="50"/>
  <c r="FE408" i="50"/>
  <c r="FD408" i="50"/>
  <c r="FB408" i="50"/>
  <c r="EZ408" i="50"/>
  <c r="FJ407" i="50"/>
  <c r="FE407" i="50"/>
  <c r="FD407" i="50"/>
  <c r="FB407" i="50"/>
  <c r="EZ407" i="50"/>
  <c r="FJ406" i="50"/>
  <c r="FE406" i="50"/>
  <c r="FD406" i="50"/>
  <c r="FB406" i="50"/>
  <c r="EZ406" i="50"/>
  <c r="FJ405" i="50"/>
  <c r="FE405" i="50"/>
  <c r="FD405" i="50"/>
  <c r="FB405" i="50"/>
  <c r="EZ405" i="50"/>
  <c r="FJ404" i="50"/>
  <c r="FE404" i="50"/>
  <c r="FD404" i="50"/>
  <c r="FB404" i="50"/>
  <c r="EZ404" i="50"/>
  <c r="FJ403" i="50"/>
  <c r="FE403" i="50"/>
  <c r="FD403" i="50"/>
  <c r="FB403" i="50"/>
  <c r="EZ403" i="50"/>
  <c r="FJ402" i="50"/>
  <c r="FE402" i="50"/>
  <c r="FD402" i="50"/>
  <c r="FB402" i="50"/>
  <c r="EZ402" i="50"/>
  <c r="FJ401" i="50"/>
  <c r="FE401" i="50"/>
  <c r="FD401" i="50"/>
  <c r="FB401" i="50"/>
  <c r="EZ401" i="50"/>
  <c r="FJ400" i="50"/>
  <c r="FE400" i="50"/>
  <c r="FD400" i="50"/>
  <c r="FB400" i="50"/>
  <c r="EZ400" i="50"/>
  <c r="FJ399" i="50"/>
  <c r="FE399" i="50"/>
  <c r="FD399" i="50"/>
  <c r="FB399" i="50"/>
  <c r="EZ399" i="50"/>
  <c r="FJ398" i="50"/>
  <c r="FE398" i="50"/>
  <c r="FD398" i="50"/>
  <c r="FB398" i="50"/>
  <c r="EZ398" i="50"/>
  <c r="FJ397" i="50"/>
  <c r="FE397" i="50"/>
  <c r="FD397" i="50"/>
  <c r="FB397" i="50"/>
  <c r="EZ397" i="50"/>
  <c r="FJ396" i="50"/>
  <c r="FE396" i="50"/>
  <c r="FD396" i="50"/>
  <c r="FB396" i="50"/>
  <c r="EZ396" i="50"/>
  <c r="FJ395" i="50"/>
  <c r="FE395" i="50"/>
  <c r="FD395" i="50"/>
  <c r="FB395" i="50"/>
  <c r="EZ395" i="50"/>
  <c r="FJ394" i="50"/>
  <c r="FE394" i="50"/>
  <c r="FD394" i="50"/>
  <c r="FB394" i="50"/>
  <c r="EZ394" i="50"/>
  <c r="FJ393" i="50"/>
  <c r="FE393" i="50"/>
  <c r="FD393" i="50"/>
  <c r="FB393" i="50"/>
  <c r="EZ393" i="50"/>
  <c r="FJ392" i="50"/>
  <c r="FE392" i="50"/>
  <c r="FD392" i="50"/>
  <c r="FB392" i="50"/>
  <c r="EZ392" i="50"/>
  <c r="FJ391" i="50"/>
  <c r="FE391" i="50"/>
  <c r="FD391" i="50"/>
  <c r="FB391" i="50"/>
  <c r="EZ391" i="50"/>
  <c r="FJ390" i="50"/>
  <c r="FE390" i="50"/>
  <c r="FD390" i="50"/>
  <c r="FB390" i="50"/>
  <c r="EZ390" i="50"/>
  <c r="FJ389" i="50"/>
  <c r="FE389" i="50"/>
  <c r="FD389" i="50"/>
  <c r="FB389" i="50"/>
  <c r="EZ389" i="50"/>
  <c r="FJ388" i="50"/>
  <c r="FE388" i="50"/>
  <c r="FD388" i="50"/>
  <c r="FB388" i="50"/>
  <c r="EZ388" i="50"/>
  <c r="FJ387" i="50"/>
  <c r="FE387" i="50"/>
  <c r="FD387" i="50"/>
  <c r="FB387" i="50"/>
  <c r="EZ387" i="50"/>
  <c r="FJ386" i="50"/>
  <c r="FE386" i="50"/>
  <c r="FD386" i="50"/>
  <c r="FB386" i="50"/>
  <c r="EZ386" i="50"/>
  <c r="FJ385" i="50"/>
  <c r="FE385" i="50"/>
  <c r="FD385" i="50"/>
  <c r="FB385" i="50"/>
  <c r="EZ385" i="50"/>
  <c r="FJ384" i="50"/>
  <c r="FE384" i="50"/>
  <c r="FD384" i="50"/>
  <c r="FB384" i="50"/>
  <c r="EZ384" i="50"/>
  <c r="FJ383" i="50"/>
  <c r="FE383" i="50"/>
  <c r="FD383" i="50"/>
  <c r="FB383" i="50"/>
  <c r="EZ383" i="50"/>
  <c r="FJ382" i="50"/>
  <c r="FE382" i="50"/>
  <c r="FD382" i="50"/>
  <c r="FB382" i="50"/>
  <c r="EZ382" i="50"/>
  <c r="FJ381" i="50"/>
  <c r="FE381" i="50"/>
  <c r="FD381" i="50"/>
  <c r="FB381" i="50"/>
  <c r="EZ381" i="50"/>
  <c r="FJ380" i="50"/>
  <c r="FE380" i="50"/>
  <c r="FD380" i="50"/>
  <c r="FB380" i="50"/>
  <c r="EZ380" i="50"/>
  <c r="FJ379" i="50"/>
  <c r="FE379" i="50"/>
  <c r="FD379" i="50"/>
  <c r="FB379" i="50"/>
  <c r="EZ379" i="50"/>
  <c r="FJ378" i="50"/>
  <c r="FE378" i="50"/>
  <c r="FD378" i="50"/>
  <c r="FB378" i="50"/>
  <c r="EZ378" i="50"/>
  <c r="FJ377" i="50"/>
  <c r="FE377" i="50"/>
  <c r="FD377" i="50"/>
  <c r="FB377" i="50"/>
  <c r="EZ377" i="50"/>
  <c r="FJ376" i="50"/>
  <c r="FE376" i="50"/>
  <c r="FD376" i="50"/>
  <c r="FB376" i="50"/>
  <c r="EZ376" i="50"/>
  <c r="FJ375" i="50"/>
  <c r="FE375" i="50"/>
  <c r="FD375" i="50"/>
  <c r="FB375" i="50"/>
  <c r="EZ375" i="50"/>
  <c r="FJ374" i="50"/>
  <c r="FE374" i="50"/>
  <c r="FD374" i="50"/>
  <c r="FB374" i="50"/>
  <c r="EZ374" i="50"/>
  <c r="FJ373" i="50"/>
  <c r="FE373" i="50"/>
  <c r="FD373" i="50"/>
  <c r="FB373" i="50"/>
  <c r="EZ373" i="50"/>
  <c r="FJ372" i="50"/>
  <c r="FE372" i="50"/>
  <c r="FD372" i="50"/>
  <c r="FB372" i="50"/>
  <c r="EZ372" i="50"/>
  <c r="FJ371" i="50"/>
  <c r="FE371" i="50"/>
  <c r="FD371" i="50"/>
  <c r="FB371" i="50"/>
  <c r="EZ371" i="50"/>
  <c r="FJ370" i="50"/>
  <c r="FE370" i="50"/>
  <c r="FD370" i="50"/>
  <c r="FB370" i="50"/>
  <c r="EZ370" i="50"/>
  <c r="FJ369" i="50"/>
  <c r="FE369" i="50"/>
  <c r="FD369" i="50"/>
  <c r="FB369" i="50"/>
  <c r="EZ369" i="50"/>
  <c r="FJ368" i="50"/>
  <c r="FE368" i="50"/>
  <c r="FD368" i="50"/>
  <c r="FB368" i="50"/>
  <c r="EZ368" i="50"/>
  <c r="FJ367" i="50"/>
  <c r="FE367" i="50"/>
  <c r="FD367" i="50"/>
  <c r="FB367" i="50"/>
  <c r="EZ367" i="50"/>
  <c r="FJ366" i="50"/>
  <c r="FE366" i="50"/>
  <c r="FD366" i="50"/>
  <c r="FB366" i="50"/>
  <c r="EZ366" i="50"/>
  <c r="FJ365" i="50"/>
  <c r="FE365" i="50"/>
  <c r="FD365" i="50"/>
  <c r="FB365" i="50"/>
  <c r="EZ365" i="50"/>
  <c r="FJ364" i="50"/>
  <c r="FE364" i="50"/>
  <c r="FD364" i="50"/>
  <c r="FB364" i="50"/>
  <c r="EZ364" i="50"/>
  <c r="FJ363" i="50"/>
  <c r="FE363" i="50"/>
  <c r="FD363" i="50"/>
  <c r="FB363" i="50"/>
  <c r="EZ363" i="50"/>
  <c r="FJ362" i="50"/>
  <c r="FE362" i="50"/>
  <c r="FD362" i="50"/>
  <c r="FB362" i="50"/>
  <c r="EZ362" i="50"/>
  <c r="FJ361" i="50"/>
  <c r="FE361" i="50"/>
  <c r="FD361" i="50"/>
  <c r="FB361" i="50"/>
  <c r="EZ361" i="50"/>
  <c r="FJ360" i="50"/>
  <c r="FE360" i="50"/>
  <c r="FD360" i="50"/>
  <c r="FB360" i="50"/>
  <c r="EZ360" i="50"/>
  <c r="FJ359" i="50"/>
  <c r="FE359" i="50"/>
  <c r="FD359" i="50"/>
  <c r="FB359" i="50"/>
  <c r="EZ359" i="50"/>
  <c r="FJ358" i="50"/>
  <c r="FE358" i="50"/>
  <c r="FD358" i="50"/>
  <c r="FB358" i="50"/>
  <c r="EZ358" i="50"/>
  <c r="FJ357" i="50"/>
  <c r="FE357" i="50"/>
  <c r="FD357" i="50"/>
  <c r="FB357" i="50"/>
  <c r="EZ357" i="50"/>
  <c r="FE356" i="50"/>
  <c r="FB356" i="50"/>
  <c r="EZ356" i="50"/>
  <c r="FE355" i="50"/>
  <c r="FB355" i="50"/>
  <c r="EZ355" i="50"/>
  <c r="FJ354" i="50"/>
  <c r="FE354" i="50"/>
  <c r="FD354" i="50"/>
  <c r="FB354" i="50"/>
  <c r="EZ354" i="50"/>
  <c r="FJ353" i="50"/>
  <c r="FE353" i="50"/>
  <c r="FD353" i="50"/>
  <c r="FB353" i="50"/>
  <c r="EZ353" i="50"/>
  <c r="FJ352" i="50"/>
  <c r="FE352" i="50"/>
  <c r="FD352" i="50"/>
  <c r="FB352" i="50"/>
  <c r="EZ352" i="50"/>
  <c r="FJ351" i="50"/>
  <c r="FE351" i="50"/>
  <c r="FD351" i="50"/>
  <c r="FB351" i="50"/>
  <c r="EZ351" i="50"/>
  <c r="FJ350" i="50"/>
  <c r="FE350" i="50"/>
  <c r="FD350" i="50"/>
  <c r="FB350" i="50"/>
  <c r="EZ350" i="50"/>
  <c r="FJ349" i="50"/>
  <c r="FE349" i="50"/>
  <c r="FD349" i="50"/>
  <c r="FB349" i="50"/>
  <c r="EZ349" i="50"/>
  <c r="FJ348" i="50"/>
  <c r="FE348" i="50"/>
  <c r="FD348" i="50"/>
  <c r="FB348" i="50"/>
  <c r="EZ348" i="50"/>
  <c r="FJ347" i="50"/>
  <c r="FE347" i="50"/>
  <c r="FD347" i="50"/>
  <c r="FB347" i="50"/>
  <c r="EZ347" i="50"/>
  <c r="FJ346" i="50"/>
  <c r="FE346" i="50"/>
  <c r="FD346" i="50"/>
  <c r="FB346" i="50"/>
  <c r="EZ346" i="50"/>
  <c r="FJ345" i="50"/>
  <c r="FE345" i="50"/>
  <c r="FD345" i="50"/>
  <c r="FB345" i="50"/>
  <c r="EZ345" i="50"/>
  <c r="FJ344" i="50"/>
  <c r="FE344" i="50"/>
  <c r="FD344" i="50"/>
  <c r="FB344" i="50"/>
  <c r="EZ344" i="50"/>
  <c r="FJ343" i="50"/>
  <c r="FE343" i="50"/>
  <c r="FD343" i="50"/>
  <c r="FB343" i="50"/>
  <c r="EZ343" i="50"/>
  <c r="FJ342" i="50"/>
  <c r="FE342" i="50"/>
  <c r="FD342" i="50"/>
  <c r="FB342" i="50"/>
  <c r="EZ342" i="50"/>
  <c r="FJ341" i="50"/>
  <c r="FE341" i="50"/>
  <c r="FD341" i="50"/>
  <c r="FB341" i="50"/>
  <c r="EZ341" i="50"/>
  <c r="FJ340" i="50"/>
  <c r="FE340" i="50"/>
  <c r="FD340" i="50"/>
  <c r="FB340" i="50"/>
  <c r="EZ340" i="50"/>
  <c r="FJ339" i="50"/>
  <c r="FE339" i="50"/>
  <c r="FD339" i="50"/>
  <c r="FB339" i="50"/>
  <c r="EZ339" i="50"/>
  <c r="FJ338" i="50"/>
  <c r="FE338" i="50"/>
  <c r="FD338" i="50"/>
  <c r="FB338" i="50"/>
  <c r="EZ338" i="50"/>
  <c r="FJ337" i="50"/>
  <c r="FE337" i="50"/>
  <c r="FD337" i="50"/>
  <c r="FB337" i="50"/>
  <c r="EZ337" i="50"/>
  <c r="FJ336" i="50"/>
  <c r="FE336" i="50"/>
  <c r="FD336" i="50"/>
  <c r="FB336" i="50"/>
  <c r="EZ336" i="50"/>
  <c r="FJ335" i="50"/>
  <c r="FE335" i="50"/>
  <c r="FD335" i="50"/>
  <c r="FB335" i="50"/>
  <c r="EZ335" i="50"/>
  <c r="FJ334" i="50"/>
  <c r="FE334" i="50"/>
  <c r="FD334" i="50"/>
  <c r="FB334" i="50"/>
  <c r="EZ334" i="50"/>
  <c r="FJ333" i="50"/>
  <c r="FE333" i="50"/>
  <c r="FD333" i="50"/>
  <c r="FB333" i="50"/>
  <c r="EZ333" i="50"/>
  <c r="FJ332" i="50"/>
  <c r="FE332" i="50"/>
  <c r="FD332" i="50"/>
  <c r="FB332" i="50"/>
  <c r="EZ332" i="50"/>
  <c r="FJ331" i="50"/>
  <c r="FE331" i="50"/>
  <c r="FD331" i="50"/>
  <c r="FB331" i="50"/>
  <c r="EZ331" i="50"/>
  <c r="FJ330" i="50"/>
  <c r="FE330" i="50"/>
  <c r="FD330" i="50"/>
  <c r="FB330" i="50"/>
  <c r="EZ330" i="50"/>
  <c r="FJ329" i="50"/>
  <c r="FE329" i="50"/>
  <c r="FD329" i="50"/>
  <c r="FB329" i="50"/>
  <c r="EZ329" i="50"/>
  <c r="FJ328" i="50"/>
  <c r="FE328" i="50"/>
  <c r="FD328" i="50"/>
  <c r="FB328" i="50"/>
  <c r="EZ328" i="50"/>
  <c r="FJ327" i="50"/>
  <c r="FE327" i="50"/>
  <c r="FD327" i="50"/>
  <c r="FB327" i="50"/>
  <c r="EZ327" i="50"/>
  <c r="FJ326" i="50"/>
  <c r="FE326" i="50"/>
  <c r="FD326" i="50"/>
  <c r="FB326" i="50"/>
  <c r="EZ326" i="50"/>
  <c r="FJ325" i="50"/>
  <c r="FE325" i="50"/>
  <c r="FD325" i="50"/>
  <c r="FB325" i="50"/>
  <c r="EZ325" i="50"/>
  <c r="FJ324" i="50"/>
  <c r="FE324" i="50"/>
  <c r="FD324" i="50"/>
  <c r="FB324" i="50"/>
  <c r="EZ324" i="50"/>
  <c r="FJ323" i="50"/>
  <c r="FE323" i="50"/>
  <c r="FD323" i="50"/>
  <c r="FB323" i="50"/>
  <c r="EZ323" i="50"/>
  <c r="FJ322" i="50"/>
  <c r="FE322" i="50"/>
  <c r="FD322" i="50"/>
  <c r="FB322" i="50"/>
  <c r="EZ322" i="50"/>
  <c r="FJ321" i="50"/>
  <c r="FE321" i="50"/>
  <c r="FD321" i="50"/>
  <c r="FB321" i="50"/>
  <c r="EZ321" i="50"/>
  <c r="FJ320" i="50"/>
  <c r="FE320" i="50"/>
  <c r="FD320" i="50"/>
  <c r="FB320" i="50"/>
  <c r="EZ320" i="50"/>
  <c r="FJ319" i="50"/>
  <c r="FE319" i="50"/>
  <c r="FD319" i="50"/>
  <c r="FB319" i="50"/>
  <c r="EZ319" i="50"/>
  <c r="FJ318" i="50"/>
  <c r="FE318" i="50"/>
  <c r="FD318" i="50"/>
  <c r="FB318" i="50"/>
  <c r="EZ318" i="50"/>
  <c r="FJ317" i="50"/>
  <c r="FE317" i="50"/>
  <c r="FB317" i="50"/>
  <c r="EZ317" i="50"/>
  <c r="FJ316" i="50"/>
  <c r="FE316" i="50"/>
  <c r="FB316" i="50"/>
  <c r="EZ316" i="50"/>
  <c r="FJ315" i="50"/>
  <c r="FE315" i="50"/>
  <c r="FB315" i="50"/>
  <c r="EZ315" i="50"/>
  <c r="FJ314" i="50"/>
  <c r="FE314" i="50"/>
  <c r="FB314" i="50"/>
  <c r="EZ314" i="50"/>
  <c r="FJ313" i="50"/>
  <c r="FE313" i="50"/>
  <c r="FB313" i="50"/>
  <c r="EZ313" i="50"/>
  <c r="FJ312" i="50"/>
  <c r="FE312" i="50"/>
  <c r="FB312" i="50"/>
  <c r="EZ312" i="50"/>
  <c r="FJ311" i="50"/>
  <c r="FE311" i="50"/>
  <c r="FB311" i="50"/>
  <c r="EZ311" i="50"/>
  <c r="FJ310" i="50"/>
  <c r="FE310" i="50"/>
  <c r="FB310" i="50"/>
  <c r="EZ310" i="50"/>
  <c r="FJ309" i="50"/>
  <c r="FE309" i="50"/>
  <c r="FB309" i="50"/>
  <c r="EZ309" i="50"/>
  <c r="FJ308" i="50"/>
  <c r="FE308" i="50"/>
  <c r="FD308" i="50"/>
  <c r="FB308" i="50"/>
  <c r="EZ308" i="50"/>
  <c r="FJ307" i="50"/>
  <c r="FE307" i="50"/>
  <c r="FD307" i="50"/>
  <c r="FB307" i="50"/>
  <c r="EZ307" i="50"/>
  <c r="FJ306" i="50"/>
  <c r="FE306" i="50"/>
  <c r="FD306" i="50"/>
  <c r="FB306" i="50"/>
  <c r="EZ306" i="50"/>
  <c r="FJ305" i="50"/>
  <c r="FE305" i="50"/>
  <c r="FD305" i="50"/>
  <c r="FB305" i="50"/>
  <c r="EZ305" i="50"/>
  <c r="FE304" i="50"/>
  <c r="FD304" i="50"/>
  <c r="FB304" i="50"/>
  <c r="EZ304" i="50"/>
  <c r="FE303" i="50"/>
  <c r="FD303" i="50"/>
  <c r="FB303" i="50"/>
  <c r="EZ303" i="50"/>
  <c r="FE302" i="50"/>
  <c r="FD302" i="50"/>
  <c r="FB302" i="50"/>
  <c r="EZ302" i="50"/>
  <c r="FE301" i="50"/>
  <c r="FD301" i="50"/>
  <c r="FB301" i="50"/>
  <c r="EZ301" i="50"/>
  <c r="FE300" i="50"/>
  <c r="FD300" i="50"/>
  <c r="FB300" i="50"/>
  <c r="EZ300" i="50"/>
  <c r="FE299" i="50"/>
  <c r="FD299" i="50"/>
  <c r="FB299" i="50"/>
  <c r="EZ299" i="50"/>
  <c r="FJ298" i="50"/>
  <c r="FE298" i="50"/>
  <c r="FB298" i="50"/>
  <c r="EZ298" i="50"/>
  <c r="FJ297" i="50"/>
  <c r="FE297" i="50"/>
  <c r="FD297" i="50"/>
  <c r="FB297" i="50"/>
  <c r="EZ297" i="50"/>
  <c r="FJ296" i="50"/>
  <c r="FE296" i="50"/>
  <c r="FD296" i="50"/>
  <c r="FB296" i="50"/>
  <c r="EZ296" i="50"/>
  <c r="FJ295" i="50"/>
  <c r="FE295" i="50"/>
  <c r="FD295" i="50"/>
  <c r="FB295" i="50"/>
  <c r="EZ295" i="50"/>
  <c r="FJ294" i="50"/>
  <c r="FE294" i="50"/>
  <c r="FD294" i="50"/>
  <c r="FB294" i="50"/>
  <c r="EZ294" i="50"/>
  <c r="FJ293" i="50"/>
  <c r="FE293" i="50"/>
  <c r="FD293" i="50"/>
  <c r="FB293" i="50"/>
  <c r="EZ293" i="50"/>
  <c r="FJ292" i="50"/>
  <c r="FE292" i="50"/>
  <c r="FD292" i="50"/>
  <c r="FB292" i="50"/>
  <c r="EZ292" i="50"/>
  <c r="FJ291" i="50"/>
  <c r="FE291" i="50"/>
  <c r="FD291" i="50"/>
  <c r="FB291" i="50"/>
  <c r="EZ291" i="50"/>
  <c r="FJ290" i="50"/>
  <c r="FE290" i="50"/>
  <c r="FD290" i="50"/>
  <c r="FB290" i="50"/>
  <c r="EZ290" i="50"/>
  <c r="FJ289" i="50"/>
  <c r="FE289" i="50"/>
  <c r="FD289" i="50"/>
  <c r="FB289" i="50"/>
  <c r="EZ289" i="50"/>
  <c r="FE288" i="50"/>
  <c r="FD288" i="50"/>
  <c r="FB288" i="50"/>
  <c r="EZ288" i="50"/>
  <c r="FE287" i="50"/>
  <c r="FD287" i="50"/>
  <c r="FB287" i="50"/>
  <c r="EZ287" i="50"/>
  <c r="FE286" i="50"/>
  <c r="FD286" i="50"/>
  <c r="FB286" i="50"/>
  <c r="EZ286" i="50"/>
  <c r="FE285" i="50"/>
  <c r="FD285" i="50"/>
  <c r="FB285" i="50"/>
  <c r="EZ285" i="50"/>
  <c r="FE284" i="50"/>
  <c r="FD284" i="50"/>
  <c r="FB284" i="50"/>
  <c r="EZ284" i="50"/>
  <c r="FE283" i="50"/>
  <c r="FD283" i="50"/>
  <c r="FB283" i="50"/>
  <c r="EZ283" i="50"/>
  <c r="FE282" i="50"/>
  <c r="FD282" i="50"/>
  <c r="FB282" i="50"/>
  <c r="EZ282" i="50"/>
  <c r="FE281" i="50"/>
  <c r="FD281" i="50"/>
  <c r="FB281" i="50"/>
  <c r="EZ281" i="50"/>
  <c r="FJ280" i="50"/>
  <c r="FE280" i="50"/>
  <c r="FD280" i="50"/>
  <c r="FB280" i="50"/>
  <c r="EZ280" i="50"/>
  <c r="FJ279" i="50"/>
  <c r="FE279" i="50"/>
  <c r="FD279" i="50"/>
  <c r="FB279" i="50"/>
  <c r="EZ279" i="50"/>
  <c r="FJ278" i="50"/>
  <c r="FE278" i="50"/>
  <c r="FD278" i="50"/>
  <c r="FB278" i="50"/>
  <c r="EZ278" i="50"/>
  <c r="FE277" i="50"/>
  <c r="FD277" i="50"/>
  <c r="FB277" i="50"/>
  <c r="EZ277" i="50"/>
  <c r="FE276" i="50"/>
  <c r="FD276" i="50"/>
  <c r="FB276" i="50"/>
  <c r="EZ276" i="50"/>
  <c r="FE275" i="50"/>
  <c r="FD275" i="50"/>
  <c r="FB275" i="50"/>
  <c r="EZ275" i="50"/>
  <c r="FJ274" i="50"/>
  <c r="FE274" i="50"/>
  <c r="FD274" i="50"/>
  <c r="FB274" i="50"/>
  <c r="EZ274" i="50"/>
  <c r="FJ273" i="50"/>
  <c r="FE273" i="50"/>
  <c r="FD273" i="50"/>
  <c r="FB273" i="50"/>
  <c r="EZ273" i="50"/>
  <c r="FJ272" i="50"/>
  <c r="FE272" i="50"/>
  <c r="FD272" i="50"/>
  <c r="FB272" i="50"/>
  <c r="EZ272" i="50"/>
  <c r="FJ271" i="50"/>
  <c r="FE271" i="50"/>
  <c r="FD271" i="50"/>
  <c r="FB271" i="50"/>
  <c r="EZ271" i="50"/>
  <c r="FJ270" i="50"/>
  <c r="FE270" i="50"/>
  <c r="FD270" i="50"/>
  <c r="FB270" i="50"/>
  <c r="EZ270" i="50"/>
  <c r="FJ269" i="50"/>
  <c r="FE269" i="50"/>
  <c r="FD269" i="50"/>
  <c r="FB269" i="50"/>
  <c r="EZ269" i="50"/>
  <c r="FJ268" i="50"/>
  <c r="FE268" i="50"/>
  <c r="FD268" i="50"/>
  <c r="FB268" i="50"/>
  <c r="EZ268" i="50"/>
  <c r="FJ267" i="50"/>
  <c r="FE267" i="50"/>
  <c r="FD267" i="50"/>
  <c r="FB267" i="50"/>
  <c r="EZ267" i="50"/>
  <c r="FJ266" i="50"/>
  <c r="FE266" i="50"/>
  <c r="FD266" i="50"/>
  <c r="FB266" i="50"/>
  <c r="EZ266" i="50"/>
  <c r="FJ265" i="50"/>
  <c r="FE265" i="50"/>
  <c r="FD265" i="50"/>
  <c r="FB265" i="50"/>
  <c r="EZ265" i="50"/>
  <c r="FJ264" i="50"/>
  <c r="FE264" i="50"/>
  <c r="FD264" i="50"/>
  <c r="FB264" i="50"/>
  <c r="EZ264" i="50"/>
  <c r="FJ263" i="50"/>
  <c r="FE263" i="50"/>
  <c r="FD263" i="50"/>
  <c r="FB263" i="50"/>
  <c r="EZ263" i="50"/>
  <c r="FJ262" i="50"/>
  <c r="FE262" i="50"/>
  <c r="FD262" i="50"/>
  <c r="FB262" i="50"/>
  <c r="EZ262" i="50"/>
  <c r="FJ261" i="50"/>
  <c r="FE261" i="50"/>
  <c r="FD261" i="50"/>
  <c r="FB261" i="50"/>
  <c r="EZ261" i="50"/>
  <c r="FJ260" i="50"/>
  <c r="FE260" i="50"/>
  <c r="FD260" i="50"/>
  <c r="FB260" i="50"/>
  <c r="EZ260" i="50"/>
  <c r="FJ259" i="50"/>
  <c r="FE259" i="50"/>
  <c r="FD259" i="50"/>
  <c r="FB259" i="50"/>
  <c r="EZ259" i="50"/>
  <c r="FJ258" i="50"/>
  <c r="FE258" i="50"/>
  <c r="FD258" i="50"/>
  <c r="FB258" i="50"/>
  <c r="EZ258" i="50"/>
  <c r="FJ257" i="50"/>
  <c r="FE257" i="50"/>
  <c r="FD257" i="50"/>
  <c r="FB257" i="50"/>
  <c r="EZ257" i="50"/>
  <c r="FJ256" i="50"/>
  <c r="FE256" i="50"/>
  <c r="FD256" i="50"/>
  <c r="FB256" i="50"/>
  <c r="EZ256" i="50"/>
  <c r="FJ255" i="50"/>
  <c r="FE255" i="50"/>
  <c r="FD255" i="50"/>
  <c r="FB255" i="50"/>
  <c r="EZ255" i="50"/>
  <c r="FJ254" i="50"/>
  <c r="FE254" i="50"/>
  <c r="FD254" i="50"/>
  <c r="FB254" i="50"/>
  <c r="EZ254" i="50"/>
  <c r="FE253" i="50"/>
  <c r="FD253" i="50"/>
  <c r="FB253" i="50"/>
  <c r="EZ253" i="50"/>
  <c r="FE252" i="50"/>
  <c r="FD252" i="50"/>
  <c r="FB252" i="50"/>
  <c r="EZ252" i="50"/>
  <c r="FE251" i="50"/>
  <c r="FD251" i="50"/>
  <c r="FB251" i="50"/>
  <c r="EZ251" i="50"/>
  <c r="FE250" i="50"/>
  <c r="FD250" i="50"/>
  <c r="FB250" i="50"/>
  <c r="EZ250" i="50"/>
  <c r="FE249" i="50"/>
  <c r="FD249" i="50"/>
  <c r="FB249" i="50"/>
  <c r="EZ249" i="50"/>
  <c r="FE248" i="50"/>
  <c r="FD248" i="50"/>
  <c r="FB248" i="50"/>
  <c r="EZ248" i="50"/>
  <c r="FE247" i="50"/>
  <c r="FD247" i="50"/>
  <c r="FB247" i="50"/>
  <c r="EZ247" i="50"/>
  <c r="FE246" i="50"/>
  <c r="FD246" i="50"/>
  <c r="FB246" i="50"/>
  <c r="EZ246" i="50"/>
  <c r="FE245" i="50"/>
  <c r="FD245" i="50"/>
  <c r="FB245" i="50"/>
  <c r="EZ245" i="50"/>
  <c r="FE244" i="50"/>
  <c r="FB244" i="50"/>
  <c r="EZ244" i="50"/>
  <c r="FJ243" i="50"/>
  <c r="FE243" i="50"/>
  <c r="FB243" i="50"/>
  <c r="EZ243" i="50"/>
  <c r="FE242" i="50"/>
  <c r="FD242" i="50"/>
  <c r="FB242" i="50"/>
  <c r="EZ242" i="50"/>
  <c r="FE241" i="50"/>
  <c r="FD241" i="50"/>
  <c r="FB241" i="50"/>
  <c r="EZ241" i="50"/>
  <c r="FE240" i="50"/>
  <c r="FD240" i="50"/>
  <c r="FB240" i="50"/>
  <c r="EZ240" i="50"/>
  <c r="FE239" i="50"/>
  <c r="FD239" i="50"/>
  <c r="FB239" i="50"/>
  <c r="EZ239" i="50"/>
  <c r="FE238" i="50"/>
  <c r="FD238" i="50"/>
  <c r="FB238" i="50"/>
  <c r="EZ238" i="50"/>
  <c r="FE237" i="50"/>
  <c r="FD237" i="50"/>
  <c r="FB237" i="50"/>
  <c r="EZ237" i="50"/>
  <c r="FE236" i="50"/>
  <c r="FD236" i="50"/>
  <c r="FB236" i="50"/>
  <c r="EZ236" i="50"/>
  <c r="FE235" i="50"/>
  <c r="FD235" i="50"/>
  <c r="FB235" i="50"/>
  <c r="EZ235" i="50"/>
  <c r="FE234" i="50"/>
  <c r="FD234" i="50"/>
  <c r="FB234" i="50"/>
  <c r="EZ234" i="50"/>
  <c r="FE233" i="50"/>
  <c r="FD233" i="50"/>
  <c r="FB233" i="50"/>
  <c r="EZ233" i="50"/>
  <c r="FE232" i="50"/>
  <c r="FD232" i="50"/>
  <c r="FB232" i="50"/>
  <c r="EZ232" i="50"/>
  <c r="FJ231" i="50"/>
  <c r="FE231" i="50"/>
  <c r="FD231" i="50"/>
  <c r="FB231" i="50"/>
  <c r="EZ231" i="50"/>
  <c r="FJ230" i="50"/>
  <c r="FE230" i="50"/>
  <c r="FD230" i="50"/>
  <c r="FB230" i="50"/>
  <c r="EZ230" i="50"/>
  <c r="FJ229" i="50"/>
  <c r="FE229" i="50"/>
  <c r="FD229" i="50"/>
  <c r="FB229" i="50"/>
  <c r="EZ229" i="50"/>
  <c r="FJ228" i="50"/>
  <c r="FE228" i="50"/>
  <c r="FD228" i="50"/>
  <c r="FB228" i="50"/>
  <c r="EZ228" i="50"/>
  <c r="FJ227" i="50"/>
  <c r="FE227" i="50"/>
  <c r="FD227" i="50"/>
  <c r="FB227" i="50"/>
  <c r="EZ227" i="50"/>
  <c r="FE226" i="50"/>
  <c r="FD226" i="50"/>
  <c r="FB226" i="50"/>
  <c r="EZ226" i="50"/>
  <c r="FJ225" i="50"/>
  <c r="FE225" i="50"/>
  <c r="FD225" i="50"/>
  <c r="FB225" i="50"/>
  <c r="EZ225" i="50"/>
  <c r="FE224" i="50"/>
  <c r="FD224" i="50"/>
  <c r="FB224" i="50"/>
  <c r="EZ224" i="50"/>
  <c r="FE223" i="50"/>
  <c r="FD223" i="50"/>
  <c r="FB223" i="50"/>
  <c r="EZ223" i="50"/>
  <c r="FE222" i="50"/>
  <c r="FD222" i="50"/>
  <c r="FB222" i="50"/>
  <c r="EZ222" i="50"/>
  <c r="FE221" i="50"/>
  <c r="FD221" i="50"/>
  <c r="FB221" i="50"/>
  <c r="EZ221" i="50"/>
  <c r="FE220" i="50"/>
  <c r="FD220" i="50"/>
  <c r="FB220" i="50"/>
  <c r="EZ220" i="50"/>
  <c r="FE219" i="50"/>
  <c r="FD219" i="50"/>
  <c r="FB219" i="50"/>
  <c r="EZ219" i="50"/>
  <c r="FE218" i="50"/>
  <c r="FD218" i="50"/>
  <c r="FB218" i="50"/>
  <c r="EZ218" i="50"/>
  <c r="FE217" i="50"/>
  <c r="FD217" i="50"/>
  <c r="FB217" i="50"/>
  <c r="EZ217" i="50"/>
  <c r="FE216" i="50"/>
  <c r="FD216" i="50"/>
  <c r="FB216" i="50"/>
  <c r="EZ216" i="50"/>
  <c r="FE215" i="50"/>
  <c r="FD215" i="50"/>
  <c r="FB215" i="50"/>
  <c r="EZ215" i="50"/>
  <c r="FE214" i="50"/>
  <c r="FD214" i="50"/>
  <c r="FB214" i="50"/>
  <c r="EZ214" i="50"/>
  <c r="FE213" i="50"/>
  <c r="FD213" i="50"/>
  <c r="FB213" i="50"/>
  <c r="EZ213" i="50"/>
  <c r="FE212" i="50"/>
  <c r="FD212" i="50"/>
  <c r="FB212" i="50"/>
  <c r="EZ212" i="50"/>
  <c r="FE211" i="50"/>
  <c r="FD211" i="50"/>
  <c r="FB211" i="50"/>
  <c r="EZ211" i="50"/>
  <c r="FE210" i="50"/>
  <c r="FD210" i="50"/>
  <c r="FB210" i="50"/>
  <c r="EZ210" i="50"/>
  <c r="FE209" i="50"/>
  <c r="FD209" i="50"/>
  <c r="FB209" i="50"/>
  <c r="EZ209" i="50"/>
  <c r="FE208" i="50"/>
  <c r="FD208" i="50"/>
  <c r="FB208" i="50"/>
  <c r="EZ208" i="50"/>
  <c r="FE207" i="50"/>
  <c r="FD207" i="50"/>
  <c r="FB207" i="50"/>
  <c r="EZ207" i="50"/>
  <c r="FE206" i="50"/>
  <c r="FD206" i="50"/>
  <c r="FB206" i="50"/>
  <c r="EZ206" i="50"/>
  <c r="FE205" i="50"/>
  <c r="FD205" i="50"/>
  <c r="FB205" i="50"/>
  <c r="EZ205" i="50"/>
  <c r="FE204" i="50"/>
  <c r="FD204" i="50"/>
  <c r="FB204" i="50"/>
  <c r="EZ204" i="50"/>
  <c r="FE203" i="50"/>
  <c r="FD203" i="50"/>
  <c r="FB203" i="50"/>
  <c r="EZ203" i="50"/>
  <c r="FE202" i="50"/>
  <c r="FD202" i="50"/>
  <c r="FB202" i="50"/>
  <c r="EZ202" i="50"/>
  <c r="FE201" i="50"/>
  <c r="FD201" i="50"/>
  <c r="FB201" i="50"/>
  <c r="EZ201" i="50"/>
  <c r="FE200" i="50"/>
  <c r="FD200" i="50"/>
  <c r="FB200" i="50"/>
  <c r="EZ200" i="50"/>
  <c r="FE199" i="50"/>
  <c r="FD199" i="50"/>
  <c r="FB199" i="50"/>
  <c r="EZ199" i="50"/>
  <c r="FE198" i="50"/>
  <c r="FD198" i="50"/>
  <c r="FB198" i="50"/>
  <c r="EZ198" i="50"/>
  <c r="FE197" i="50"/>
  <c r="FD197" i="50"/>
  <c r="FB197" i="50"/>
  <c r="EZ197" i="50"/>
  <c r="FE196" i="50"/>
  <c r="FD196" i="50"/>
  <c r="FB196" i="50"/>
  <c r="EZ196" i="50"/>
  <c r="FE195" i="50"/>
  <c r="FD195" i="50"/>
  <c r="FB195" i="50"/>
  <c r="EZ195" i="50"/>
  <c r="FE194" i="50"/>
  <c r="FD194" i="50"/>
  <c r="FB194" i="50"/>
  <c r="EZ194" i="50"/>
  <c r="FE193" i="50"/>
  <c r="FD193" i="50"/>
  <c r="FB193" i="50"/>
  <c r="EZ193" i="50"/>
  <c r="FE192" i="50"/>
  <c r="FD192" i="50"/>
  <c r="FB192" i="50"/>
  <c r="EZ192" i="50"/>
  <c r="FE191" i="50"/>
  <c r="FD191" i="50"/>
  <c r="FB191" i="50"/>
  <c r="EZ191" i="50"/>
  <c r="FE190" i="50"/>
  <c r="FD190" i="50"/>
  <c r="FB190" i="50"/>
  <c r="EZ190" i="50"/>
  <c r="FJ189" i="50"/>
  <c r="FE189" i="50"/>
  <c r="FD189" i="50"/>
  <c r="FB189" i="50"/>
  <c r="EZ189" i="50"/>
  <c r="FE188" i="50"/>
  <c r="FD188" i="50"/>
  <c r="FB188" i="50"/>
  <c r="EZ188" i="50"/>
  <c r="FE187" i="50"/>
  <c r="FD187" i="50"/>
  <c r="FB187" i="50"/>
  <c r="EZ187" i="50"/>
  <c r="FE186" i="50"/>
  <c r="FD186" i="50"/>
  <c r="FB186" i="50"/>
  <c r="EZ186" i="50"/>
  <c r="FE185" i="50"/>
  <c r="FD185" i="50"/>
  <c r="FB185" i="50"/>
  <c r="EZ185" i="50"/>
  <c r="FE184" i="50"/>
  <c r="FD184" i="50"/>
  <c r="FB184" i="50"/>
  <c r="EZ184" i="50"/>
  <c r="FE183" i="50"/>
  <c r="FD183" i="50"/>
  <c r="FB183" i="50"/>
  <c r="EZ183" i="50"/>
  <c r="FE182" i="50"/>
  <c r="FD182" i="50"/>
  <c r="FB182" i="50"/>
  <c r="EZ182" i="50"/>
  <c r="FE181" i="50"/>
  <c r="FD181" i="50"/>
  <c r="FB181" i="50"/>
  <c r="EZ181" i="50"/>
  <c r="FJ180" i="50"/>
  <c r="FE180" i="50"/>
  <c r="FD180" i="50"/>
  <c r="FB180" i="50"/>
  <c r="EZ180" i="50"/>
  <c r="FJ179" i="50"/>
  <c r="FE179" i="50"/>
  <c r="FD179" i="50"/>
  <c r="FB179" i="50"/>
  <c r="EZ179" i="50"/>
  <c r="FJ178" i="50"/>
  <c r="FE178" i="50"/>
  <c r="FD178" i="50"/>
  <c r="FB178" i="50"/>
  <c r="EZ178" i="50"/>
  <c r="FJ177" i="50"/>
  <c r="FE177" i="50"/>
  <c r="FD177" i="50"/>
  <c r="FB177" i="50"/>
  <c r="EZ177" i="50"/>
  <c r="FJ176" i="50"/>
  <c r="FE176" i="50"/>
  <c r="FD176" i="50"/>
  <c r="FB176" i="50"/>
  <c r="EZ176" i="50"/>
  <c r="FJ175" i="50"/>
  <c r="FE175" i="50"/>
  <c r="FD175" i="50"/>
  <c r="FB175" i="50"/>
  <c r="EZ175" i="50"/>
  <c r="FJ174" i="50"/>
  <c r="FE174" i="50"/>
  <c r="FD174" i="50"/>
  <c r="FB174" i="50"/>
  <c r="EZ174" i="50"/>
  <c r="FJ173" i="50"/>
  <c r="FE173" i="50"/>
  <c r="FD173" i="50"/>
  <c r="FB173" i="50"/>
  <c r="EZ173" i="50"/>
  <c r="FE172" i="50"/>
  <c r="FD172" i="50"/>
  <c r="FB172" i="50"/>
  <c r="EZ172" i="50"/>
  <c r="FE171" i="50"/>
  <c r="FD171" i="50"/>
  <c r="FB171" i="50"/>
  <c r="EZ171" i="50"/>
  <c r="FE170" i="50"/>
  <c r="FD170" i="50"/>
  <c r="FB170" i="50"/>
  <c r="EZ170" i="50"/>
  <c r="FE169" i="50"/>
  <c r="FD169" i="50"/>
  <c r="FB169" i="50"/>
  <c r="EZ169" i="50"/>
  <c r="FE168" i="50"/>
  <c r="FD168" i="50"/>
  <c r="FB168" i="50"/>
  <c r="EZ168" i="50"/>
  <c r="FE167" i="50"/>
  <c r="FD167" i="50"/>
  <c r="FB167" i="50"/>
  <c r="EZ167" i="50"/>
  <c r="FE166" i="50"/>
  <c r="FD166" i="50"/>
  <c r="FB166" i="50"/>
  <c r="EZ166" i="50"/>
  <c r="FE165" i="50"/>
  <c r="FD165" i="50"/>
  <c r="FB165" i="50"/>
  <c r="EZ165" i="50"/>
  <c r="FE164" i="50"/>
  <c r="FD164" i="50"/>
  <c r="FB164" i="50"/>
  <c r="EZ164" i="50"/>
  <c r="FE163" i="50"/>
  <c r="FD163" i="50"/>
  <c r="FB163" i="50"/>
  <c r="EZ163" i="50"/>
  <c r="FE162" i="50"/>
  <c r="FD162" i="50"/>
  <c r="FB162" i="50"/>
  <c r="EZ162" i="50"/>
  <c r="FE161" i="50"/>
  <c r="FD161" i="50"/>
  <c r="FB161" i="50"/>
  <c r="EZ161" i="50"/>
  <c r="FE160" i="50"/>
  <c r="FD160" i="50"/>
  <c r="FB160" i="50"/>
  <c r="EZ160" i="50"/>
  <c r="FE159" i="50"/>
  <c r="FD159" i="50"/>
  <c r="FB159" i="50"/>
  <c r="EZ159" i="50"/>
  <c r="FE158" i="50"/>
  <c r="FD158" i="50"/>
  <c r="FB158" i="50"/>
  <c r="EZ158" i="50"/>
  <c r="FE157" i="50"/>
  <c r="FD157" i="50"/>
  <c r="FB157" i="50"/>
  <c r="EZ157" i="50"/>
  <c r="FE156" i="50"/>
  <c r="FD156" i="50"/>
  <c r="FB156" i="50"/>
  <c r="EZ156" i="50"/>
  <c r="FE155" i="50"/>
  <c r="FD155" i="50"/>
  <c r="FB155" i="50"/>
  <c r="EZ155" i="50"/>
  <c r="FJ154" i="50"/>
  <c r="FE154" i="50"/>
  <c r="FD154" i="50"/>
  <c r="FB154" i="50"/>
  <c r="EZ154" i="50"/>
  <c r="FJ153" i="50"/>
  <c r="FE153" i="50"/>
  <c r="FD153" i="50"/>
  <c r="FB153" i="50"/>
  <c r="EZ153" i="50"/>
  <c r="FJ152" i="50"/>
  <c r="FE152" i="50"/>
  <c r="FD152" i="50"/>
  <c r="FB152" i="50"/>
  <c r="EZ152" i="50"/>
  <c r="FJ151" i="50"/>
  <c r="FE151" i="50"/>
  <c r="FD151" i="50"/>
  <c r="FB151" i="50"/>
  <c r="EZ151" i="50"/>
  <c r="FJ150" i="50"/>
  <c r="FE150" i="50"/>
  <c r="FD150" i="50"/>
  <c r="FB150" i="50"/>
  <c r="EZ150" i="50"/>
  <c r="FE149" i="50"/>
  <c r="FD149" i="50"/>
  <c r="FB149" i="50"/>
  <c r="EZ149" i="50"/>
  <c r="FJ148" i="50"/>
  <c r="FE148" i="50"/>
  <c r="FD148" i="50"/>
  <c r="FB148" i="50"/>
  <c r="EZ148" i="50"/>
  <c r="FJ147" i="50"/>
  <c r="FE147" i="50"/>
  <c r="FD147" i="50"/>
  <c r="FB147" i="50"/>
  <c r="EZ147" i="50"/>
  <c r="FJ146" i="50"/>
  <c r="FE146" i="50"/>
  <c r="FD146" i="50"/>
  <c r="FB146" i="50"/>
  <c r="EZ146" i="50"/>
  <c r="FJ145" i="50"/>
  <c r="FE145" i="50"/>
  <c r="FD145" i="50"/>
  <c r="FB145" i="50"/>
  <c r="EZ145" i="50"/>
  <c r="FE144" i="50"/>
  <c r="FD144" i="50"/>
  <c r="FB144" i="50"/>
  <c r="EZ144" i="50"/>
  <c r="FE143" i="50"/>
  <c r="FD143" i="50"/>
  <c r="FB143" i="50"/>
  <c r="EZ143" i="50"/>
  <c r="FJ142" i="50"/>
  <c r="FE142" i="50"/>
  <c r="FD142" i="50"/>
  <c r="FB142" i="50"/>
  <c r="EZ142" i="50"/>
  <c r="FJ141" i="50"/>
  <c r="FE141" i="50"/>
  <c r="FD141" i="50"/>
  <c r="FB141" i="50"/>
  <c r="EZ141" i="50"/>
  <c r="FJ140" i="50"/>
  <c r="FE140" i="50"/>
  <c r="FD140" i="50"/>
  <c r="FB140" i="50"/>
  <c r="EZ140" i="50"/>
  <c r="FJ139" i="50"/>
  <c r="FE139" i="50"/>
  <c r="FD139" i="50"/>
  <c r="FB139" i="50"/>
  <c r="EZ139" i="50"/>
  <c r="FE138" i="50"/>
  <c r="FD138" i="50"/>
  <c r="FB138" i="50"/>
  <c r="EZ138" i="50"/>
  <c r="FE137" i="50"/>
  <c r="FD137" i="50"/>
  <c r="FB137" i="50"/>
  <c r="EZ137" i="50"/>
  <c r="FJ136" i="50"/>
  <c r="FE136" i="50"/>
  <c r="FD136" i="50"/>
  <c r="FB136" i="50"/>
  <c r="EZ136" i="50"/>
  <c r="FE135" i="50"/>
  <c r="FD135" i="50"/>
  <c r="FB135" i="50"/>
  <c r="EZ135" i="50"/>
  <c r="FE134" i="50"/>
  <c r="FD134" i="50"/>
  <c r="FB134" i="50"/>
  <c r="EZ134" i="50"/>
  <c r="FJ133" i="50"/>
  <c r="FE133" i="50"/>
  <c r="FD133" i="50"/>
  <c r="FB133" i="50"/>
  <c r="EZ133" i="50"/>
  <c r="FJ132" i="50"/>
  <c r="FE132" i="50"/>
  <c r="FD132" i="50"/>
  <c r="FB132" i="50"/>
  <c r="EZ132" i="50"/>
  <c r="FJ131" i="50"/>
  <c r="FE131" i="50"/>
  <c r="FD131" i="50"/>
  <c r="FB131" i="50"/>
  <c r="EZ131" i="50"/>
  <c r="FJ130" i="50"/>
  <c r="FE130" i="50"/>
  <c r="FD130" i="50"/>
  <c r="FB130" i="50"/>
  <c r="EZ130" i="50"/>
  <c r="FJ129" i="50"/>
  <c r="FE129" i="50"/>
  <c r="FD129" i="50"/>
  <c r="FB129" i="50"/>
  <c r="EZ129" i="50"/>
  <c r="FJ128" i="50"/>
  <c r="FE128" i="50"/>
  <c r="FD128" i="50"/>
  <c r="FB128" i="50"/>
  <c r="EZ128" i="50"/>
  <c r="FJ127" i="50"/>
  <c r="FE127" i="50"/>
  <c r="FD127" i="50"/>
  <c r="FB127" i="50"/>
  <c r="EZ127" i="50"/>
  <c r="FJ126" i="50"/>
  <c r="FE126" i="50"/>
  <c r="FD126" i="50"/>
  <c r="FB126" i="50"/>
  <c r="EZ126" i="50"/>
  <c r="FJ125" i="50"/>
  <c r="FE125" i="50"/>
  <c r="FD125" i="50"/>
  <c r="FB125" i="50"/>
  <c r="EZ125" i="50"/>
  <c r="FJ124" i="50"/>
  <c r="FE124" i="50"/>
  <c r="FD124" i="50"/>
  <c r="FB124" i="50"/>
  <c r="EZ124" i="50"/>
  <c r="FJ123" i="50"/>
  <c r="FE123" i="50"/>
  <c r="FD123" i="50"/>
  <c r="FB123" i="50"/>
  <c r="EZ123" i="50"/>
  <c r="FJ122" i="50"/>
  <c r="FE122" i="50"/>
  <c r="FD122" i="50"/>
  <c r="FB122" i="50"/>
  <c r="EZ122" i="50"/>
  <c r="FJ121" i="50"/>
  <c r="FE121" i="50"/>
  <c r="FD121" i="50"/>
  <c r="FB121" i="50"/>
  <c r="EZ121" i="50"/>
  <c r="FJ120" i="50"/>
  <c r="FE120" i="50"/>
  <c r="FD120" i="50"/>
  <c r="FB120" i="50"/>
  <c r="EZ120" i="50"/>
  <c r="FJ119" i="50"/>
  <c r="FE119" i="50"/>
  <c r="FD119" i="50"/>
  <c r="FB119" i="50"/>
  <c r="EZ119" i="50"/>
  <c r="FJ118" i="50"/>
  <c r="FE118" i="50"/>
  <c r="FD118" i="50"/>
  <c r="FB118" i="50"/>
  <c r="EZ118" i="50"/>
  <c r="FJ117" i="50"/>
  <c r="FE117" i="50"/>
  <c r="FD117" i="50"/>
  <c r="FB117" i="50"/>
  <c r="EZ117" i="50"/>
  <c r="FJ116" i="50"/>
  <c r="FE116" i="50"/>
  <c r="FD116" i="50"/>
  <c r="FB116" i="50"/>
  <c r="EZ116" i="50"/>
  <c r="FJ115" i="50"/>
  <c r="FE115" i="50"/>
  <c r="FD115" i="50"/>
  <c r="FB115" i="50"/>
  <c r="EZ115" i="50"/>
  <c r="FJ114" i="50"/>
  <c r="FE114" i="50"/>
  <c r="FD114" i="50"/>
  <c r="FB114" i="50"/>
  <c r="EZ114" i="50"/>
  <c r="FJ113" i="50"/>
  <c r="FE113" i="50"/>
  <c r="FD113" i="50"/>
  <c r="FB113" i="50"/>
  <c r="EZ113" i="50"/>
  <c r="FJ112" i="50"/>
  <c r="FE112" i="50"/>
  <c r="FD112" i="50"/>
  <c r="FB112" i="50"/>
  <c r="EZ112" i="50"/>
  <c r="FJ111" i="50"/>
  <c r="FE111" i="50"/>
  <c r="FD111" i="50"/>
  <c r="FB111" i="50"/>
  <c r="EZ111" i="50"/>
  <c r="FJ110" i="50"/>
  <c r="FE110" i="50"/>
  <c r="FD110" i="50"/>
  <c r="FB110" i="50"/>
  <c r="EZ110" i="50"/>
  <c r="FJ109" i="50"/>
  <c r="FE109" i="50"/>
  <c r="FD109" i="50"/>
  <c r="FB109" i="50"/>
  <c r="EZ109" i="50"/>
  <c r="FJ108" i="50"/>
  <c r="FE108" i="50"/>
  <c r="FD108" i="50"/>
  <c r="FB108" i="50"/>
  <c r="EZ108" i="50"/>
  <c r="FJ107" i="50"/>
  <c r="FE107" i="50"/>
  <c r="FD107" i="50"/>
  <c r="FB107" i="50"/>
  <c r="EZ107" i="50"/>
  <c r="FJ106" i="50"/>
  <c r="FE106" i="50"/>
  <c r="FD106" i="50"/>
  <c r="FB106" i="50"/>
  <c r="EZ106" i="50"/>
  <c r="FJ105" i="50"/>
  <c r="FE105" i="50"/>
  <c r="FD105" i="50"/>
  <c r="FB105" i="50"/>
  <c r="EZ105" i="50"/>
  <c r="FJ104" i="50"/>
  <c r="FE104" i="50"/>
  <c r="FD104" i="50"/>
  <c r="FB104" i="50"/>
  <c r="EZ104" i="50"/>
  <c r="FJ103" i="50"/>
  <c r="FE103" i="50"/>
  <c r="FD103" i="50"/>
  <c r="FB103" i="50"/>
  <c r="EZ103" i="50"/>
  <c r="FJ102" i="50"/>
  <c r="FE102" i="50"/>
  <c r="FD102" i="50"/>
  <c r="FB102" i="50"/>
  <c r="EZ102" i="50"/>
  <c r="FJ101" i="50"/>
  <c r="FE101" i="50"/>
  <c r="FD101" i="50"/>
  <c r="FB101" i="50"/>
  <c r="EZ101" i="50"/>
  <c r="FJ100" i="50"/>
  <c r="FE100" i="50"/>
  <c r="FD100" i="50"/>
  <c r="FB100" i="50"/>
  <c r="EZ100" i="50"/>
  <c r="FJ99" i="50"/>
  <c r="FE99" i="50"/>
  <c r="FD99" i="50"/>
  <c r="FB99" i="50"/>
  <c r="EZ99" i="50"/>
  <c r="FJ98" i="50"/>
  <c r="FE98" i="50"/>
  <c r="FD98" i="50"/>
  <c r="FB98" i="50"/>
  <c r="EZ98" i="50"/>
  <c r="FJ97" i="50"/>
  <c r="FE97" i="50"/>
  <c r="FD97" i="50"/>
  <c r="FB97" i="50"/>
  <c r="EZ97" i="50"/>
  <c r="FJ96" i="50"/>
  <c r="FE96" i="50"/>
  <c r="FD96" i="50"/>
  <c r="FB96" i="50"/>
  <c r="EZ96" i="50"/>
  <c r="FJ95" i="50"/>
  <c r="FE95" i="50"/>
  <c r="FD95" i="50"/>
  <c r="FB95" i="50"/>
  <c r="EZ95" i="50"/>
  <c r="FE94" i="50"/>
  <c r="FD94" i="50"/>
  <c r="FB94" i="50"/>
  <c r="EZ94" i="50"/>
  <c r="FE93" i="50"/>
  <c r="FD93" i="50"/>
  <c r="FB93" i="50"/>
  <c r="EZ93" i="50"/>
  <c r="FE92" i="50"/>
  <c r="FD92" i="50"/>
  <c r="FB92" i="50"/>
  <c r="EZ92" i="50"/>
  <c r="FE91" i="50"/>
  <c r="FD91" i="50"/>
  <c r="FB91" i="50"/>
  <c r="EZ91" i="50"/>
  <c r="FE90" i="50"/>
  <c r="FD90" i="50"/>
  <c r="FB90" i="50"/>
  <c r="EZ90" i="50"/>
  <c r="FE89" i="50"/>
  <c r="FD89" i="50"/>
  <c r="FB89" i="50"/>
  <c r="EZ89" i="50"/>
  <c r="FE88" i="50"/>
  <c r="FD88" i="50"/>
  <c r="FB88" i="50"/>
  <c r="EZ88" i="50"/>
  <c r="FE87" i="50"/>
  <c r="FD87" i="50"/>
  <c r="FB87" i="50"/>
  <c r="EZ87" i="50"/>
  <c r="FE86" i="50"/>
  <c r="FD86" i="50"/>
  <c r="FB86" i="50"/>
  <c r="EZ86" i="50"/>
  <c r="FE85" i="50"/>
  <c r="FD85" i="50"/>
  <c r="FB85" i="50"/>
  <c r="EZ85" i="50"/>
  <c r="FE84" i="50"/>
  <c r="FD84" i="50"/>
  <c r="FB84" i="50"/>
  <c r="EZ84" i="50"/>
  <c r="FE83" i="50"/>
  <c r="FD83" i="50"/>
  <c r="FB83" i="50"/>
  <c r="EZ83" i="50"/>
  <c r="FE82" i="50"/>
  <c r="FD82" i="50"/>
  <c r="FB82" i="50"/>
  <c r="EZ82" i="50"/>
  <c r="FE81" i="50"/>
  <c r="FD81" i="50"/>
  <c r="FB81" i="50"/>
  <c r="EZ81" i="50"/>
  <c r="FE80" i="50"/>
  <c r="FD80" i="50"/>
  <c r="FB80" i="50"/>
  <c r="EZ80" i="50"/>
  <c r="FE79" i="50"/>
  <c r="FD79" i="50"/>
  <c r="FB79" i="50"/>
  <c r="EZ79" i="50"/>
  <c r="FE78" i="50"/>
  <c r="FD78" i="50"/>
  <c r="FB78" i="50"/>
  <c r="EZ78" i="50"/>
  <c r="FE77" i="50"/>
  <c r="FD77" i="50"/>
  <c r="FB77" i="50"/>
  <c r="EZ77" i="50"/>
  <c r="FE76" i="50"/>
  <c r="FD76" i="50"/>
  <c r="FB76" i="50"/>
  <c r="EZ76" i="50"/>
  <c r="FE75" i="50"/>
  <c r="FD75" i="50"/>
  <c r="FB75" i="50"/>
  <c r="EZ75" i="50"/>
  <c r="FE74" i="50"/>
  <c r="FD74" i="50"/>
  <c r="FB74" i="50"/>
  <c r="EZ74" i="50"/>
  <c r="FE73" i="50"/>
  <c r="FD73" i="50"/>
  <c r="FB73" i="50"/>
  <c r="EZ73" i="50"/>
  <c r="FE72" i="50"/>
  <c r="FD72" i="50"/>
  <c r="FB72" i="50"/>
  <c r="EZ72" i="50"/>
  <c r="FE71" i="50"/>
  <c r="FD71" i="50"/>
  <c r="FB71" i="50"/>
  <c r="EZ71" i="50"/>
  <c r="FE70" i="50"/>
  <c r="FD70" i="50"/>
  <c r="FB70" i="50"/>
  <c r="EZ70" i="50"/>
  <c r="FE69" i="50"/>
  <c r="FD69" i="50"/>
  <c r="FB69" i="50"/>
  <c r="EZ69" i="50"/>
  <c r="FE68" i="50"/>
  <c r="FD68" i="50"/>
  <c r="FB68" i="50"/>
  <c r="EZ68" i="50"/>
  <c r="FE67" i="50"/>
  <c r="FD67" i="50"/>
  <c r="FB67" i="50"/>
  <c r="EZ67" i="50"/>
  <c r="FE66" i="50"/>
  <c r="FD66" i="50"/>
  <c r="FB66" i="50"/>
  <c r="EZ66" i="50"/>
  <c r="FE65" i="50"/>
  <c r="FD65" i="50"/>
  <c r="FB65" i="50"/>
  <c r="EZ65" i="50"/>
  <c r="FE64" i="50"/>
  <c r="FD64" i="50"/>
  <c r="FB64" i="50"/>
  <c r="EZ64" i="50"/>
  <c r="FE63" i="50"/>
  <c r="FD63" i="50"/>
  <c r="FB63" i="50"/>
  <c r="EZ63" i="50"/>
  <c r="FE62" i="50"/>
  <c r="FD62" i="50"/>
  <c r="FB62" i="50"/>
  <c r="EZ62" i="50"/>
  <c r="FE61" i="50"/>
  <c r="FD61" i="50"/>
  <c r="FB61" i="50"/>
  <c r="EZ61" i="50"/>
  <c r="FE60" i="50"/>
  <c r="FD60" i="50"/>
  <c r="FB60" i="50"/>
  <c r="EZ60" i="50"/>
  <c r="FE59" i="50"/>
  <c r="FD59" i="50"/>
  <c r="FB59" i="50"/>
  <c r="EZ59" i="50"/>
  <c r="FE58" i="50"/>
  <c r="FD58" i="50"/>
  <c r="FB58" i="50"/>
  <c r="EZ58" i="50"/>
  <c r="FE57" i="50"/>
  <c r="FD57" i="50"/>
  <c r="FB57" i="50"/>
  <c r="EZ57" i="50"/>
  <c r="FE56" i="50"/>
  <c r="FD56" i="50"/>
  <c r="FB56" i="50"/>
  <c r="EZ56" i="50"/>
  <c r="FE55" i="50"/>
  <c r="FD55" i="50"/>
  <c r="FB55" i="50"/>
  <c r="EZ55" i="50"/>
  <c r="FE54" i="50"/>
  <c r="FD54" i="50"/>
  <c r="FB54" i="50"/>
  <c r="EZ54" i="50"/>
  <c r="FE53" i="50"/>
  <c r="FD53" i="50"/>
  <c r="FB53" i="50"/>
  <c r="EZ53" i="50"/>
  <c r="FE52" i="50"/>
  <c r="FD52" i="50"/>
  <c r="FB52" i="50"/>
  <c r="EZ52" i="50"/>
  <c r="FE51" i="50"/>
  <c r="FD51" i="50"/>
  <c r="FB51" i="50"/>
  <c r="EZ51" i="50"/>
  <c r="FE50" i="50"/>
  <c r="FD50" i="50"/>
  <c r="FB50" i="50"/>
  <c r="EZ50" i="50"/>
  <c r="FE49" i="50"/>
  <c r="FD49" i="50"/>
  <c r="FB49" i="50"/>
  <c r="EZ49" i="50"/>
  <c r="FE48" i="50"/>
  <c r="FD48" i="50"/>
  <c r="FB48" i="50"/>
  <c r="EZ48" i="50"/>
  <c r="FE47" i="50"/>
  <c r="FD47" i="50"/>
  <c r="FB47" i="50"/>
  <c r="EZ47" i="50"/>
  <c r="L114" i="34" l="1"/>
  <c r="L113" i="34"/>
  <c r="L112" i="34"/>
  <c r="L110" i="34"/>
  <c r="L109" i="34"/>
  <c r="L108" i="34"/>
  <c r="L107" i="34"/>
  <c r="L106" i="34"/>
  <c r="L105" i="34"/>
  <c r="L104" i="34"/>
  <c r="L103" i="34"/>
  <c r="L102" i="34"/>
  <c r="L101" i="34"/>
  <c r="L100" i="34"/>
  <c r="L99" i="34"/>
  <c r="L98" i="34"/>
  <c r="L97" i="34"/>
  <c r="L96" i="34"/>
  <c r="L95" i="34"/>
  <c r="L69" i="34"/>
  <c r="L68" i="34"/>
  <c r="L67" i="34"/>
  <c r="L66" i="34"/>
  <c r="L65" i="34"/>
  <c r="L64" i="34"/>
  <c r="L62" i="34"/>
  <c r="L61" i="34"/>
  <c r="L60" i="34"/>
  <c r="L59" i="34"/>
  <c r="L58" i="34"/>
  <c r="L57" i="34"/>
  <c r="L56" i="34"/>
  <c r="L55" i="34"/>
  <c r="L54" i="34"/>
  <c r="L53" i="34"/>
  <c r="L52" i="34"/>
  <c r="L51" i="34"/>
  <c r="L50" i="34"/>
  <c r="L49" i="34"/>
  <c r="Q318" i="32" l="1"/>
  <c r="E114" i="34" l="1"/>
  <c r="E113" i="34"/>
  <c r="E112" i="34"/>
  <c r="E110" i="34"/>
  <c r="E109" i="34"/>
  <c r="E108" i="34"/>
  <c r="E107" i="34"/>
  <c r="E106" i="34"/>
  <c r="E105" i="34"/>
  <c r="E104" i="34"/>
  <c r="E103" i="34"/>
  <c r="E102" i="34"/>
  <c r="E99" i="34"/>
  <c r="E98" i="34"/>
  <c r="E97" i="34"/>
  <c r="E96" i="34"/>
  <c r="E95" i="34"/>
  <c r="E101" i="34"/>
  <c r="E100" i="34"/>
  <c r="E69" i="34"/>
  <c r="E68" i="34"/>
  <c r="E67" i="34"/>
  <c r="E66" i="34"/>
  <c r="E65" i="34"/>
  <c r="E64" i="34"/>
  <c r="E62" i="34"/>
  <c r="E61" i="34"/>
  <c r="E60" i="34"/>
  <c r="E59" i="34"/>
  <c r="E58" i="34"/>
  <c r="E57" i="34"/>
  <c r="E56" i="34"/>
  <c r="E55" i="34"/>
  <c r="E54" i="34"/>
  <c r="E53" i="34"/>
  <c r="E52" i="34"/>
  <c r="E51" i="34"/>
  <c r="E50" i="34"/>
  <c r="E49" i="34"/>
  <c r="F1112" i="50" l="1"/>
  <c r="F1111" i="50"/>
  <c r="F1110" i="50"/>
  <c r="F1109" i="50"/>
  <c r="F1108" i="50"/>
  <c r="F1107" i="50"/>
  <c r="F1106" i="50"/>
  <c r="F1105" i="50"/>
  <c r="F1104" i="50"/>
  <c r="F1103" i="50"/>
  <c r="F1102" i="50"/>
  <c r="F1101" i="50"/>
  <c r="F1100" i="50"/>
  <c r="F1099" i="50"/>
  <c r="F1098" i="50"/>
  <c r="F1097" i="50"/>
  <c r="F1096" i="50"/>
  <c r="AP37" i="50" l="1"/>
  <c r="AM37" i="50"/>
  <c r="AJ37" i="50"/>
  <c r="AJ23" i="50"/>
  <c r="BZ23" i="50" l="1"/>
  <c r="CF37" i="50"/>
  <c r="CC37" i="50"/>
  <c r="DN37" i="50"/>
  <c r="E8" i="50" s="1"/>
  <c r="DL37" i="50"/>
  <c r="EH46" i="50" l="1"/>
  <c r="EH47" i="50"/>
  <c r="EH48" i="50"/>
  <c r="EH49" i="50"/>
  <c r="EH50" i="50"/>
  <c r="EH51" i="50"/>
  <c r="EH52" i="50"/>
  <c r="EH53" i="50"/>
  <c r="EH54" i="50"/>
  <c r="EH55" i="50"/>
  <c r="EH56" i="50"/>
  <c r="EH57" i="50"/>
  <c r="EH58" i="50"/>
  <c r="EH59" i="50"/>
  <c r="EH60" i="50"/>
  <c r="EH61" i="50"/>
  <c r="EH62" i="50"/>
  <c r="EH63" i="50"/>
  <c r="EH64" i="50"/>
  <c r="EH65" i="50"/>
  <c r="EH66" i="50"/>
  <c r="EH67" i="50"/>
  <c r="EH68" i="50"/>
  <c r="EH69" i="50"/>
  <c r="EH70" i="50"/>
  <c r="EH71" i="50"/>
  <c r="EH72" i="50"/>
  <c r="EH73" i="50"/>
  <c r="EH74" i="50"/>
  <c r="EH75" i="50"/>
  <c r="EH76" i="50"/>
  <c r="EH77" i="50"/>
  <c r="EH78" i="50"/>
  <c r="EH79" i="50"/>
  <c r="EH80" i="50"/>
  <c r="EH81" i="50"/>
  <c r="EH82" i="50"/>
  <c r="EH83" i="50"/>
  <c r="EH84" i="50"/>
  <c r="EH85" i="50"/>
  <c r="EH86" i="50"/>
  <c r="EH87" i="50"/>
  <c r="EH45" i="50"/>
  <c r="EG45" i="50"/>
  <c r="EG87" i="50"/>
  <c r="ED87" i="50"/>
  <c r="EC87" i="50"/>
  <c r="EG86" i="50"/>
  <c r="ED86" i="50"/>
  <c r="EC86" i="50"/>
  <c r="EG85" i="50"/>
  <c r="ED85" i="50"/>
  <c r="EC85" i="50"/>
  <c r="EG84" i="50"/>
  <c r="ED84" i="50"/>
  <c r="EC84" i="50"/>
  <c r="EG83" i="50"/>
  <c r="ED83" i="50"/>
  <c r="EC83" i="50"/>
  <c r="EG82" i="50"/>
  <c r="ED82" i="50"/>
  <c r="EC82" i="50"/>
  <c r="EG81" i="50"/>
  <c r="ED81" i="50"/>
  <c r="EC81" i="50"/>
  <c r="EG80" i="50"/>
  <c r="ED80" i="50"/>
  <c r="EC80" i="50"/>
  <c r="EG79" i="50"/>
  <c r="ED79" i="50"/>
  <c r="EC79" i="50"/>
  <c r="EG78" i="50"/>
  <c r="ED78" i="50"/>
  <c r="EC78" i="50"/>
  <c r="EG77" i="50"/>
  <c r="ED77" i="50"/>
  <c r="EC77" i="50"/>
  <c r="EG76" i="50"/>
  <c r="ED76" i="50"/>
  <c r="EC76" i="50"/>
  <c r="EG75" i="50"/>
  <c r="ED75" i="50"/>
  <c r="EC75" i="50"/>
  <c r="EG74" i="50"/>
  <c r="ED74" i="50"/>
  <c r="EC74" i="50"/>
  <c r="EG73" i="50"/>
  <c r="ED73" i="50"/>
  <c r="EC73" i="50"/>
  <c r="EG72" i="50"/>
  <c r="ED72" i="50"/>
  <c r="EC72" i="50"/>
  <c r="EG71" i="50"/>
  <c r="ED71" i="50"/>
  <c r="EC71" i="50"/>
  <c r="EG70" i="50"/>
  <c r="ED70" i="50"/>
  <c r="EC70" i="50"/>
  <c r="EG69" i="50"/>
  <c r="ED69" i="50"/>
  <c r="EC69" i="50"/>
  <c r="EG68" i="50"/>
  <c r="ED68" i="50"/>
  <c r="EC68" i="50"/>
  <c r="EG67" i="50"/>
  <c r="ED67" i="50"/>
  <c r="EC67" i="50"/>
  <c r="EG66" i="50"/>
  <c r="ED66" i="50"/>
  <c r="EC66" i="50"/>
  <c r="EG65" i="50"/>
  <c r="ED65" i="50"/>
  <c r="EC65" i="50"/>
  <c r="EG64" i="50"/>
  <c r="ED64" i="50"/>
  <c r="EC64" i="50"/>
  <c r="EG63" i="50"/>
  <c r="ED63" i="50"/>
  <c r="EC63" i="50"/>
  <c r="EG62" i="50"/>
  <c r="ED62" i="50"/>
  <c r="EC62" i="50"/>
  <c r="EG61" i="50"/>
  <c r="ED61" i="50"/>
  <c r="EC61" i="50"/>
  <c r="EG60" i="50"/>
  <c r="ED60" i="50"/>
  <c r="EC60" i="50"/>
  <c r="EG59" i="50"/>
  <c r="ED59" i="50"/>
  <c r="EC59" i="50"/>
  <c r="EG58" i="50"/>
  <c r="ED58" i="50"/>
  <c r="EC58" i="50"/>
  <c r="EG57" i="50"/>
  <c r="ED57" i="50"/>
  <c r="EC57" i="50"/>
  <c r="EG56" i="50"/>
  <c r="ED56" i="50"/>
  <c r="EC56" i="50"/>
  <c r="EG55" i="50"/>
  <c r="ED55" i="50"/>
  <c r="EC55" i="50"/>
  <c r="EG54" i="50"/>
  <c r="ED54" i="50"/>
  <c r="EC54" i="50"/>
  <c r="EG53" i="50"/>
  <c r="ED53" i="50"/>
  <c r="EC53" i="50"/>
  <c r="EG52" i="50"/>
  <c r="ED52" i="50"/>
  <c r="EC52" i="50"/>
  <c r="EG51" i="50"/>
  <c r="ED51" i="50"/>
  <c r="EC51" i="50"/>
  <c r="EG50" i="50"/>
  <c r="ED50" i="50"/>
  <c r="EC50" i="50"/>
  <c r="EG49" i="50"/>
  <c r="ED49" i="50"/>
  <c r="EC49" i="50"/>
  <c r="EG48" i="50"/>
  <c r="ED48" i="50"/>
  <c r="EC48" i="50"/>
  <c r="EG47" i="50"/>
  <c r="ED47" i="50"/>
  <c r="EC47" i="50"/>
  <c r="EG46" i="50"/>
  <c r="ED46" i="50"/>
  <c r="EC46" i="50"/>
  <c r="ED45" i="50"/>
  <c r="EC45" i="50"/>
  <c r="EI39" i="50"/>
  <c r="EI38" i="50"/>
  <c r="EI87" i="50" l="1"/>
  <c r="EI45" i="50"/>
  <c r="EI47" i="50"/>
  <c r="EI50" i="50"/>
  <c r="EI52" i="50"/>
  <c r="EI54" i="50"/>
  <c r="EI56" i="50"/>
  <c r="EI58" i="50"/>
  <c r="EI60" i="50"/>
  <c r="EI62" i="50"/>
  <c r="EI64" i="50"/>
  <c r="EI66" i="50"/>
  <c r="EI68" i="50"/>
  <c r="EI70" i="50"/>
  <c r="EI72" i="50"/>
  <c r="EI74" i="50"/>
  <c r="EI76" i="50"/>
  <c r="EI78" i="50"/>
  <c r="EI80" i="50"/>
  <c r="EI82" i="50"/>
  <c r="EI84" i="50"/>
  <c r="EI86" i="50"/>
  <c r="EI46" i="50"/>
  <c r="EI48" i="50"/>
  <c r="EI49" i="50"/>
  <c r="EI51" i="50"/>
  <c r="EI53" i="50"/>
  <c r="EI55" i="50"/>
  <c r="EI57" i="50"/>
  <c r="EI59" i="50"/>
  <c r="EI61" i="50"/>
  <c r="EI63" i="50"/>
  <c r="EI65" i="50"/>
  <c r="EI67" i="50"/>
  <c r="EI69" i="50"/>
  <c r="EI71" i="50"/>
  <c r="EI73" i="50"/>
  <c r="EI75" i="50"/>
  <c r="EI77" i="50"/>
  <c r="EI79" i="50"/>
  <c r="EI81" i="50"/>
  <c r="EI83" i="50"/>
  <c r="EI85" i="50"/>
  <c r="CI17" i="50"/>
  <c r="CI16" i="50"/>
  <c r="AP364" i="32" l="1"/>
  <c r="AQ364" i="32" s="1"/>
  <c r="DG579" i="50" l="1"/>
  <c r="DG578" i="50"/>
  <c r="DG577" i="50"/>
  <c r="DG576" i="50"/>
  <c r="DG575" i="50"/>
  <c r="DG574" i="50"/>
  <c r="DG573" i="50"/>
  <c r="DG572" i="50"/>
  <c r="DG571" i="50"/>
  <c r="DG570" i="50"/>
  <c r="DG569" i="50"/>
  <c r="DG568" i="50"/>
  <c r="DG567" i="50"/>
  <c r="DG566" i="50"/>
  <c r="DG565" i="50"/>
  <c r="DG564" i="50"/>
  <c r="DG563" i="50"/>
  <c r="DG562" i="50"/>
  <c r="DG561" i="50"/>
  <c r="DG560" i="50"/>
  <c r="DG559" i="50"/>
  <c r="DG558" i="50"/>
  <c r="DG557" i="50"/>
  <c r="DG556" i="50"/>
  <c r="DG555" i="50"/>
  <c r="DG554" i="50"/>
  <c r="DG553" i="50"/>
  <c r="DG552" i="50"/>
  <c r="DG551" i="50"/>
  <c r="DG550" i="50"/>
  <c r="DG549" i="50"/>
  <c r="DG548" i="50"/>
  <c r="DG547" i="50"/>
  <c r="DG546" i="50"/>
  <c r="DG545" i="50"/>
  <c r="DG544" i="50"/>
  <c r="DG543" i="50"/>
  <c r="DG542" i="50"/>
  <c r="DG541" i="50"/>
  <c r="DG412" i="50"/>
  <c r="DG411" i="50"/>
  <c r="DG410" i="50"/>
  <c r="DG409" i="50"/>
  <c r="DG408" i="50"/>
  <c r="DG407" i="50"/>
  <c r="DG406" i="50"/>
  <c r="DG405" i="50"/>
  <c r="DG404" i="50"/>
  <c r="DG403" i="50"/>
  <c r="DG402" i="50"/>
  <c r="DG401" i="50"/>
  <c r="DG400" i="50"/>
  <c r="DG399" i="50"/>
  <c r="DG398" i="50"/>
  <c r="DG397" i="50"/>
  <c r="DG396" i="50"/>
  <c r="DG395" i="50"/>
  <c r="DG394" i="50"/>
  <c r="DG388" i="50"/>
  <c r="DG387" i="50"/>
  <c r="DG386" i="50"/>
  <c r="DG289" i="50"/>
  <c r="DG274" i="50"/>
  <c r="DG273" i="50"/>
  <c r="DG272" i="50"/>
  <c r="DG271" i="50"/>
  <c r="DG270" i="50"/>
  <c r="DG262" i="50"/>
  <c r="DG261" i="50"/>
  <c r="DG260" i="50"/>
  <c r="DG259" i="50"/>
  <c r="DG257" i="50"/>
  <c r="DG256" i="50"/>
  <c r="DG255" i="50"/>
  <c r="DG254" i="50"/>
  <c r="Y985" i="50"/>
  <c r="Z985" i="50" s="1"/>
  <c r="Y984" i="50"/>
  <c r="Z984" i="50" s="1"/>
  <c r="Y981" i="50"/>
  <c r="Z981" i="50" s="1"/>
  <c r="Y980" i="50"/>
  <c r="Z980" i="50" s="1"/>
  <c r="Y977" i="50"/>
  <c r="Z977" i="50" s="1"/>
  <c r="Y976" i="50"/>
  <c r="Z976" i="50" s="1"/>
  <c r="Y973" i="50"/>
  <c r="Z973" i="50" s="1"/>
  <c r="Y972" i="50"/>
  <c r="Z972" i="50" s="1"/>
  <c r="Y969" i="50"/>
  <c r="Z969" i="50" s="1"/>
  <c r="Y968" i="50"/>
  <c r="Z968" i="50" s="1"/>
  <c r="Y792" i="50"/>
  <c r="Y791" i="50"/>
  <c r="Z791" i="50" s="1"/>
  <c r="Y788" i="50"/>
  <c r="Z788" i="50" s="1"/>
  <c r="Y787" i="50"/>
  <c r="Z787" i="50" s="1"/>
  <c r="Y784" i="50"/>
  <c r="Z784" i="50" s="1"/>
  <c r="Y783" i="50"/>
  <c r="Z783" i="50" s="1"/>
  <c r="Y780" i="50"/>
  <c r="Z780" i="50" s="1"/>
  <c r="Y779" i="50"/>
  <c r="Z779" i="50" s="1"/>
  <c r="Y682" i="50"/>
  <c r="Z682" i="50" s="1"/>
  <c r="Y681" i="50"/>
  <c r="Z681" i="50" s="1"/>
  <c r="DJ23" i="50"/>
  <c r="AT17" i="50"/>
  <c r="AT16" i="50"/>
  <c r="AS17" i="50"/>
  <c r="AS16" i="50"/>
  <c r="U665" i="50"/>
  <c r="G356" i="50"/>
  <c r="FA356" i="50" s="1"/>
  <c r="G355" i="50"/>
  <c r="FA355" i="50" s="1"/>
  <c r="AG619" i="50"/>
  <c r="AG618" i="50"/>
  <c r="AG617" i="50"/>
  <c r="AG616" i="50"/>
  <c r="AG615" i="50"/>
  <c r="AG614" i="50"/>
  <c r="AG613" i="50"/>
  <c r="AG612" i="50"/>
  <c r="AG611" i="50"/>
  <c r="AG610" i="50"/>
  <c r="AG609" i="50"/>
  <c r="AG608" i="50"/>
  <c r="AG607" i="50"/>
  <c r="AG606" i="50"/>
  <c r="AG605" i="50"/>
  <c r="AG604" i="50"/>
  <c r="AG603" i="50"/>
  <c r="AG602" i="50"/>
  <c r="AG601" i="50"/>
  <c r="AG600" i="50"/>
  <c r="AG599" i="50"/>
  <c r="AG598" i="50"/>
  <c r="AG597" i="50"/>
  <c r="AG596" i="50"/>
  <c r="AG595" i="50"/>
  <c r="AG594" i="50"/>
  <c r="AG593" i="50"/>
  <c r="AG592" i="50"/>
  <c r="AG591" i="50"/>
  <c r="AG590" i="50"/>
  <c r="AG589" i="50"/>
  <c r="AG588" i="50"/>
  <c r="AG587" i="50"/>
  <c r="AG586" i="50"/>
  <c r="AG585" i="50"/>
  <c r="AG584" i="50"/>
  <c r="AG583" i="50"/>
  <c r="AG582" i="50"/>
  <c r="AG581" i="50"/>
  <c r="AG580" i="50"/>
  <c r="AG540" i="50"/>
  <c r="AG539" i="50"/>
  <c r="AG538" i="50"/>
  <c r="AG537" i="50"/>
  <c r="AG536" i="50"/>
  <c r="AG535" i="50"/>
  <c r="AG534" i="50"/>
  <c r="AG533" i="50"/>
  <c r="AG532" i="50"/>
  <c r="AG531" i="50"/>
  <c r="AG530" i="50"/>
  <c r="AG529" i="50"/>
  <c r="AG528" i="50"/>
  <c r="AG527" i="50"/>
  <c r="AG526" i="50"/>
  <c r="AG525" i="50"/>
  <c r="AG524" i="50"/>
  <c r="AG523" i="50"/>
  <c r="AG522" i="50"/>
  <c r="AG521" i="50"/>
  <c r="AG520" i="50"/>
  <c r="AG519" i="50"/>
  <c r="AG518" i="50"/>
  <c r="AG517" i="50"/>
  <c r="AG516" i="50"/>
  <c r="AG515" i="50"/>
  <c r="AG514" i="50"/>
  <c r="AG513" i="50"/>
  <c r="AG512" i="50"/>
  <c r="AG511" i="50"/>
  <c r="AG510" i="50"/>
  <c r="AG430" i="50"/>
  <c r="AG429" i="50"/>
  <c r="AG428" i="50"/>
  <c r="AG427" i="50"/>
  <c r="AG426" i="50"/>
  <c r="AG424" i="50"/>
  <c r="AG423" i="50"/>
  <c r="AG422" i="50"/>
  <c r="AG421" i="50"/>
  <c r="AG420" i="50"/>
  <c r="AG419" i="50"/>
  <c r="AG418" i="50"/>
  <c r="AG417" i="50"/>
  <c r="AG416" i="50"/>
  <c r="AG415" i="50"/>
  <c r="AG414" i="50"/>
  <c r="AG413" i="50"/>
  <c r="AG393" i="50"/>
  <c r="AG392" i="50"/>
  <c r="AG391" i="50"/>
  <c r="AG390" i="50"/>
  <c r="AG389" i="50"/>
  <c r="AG388" i="50"/>
  <c r="AG387" i="50"/>
  <c r="AG386" i="50"/>
  <c r="AG385" i="50"/>
  <c r="AG384" i="50"/>
  <c r="AG383" i="50"/>
  <c r="AG382" i="50"/>
  <c r="AG381" i="50"/>
  <c r="AG380" i="50"/>
  <c r="AG379" i="50"/>
  <c r="AG378" i="50"/>
  <c r="AG377" i="50"/>
  <c r="AG376" i="50"/>
  <c r="AG375" i="50"/>
  <c r="AG374" i="50"/>
  <c r="AG373" i="50"/>
  <c r="AG372" i="50"/>
  <c r="AG371" i="50"/>
  <c r="AG370" i="50"/>
  <c r="AG369" i="50"/>
  <c r="AG368" i="50"/>
  <c r="AG367" i="50"/>
  <c r="AG366" i="50"/>
  <c r="AG365" i="50"/>
  <c r="AG364" i="50"/>
  <c r="AG363" i="50"/>
  <c r="AG362" i="50"/>
  <c r="AG317" i="50"/>
  <c r="AG316" i="50"/>
  <c r="AG315" i="50"/>
  <c r="AG314" i="50"/>
  <c r="AG313" i="50"/>
  <c r="AG312" i="50"/>
  <c r="AG311" i="50"/>
  <c r="AG310" i="50"/>
  <c r="AG309" i="50"/>
  <c r="AG298" i="50"/>
  <c r="AG297" i="50"/>
  <c r="AG296" i="50"/>
  <c r="AG295" i="50"/>
  <c r="AG294" i="50"/>
  <c r="AG293" i="50"/>
  <c r="AG292" i="50"/>
  <c r="AG291" i="50"/>
  <c r="AG290" i="50"/>
  <c r="AG280" i="50"/>
  <c r="AG279" i="50"/>
  <c r="AG278" i="50"/>
  <c r="AG274" i="50"/>
  <c r="AG273" i="50"/>
  <c r="AG272" i="50"/>
  <c r="AG271" i="50"/>
  <c r="AG270" i="50"/>
  <c r="AG269" i="50"/>
  <c r="AG268" i="50"/>
  <c r="AG267" i="50"/>
  <c r="AG266" i="50"/>
  <c r="AG265" i="50"/>
  <c r="AG264" i="50"/>
  <c r="AG263" i="50"/>
  <c r="AG262" i="50"/>
  <c r="AG261" i="50"/>
  <c r="AG260" i="50"/>
  <c r="AG259" i="50"/>
  <c r="AG258" i="50"/>
  <c r="AG257" i="50"/>
  <c r="AG256" i="50"/>
  <c r="AG255" i="50"/>
  <c r="AG254" i="50"/>
  <c r="AG243" i="50"/>
  <c r="AG115" i="50"/>
  <c r="AG114" i="50"/>
  <c r="AG113" i="50"/>
  <c r="AG112" i="50"/>
  <c r="AG111" i="50"/>
  <c r="AG110" i="50"/>
  <c r="AG109" i="50"/>
  <c r="AG108" i="50"/>
  <c r="AG107" i="50"/>
  <c r="AG106" i="50"/>
  <c r="AG105" i="50"/>
  <c r="AG104" i="50"/>
  <c r="AG103" i="50"/>
  <c r="AG102" i="50"/>
  <c r="AG101" i="50"/>
  <c r="Z1079" i="50"/>
  <c r="G1079" i="50"/>
  <c r="F1079" i="50"/>
  <c r="Z1080" i="50"/>
  <c r="G1080" i="50"/>
  <c r="F1080" i="50"/>
  <c r="Z1081" i="50"/>
  <c r="G1081" i="50"/>
  <c r="F1081" i="50"/>
  <c r="Z1082" i="50"/>
  <c r="G1082" i="50"/>
  <c r="F1082" i="50"/>
  <c r="Z1083" i="50"/>
  <c r="G1083" i="50"/>
  <c r="F1083" i="50"/>
  <c r="Z1084" i="50"/>
  <c r="G1084" i="50"/>
  <c r="F1084" i="50"/>
  <c r="Z1085" i="50"/>
  <c r="G1085" i="50"/>
  <c r="F1085" i="50"/>
  <c r="Z1086" i="50"/>
  <c r="G1086" i="50"/>
  <c r="F1086" i="50"/>
  <c r="Z1087" i="50"/>
  <c r="G1087" i="50"/>
  <c r="F1087" i="50"/>
  <c r="Z1088" i="50"/>
  <c r="G1088" i="50"/>
  <c r="F1088" i="50"/>
  <c r="Z1069" i="50"/>
  <c r="G1069" i="50"/>
  <c r="F1069" i="50"/>
  <c r="Z1070" i="50"/>
  <c r="G1070" i="50"/>
  <c r="F1070" i="50"/>
  <c r="Z1071" i="50"/>
  <c r="G1071" i="50"/>
  <c r="F1071" i="50"/>
  <c r="Z1072" i="50"/>
  <c r="G1072" i="50"/>
  <c r="F1072" i="50"/>
  <c r="Z1073" i="50"/>
  <c r="G1073" i="50"/>
  <c r="F1073" i="50"/>
  <c r="Z1074" i="50"/>
  <c r="G1074" i="50"/>
  <c r="F1074" i="50"/>
  <c r="Z1075" i="50"/>
  <c r="G1075" i="50"/>
  <c r="F1075" i="50"/>
  <c r="Z1076" i="50"/>
  <c r="G1076" i="50"/>
  <c r="F1076" i="50"/>
  <c r="Z1077" i="50"/>
  <c r="G1077" i="50"/>
  <c r="F1077" i="50"/>
  <c r="Z1078" i="50"/>
  <c r="G1078" i="50"/>
  <c r="F1078" i="50"/>
  <c r="Z1045" i="50"/>
  <c r="G1045" i="50"/>
  <c r="F1045" i="50"/>
  <c r="Z1046" i="50"/>
  <c r="G1046" i="50"/>
  <c r="F1046" i="50"/>
  <c r="Z1047" i="50"/>
  <c r="G1047" i="50"/>
  <c r="F1047" i="50"/>
  <c r="Z1048" i="50"/>
  <c r="G1048" i="50"/>
  <c r="F1048" i="50"/>
  <c r="Z1049" i="50"/>
  <c r="G1049" i="50"/>
  <c r="F1049" i="50"/>
  <c r="Z1050" i="50"/>
  <c r="G1050" i="50"/>
  <c r="F1050" i="50"/>
  <c r="Z1051" i="50"/>
  <c r="G1051" i="50"/>
  <c r="F1051" i="50"/>
  <c r="Z1052" i="50"/>
  <c r="G1052" i="50"/>
  <c r="F1052" i="50"/>
  <c r="Z1053" i="50"/>
  <c r="G1053" i="50"/>
  <c r="F1053" i="50"/>
  <c r="Z1054" i="50"/>
  <c r="G1054" i="50"/>
  <c r="F1054" i="50"/>
  <c r="Z1015" i="50"/>
  <c r="G1015" i="50"/>
  <c r="F1015" i="50"/>
  <c r="Z1016" i="50"/>
  <c r="G1016" i="50"/>
  <c r="F1016" i="50"/>
  <c r="Z1017" i="50"/>
  <c r="G1017" i="50"/>
  <c r="F1017" i="50"/>
  <c r="Z1018" i="50"/>
  <c r="G1018" i="50"/>
  <c r="F1018" i="50"/>
  <c r="Z1019" i="50"/>
  <c r="G1019" i="50"/>
  <c r="F1019" i="50"/>
  <c r="Z1020" i="50"/>
  <c r="G1020" i="50"/>
  <c r="F1020" i="50"/>
  <c r="Z1021" i="50"/>
  <c r="G1021" i="50"/>
  <c r="F1021" i="50"/>
  <c r="Z1022" i="50"/>
  <c r="G1022" i="50"/>
  <c r="F1022" i="50"/>
  <c r="Z1023" i="50"/>
  <c r="G1023" i="50"/>
  <c r="F1023" i="50"/>
  <c r="Z1024" i="50"/>
  <c r="G1024" i="50"/>
  <c r="F1024" i="50"/>
  <c r="Z245" i="50"/>
  <c r="G245" i="50"/>
  <c r="FA245" i="50" s="1"/>
  <c r="F245" i="50"/>
  <c r="Z253" i="50"/>
  <c r="G253" i="50"/>
  <c r="FA253" i="50" s="1"/>
  <c r="F253" i="50"/>
  <c r="Z252" i="50"/>
  <c r="G252" i="50"/>
  <c r="FA252" i="50" s="1"/>
  <c r="F252" i="50"/>
  <c r="Z251" i="50"/>
  <c r="G251" i="50"/>
  <c r="FA251" i="50" s="1"/>
  <c r="F251" i="50"/>
  <c r="Z250" i="50"/>
  <c r="G250" i="50"/>
  <c r="FA250" i="50" s="1"/>
  <c r="F250" i="50"/>
  <c r="Z249" i="50"/>
  <c r="G249" i="50"/>
  <c r="FA249" i="50" s="1"/>
  <c r="F249" i="50"/>
  <c r="Z248" i="50"/>
  <c r="G248" i="50"/>
  <c r="FA248" i="50" s="1"/>
  <c r="F248" i="50"/>
  <c r="Z247" i="50"/>
  <c r="G247" i="50"/>
  <c r="FA247" i="50" s="1"/>
  <c r="F247" i="50"/>
  <c r="Z246" i="50"/>
  <c r="G246" i="50"/>
  <c r="FA246" i="50" s="1"/>
  <c r="F246" i="50"/>
  <c r="Z244" i="50"/>
  <c r="P244" i="50"/>
  <c r="FD244" i="50" s="1"/>
  <c r="G244" i="50"/>
  <c r="FA244" i="50" s="1"/>
  <c r="F244" i="50"/>
  <c r="Z957" i="50"/>
  <c r="U957" i="50"/>
  <c r="G957" i="50"/>
  <c r="F957" i="50"/>
  <c r="Z958" i="50"/>
  <c r="U958" i="50"/>
  <c r="G958" i="50"/>
  <c r="F958" i="50"/>
  <c r="Z956" i="50"/>
  <c r="U956" i="50"/>
  <c r="G956" i="50"/>
  <c r="F956" i="50"/>
  <c r="Z962" i="50"/>
  <c r="U962" i="50"/>
  <c r="G962" i="50"/>
  <c r="F962" i="50"/>
  <c r="Z960" i="50"/>
  <c r="U960" i="50"/>
  <c r="G960" i="50"/>
  <c r="F960" i="50"/>
  <c r="Z959" i="50"/>
  <c r="U959" i="50"/>
  <c r="G959" i="50"/>
  <c r="F959" i="50"/>
  <c r="Z965" i="50"/>
  <c r="U965" i="50"/>
  <c r="G965" i="50"/>
  <c r="F965" i="50"/>
  <c r="Z961" i="50"/>
  <c r="U961" i="50"/>
  <c r="G961" i="50"/>
  <c r="F961" i="50"/>
  <c r="Z964" i="50"/>
  <c r="U964" i="50"/>
  <c r="G964" i="50"/>
  <c r="F964" i="50"/>
  <c r="Z963" i="50"/>
  <c r="U963" i="50"/>
  <c r="G963" i="50"/>
  <c r="F963" i="50"/>
  <c r="P973" i="50"/>
  <c r="G973" i="50"/>
  <c r="F973" i="50"/>
  <c r="P985" i="50"/>
  <c r="G985" i="50"/>
  <c r="F985" i="50"/>
  <c r="P981" i="50"/>
  <c r="G981" i="50"/>
  <c r="F981" i="50"/>
  <c r="P969" i="50"/>
  <c r="G969" i="50"/>
  <c r="F969" i="50"/>
  <c r="P977" i="50"/>
  <c r="G977" i="50"/>
  <c r="F977" i="50"/>
  <c r="P972" i="50"/>
  <c r="G972" i="50"/>
  <c r="F972" i="50"/>
  <c r="P984" i="50"/>
  <c r="G984" i="50"/>
  <c r="F984" i="50"/>
  <c r="P980" i="50"/>
  <c r="G980" i="50"/>
  <c r="F980" i="50"/>
  <c r="P968" i="50"/>
  <c r="G968" i="50"/>
  <c r="F968" i="50"/>
  <c r="P976" i="50"/>
  <c r="G976" i="50"/>
  <c r="F976" i="50"/>
  <c r="P780" i="50"/>
  <c r="FD780" i="50" s="1"/>
  <c r="G780" i="50"/>
  <c r="FA780" i="50" s="1"/>
  <c r="F780" i="50"/>
  <c r="Z792" i="50"/>
  <c r="P792" i="50"/>
  <c r="FD792" i="50" s="1"/>
  <c r="G792" i="50"/>
  <c r="FA792" i="50" s="1"/>
  <c r="F792" i="50"/>
  <c r="P788" i="50"/>
  <c r="FD788" i="50" s="1"/>
  <c r="G788" i="50"/>
  <c r="FA788" i="50" s="1"/>
  <c r="F788" i="50"/>
  <c r="P682" i="50"/>
  <c r="FD682" i="50" s="1"/>
  <c r="G682" i="50"/>
  <c r="FA682" i="50" s="1"/>
  <c r="F682" i="50"/>
  <c r="P784" i="50"/>
  <c r="FD784" i="50" s="1"/>
  <c r="G784" i="50"/>
  <c r="FA784" i="50" s="1"/>
  <c r="F784" i="50"/>
  <c r="P779" i="50"/>
  <c r="FD779" i="50" s="1"/>
  <c r="G779" i="50"/>
  <c r="FA779" i="50" s="1"/>
  <c r="F779" i="50"/>
  <c r="P791" i="50"/>
  <c r="FD791" i="50" s="1"/>
  <c r="G791" i="50"/>
  <c r="FA791" i="50" s="1"/>
  <c r="F791" i="50"/>
  <c r="P787" i="50"/>
  <c r="FD787" i="50" s="1"/>
  <c r="G787" i="50"/>
  <c r="FA787" i="50" s="1"/>
  <c r="F787" i="50"/>
  <c r="P681" i="50"/>
  <c r="FD681" i="50" s="1"/>
  <c r="G681" i="50"/>
  <c r="FA681" i="50" s="1"/>
  <c r="F681" i="50"/>
  <c r="P783" i="50"/>
  <c r="FD783" i="50" s="1"/>
  <c r="G783" i="50"/>
  <c r="FA783" i="50" s="1"/>
  <c r="F783" i="50"/>
  <c r="X971" i="50"/>
  <c r="AG971" i="50" s="1"/>
  <c r="P971" i="50"/>
  <c r="G971" i="50"/>
  <c r="F971" i="50"/>
  <c r="X983" i="50"/>
  <c r="AG983" i="50" s="1"/>
  <c r="P983" i="50"/>
  <c r="G983" i="50"/>
  <c r="F983" i="50"/>
  <c r="X979" i="50"/>
  <c r="AG979" i="50" s="1"/>
  <c r="P979" i="50"/>
  <c r="G979" i="50"/>
  <c r="F979" i="50"/>
  <c r="X967" i="50"/>
  <c r="AG967" i="50" s="1"/>
  <c r="P967" i="50"/>
  <c r="G967" i="50"/>
  <c r="F967" i="50"/>
  <c r="X975" i="50"/>
  <c r="AG975" i="50" s="1"/>
  <c r="P975" i="50"/>
  <c r="G975" i="50"/>
  <c r="F975" i="50"/>
  <c r="X970" i="50"/>
  <c r="AG970" i="50" s="1"/>
  <c r="P970" i="50"/>
  <c r="G970" i="50"/>
  <c r="F970" i="50"/>
  <c r="X982" i="50"/>
  <c r="AG982" i="50" s="1"/>
  <c r="P982" i="50"/>
  <c r="G982" i="50"/>
  <c r="F982" i="50"/>
  <c r="X978" i="50"/>
  <c r="AG978" i="50" s="1"/>
  <c r="P978" i="50"/>
  <c r="G978" i="50"/>
  <c r="F978" i="50"/>
  <c r="X966" i="50"/>
  <c r="AG966" i="50" s="1"/>
  <c r="P966" i="50"/>
  <c r="G966" i="50"/>
  <c r="F966" i="50"/>
  <c r="X974" i="50"/>
  <c r="AG974" i="50" s="1"/>
  <c r="P974" i="50"/>
  <c r="G974" i="50"/>
  <c r="F974" i="50"/>
  <c r="X778" i="50"/>
  <c r="FH778" i="50" s="1"/>
  <c r="P778" i="50"/>
  <c r="FD778" i="50" s="1"/>
  <c r="G778" i="50"/>
  <c r="FA778" i="50" s="1"/>
  <c r="F778" i="50"/>
  <c r="X790" i="50"/>
  <c r="FH790" i="50" s="1"/>
  <c r="P790" i="50"/>
  <c r="FD790" i="50" s="1"/>
  <c r="G790" i="50"/>
  <c r="FA790" i="50" s="1"/>
  <c r="F790" i="50"/>
  <c r="X786" i="50"/>
  <c r="FH786" i="50" s="1"/>
  <c r="P786" i="50"/>
  <c r="FD786" i="50" s="1"/>
  <c r="G786" i="50"/>
  <c r="FA786" i="50" s="1"/>
  <c r="F786" i="50"/>
  <c r="X680" i="50"/>
  <c r="FH680" i="50" s="1"/>
  <c r="P680" i="50"/>
  <c r="FD680" i="50" s="1"/>
  <c r="G680" i="50"/>
  <c r="FA680" i="50" s="1"/>
  <c r="F680" i="50"/>
  <c r="X782" i="50"/>
  <c r="FH782" i="50" s="1"/>
  <c r="P782" i="50"/>
  <c r="FD782" i="50" s="1"/>
  <c r="G782" i="50"/>
  <c r="FA782" i="50" s="1"/>
  <c r="F782" i="50"/>
  <c r="X777" i="50"/>
  <c r="FH777" i="50" s="1"/>
  <c r="P777" i="50"/>
  <c r="FD777" i="50" s="1"/>
  <c r="G777" i="50"/>
  <c r="FA777" i="50" s="1"/>
  <c r="F777" i="50"/>
  <c r="X789" i="50"/>
  <c r="FH789" i="50" s="1"/>
  <c r="P789" i="50"/>
  <c r="FD789" i="50" s="1"/>
  <c r="G789" i="50"/>
  <c r="FA789" i="50" s="1"/>
  <c r="F789" i="50"/>
  <c r="X785" i="50"/>
  <c r="FH785" i="50" s="1"/>
  <c r="P785" i="50"/>
  <c r="FD785" i="50" s="1"/>
  <c r="G785" i="50"/>
  <c r="FA785" i="50" s="1"/>
  <c r="F785" i="50"/>
  <c r="X679" i="50"/>
  <c r="FH679" i="50" s="1"/>
  <c r="P679" i="50"/>
  <c r="FD679" i="50" s="1"/>
  <c r="G679" i="50"/>
  <c r="FA679" i="50" s="1"/>
  <c r="F679" i="50"/>
  <c r="X781" i="50"/>
  <c r="FH781" i="50" s="1"/>
  <c r="P781" i="50"/>
  <c r="FD781" i="50" s="1"/>
  <c r="G781" i="50"/>
  <c r="FA781" i="50" s="1"/>
  <c r="F781" i="50"/>
  <c r="Z927" i="50"/>
  <c r="FJ927" i="50" s="1"/>
  <c r="P927" i="50"/>
  <c r="FD927" i="50" s="1"/>
  <c r="I927" i="50"/>
  <c r="F927" i="50"/>
  <c r="Z926" i="50"/>
  <c r="FJ926" i="50" s="1"/>
  <c r="P926" i="50"/>
  <c r="FD926" i="50" s="1"/>
  <c r="I926" i="50"/>
  <c r="F926" i="50"/>
  <c r="Z356" i="50"/>
  <c r="FJ356" i="50" s="1"/>
  <c r="P356" i="50"/>
  <c r="FD356" i="50" s="1"/>
  <c r="I356" i="50"/>
  <c r="F356" i="50"/>
  <c r="Z355" i="50"/>
  <c r="FJ355" i="50" s="1"/>
  <c r="P355" i="50"/>
  <c r="FD355" i="50" s="1"/>
  <c r="I355" i="50"/>
  <c r="F355" i="50"/>
  <c r="Z955" i="50"/>
  <c r="G955" i="50"/>
  <c r="F955" i="50"/>
  <c r="Z954" i="50"/>
  <c r="G954" i="50"/>
  <c r="F954" i="50"/>
  <c r="Z953" i="50"/>
  <c r="G953" i="50"/>
  <c r="F953" i="50"/>
  <c r="Z952" i="50"/>
  <c r="G952" i="50"/>
  <c r="F952" i="50"/>
  <c r="G951" i="50"/>
  <c r="F951" i="50"/>
  <c r="G950" i="50"/>
  <c r="F950" i="50"/>
  <c r="G949" i="50"/>
  <c r="F949" i="50"/>
  <c r="G948" i="50"/>
  <c r="F948" i="50"/>
  <c r="G947" i="50"/>
  <c r="F947" i="50"/>
  <c r="G946" i="50"/>
  <c r="F946" i="50"/>
  <c r="G945" i="50"/>
  <c r="F945" i="50"/>
  <c r="G944" i="50"/>
  <c r="F944" i="50"/>
  <c r="G943" i="50"/>
  <c r="F943" i="50"/>
  <c r="G942" i="50"/>
  <c r="F942" i="50"/>
  <c r="G941" i="50"/>
  <c r="F941" i="50"/>
  <c r="G940" i="50"/>
  <c r="F940" i="50"/>
  <c r="G939" i="50"/>
  <c r="F939" i="50"/>
  <c r="Z869" i="50"/>
  <c r="G869" i="50"/>
  <c r="FA869" i="50" s="1"/>
  <c r="F869" i="50"/>
  <c r="Z868" i="50"/>
  <c r="G868" i="50"/>
  <c r="FA868" i="50" s="1"/>
  <c r="F868" i="50"/>
  <c r="Z870" i="50"/>
  <c r="G870" i="50"/>
  <c r="FA870" i="50" s="1"/>
  <c r="F870" i="50"/>
  <c r="Z734" i="50"/>
  <c r="G734" i="50"/>
  <c r="FA734" i="50" s="1"/>
  <c r="F734" i="50"/>
  <c r="Z908" i="50"/>
  <c r="G908" i="50"/>
  <c r="FA908" i="50" s="1"/>
  <c r="F908" i="50"/>
  <c r="Z733" i="50"/>
  <c r="G733" i="50"/>
  <c r="FA733" i="50" s="1"/>
  <c r="F733" i="50"/>
  <c r="Z906" i="50"/>
  <c r="G906" i="50"/>
  <c r="FA906" i="50" s="1"/>
  <c r="F906" i="50"/>
  <c r="Z905" i="50"/>
  <c r="G905" i="50"/>
  <c r="FA905" i="50" s="1"/>
  <c r="F905" i="50"/>
  <c r="Z917" i="50"/>
  <c r="G917" i="50"/>
  <c r="FA917" i="50" s="1"/>
  <c r="F917" i="50"/>
  <c r="Z907" i="50"/>
  <c r="G907" i="50"/>
  <c r="FA907" i="50" s="1"/>
  <c r="F907" i="50"/>
  <c r="Z916" i="50"/>
  <c r="G916" i="50"/>
  <c r="FA916" i="50" s="1"/>
  <c r="F916" i="50"/>
  <c r="Z909" i="50"/>
  <c r="G909" i="50"/>
  <c r="FA909" i="50" s="1"/>
  <c r="F909" i="50"/>
  <c r="Z915" i="50"/>
  <c r="G915" i="50"/>
  <c r="FA915" i="50" s="1"/>
  <c r="F915" i="50"/>
  <c r="Z872" i="50"/>
  <c r="G872" i="50"/>
  <c r="FA872" i="50" s="1"/>
  <c r="F872" i="50"/>
  <c r="Z871" i="50"/>
  <c r="G871" i="50"/>
  <c r="FA871" i="50" s="1"/>
  <c r="F871" i="50"/>
  <c r="Z873" i="50"/>
  <c r="G873" i="50"/>
  <c r="FA873" i="50" s="1"/>
  <c r="F873" i="50"/>
  <c r="Z736" i="50"/>
  <c r="G736" i="50"/>
  <c r="FA736" i="50" s="1"/>
  <c r="F736" i="50"/>
  <c r="Z913" i="50"/>
  <c r="G913" i="50"/>
  <c r="FA913" i="50" s="1"/>
  <c r="F913" i="50"/>
  <c r="Z735" i="50"/>
  <c r="G735" i="50"/>
  <c r="FA735" i="50" s="1"/>
  <c r="F735" i="50"/>
  <c r="Z911" i="50"/>
  <c r="G911" i="50"/>
  <c r="FA911" i="50" s="1"/>
  <c r="F911" i="50"/>
  <c r="Z910" i="50"/>
  <c r="G910" i="50"/>
  <c r="FA910" i="50" s="1"/>
  <c r="F910" i="50"/>
  <c r="Z920" i="50"/>
  <c r="G920" i="50"/>
  <c r="FA920" i="50" s="1"/>
  <c r="F920" i="50"/>
  <c r="Z912" i="50"/>
  <c r="G912" i="50"/>
  <c r="FA912" i="50" s="1"/>
  <c r="F912" i="50"/>
  <c r="Z919" i="50"/>
  <c r="G919" i="50"/>
  <c r="FA919" i="50" s="1"/>
  <c r="F919" i="50"/>
  <c r="Z914" i="50"/>
  <c r="G914" i="50"/>
  <c r="FA914" i="50" s="1"/>
  <c r="F914" i="50"/>
  <c r="Z918" i="50"/>
  <c r="G918" i="50"/>
  <c r="FA918" i="50" s="1"/>
  <c r="F918" i="50"/>
  <c r="AA182" i="50"/>
  <c r="AB182" i="50" s="1"/>
  <c r="Z182" i="50"/>
  <c r="X182" i="50"/>
  <c r="FH182" i="50" s="1"/>
  <c r="G182" i="50"/>
  <c r="FA182" i="50" s="1"/>
  <c r="F182" i="50"/>
  <c r="AA183" i="50"/>
  <c r="AB183" i="50" s="1"/>
  <c r="Z183" i="50"/>
  <c r="X183" i="50"/>
  <c r="FH183" i="50" s="1"/>
  <c r="G183" i="50"/>
  <c r="FA183" i="50" s="1"/>
  <c r="F183" i="50"/>
  <c r="AA184" i="50"/>
  <c r="AB184" i="50" s="1"/>
  <c r="Z184" i="50"/>
  <c r="X184" i="50"/>
  <c r="FH184" i="50" s="1"/>
  <c r="G184" i="50"/>
  <c r="FA184" i="50" s="1"/>
  <c r="F184" i="50"/>
  <c r="AA185" i="50"/>
  <c r="AB185" i="50" s="1"/>
  <c r="Z185" i="50"/>
  <c r="X185" i="50"/>
  <c r="FH185" i="50" s="1"/>
  <c r="G185" i="50"/>
  <c r="FA185" i="50" s="1"/>
  <c r="F185" i="50"/>
  <c r="AA186" i="50"/>
  <c r="AB186" i="50" s="1"/>
  <c r="Z186" i="50"/>
  <c r="X186" i="50"/>
  <c r="FH186" i="50" s="1"/>
  <c r="G186" i="50"/>
  <c r="FA186" i="50" s="1"/>
  <c r="F186" i="50"/>
  <c r="AA187" i="50"/>
  <c r="AB187" i="50" s="1"/>
  <c r="Z187" i="50"/>
  <c r="X187" i="50"/>
  <c r="FH187" i="50" s="1"/>
  <c r="G187" i="50"/>
  <c r="FA187" i="50" s="1"/>
  <c r="F187" i="50"/>
  <c r="G898" i="50"/>
  <c r="FA898" i="50" s="1"/>
  <c r="F898" i="50"/>
  <c r="G902" i="50"/>
  <c r="FA902" i="50" s="1"/>
  <c r="F902" i="50"/>
  <c r="G899" i="50"/>
  <c r="FA899" i="50" s="1"/>
  <c r="F899" i="50"/>
  <c r="Z903" i="50"/>
  <c r="G903" i="50"/>
  <c r="FA903" i="50" s="1"/>
  <c r="F903" i="50"/>
  <c r="G897" i="50"/>
  <c r="FA897" i="50" s="1"/>
  <c r="F897" i="50"/>
  <c r="G900" i="50"/>
  <c r="FA900" i="50" s="1"/>
  <c r="F900" i="50"/>
  <c r="G653" i="50"/>
  <c r="FA653" i="50" s="1"/>
  <c r="F653" i="50"/>
  <c r="G924" i="50"/>
  <c r="FA924" i="50" s="1"/>
  <c r="F924" i="50"/>
  <c r="AA904" i="50"/>
  <c r="AB904" i="50" s="1"/>
  <c r="Z904" i="50"/>
  <c r="X904" i="50"/>
  <c r="FH904" i="50" s="1"/>
  <c r="G904" i="50"/>
  <c r="FA904" i="50" s="1"/>
  <c r="F904" i="50"/>
  <c r="AA732" i="50"/>
  <c r="AB732" i="50" s="1"/>
  <c r="Z732" i="50"/>
  <c r="X732" i="50"/>
  <c r="FH732" i="50" s="1"/>
  <c r="G732" i="50"/>
  <c r="FA732" i="50" s="1"/>
  <c r="F732" i="50"/>
  <c r="AA729" i="50"/>
  <c r="AB729" i="50" s="1"/>
  <c r="Z729" i="50"/>
  <c r="X729" i="50"/>
  <c r="FH729" i="50" s="1"/>
  <c r="G729" i="50"/>
  <c r="FA729" i="50" s="1"/>
  <c r="F729" i="50"/>
  <c r="AA747" i="50"/>
  <c r="AB747" i="50" s="1"/>
  <c r="Z747" i="50"/>
  <c r="X747" i="50"/>
  <c r="FH747" i="50" s="1"/>
  <c r="G747" i="50"/>
  <c r="FA747" i="50" s="1"/>
  <c r="F747" i="50"/>
  <c r="AA752" i="50"/>
  <c r="AB752" i="50" s="1"/>
  <c r="Z752" i="50"/>
  <c r="X752" i="50"/>
  <c r="FH752" i="50" s="1"/>
  <c r="G752" i="50"/>
  <c r="FA752" i="50" s="1"/>
  <c r="F752" i="50"/>
  <c r="G660" i="50"/>
  <c r="FA660" i="50" s="1"/>
  <c r="F660" i="50"/>
  <c r="G652" i="50"/>
  <c r="FA652" i="50" s="1"/>
  <c r="F652" i="50"/>
  <c r="G656" i="50"/>
  <c r="FA656" i="50" s="1"/>
  <c r="F656" i="50"/>
  <c r="G654" i="50"/>
  <c r="FA654" i="50" s="1"/>
  <c r="F654" i="50"/>
  <c r="G651" i="50"/>
  <c r="FA651" i="50" s="1"/>
  <c r="F651" i="50"/>
  <c r="G650" i="50"/>
  <c r="FA650" i="50" s="1"/>
  <c r="F650" i="50"/>
  <c r="G659" i="50"/>
  <c r="FA659" i="50" s="1"/>
  <c r="F659" i="50"/>
  <c r="G901" i="50"/>
  <c r="FA901" i="50" s="1"/>
  <c r="F901" i="50"/>
  <c r="G923" i="50"/>
  <c r="FA923" i="50" s="1"/>
  <c r="F923" i="50"/>
  <c r="G925" i="50"/>
  <c r="FA925" i="50" s="1"/>
  <c r="F925" i="50"/>
  <c r="G658" i="50"/>
  <c r="FA658" i="50" s="1"/>
  <c r="F658" i="50"/>
  <c r="G657" i="50"/>
  <c r="FA657" i="50" s="1"/>
  <c r="F657" i="50"/>
  <c r="G655" i="50"/>
  <c r="FA655" i="50" s="1"/>
  <c r="F655" i="50"/>
  <c r="G922" i="50"/>
  <c r="FA922" i="50" s="1"/>
  <c r="F922" i="50"/>
  <c r="Z731" i="50"/>
  <c r="G731" i="50"/>
  <c r="FA731" i="50" s="1"/>
  <c r="F731" i="50"/>
  <c r="Z728" i="50"/>
  <c r="G728" i="50"/>
  <c r="FA728" i="50" s="1"/>
  <c r="F728" i="50"/>
  <c r="G725" i="50"/>
  <c r="FA725" i="50" s="1"/>
  <c r="F725" i="50"/>
  <c r="G726" i="50"/>
  <c r="FA726" i="50" s="1"/>
  <c r="F726" i="50"/>
  <c r="G723" i="50"/>
  <c r="FA723" i="50" s="1"/>
  <c r="F723" i="50"/>
  <c r="G721" i="50"/>
  <c r="FA721" i="50" s="1"/>
  <c r="F721" i="50"/>
  <c r="G722" i="50"/>
  <c r="FA722" i="50" s="1"/>
  <c r="F722" i="50"/>
  <c r="G724" i="50"/>
  <c r="FA724" i="50" s="1"/>
  <c r="F724" i="50"/>
  <c r="G730" i="50"/>
  <c r="FA730" i="50" s="1"/>
  <c r="F730" i="50"/>
  <c r="G727" i="50"/>
  <c r="FA727" i="50" s="1"/>
  <c r="F727" i="50"/>
  <c r="G755" i="50"/>
  <c r="FA755" i="50" s="1"/>
  <c r="F755" i="50"/>
  <c r="G756" i="50"/>
  <c r="FA756" i="50" s="1"/>
  <c r="F756" i="50"/>
  <c r="G757" i="50"/>
  <c r="FA757" i="50" s="1"/>
  <c r="F757" i="50"/>
  <c r="G745" i="50"/>
  <c r="FA745" i="50" s="1"/>
  <c r="F745" i="50"/>
  <c r="G743" i="50"/>
  <c r="FA743" i="50" s="1"/>
  <c r="F743" i="50"/>
  <c r="G742" i="50"/>
  <c r="FA742" i="50" s="1"/>
  <c r="F742" i="50"/>
  <c r="G748" i="50"/>
  <c r="FA748" i="50" s="1"/>
  <c r="F748" i="50"/>
  <c r="Z746" i="50"/>
  <c r="G746" i="50"/>
  <c r="FA746" i="50" s="1"/>
  <c r="F746" i="50"/>
  <c r="G744" i="50"/>
  <c r="FA744" i="50" s="1"/>
  <c r="F744" i="50"/>
  <c r="G754" i="50"/>
  <c r="FA754" i="50" s="1"/>
  <c r="F754" i="50"/>
  <c r="G750" i="50"/>
  <c r="FA750" i="50" s="1"/>
  <c r="F750" i="50"/>
  <c r="G753" i="50"/>
  <c r="FA753" i="50" s="1"/>
  <c r="F753" i="50"/>
  <c r="G749" i="50"/>
  <c r="FA749" i="50" s="1"/>
  <c r="F749" i="50"/>
  <c r="G751" i="50"/>
  <c r="FA751" i="50" s="1"/>
  <c r="F751" i="50"/>
  <c r="G644" i="50"/>
  <c r="FA644" i="50" s="1"/>
  <c r="F644" i="50"/>
  <c r="G649" i="50"/>
  <c r="FA649" i="50" s="1"/>
  <c r="F649" i="50"/>
  <c r="G646" i="50"/>
  <c r="FA646" i="50" s="1"/>
  <c r="F646" i="50"/>
  <c r="G645" i="50"/>
  <c r="FA645" i="50" s="1"/>
  <c r="F645" i="50"/>
  <c r="G647" i="50"/>
  <c r="FA647" i="50" s="1"/>
  <c r="F647" i="50"/>
  <c r="G648" i="50"/>
  <c r="FA648" i="50" s="1"/>
  <c r="F648" i="50"/>
  <c r="V867" i="50"/>
  <c r="G867" i="50"/>
  <c r="FA867" i="50" s="1"/>
  <c r="F867" i="50"/>
  <c r="G863" i="50"/>
  <c r="FA863" i="50" s="1"/>
  <c r="F863" i="50"/>
  <c r="G864" i="50"/>
  <c r="FA864" i="50" s="1"/>
  <c r="F864" i="50"/>
  <c r="G860" i="50"/>
  <c r="FA860" i="50" s="1"/>
  <c r="F860" i="50"/>
  <c r="G858" i="50"/>
  <c r="FA858" i="50" s="1"/>
  <c r="F858" i="50"/>
  <c r="G865" i="50"/>
  <c r="FA865" i="50" s="1"/>
  <c r="F865" i="50"/>
  <c r="G861" i="50"/>
  <c r="FA861" i="50" s="1"/>
  <c r="F861" i="50"/>
  <c r="G862" i="50"/>
  <c r="FA862" i="50" s="1"/>
  <c r="F862" i="50"/>
  <c r="Z866" i="50"/>
  <c r="G866" i="50"/>
  <c r="FA866" i="50" s="1"/>
  <c r="F866" i="50"/>
  <c r="G859" i="50"/>
  <c r="FA859" i="50" s="1"/>
  <c r="F859" i="50"/>
  <c r="AA226" i="50"/>
  <c r="AB226" i="50" s="1"/>
  <c r="Z226" i="50"/>
  <c r="X226" i="50"/>
  <c r="FH226" i="50" s="1"/>
  <c r="G226" i="50"/>
  <c r="FA226" i="50" s="1"/>
  <c r="F226" i="50"/>
  <c r="AA425" i="50"/>
  <c r="AB425" i="50" s="1"/>
  <c r="Z425" i="50"/>
  <c r="X425" i="50"/>
  <c r="FH425" i="50" s="1"/>
  <c r="G425" i="50"/>
  <c r="FA425" i="50" s="1"/>
  <c r="F425" i="50"/>
  <c r="AA233" i="50"/>
  <c r="AB233" i="50" s="1"/>
  <c r="Z233" i="50"/>
  <c r="X233" i="50"/>
  <c r="FH233" i="50" s="1"/>
  <c r="G233" i="50"/>
  <c r="FA233" i="50" s="1"/>
  <c r="F233" i="50"/>
  <c r="AA138" i="50"/>
  <c r="AB138" i="50" s="1"/>
  <c r="Z138" i="50"/>
  <c r="X138" i="50"/>
  <c r="FH138" i="50" s="1"/>
  <c r="G138" i="50"/>
  <c r="FA138" i="50" s="1"/>
  <c r="F138" i="50"/>
  <c r="AA135" i="50"/>
  <c r="AB135" i="50" s="1"/>
  <c r="Z135" i="50"/>
  <c r="X135" i="50"/>
  <c r="FH135" i="50" s="1"/>
  <c r="G135" i="50"/>
  <c r="FA135" i="50" s="1"/>
  <c r="F135" i="50"/>
  <c r="AA144" i="50"/>
  <c r="AB144" i="50" s="1"/>
  <c r="Z144" i="50"/>
  <c r="X144" i="50"/>
  <c r="FH144" i="50" s="1"/>
  <c r="G144" i="50"/>
  <c r="FA144" i="50" s="1"/>
  <c r="F144" i="50"/>
  <c r="AA149" i="50"/>
  <c r="AB149" i="50" s="1"/>
  <c r="Z149" i="50"/>
  <c r="X149" i="50"/>
  <c r="FH149" i="50" s="1"/>
  <c r="G149" i="50"/>
  <c r="FA149" i="50" s="1"/>
  <c r="F149" i="50"/>
  <c r="AA188" i="50"/>
  <c r="AB188" i="50" s="1"/>
  <c r="Z188" i="50"/>
  <c r="X188" i="50"/>
  <c r="FH188" i="50" s="1"/>
  <c r="G188" i="50"/>
  <c r="FA188" i="50" s="1"/>
  <c r="F188" i="50"/>
  <c r="G227" i="50"/>
  <c r="FA227" i="50" s="1"/>
  <c r="F227" i="50"/>
  <c r="G231" i="50"/>
  <c r="FA231" i="50" s="1"/>
  <c r="F231" i="50"/>
  <c r="G228" i="50"/>
  <c r="FA228" i="50" s="1"/>
  <c r="F228" i="50"/>
  <c r="Z232" i="50"/>
  <c r="G232" i="50"/>
  <c r="FA232" i="50" s="1"/>
  <c r="F232" i="50"/>
  <c r="G225" i="50"/>
  <c r="FA225" i="50" s="1"/>
  <c r="F225" i="50"/>
  <c r="G229" i="50"/>
  <c r="FA229" i="50" s="1"/>
  <c r="F229" i="50"/>
  <c r="G119" i="50"/>
  <c r="FA119" i="50" s="1"/>
  <c r="F119" i="50"/>
  <c r="G307" i="50"/>
  <c r="FA307" i="50" s="1"/>
  <c r="F307" i="50"/>
  <c r="G126" i="50"/>
  <c r="FA126" i="50" s="1"/>
  <c r="F126" i="50"/>
  <c r="G118" i="50"/>
  <c r="FA118" i="50" s="1"/>
  <c r="F118" i="50"/>
  <c r="G122" i="50"/>
  <c r="FA122" i="50" s="1"/>
  <c r="F122" i="50"/>
  <c r="G120" i="50"/>
  <c r="FA120" i="50" s="1"/>
  <c r="F120" i="50"/>
  <c r="G117" i="50"/>
  <c r="FA117" i="50" s="1"/>
  <c r="F117" i="50"/>
  <c r="G116" i="50"/>
  <c r="FA116" i="50" s="1"/>
  <c r="F116" i="50"/>
  <c r="G125" i="50"/>
  <c r="FA125" i="50" s="1"/>
  <c r="F125" i="50"/>
  <c r="G230" i="50"/>
  <c r="FA230" i="50" s="1"/>
  <c r="F230" i="50"/>
  <c r="G306" i="50"/>
  <c r="FA306" i="50" s="1"/>
  <c r="F306" i="50"/>
  <c r="G308" i="50"/>
  <c r="FA308" i="50" s="1"/>
  <c r="F308" i="50"/>
  <c r="G124" i="50"/>
  <c r="FA124" i="50" s="1"/>
  <c r="F124" i="50"/>
  <c r="G123" i="50"/>
  <c r="FA123" i="50" s="1"/>
  <c r="F123" i="50"/>
  <c r="G121" i="50"/>
  <c r="FA121" i="50" s="1"/>
  <c r="F121" i="50"/>
  <c r="G305" i="50"/>
  <c r="FA305" i="50" s="1"/>
  <c r="F305" i="50"/>
  <c r="Z137" i="50"/>
  <c r="G137" i="50"/>
  <c r="FA137" i="50" s="1"/>
  <c r="F137" i="50"/>
  <c r="Z134" i="50"/>
  <c r="G134" i="50"/>
  <c r="FA134" i="50" s="1"/>
  <c r="F134" i="50"/>
  <c r="G131" i="50"/>
  <c r="FA131" i="50" s="1"/>
  <c r="F131" i="50"/>
  <c r="G132" i="50"/>
  <c r="FA132" i="50" s="1"/>
  <c r="F132" i="50"/>
  <c r="G129" i="50"/>
  <c r="FA129" i="50" s="1"/>
  <c r="F129" i="50"/>
  <c r="G127" i="50"/>
  <c r="FA127" i="50" s="1"/>
  <c r="F127" i="50"/>
  <c r="G128" i="50"/>
  <c r="FA128" i="50" s="1"/>
  <c r="F128" i="50"/>
  <c r="G130" i="50"/>
  <c r="FA130" i="50" s="1"/>
  <c r="F130" i="50"/>
  <c r="G136" i="50"/>
  <c r="FA136" i="50" s="1"/>
  <c r="F136" i="50"/>
  <c r="G133" i="50"/>
  <c r="FA133" i="50" s="1"/>
  <c r="F133" i="50"/>
  <c r="G152" i="50"/>
  <c r="FA152" i="50" s="1"/>
  <c r="F152" i="50"/>
  <c r="G153" i="50"/>
  <c r="FA153" i="50" s="1"/>
  <c r="F153" i="50"/>
  <c r="G154" i="50"/>
  <c r="FA154" i="50" s="1"/>
  <c r="F154" i="50"/>
  <c r="G142" i="50"/>
  <c r="FA142" i="50" s="1"/>
  <c r="F142" i="50"/>
  <c r="G140" i="50"/>
  <c r="FA140" i="50" s="1"/>
  <c r="F140" i="50"/>
  <c r="G139" i="50"/>
  <c r="FA139" i="50" s="1"/>
  <c r="F139" i="50"/>
  <c r="G145" i="50"/>
  <c r="FA145" i="50" s="1"/>
  <c r="F145" i="50"/>
  <c r="Z143" i="50"/>
  <c r="G143" i="50"/>
  <c r="FA143" i="50" s="1"/>
  <c r="F143" i="50"/>
  <c r="G141" i="50"/>
  <c r="FA141" i="50" s="1"/>
  <c r="F141" i="50"/>
  <c r="G151" i="50"/>
  <c r="FA151" i="50" s="1"/>
  <c r="F151" i="50"/>
  <c r="G147" i="50"/>
  <c r="FA147" i="50" s="1"/>
  <c r="F147" i="50"/>
  <c r="G150" i="50"/>
  <c r="FA150" i="50" s="1"/>
  <c r="F150" i="50"/>
  <c r="G146" i="50"/>
  <c r="FA146" i="50" s="1"/>
  <c r="F146" i="50"/>
  <c r="G148" i="50"/>
  <c r="FA148" i="50" s="1"/>
  <c r="F148" i="50"/>
  <c r="G95" i="50"/>
  <c r="FA95" i="50" s="1"/>
  <c r="F95" i="50"/>
  <c r="G100" i="50"/>
  <c r="FA100" i="50" s="1"/>
  <c r="F100" i="50"/>
  <c r="G97" i="50"/>
  <c r="FA97" i="50" s="1"/>
  <c r="F97" i="50"/>
  <c r="G96" i="50"/>
  <c r="FA96" i="50" s="1"/>
  <c r="F96" i="50"/>
  <c r="G98" i="50"/>
  <c r="FA98" i="50" s="1"/>
  <c r="F98" i="50"/>
  <c r="G99" i="50"/>
  <c r="FA99" i="50" s="1"/>
  <c r="F99" i="50"/>
  <c r="V189" i="50"/>
  <c r="G189" i="50"/>
  <c r="FA189" i="50" s="1"/>
  <c r="F189" i="50"/>
  <c r="G178" i="50"/>
  <c r="FA178" i="50" s="1"/>
  <c r="F178" i="50"/>
  <c r="G179" i="50"/>
  <c r="FA179" i="50" s="1"/>
  <c r="F179" i="50"/>
  <c r="G175" i="50"/>
  <c r="FA175" i="50" s="1"/>
  <c r="F175" i="50"/>
  <c r="G173" i="50"/>
  <c r="FA173" i="50" s="1"/>
  <c r="F173" i="50"/>
  <c r="G180" i="50"/>
  <c r="FA180" i="50" s="1"/>
  <c r="F180" i="50"/>
  <c r="G176" i="50"/>
  <c r="FA176" i="50" s="1"/>
  <c r="F176" i="50"/>
  <c r="G177" i="50"/>
  <c r="FA177" i="50" s="1"/>
  <c r="F177" i="50"/>
  <c r="Z181" i="50"/>
  <c r="G181" i="50"/>
  <c r="FA181" i="50" s="1"/>
  <c r="F181" i="50"/>
  <c r="G174" i="50"/>
  <c r="FA174" i="50" s="1"/>
  <c r="F174" i="50"/>
  <c r="AA855" i="50"/>
  <c r="AB855" i="50" s="1"/>
  <c r="Z855" i="50"/>
  <c r="X855" i="50"/>
  <c r="FH855" i="50" s="1"/>
  <c r="G855" i="50"/>
  <c r="FA855" i="50" s="1"/>
  <c r="F855" i="50"/>
  <c r="AA853" i="50"/>
  <c r="AB853" i="50" s="1"/>
  <c r="Z853" i="50"/>
  <c r="X853" i="50"/>
  <c r="FH853" i="50" s="1"/>
  <c r="G853" i="50"/>
  <c r="FA853" i="50" s="1"/>
  <c r="F853" i="50"/>
  <c r="AA851" i="50"/>
  <c r="AB851" i="50" s="1"/>
  <c r="Z851" i="50"/>
  <c r="X851" i="50"/>
  <c r="FH851" i="50" s="1"/>
  <c r="G851" i="50"/>
  <c r="FA851" i="50" s="1"/>
  <c r="F851" i="50"/>
  <c r="AA857" i="50"/>
  <c r="AB857" i="50" s="1"/>
  <c r="Z857" i="50"/>
  <c r="X857" i="50"/>
  <c r="FH857" i="50" s="1"/>
  <c r="G857" i="50"/>
  <c r="FA857" i="50" s="1"/>
  <c r="F857" i="50"/>
  <c r="AA849" i="50"/>
  <c r="AB849" i="50" s="1"/>
  <c r="Z849" i="50"/>
  <c r="X849" i="50"/>
  <c r="FH849" i="50" s="1"/>
  <c r="G849" i="50"/>
  <c r="FA849" i="50" s="1"/>
  <c r="F849" i="50"/>
  <c r="AA720" i="50"/>
  <c r="AB720" i="50" s="1"/>
  <c r="Z720" i="50"/>
  <c r="X720" i="50"/>
  <c r="FH720" i="50" s="1"/>
  <c r="G720" i="50"/>
  <c r="FA720" i="50" s="1"/>
  <c r="F720" i="50"/>
  <c r="AA716" i="50"/>
  <c r="AB716" i="50" s="1"/>
  <c r="Z716" i="50"/>
  <c r="X716" i="50"/>
  <c r="FH716" i="50" s="1"/>
  <c r="G716" i="50"/>
  <c r="FA716" i="50" s="1"/>
  <c r="F716" i="50"/>
  <c r="AA718" i="50"/>
  <c r="AB718" i="50" s="1"/>
  <c r="Z718" i="50"/>
  <c r="X718" i="50"/>
  <c r="FH718" i="50" s="1"/>
  <c r="G718" i="50"/>
  <c r="FA718" i="50" s="1"/>
  <c r="F718" i="50"/>
  <c r="X854" i="50"/>
  <c r="FH854" i="50" s="1"/>
  <c r="G854" i="50"/>
  <c r="FA854" i="50" s="1"/>
  <c r="F854" i="50"/>
  <c r="X852" i="50"/>
  <c r="FH852" i="50" s="1"/>
  <c r="G852" i="50"/>
  <c r="FA852" i="50" s="1"/>
  <c r="F852" i="50"/>
  <c r="X850" i="50"/>
  <c r="FH850" i="50" s="1"/>
  <c r="G850" i="50"/>
  <c r="FA850" i="50" s="1"/>
  <c r="F850" i="50"/>
  <c r="X856" i="50"/>
  <c r="FH856" i="50" s="1"/>
  <c r="G856" i="50"/>
  <c r="FA856" i="50" s="1"/>
  <c r="F856" i="50"/>
  <c r="X848" i="50"/>
  <c r="FH848" i="50" s="1"/>
  <c r="G848" i="50"/>
  <c r="FA848" i="50" s="1"/>
  <c r="F848" i="50"/>
  <c r="X719" i="50"/>
  <c r="FH719" i="50" s="1"/>
  <c r="G719" i="50"/>
  <c r="FA719" i="50" s="1"/>
  <c r="F719" i="50"/>
  <c r="X715" i="50"/>
  <c r="FH715" i="50" s="1"/>
  <c r="G715" i="50"/>
  <c r="FA715" i="50" s="1"/>
  <c r="F715" i="50"/>
  <c r="X717" i="50"/>
  <c r="FH717" i="50" s="1"/>
  <c r="G717" i="50"/>
  <c r="FA717" i="50" s="1"/>
  <c r="F717" i="50"/>
  <c r="Z1003" i="50"/>
  <c r="P1003" i="50"/>
  <c r="G1003" i="50"/>
  <c r="F1003" i="50"/>
  <c r="Z1005" i="50"/>
  <c r="P1005" i="50"/>
  <c r="G1005" i="50"/>
  <c r="F1005" i="50"/>
  <c r="Z999" i="50"/>
  <c r="P999" i="50"/>
  <c r="G999" i="50"/>
  <c r="F999" i="50"/>
  <c r="Z1001" i="50"/>
  <c r="P1001" i="50"/>
  <c r="G1001" i="50"/>
  <c r="F1001" i="50"/>
  <c r="Z997" i="50"/>
  <c r="P997" i="50"/>
  <c r="G997" i="50"/>
  <c r="F997" i="50"/>
  <c r="X1002" i="50"/>
  <c r="P1002" i="50"/>
  <c r="G1002" i="50"/>
  <c r="F1002" i="50"/>
  <c r="X1004" i="50"/>
  <c r="P1004" i="50"/>
  <c r="G1004" i="50"/>
  <c r="F1004" i="50"/>
  <c r="X998" i="50"/>
  <c r="P998" i="50"/>
  <c r="G998" i="50"/>
  <c r="F998" i="50"/>
  <c r="X1000" i="50"/>
  <c r="P1000" i="50"/>
  <c r="G1000" i="50"/>
  <c r="F1000" i="50"/>
  <c r="X996" i="50"/>
  <c r="P996" i="50"/>
  <c r="G996" i="50"/>
  <c r="F996" i="50"/>
  <c r="Z844" i="50"/>
  <c r="G844" i="50"/>
  <c r="FA844" i="50" s="1"/>
  <c r="F844" i="50"/>
  <c r="Z841" i="50"/>
  <c r="G841" i="50"/>
  <c r="FA841" i="50" s="1"/>
  <c r="F841" i="50"/>
  <c r="Z838" i="50"/>
  <c r="G838" i="50"/>
  <c r="FA838" i="50" s="1"/>
  <c r="F838" i="50"/>
  <c r="Z847" i="50"/>
  <c r="G847" i="50"/>
  <c r="FA847" i="50" s="1"/>
  <c r="F847" i="50"/>
  <c r="Z835" i="50"/>
  <c r="G835" i="50"/>
  <c r="FA835" i="50" s="1"/>
  <c r="F835" i="50"/>
  <c r="X842" i="50"/>
  <c r="FH842" i="50" s="1"/>
  <c r="G842" i="50"/>
  <c r="FA842" i="50" s="1"/>
  <c r="F842" i="50"/>
  <c r="X839" i="50"/>
  <c r="FH839" i="50" s="1"/>
  <c r="G839" i="50"/>
  <c r="FA839" i="50" s="1"/>
  <c r="F839" i="50"/>
  <c r="X836" i="50"/>
  <c r="FH836" i="50" s="1"/>
  <c r="G836" i="50"/>
  <c r="FA836" i="50" s="1"/>
  <c r="F836" i="50"/>
  <c r="X845" i="50"/>
  <c r="FH845" i="50" s="1"/>
  <c r="G845" i="50"/>
  <c r="FA845" i="50" s="1"/>
  <c r="F845" i="50"/>
  <c r="X833" i="50"/>
  <c r="FH833" i="50" s="1"/>
  <c r="G833" i="50"/>
  <c r="FA833" i="50" s="1"/>
  <c r="F833" i="50"/>
  <c r="X843" i="50"/>
  <c r="FH843" i="50" s="1"/>
  <c r="G843" i="50"/>
  <c r="FA843" i="50" s="1"/>
  <c r="F843" i="50"/>
  <c r="X840" i="50"/>
  <c r="FH840" i="50" s="1"/>
  <c r="G840" i="50"/>
  <c r="FA840" i="50" s="1"/>
  <c r="F840" i="50"/>
  <c r="X837" i="50"/>
  <c r="FH837" i="50" s="1"/>
  <c r="G837" i="50"/>
  <c r="FA837" i="50" s="1"/>
  <c r="F837" i="50"/>
  <c r="X846" i="50"/>
  <c r="FH846" i="50" s="1"/>
  <c r="G846" i="50"/>
  <c r="FA846" i="50" s="1"/>
  <c r="F846" i="50"/>
  <c r="X834" i="50"/>
  <c r="FH834" i="50" s="1"/>
  <c r="G834" i="50"/>
  <c r="FA834" i="50" s="1"/>
  <c r="F834" i="50"/>
  <c r="Z235" i="50"/>
  <c r="G235" i="50"/>
  <c r="FA235" i="50" s="1"/>
  <c r="F235" i="50"/>
  <c r="Z237" i="50"/>
  <c r="G237" i="50"/>
  <c r="FA237" i="50" s="1"/>
  <c r="F237" i="50"/>
  <c r="Z241" i="50"/>
  <c r="G241" i="50"/>
  <c r="FA241" i="50" s="1"/>
  <c r="F241" i="50"/>
  <c r="Z242" i="50"/>
  <c r="G242" i="50"/>
  <c r="FA242" i="50" s="1"/>
  <c r="F242" i="50"/>
  <c r="Z284" i="50"/>
  <c r="G284" i="50"/>
  <c r="FA284" i="50" s="1"/>
  <c r="F284" i="50"/>
  <c r="Z281" i="50"/>
  <c r="G281" i="50"/>
  <c r="FA281" i="50" s="1"/>
  <c r="F281" i="50"/>
  <c r="Z239" i="50"/>
  <c r="G239" i="50"/>
  <c r="FA239" i="50" s="1"/>
  <c r="F239" i="50"/>
  <c r="Z240" i="50"/>
  <c r="G240" i="50"/>
  <c r="FA240" i="50" s="1"/>
  <c r="F240" i="50"/>
  <c r="Z287" i="50"/>
  <c r="G287" i="50"/>
  <c r="FA287" i="50" s="1"/>
  <c r="F287" i="50"/>
  <c r="Z283" i="50"/>
  <c r="G283" i="50"/>
  <c r="FA283" i="50" s="1"/>
  <c r="F283" i="50"/>
  <c r="Z224" i="50"/>
  <c r="G224" i="50"/>
  <c r="FA224" i="50" s="1"/>
  <c r="F224" i="50"/>
  <c r="Z93" i="50"/>
  <c r="G93" i="50"/>
  <c r="FA93" i="50" s="1"/>
  <c r="F93" i="50"/>
  <c r="Z217" i="50"/>
  <c r="G217" i="50"/>
  <c r="FA217" i="50" s="1"/>
  <c r="F217" i="50"/>
  <c r="Z89" i="50"/>
  <c r="G89" i="50"/>
  <c r="FA89" i="50" s="1"/>
  <c r="F89" i="50"/>
  <c r="Z288" i="50"/>
  <c r="G288" i="50"/>
  <c r="FA288" i="50" s="1"/>
  <c r="F288" i="50"/>
  <c r="Z285" i="50"/>
  <c r="G285" i="50"/>
  <c r="FA285" i="50" s="1"/>
  <c r="F285" i="50"/>
  <c r="Z213" i="50"/>
  <c r="G213" i="50"/>
  <c r="FA213" i="50" s="1"/>
  <c r="F213" i="50"/>
  <c r="Z220" i="50"/>
  <c r="G220" i="50"/>
  <c r="FA220" i="50" s="1"/>
  <c r="F220" i="50"/>
  <c r="Z214" i="50"/>
  <c r="G214" i="50"/>
  <c r="FA214" i="50" s="1"/>
  <c r="F214" i="50"/>
  <c r="Z238" i="50"/>
  <c r="G238" i="50"/>
  <c r="FA238" i="50" s="1"/>
  <c r="F238" i="50"/>
  <c r="Z282" i="50"/>
  <c r="G282" i="50"/>
  <c r="FA282" i="50" s="1"/>
  <c r="F282" i="50"/>
  <c r="Z236" i="50"/>
  <c r="G236" i="50"/>
  <c r="FA236" i="50" s="1"/>
  <c r="F236" i="50"/>
  <c r="Z221" i="50"/>
  <c r="G221" i="50"/>
  <c r="FA221" i="50" s="1"/>
  <c r="F221" i="50"/>
  <c r="Z216" i="50"/>
  <c r="G216" i="50"/>
  <c r="FA216" i="50" s="1"/>
  <c r="F216" i="50"/>
  <c r="Z286" i="50"/>
  <c r="G286" i="50"/>
  <c r="FA286" i="50" s="1"/>
  <c r="F286" i="50"/>
  <c r="Z170" i="50"/>
  <c r="G170" i="50"/>
  <c r="FA170" i="50" s="1"/>
  <c r="F170" i="50"/>
  <c r="Z222" i="50"/>
  <c r="G222" i="50"/>
  <c r="FA222" i="50" s="1"/>
  <c r="F222" i="50"/>
  <c r="Z215" i="50"/>
  <c r="G215" i="50"/>
  <c r="FA215" i="50" s="1"/>
  <c r="F215" i="50"/>
  <c r="Z212" i="50"/>
  <c r="G212" i="50"/>
  <c r="FA212" i="50" s="1"/>
  <c r="F212" i="50"/>
  <c r="Z234" i="50"/>
  <c r="G234" i="50"/>
  <c r="FA234" i="50" s="1"/>
  <c r="F234" i="50"/>
  <c r="Z218" i="50"/>
  <c r="G218" i="50"/>
  <c r="FA218" i="50" s="1"/>
  <c r="F218" i="50"/>
  <c r="Z223" i="50"/>
  <c r="G223" i="50"/>
  <c r="FA223" i="50" s="1"/>
  <c r="F223" i="50"/>
  <c r="Z91" i="50"/>
  <c r="G91" i="50"/>
  <c r="FA91" i="50" s="1"/>
  <c r="F91" i="50"/>
  <c r="Z90" i="50"/>
  <c r="G90" i="50"/>
  <c r="FA90" i="50" s="1"/>
  <c r="F90" i="50"/>
  <c r="Z172" i="50"/>
  <c r="G172" i="50"/>
  <c r="FA172" i="50" s="1"/>
  <c r="F172" i="50"/>
  <c r="Z171" i="50"/>
  <c r="G171" i="50"/>
  <c r="FA171" i="50" s="1"/>
  <c r="F171" i="50"/>
  <c r="Z92" i="50"/>
  <c r="G92" i="50"/>
  <c r="FA92" i="50" s="1"/>
  <c r="F92" i="50"/>
  <c r="Z94" i="50"/>
  <c r="G94" i="50"/>
  <c r="FA94" i="50" s="1"/>
  <c r="F94" i="50"/>
  <c r="Z219" i="50"/>
  <c r="G219" i="50"/>
  <c r="FA219" i="50" s="1"/>
  <c r="F219" i="50"/>
  <c r="Z86" i="50"/>
  <c r="G86" i="50"/>
  <c r="FA86" i="50" s="1"/>
  <c r="F86" i="50"/>
  <c r="Z85" i="50"/>
  <c r="G85" i="50"/>
  <c r="FA85" i="50" s="1"/>
  <c r="F85" i="50"/>
  <c r="Z88" i="50"/>
  <c r="G88" i="50"/>
  <c r="FA88" i="50" s="1"/>
  <c r="F88" i="50"/>
  <c r="Z87" i="50"/>
  <c r="G87" i="50"/>
  <c r="FA87" i="50" s="1"/>
  <c r="F87" i="50"/>
  <c r="AA823" i="50"/>
  <c r="AB823" i="50" s="1"/>
  <c r="Z823" i="50"/>
  <c r="FJ823" i="50" s="1"/>
  <c r="X823" i="50"/>
  <c r="FH823" i="50" s="1"/>
  <c r="G823" i="50"/>
  <c r="FA823" i="50" s="1"/>
  <c r="F823" i="50"/>
  <c r="AA824" i="50"/>
  <c r="AB824" i="50" s="1"/>
  <c r="Z824" i="50"/>
  <c r="FJ824" i="50" s="1"/>
  <c r="X824" i="50"/>
  <c r="FH824" i="50" s="1"/>
  <c r="G824" i="50"/>
  <c r="FA824" i="50" s="1"/>
  <c r="F824" i="50"/>
  <c r="AA825" i="50"/>
  <c r="AB825" i="50" s="1"/>
  <c r="Z825" i="50"/>
  <c r="X825" i="50"/>
  <c r="FH825" i="50" s="1"/>
  <c r="G825" i="50"/>
  <c r="FA825" i="50" s="1"/>
  <c r="F825" i="50"/>
  <c r="AA826" i="50"/>
  <c r="AB826" i="50" s="1"/>
  <c r="Z826" i="50"/>
  <c r="FJ826" i="50" s="1"/>
  <c r="X826" i="50"/>
  <c r="FH826" i="50" s="1"/>
  <c r="G826" i="50"/>
  <c r="FA826" i="50" s="1"/>
  <c r="F826" i="50"/>
  <c r="AA704" i="50"/>
  <c r="AB704" i="50" s="1"/>
  <c r="Z704" i="50"/>
  <c r="FJ704" i="50" s="1"/>
  <c r="X704" i="50"/>
  <c r="FH704" i="50" s="1"/>
  <c r="G704" i="50"/>
  <c r="FA704" i="50" s="1"/>
  <c r="F704" i="50"/>
  <c r="AA705" i="50"/>
  <c r="AB705" i="50" s="1"/>
  <c r="Z705" i="50"/>
  <c r="FJ705" i="50" s="1"/>
  <c r="X705" i="50"/>
  <c r="FH705" i="50" s="1"/>
  <c r="G705" i="50"/>
  <c r="FA705" i="50" s="1"/>
  <c r="F705" i="50"/>
  <c r="AA706" i="50"/>
  <c r="AB706" i="50" s="1"/>
  <c r="Z706" i="50"/>
  <c r="X706" i="50"/>
  <c r="FH706" i="50" s="1"/>
  <c r="G706" i="50"/>
  <c r="FA706" i="50" s="1"/>
  <c r="F706" i="50"/>
  <c r="AA707" i="50"/>
  <c r="AB707" i="50" s="1"/>
  <c r="Z707" i="50"/>
  <c r="FJ707" i="50" s="1"/>
  <c r="X707" i="50"/>
  <c r="FH707" i="50" s="1"/>
  <c r="G707" i="50"/>
  <c r="FA707" i="50" s="1"/>
  <c r="F707" i="50"/>
  <c r="AA708" i="50"/>
  <c r="AB708" i="50" s="1"/>
  <c r="Z708" i="50"/>
  <c r="FJ708" i="50" s="1"/>
  <c r="X708" i="50"/>
  <c r="FH708" i="50" s="1"/>
  <c r="G708" i="50"/>
  <c r="FA708" i="50" s="1"/>
  <c r="F708" i="50"/>
  <c r="AA710" i="50"/>
  <c r="AB710" i="50" s="1"/>
  <c r="Z710" i="50"/>
  <c r="FJ710" i="50" s="1"/>
  <c r="X710" i="50"/>
  <c r="FH710" i="50" s="1"/>
  <c r="G710" i="50"/>
  <c r="FA710" i="50" s="1"/>
  <c r="F710" i="50"/>
  <c r="AA711" i="50"/>
  <c r="AB711" i="50" s="1"/>
  <c r="Z711" i="50"/>
  <c r="FJ711" i="50" s="1"/>
  <c r="X711" i="50"/>
  <c r="FH711" i="50" s="1"/>
  <c r="G711" i="50"/>
  <c r="FA711" i="50" s="1"/>
  <c r="F711" i="50"/>
  <c r="AA712" i="50"/>
  <c r="AB712" i="50" s="1"/>
  <c r="Z712" i="50"/>
  <c r="X712" i="50"/>
  <c r="FH712" i="50" s="1"/>
  <c r="G712" i="50"/>
  <c r="FA712" i="50" s="1"/>
  <c r="F712" i="50"/>
  <c r="AA713" i="50"/>
  <c r="AB713" i="50" s="1"/>
  <c r="Z713" i="50"/>
  <c r="FJ713" i="50" s="1"/>
  <c r="X713" i="50"/>
  <c r="FH713" i="50" s="1"/>
  <c r="G713" i="50"/>
  <c r="FA713" i="50" s="1"/>
  <c r="F713" i="50"/>
  <c r="AA828" i="50"/>
  <c r="AB828" i="50" s="1"/>
  <c r="Z828" i="50"/>
  <c r="FJ828" i="50" s="1"/>
  <c r="X828" i="50"/>
  <c r="FH828" i="50" s="1"/>
  <c r="G828" i="50"/>
  <c r="FA828" i="50" s="1"/>
  <c r="F828" i="50"/>
  <c r="AA829" i="50"/>
  <c r="AB829" i="50" s="1"/>
  <c r="Z829" i="50"/>
  <c r="FJ829" i="50" s="1"/>
  <c r="X829" i="50"/>
  <c r="FH829" i="50" s="1"/>
  <c r="G829" i="50"/>
  <c r="FA829" i="50" s="1"/>
  <c r="F829" i="50"/>
  <c r="AA830" i="50"/>
  <c r="AB830" i="50" s="1"/>
  <c r="Z830" i="50"/>
  <c r="X830" i="50"/>
  <c r="FH830" i="50" s="1"/>
  <c r="G830" i="50"/>
  <c r="FA830" i="50" s="1"/>
  <c r="F830" i="50"/>
  <c r="AA831" i="50"/>
  <c r="AB831" i="50" s="1"/>
  <c r="Z831" i="50"/>
  <c r="FJ831" i="50" s="1"/>
  <c r="X831" i="50"/>
  <c r="FH831" i="50" s="1"/>
  <c r="G831" i="50"/>
  <c r="FA831" i="50" s="1"/>
  <c r="F831" i="50"/>
  <c r="Z827" i="50"/>
  <c r="FJ827" i="50" s="1"/>
  <c r="G827" i="50"/>
  <c r="FA827" i="50" s="1"/>
  <c r="F827" i="50"/>
  <c r="Z714" i="50"/>
  <c r="FJ714" i="50" s="1"/>
  <c r="G714" i="50"/>
  <c r="FA714" i="50" s="1"/>
  <c r="F714" i="50"/>
  <c r="Z832" i="50"/>
  <c r="FJ832" i="50" s="1"/>
  <c r="G832" i="50"/>
  <c r="FA832" i="50" s="1"/>
  <c r="F832" i="50"/>
  <c r="Z643" i="50"/>
  <c r="G643" i="50"/>
  <c r="FA643" i="50" s="1"/>
  <c r="F643" i="50"/>
  <c r="Z709" i="50"/>
  <c r="FJ709" i="50" s="1"/>
  <c r="G709" i="50"/>
  <c r="FA709" i="50" s="1"/>
  <c r="F709" i="50"/>
  <c r="Z642" i="50"/>
  <c r="G642" i="50"/>
  <c r="FA642" i="50" s="1"/>
  <c r="F642" i="50"/>
  <c r="Z822" i="50"/>
  <c r="G822" i="50"/>
  <c r="FA822" i="50" s="1"/>
  <c r="F822" i="50"/>
  <c r="Z896" i="50"/>
  <c r="G896" i="50"/>
  <c r="FA896" i="50" s="1"/>
  <c r="F896" i="50"/>
  <c r="Z741" i="50"/>
  <c r="G741" i="50"/>
  <c r="FA741" i="50" s="1"/>
  <c r="F741" i="50"/>
  <c r="Z895" i="50"/>
  <c r="G895" i="50"/>
  <c r="FA895" i="50" s="1"/>
  <c r="F895" i="50"/>
  <c r="AA816" i="50"/>
  <c r="AB816" i="50" s="1"/>
  <c r="Z816" i="50"/>
  <c r="FJ816" i="50" s="1"/>
  <c r="X816" i="50"/>
  <c r="FH816" i="50" s="1"/>
  <c r="G816" i="50"/>
  <c r="FA816" i="50" s="1"/>
  <c r="F816" i="50"/>
  <c r="AA817" i="50"/>
  <c r="AB817" i="50" s="1"/>
  <c r="Z817" i="50"/>
  <c r="FJ817" i="50" s="1"/>
  <c r="X817" i="50"/>
  <c r="FH817" i="50" s="1"/>
  <c r="G817" i="50"/>
  <c r="FA817" i="50" s="1"/>
  <c r="F817" i="50"/>
  <c r="AA818" i="50"/>
  <c r="AB818" i="50" s="1"/>
  <c r="Z818" i="50"/>
  <c r="X818" i="50"/>
  <c r="FH818" i="50" s="1"/>
  <c r="G818" i="50"/>
  <c r="FA818" i="50" s="1"/>
  <c r="F818" i="50"/>
  <c r="AA701" i="50"/>
  <c r="AB701" i="50" s="1"/>
  <c r="Z701" i="50"/>
  <c r="FJ701" i="50" s="1"/>
  <c r="X701" i="50"/>
  <c r="FH701" i="50" s="1"/>
  <c r="G701" i="50"/>
  <c r="FA701" i="50" s="1"/>
  <c r="F701" i="50"/>
  <c r="AA702" i="50"/>
  <c r="AB702" i="50" s="1"/>
  <c r="Z702" i="50"/>
  <c r="X702" i="50"/>
  <c r="FH702" i="50" s="1"/>
  <c r="G702" i="50"/>
  <c r="FA702" i="50" s="1"/>
  <c r="F702" i="50"/>
  <c r="AA703" i="50"/>
  <c r="AB703" i="50" s="1"/>
  <c r="Z703" i="50"/>
  <c r="X703" i="50"/>
  <c r="FH703" i="50" s="1"/>
  <c r="G703" i="50"/>
  <c r="FA703" i="50" s="1"/>
  <c r="F703" i="50"/>
  <c r="AA819" i="50"/>
  <c r="AB819" i="50" s="1"/>
  <c r="Z819" i="50"/>
  <c r="FJ819" i="50" s="1"/>
  <c r="X819" i="50"/>
  <c r="FH819" i="50" s="1"/>
  <c r="G819" i="50"/>
  <c r="FA819" i="50" s="1"/>
  <c r="F819" i="50"/>
  <c r="AA820" i="50"/>
  <c r="AB820" i="50" s="1"/>
  <c r="Z820" i="50"/>
  <c r="FJ820" i="50" s="1"/>
  <c r="X820" i="50"/>
  <c r="FH820" i="50" s="1"/>
  <c r="G820" i="50"/>
  <c r="FA820" i="50" s="1"/>
  <c r="F820" i="50"/>
  <c r="AA821" i="50"/>
  <c r="AB821" i="50" s="1"/>
  <c r="Z821" i="50"/>
  <c r="X821" i="50"/>
  <c r="FH821" i="50" s="1"/>
  <c r="G821" i="50"/>
  <c r="FA821" i="50" s="1"/>
  <c r="F821" i="50"/>
  <c r="AA698" i="50"/>
  <c r="AB698" i="50" s="1"/>
  <c r="Z698" i="50"/>
  <c r="FJ698" i="50" s="1"/>
  <c r="X698" i="50"/>
  <c r="FH698" i="50" s="1"/>
  <c r="G698" i="50"/>
  <c r="FA698" i="50" s="1"/>
  <c r="F698" i="50"/>
  <c r="AA699" i="50"/>
  <c r="AB699" i="50" s="1"/>
  <c r="Z699" i="50"/>
  <c r="X699" i="50"/>
  <c r="FH699" i="50" s="1"/>
  <c r="G699" i="50"/>
  <c r="FA699" i="50" s="1"/>
  <c r="F699" i="50"/>
  <c r="AA700" i="50"/>
  <c r="AB700" i="50" s="1"/>
  <c r="Z700" i="50"/>
  <c r="X700" i="50"/>
  <c r="FH700" i="50" s="1"/>
  <c r="G700" i="50"/>
  <c r="FA700" i="50" s="1"/>
  <c r="F700" i="50"/>
  <c r="AA808" i="50"/>
  <c r="AB808" i="50" s="1"/>
  <c r="Z808" i="50"/>
  <c r="FJ808" i="50" s="1"/>
  <c r="X808" i="50"/>
  <c r="FH808" i="50" s="1"/>
  <c r="G808" i="50"/>
  <c r="FA808" i="50" s="1"/>
  <c r="F808" i="50"/>
  <c r="AA809" i="50"/>
  <c r="AB809" i="50" s="1"/>
  <c r="Z809" i="50"/>
  <c r="FJ809" i="50" s="1"/>
  <c r="X809" i="50"/>
  <c r="FH809" i="50" s="1"/>
  <c r="G809" i="50"/>
  <c r="FA809" i="50" s="1"/>
  <c r="F809" i="50"/>
  <c r="AA810" i="50"/>
  <c r="AB810" i="50" s="1"/>
  <c r="Z810" i="50"/>
  <c r="FJ810" i="50" s="1"/>
  <c r="X810" i="50"/>
  <c r="FH810" i="50" s="1"/>
  <c r="G810" i="50"/>
  <c r="FA810" i="50" s="1"/>
  <c r="F810" i="50"/>
  <c r="AA811" i="50"/>
  <c r="AB811" i="50" s="1"/>
  <c r="Z811" i="50"/>
  <c r="X811" i="50"/>
  <c r="FH811" i="50" s="1"/>
  <c r="G811" i="50"/>
  <c r="FA811" i="50" s="1"/>
  <c r="F811" i="50"/>
  <c r="AA812" i="50"/>
  <c r="AB812" i="50" s="1"/>
  <c r="Z812" i="50"/>
  <c r="FJ812" i="50" s="1"/>
  <c r="X812" i="50"/>
  <c r="FH812" i="50" s="1"/>
  <c r="G812" i="50"/>
  <c r="FA812" i="50" s="1"/>
  <c r="F812" i="50"/>
  <c r="AA813" i="50"/>
  <c r="AB813" i="50" s="1"/>
  <c r="Z813" i="50"/>
  <c r="FJ813" i="50" s="1"/>
  <c r="X813" i="50"/>
  <c r="FH813" i="50" s="1"/>
  <c r="G813" i="50"/>
  <c r="FA813" i="50" s="1"/>
  <c r="F813" i="50"/>
  <c r="AA814" i="50"/>
  <c r="AB814" i="50" s="1"/>
  <c r="Z814" i="50"/>
  <c r="FJ814" i="50" s="1"/>
  <c r="X814" i="50"/>
  <c r="FH814" i="50" s="1"/>
  <c r="G814" i="50"/>
  <c r="FA814" i="50" s="1"/>
  <c r="F814" i="50"/>
  <c r="AA815" i="50"/>
  <c r="AB815" i="50" s="1"/>
  <c r="Z815" i="50"/>
  <c r="X815" i="50"/>
  <c r="FH815" i="50" s="1"/>
  <c r="G815" i="50"/>
  <c r="FA815" i="50" s="1"/>
  <c r="F815" i="50"/>
  <c r="AA804" i="50"/>
  <c r="AB804" i="50" s="1"/>
  <c r="Z804" i="50"/>
  <c r="X804" i="50"/>
  <c r="FH804" i="50" s="1"/>
  <c r="G804" i="50"/>
  <c r="FA804" i="50" s="1"/>
  <c r="F804" i="50"/>
  <c r="AA801" i="50"/>
  <c r="AB801" i="50" s="1"/>
  <c r="Z801" i="50"/>
  <c r="X801" i="50"/>
  <c r="FH801" i="50" s="1"/>
  <c r="G801" i="50"/>
  <c r="FA801" i="50" s="1"/>
  <c r="F801" i="50"/>
  <c r="AA697" i="50"/>
  <c r="AB697" i="50" s="1"/>
  <c r="Z697" i="50"/>
  <c r="X697" i="50"/>
  <c r="FH697" i="50" s="1"/>
  <c r="G697" i="50"/>
  <c r="FA697" i="50" s="1"/>
  <c r="F697" i="50"/>
  <c r="AA685" i="50"/>
  <c r="AB685" i="50" s="1"/>
  <c r="Z685" i="50"/>
  <c r="X685" i="50"/>
  <c r="FH685" i="50" s="1"/>
  <c r="G685" i="50"/>
  <c r="FA685" i="50" s="1"/>
  <c r="F685" i="50"/>
  <c r="AA807" i="50"/>
  <c r="AB807" i="50" s="1"/>
  <c r="Z807" i="50"/>
  <c r="X807" i="50"/>
  <c r="FH807" i="50" s="1"/>
  <c r="G807" i="50"/>
  <c r="FA807" i="50" s="1"/>
  <c r="F807" i="50"/>
  <c r="AA694" i="50"/>
  <c r="AB694" i="50" s="1"/>
  <c r="Z694" i="50"/>
  <c r="FJ694" i="50" s="1"/>
  <c r="X694" i="50"/>
  <c r="FH694" i="50" s="1"/>
  <c r="G694" i="50"/>
  <c r="FA694" i="50" s="1"/>
  <c r="F694" i="50"/>
  <c r="AA691" i="50"/>
  <c r="AB691" i="50" s="1"/>
  <c r="Z691" i="50"/>
  <c r="X691" i="50"/>
  <c r="FH691" i="50" s="1"/>
  <c r="G691" i="50"/>
  <c r="FA691" i="50" s="1"/>
  <c r="F691" i="50"/>
  <c r="AA798" i="50"/>
  <c r="AB798" i="50" s="1"/>
  <c r="Z798" i="50"/>
  <c r="X798" i="50"/>
  <c r="FH798" i="50" s="1"/>
  <c r="G798" i="50"/>
  <c r="FA798" i="50" s="1"/>
  <c r="F798" i="50"/>
  <c r="AA688" i="50"/>
  <c r="AB688" i="50" s="1"/>
  <c r="Z688" i="50"/>
  <c r="X688" i="50"/>
  <c r="FH688" i="50" s="1"/>
  <c r="G688" i="50"/>
  <c r="FA688" i="50" s="1"/>
  <c r="F688" i="50"/>
  <c r="AA795" i="50"/>
  <c r="AB795" i="50" s="1"/>
  <c r="Z795" i="50"/>
  <c r="X795" i="50"/>
  <c r="FH795" i="50" s="1"/>
  <c r="G795" i="50"/>
  <c r="FA795" i="50" s="1"/>
  <c r="F795" i="50"/>
  <c r="AA803" i="50"/>
  <c r="AB803" i="50" s="1"/>
  <c r="Z803" i="50"/>
  <c r="FJ803" i="50" s="1"/>
  <c r="X803" i="50"/>
  <c r="FH803" i="50" s="1"/>
  <c r="G803" i="50"/>
  <c r="FA803" i="50" s="1"/>
  <c r="F803" i="50"/>
  <c r="AA800" i="50"/>
  <c r="AB800" i="50" s="1"/>
  <c r="Z800" i="50"/>
  <c r="FJ800" i="50" s="1"/>
  <c r="X800" i="50"/>
  <c r="FH800" i="50" s="1"/>
  <c r="G800" i="50"/>
  <c r="FA800" i="50" s="1"/>
  <c r="F800" i="50"/>
  <c r="AA696" i="50"/>
  <c r="AB696" i="50" s="1"/>
  <c r="Z696" i="50"/>
  <c r="FJ696" i="50" s="1"/>
  <c r="X696" i="50"/>
  <c r="FH696" i="50" s="1"/>
  <c r="G696" i="50"/>
  <c r="FA696" i="50" s="1"/>
  <c r="F696" i="50"/>
  <c r="AA684" i="50"/>
  <c r="AB684" i="50" s="1"/>
  <c r="Z684" i="50"/>
  <c r="FJ684" i="50" s="1"/>
  <c r="X684" i="50"/>
  <c r="FH684" i="50" s="1"/>
  <c r="G684" i="50"/>
  <c r="FA684" i="50" s="1"/>
  <c r="F684" i="50"/>
  <c r="AA806" i="50"/>
  <c r="AB806" i="50" s="1"/>
  <c r="Z806" i="50"/>
  <c r="FJ806" i="50" s="1"/>
  <c r="X806" i="50"/>
  <c r="FH806" i="50" s="1"/>
  <c r="G806" i="50"/>
  <c r="FA806" i="50" s="1"/>
  <c r="F806" i="50"/>
  <c r="AA693" i="50"/>
  <c r="AB693" i="50" s="1"/>
  <c r="Z693" i="50"/>
  <c r="X693" i="50"/>
  <c r="FH693" i="50" s="1"/>
  <c r="G693" i="50"/>
  <c r="FA693" i="50" s="1"/>
  <c r="F693" i="50"/>
  <c r="AA690" i="50"/>
  <c r="AB690" i="50" s="1"/>
  <c r="Z690" i="50"/>
  <c r="FJ690" i="50" s="1"/>
  <c r="X690" i="50"/>
  <c r="FH690" i="50" s="1"/>
  <c r="G690" i="50"/>
  <c r="FA690" i="50" s="1"/>
  <c r="F690" i="50"/>
  <c r="AA797" i="50"/>
  <c r="AB797" i="50" s="1"/>
  <c r="Z797" i="50"/>
  <c r="FJ797" i="50" s="1"/>
  <c r="X797" i="50"/>
  <c r="FH797" i="50" s="1"/>
  <c r="G797" i="50"/>
  <c r="FA797" i="50" s="1"/>
  <c r="F797" i="50"/>
  <c r="AA687" i="50"/>
  <c r="AB687" i="50" s="1"/>
  <c r="Z687" i="50"/>
  <c r="FJ687" i="50" s="1"/>
  <c r="X687" i="50"/>
  <c r="FH687" i="50" s="1"/>
  <c r="G687" i="50"/>
  <c r="FA687" i="50" s="1"/>
  <c r="F687" i="50"/>
  <c r="AA794" i="50"/>
  <c r="AB794" i="50" s="1"/>
  <c r="Z794" i="50"/>
  <c r="FJ794" i="50" s="1"/>
  <c r="X794" i="50"/>
  <c r="FH794" i="50" s="1"/>
  <c r="G794" i="50"/>
  <c r="FA794" i="50" s="1"/>
  <c r="F794" i="50"/>
  <c r="AA802" i="50"/>
  <c r="AB802" i="50" s="1"/>
  <c r="Z802" i="50"/>
  <c r="X802" i="50"/>
  <c r="FH802" i="50" s="1"/>
  <c r="G802" i="50"/>
  <c r="FA802" i="50" s="1"/>
  <c r="F802" i="50"/>
  <c r="AA799" i="50"/>
  <c r="AB799" i="50" s="1"/>
  <c r="Z799" i="50"/>
  <c r="X799" i="50"/>
  <c r="FH799" i="50" s="1"/>
  <c r="G799" i="50"/>
  <c r="FA799" i="50" s="1"/>
  <c r="F799" i="50"/>
  <c r="AA695" i="50"/>
  <c r="AB695" i="50" s="1"/>
  <c r="Z695" i="50"/>
  <c r="X695" i="50"/>
  <c r="FH695" i="50" s="1"/>
  <c r="G695" i="50"/>
  <c r="FA695" i="50" s="1"/>
  <c r="F695" i="50"/>
  <c r="AA683" i="50"/>
  <c r="AB683" i="50" s="1"/>
  <c r="Z683" i="50"/>
  <c r="X683" i="50"/>
  <c r="FH683" i="50" s="1"/>
  <c r="G683" i="50"/>
  <c r="FA683" i="50" s="1"/>
  <c r="F683" i="50"/>
  <c r="AA805" i="50"/>
  <c r="AB805" i="50" s="1"/>
  <c r="Z805" i="50"/>
  <c r="X805" i="50"/>
  <c r="FH805" i="50" s="1"/>
  <c r="G805" i="50"/>
  <c r="FA805" i="50" s="1"/>
  <c r="F805" i="50"/>
  <c r="AA692" i="50"/>
  <c r="AB692" i="50" s="1"/>
  <c r="Z692" i="50"/>
  <c r="X692" i="50"/>
  <c r="FH692" i="50" s="1"/>
  <c r="G692" i="50"/>
  <c r="FA692" i="50" s="1"/>
  <c r="F692" i="50"/>
  <c r="AA689" i="50"/>
  <c r="AB689" i="50" s="1"/>
  <c r="Z689" i="50"/>
  <c r="X689" i="50"/>
  <c r="FH689" i="50" s="1"/>
  <c r="G689" i="50"/>
  <c r="FA689" i="50" s="1"/>
  <c r="F689" i="50"/>
  <c r="AA796" i="50"/>
  <c r="AB796" i="50" s="1"/>
  <c r="Z796" i="50"/>
  <c r="X796" i="50"/>
  <c r="FH796" i="50" s="1"/>
  <c r="G796" i="50"/>
  <c r="FA796" i="50" s="1"/>
  <c r="F796" i="50"/>
  <c r="AA686" i="50"/>
  <c r="AB686" i="50" s="1"/>
  <c r="Z686" i="50"/>
  <c r="X686" i="50"/>
  <c r="FH686" i="50" s="1"/>
  <c r="G686" i="50"/>
  <c r="FA686" i="50" s="1"/>
  <c r="F686" i="50"/>
  <c r="AA793" i="50"/>
  <c r="AB793" i="50" s="1"/>
  <c r="Z793" i="50"/>
  <c r="X793" i="50"/>
  <c r="FH793" i="50" s="1"/>
  <c r="G793" i="50"/>
  <c r="FA793" i="50" s="1"/>
  <c r="F793" i="50"/>
  <c r="Z893" i="50"/>
  <c r="G893" i="50"/>
  <c r="FA893" i="50" s="1"/>
  <c r="F893" i="50"/>
  <c r="Z1007" i="50"/>
  <c r="G1007" i="50"/>
  <c r="F1007" i="50"/>
  <c r="Z776" i="50"/>
  <c r="G776" i="50"/>
  <c r="FA776" i="50" s="1"/>
  <c r="F776" i="50"/>
  <c r="Z1006" i="50"/>
  <c r="G1006" i="50"/>
  <c r="F1006" i="50"/>
  <c r="Z885" i="50"/>
  <c r="G885" i="50"/>
  <c r="FA885" i="50" s="1"/>
  <c r="F885" i="50"/>
  <c r="Z884" i="50"/>
  <c r="G884" i="50"/>
  <c r="FA884" i="50" s="1"/>
  <c r="F884" i="50"/>
  <c r="Z890" i="50"/>
  <c r="G890" i="50"/>
  <c r="FA890" i="50" s="1"/>
  <c r="F890" i="50"/>
  <c r="Z889" i="50"/>
  <c r="G889" i="50"/>
  <c r="FA889" i="50" s="1"/>
  <c r="F889" i="50"/>
  <c r="Z638" i="50"/>
  <c r="G638" i="50"/>
  <c r="FA638" i="50" s="1"/>
  <c r="F638" i="50"/>
  <c r="Z637" i="50"/>
  <c r="G637" i="50"/>
  <c r="FA637" i="50" s="1"/>
  <c r="F637" i="50"/>
  <c r="Z636" i="50"/>
  <c r="G636" i="50"/>
  <c r="FA636" i="50" s="1"/>
  <c r="F636" i="50"/>
  <c r="Z894" i="50"/>
  <c r="G894" i="50"/>
  <c r="FA894" i="50" s="1"/>
  <c r="F894" i="50"/>
  <c r="Z775" i="50"/>
  <c r="G775" i="50"/>
  <c r="FA775" i="50" s="1"/>
  <c r="F775" i="50"/>
  <c r="Z774" i="50"/>
  <c r="G774" i="50"/>
  <c r="FA774" i="50" s="1"/>
  <c r="F774" i="50"/>
  <c r="Z888" i="50"/>
  <c r="G888" i="50"/>
  <c r="FA888" i="50" s="1"/>
  <c r="F888" i="50"/>
  <c r="Z887" i="50"/>
  <c r="G887" i="50"/>
  <c r="FA887" i="50" s="1"/>
  <c r="F887" i="50"/>
  <c r="Z886" i="50"/>
  <c r="G886" i="50"/>
  <c r="FA886" i="50" s="1"/>
  <c r="F886" i="50"/>
  <c r="Z892" i="50"/>
  <c r="G892" i="50"/>
  <c r="FA892" i="50" s="1"/>
  <c r="F892" i="50"/>
  <c r="Z891" i="50"/>
  <c r="G891" i="50"/>
  <c r="FA891" i="50" s="1"/>
  <c r="F891" i="50"/>
  <c r="Z639" i="50"/>
  <c r="G639" i="50"/>
  <c r="FA639" i="50" s="1"/>
  <c r="F639" i="50"/>
  <c r="Z635" i="50"/>
  <c r="G635" i="50"/>
  <c r="FA635" i="50" s="1"/>
  <c r="F635" i="50"/>
  <c r="Z634" i="50"/>
  <c r="G634" i="50"/>
  <c r="FA634" i="50" s="1"/>
  <c r="F634" i="50"/>
  <c r="Z626" i="50"/>
  <c r="G626" i="50"/>
  <c r="FA626" i="50" s="1"/>
  <c r="F626" i="50"/>
  <c r="Z625" i="50"/>
  <c r="G625" i="50"/>
  <c r="FA625" i="50" s="1"/>
  <c r="F625" i="50"/>
  <c r="Z624" i="50"/>
  <c r="G624" i="50"/>
  <c r="FA624" i="50" s="1"/>
  <c r="F624" i="50"/>
  <c r="Z623" i="50"/>
  <c r="G623" i="50"/>
  <c r="FA623" i="50" s="1"/>
  <c r="F623" i="50"/>
  <c r="Z640" i="50"/>
  <c r="G640" i="50"/>
  <c r="FA640" i="50" s="1"/>
  <c r="F640" i="50"/>
  <c r="Z641" i="50"/>
  <c r="G641" i="50"/>
  <c r="FA641" i="50" s="1"/>
  <c r="F641" i="50"/>
  <c r="Z921" i="50"/>
  <c r="G921" i="50"/>
  <c r="FA921" i="50" s="1"/>
  <c r="F921" i="50"/>
  <c r="Z622" i="50"/>
  <c r="J622" i="50"/>
  <c r="G622" i="50"/>
  <c r="FA622" i="50" s="1"/>
  <c r="F622" i="50"/>
  <c r="Z631" i="50"/>
  <c r="G631" i="50"/>
  <c r="FA631" i="50" s="1"/>
  <c r="F631" i="50"/>
  <c r="Z630" i="50"/>
  <c r="G630" i="50"/>
  <c r="FA630" i="50" s="1"/>
  <c r="F630" i="50"/>
  <c r="Z629" i="50"/>
  <c r="G629" i="50"/>
  <c r="FA629" i="50" s="1"/>
  <c r="F629" i="50"/>
  <c r="Z628" i="50"/>
  <c r="G628" i="50"/>
  <c r="FA628" i="50" s="1"/>
  <c r="F628" i="50"/>
  <c r="Z627" i="50"/>
  <c r="G627" i="50"/>
  <c r="FA627" i="50" s="1"/>
  <c r="F627" i="50"/>
  <c r="Z632" i="50"/>
  <c r="G632" i="50"/>
  <c r="FA632" i="50" s="1"/>
  <c r="F632" i="50"/>
  <c r="Z633" i="50"/>
  <c r="G633" i="50"/>
  <c r="FA633" i="50" s="1"/>
  <c r="F633" i="50"/>
  <c r="Z164" i="50"/>
  <c r="G164" i="50"/>
  <c r="FA164" i="50" s="1"/>
  <c r="F164" i="50"/>
  <c r="Z165" i="50"/>
  <c r="G165" i="50"/>
  <c r="FA165" i="50" s="1"/>
  <c r="F165" i="50"/>
  <c r="Z203" i="50"/>
  <c r="G203" i="50"/>
  <c r="FA203" i="50" s="1"/>
  <c r="F203" i="50"/>
  <c r="Z192" i="50"/>
  <c r="G192" i="50"/>
  <c r="FA192" i="50" s="1"/>
  <c r="F192" i="50"/>
  <c r="Z190" i="50"/>
  <c r="G190" i="50"/>
  <c r="FA190" i="50" s="1"/>
  <c r="F190" i="50"/>
  <c r="Z202" i="50"/>
  <c r="G202" i="50"/>
  <c r="FA202" i="50" s="1"/>
  <c r="F202" i="50"/>
  <c r="Z1008" i="50"/>
  <c r="G1008" i="50"/>
  <c r="F1008" i="50"/>
  <c r="Z201" i="50"/>
  <c r="G201" i="50"/>
  <c r="FA201" i="50" s="1"/>
  <c r="F201" i="50"/>
  <c r="Z198" i="50"/>
  <c r="G198" i="50"/>
  <c r="FA198" i="50" s="1"/>
  <c r="F198" i="50"/>
  <c r="Z209" i="50"/>
  <c r="G209" i="50"/>
  <c r="FA209" i="50" s="1"/>
  <c r="F209" i="50"/>
  <c r="Z208" i="50"/>
  <c r="G208" i="50"/>
  <c r="FA208" i="50" s="1"/>
  <c r="F208" i="50"/>
  <c r="Z68" i="50"/>
  <c r="G68" i="50"/>
  <c r="FA68" i="50" s="1"/>
  <c r="F68" i="50"/>
  <c r="Z67" i="50"/>
  <c r="G67" i="50"/>
  <c r="FA67" i="50" s="1"/>
  <c r="F67" i="50"/>
  <c r="Z66" i="50"/>
  <c r="G66" i="50"/>
  <c r="FA66" i="50" s="1"/>
  <c r="F66" i="50"/>
  <c r="Z211" i="50"/>
  <c r="G211" i="50"/>
  <c r="FA211" i="50" s="1"/>
  <c r="F211" i="50"/>
  <c r="Z169" i="50"/>
  <c r="G169" i="50"/>
  <c r="FA169" i="50" s="1"/>
  <c r="F169" i="50"/>
  <c r="Z167" i="50"/>
  <c r="G167" i="50"/>
  <c r="FA167" i="50" s="1"/>
  <c r="F167" i="50"/>
  <c r="Z166" i="50"/>
  <c r="G166" i="50"/>
  <c r="FA166" i="50" s="1"/>
  <c r="F166" i="50"/>
  <c r="Z168" i="50"/>
  <c r="G168" i="50"/>
  <c r="FA168" i="50" s="1"/>
  <c r="F168" i="50"/>
  <c r="Z193" i="50"/>
  <c r="G193" i="50"/>
  <c r="FA193" i="50" s="1"/>
  <c r="F193" i="50"/>
  <c r="Z191" i="50"/>
  <c r="G191" i="50"/>
  <c r="FA191" i="50" s="1"/>
  <c r="F191" i="50"/>
  <c r="Z275" i="50"/>
  <c r="G275" i="50"/>
  <c r="FA275" i="50" s="1"/>
  <c r="F275" i="50"/>
  <c r="Z200" i="50"/>
  <c r="G200" i="50"/>
  <c r="FA200" i="50" s="1"/>
  <c r="F200" i="50"/>
  <c r="Z199" i="50"/>
  <c r="G199" i="50"/>
  <c r="FA199" i="50" s="1"/>
  <c r="F199" i="50"/>
  <c r="Z304" i="50"/>
  <c r="G304" i="50"/>
  <c r="FA304" i="50" s="1"/>
  <c r="F304" i="50"/>
  <c r="Z64" i="50"/>
  <c r="G64" i="50"/>
  <c r="FA64" i="50" s="1"/>
  <c r="F64" i="50"/>
  <c r="Z47" i="50"/>
  <c r="G47" i="50"/>
  <c r="FA47" i="50" s="1"/>
  <c r="F47" i="50"/>
  <c r="Z77" i="50"/>
  <c r="G77" i="50"/>
  <c r="FA77" i="50" s="1"/>
  <c r="F77" i="50"/>
  <c r="Z76" i="50"/>
  <c r="G76" i="50"/>
  <c r="FA76" i="50" s="1"/>
  <c r="F76" i="50"/>
  <c r="Z75" i="50"/>
  <c r="G75" i="50"/>
  <c r="FA75" i="50" s="1"/>
  <c r="F75" i="50"/>
  <c r="Z73" i="50"/>
  <c r="G73" i="50"/>
  <c r="FA73" i="50" s="1"/>
  <c r="F73" i="50"/>
  <c r="Z74" i="50"/>
  <c r="G74" i="50"/>
  <c r="FA74" i="50" s="1"/>
  <c r="F74" i="50"/>
  <c r="Z72" i="50"/>
  <c r="G72" i="50"/>
  <c r="FA72" i="50" s="1"/>
  <c r="F72" i="50"/>
  <c r="Z71" i="50"/>
  <c r="G71" i="50"/>
  <c r="FA71" i="50" s="1"/>
  <c r="F71" i="50"/>
  <c r="Z70" i="50"/>
  <c r="G70" i="50"/>
  <c r="FA70" i="50" s="1"/>
  <c r="F70" i="50"/>
  <c r="Z69" i="50"/>
  <c r="G69" i="50"/>
  <c r="FA69" i="50" s="1"/>
  <c r="F69" i="50"/>
  <c r="Z210" i="50"/>
  <c r="G210" i="50"/>
  <c r="FA210" i="50" s="1"/>
  <c r="F210" i="50"/>
  <c r="Z301" i="50"/>
  <c r="G301" i="50"/>
  <c r="FA301" i="50" s="1"/>
  <c r="F301" i="50"/>
  <c r="Z300" i="50"/>
  <c r="G300" i="50"/>
  <c r="FA300" i="50" s="1"/>
  <c r="F300" i="50"/>
  <c r="Z302" i="50"/>
  <c r="G302" i="50"/>
  <c r="FA302" i="50" s="1"/>
  <c r="F302" i="50"/>
  <c r="Z299" i="50"/>
  <c r="G299" i="50"/>
  <c r="FA299" i="50" s="1"/>
  <c r="F299" i="50"/>
  <c r="Z57" i="50"/>
  <c r="G57" i="50"/>
  <c r="FA57" i="50" s="1"/>
  <c r="F57" i="50"/>
  <c r="Z303" i="50"/>
  <c r="G303" i="50"/>
  <c r="FA303" i="50" s="1"/>
  <c r="F303" i="50"/>
  <c r="Z163" i="50"/>
  <c r="G163" i="50"/>
  <c r="FA163" i="50" s="1"/>
  <c r="F163" i="50"/>
  <c r="Z161" i="50"/>
  <c r="G161" i="50"/>
  <c r="FA161" i="50" s="1"/>
  <c r="F161" i="50"/>
  <c r="Z160" i="50"/>
  <c r="G160" i="50"/>
  <c r="FA160" i="50" s="1"/>
  <c r="F160" i="50"/>
  <c r="Z159" i="50"/>
  <c r="G159" i="50"/>
  <c r="FA159" i="50" s="1"/>
  <c r="F159" i="50"/>
  <c r="Z162" i="50"/>
  <c r="G162" i="50"/>
  <c r="FA162" i="50" s="1"/>
  <c r="F162" i="50"/>
  <c r="Z158" i="50"/>
  <c r="G158" i="50"/>
  <c r="FA158" i="50" s="1"/>
  <c r="F158" i="50"/>
  <c r="Z157" i="50"/>
  <c r="G157" i="50"/>
  <c r="FA157" i="50" s="1"/>
  <c r="F157" i="50"/>
  <c r="Z156" i="50"/>
  <c r="G156" i="50"/>
  <c r="FA156" i="50" s="1"/>
  <c r="F156" i="50"/>
  <c r="Z155" i="50"/>
  <c r="G155" i="50"/>
  <c r="FA155" i="50" s="1"/>
  <c r="F155" i="50"/>
  <c r="Z197" i="50"/>
  <c r="G197" i="50"/>
  <c r="FA197" i="50" s="1"/>
  <c r="F197" i="50"/>
  <c r="Z196" i="50"/>
  <c r="G196" i="50"/>
  <c r="FA196" i="50" s="1"/>
  <c r="F196" i="50"/>
  <c r="Z195" i="50"/>
  <c r="G195" i="50"/>
  <c r="FA195" i="50" s="1"/>
  <c r="F195" i="50"/>
  <c r="Z207" i="50"/>
  <c r="G207" i="50"/>
  <c r="FA207" i="50" s="1"/>
  <c r="F207" i="50"/>
  <c r="Z206" i="50"/>
  <c r="G206" i="50"/>
  <c r="FA206" i="50" s="1"/>
  <c r="F206" i="50"/>
  <c r="Z79" i="50"/>
  <c r="G79" i="50"/>
  <c r="FA79" i="50" s="1"/>
  <c r="F79" i="50"/>
  <c r="Z78" i="50"/>
  <c r="G78" i="50"/>
  <c r="FA78" i="50" s="1"/>
  <c r="F78" i="50"/>
  <c r="Z65" i="50"/>
  <c r="G65" i="50"/>
  <c r="FA65" i="50" s="1"/>
  <c r="F65" i="50"/>
  <c r="Z63" i="50"/>
  <c r="G63" i="50"/>
  <c r="FA63" i="50" s="1"/>
  <c r="F63" i="50"/>
  <c r="Z50" i="50"/>
  <c r="G50" i="50"/>
  <c r="FA50" i="50" s="1"/>
  <c r="F50" i="50"/>
  <c r="Z51" i="50"/>
  <c r="G51" i="50"/>
  <c r="FA51" i="50" s="1"/>
  <c r="F51" i="50"/>
  <c r="Z49" i="50"/>
  <c r="G49" i="50"/>
  <c r="FA49" i="50" s="1"/>
  <c r="F49" i="50"/>
  <c r="Z194" i="50"/>
  <c r="G194" i="50"/>
  <c r="FA194" i="50" s="1"/>
  <c r="F194" i="50"/>
  <c r="Z59" i="50"/>
  <c r="G59" i="50"/>
  <c r="FA59" i="50" s="1"/>
  <c r="F59" i="50"/>
  <c r="Z58" i="50"/>
  <c r="G58" i="50"/>
  <c r="FA58" i="50" s="1"/>
  <c r="F58" i="50"/>
  <c r="Z276" i="50"/>
  <c r="G276" i="50"/>
  <c r="FA276" i="50" s="1"/>
  <c r="F276" i="50"/>
  <c r="Z83" i="50"/>
  <c r="G83" i="50"/>
  <c r="FA83" i="50" s="1"/>
  <c r="F83" i="50"/>
  <c r="Z82" i="50"/>
  <c r="G82" i="50"/>
  <c r="FA82" i="50" s="1"/>
  <c r="F82" i="50"/>
  <c r="Z81" i="50"/>
  <c r="G81" i="50"/>
  <c r="FA81" i="50" s="1"/>
  <c r="F81" i="50"/>
  <c r="Z80" i="50"/>
  <c r="G80" i="50"/>
  <c r="FA80" i="50" s="1"/>
  <c r="F80" i="50"/>
  <c r="Z84" i="50"/>
  <c r="G84" i="50"/>
  <c r="FA84" i="50" s="1"/>
  <c r="F84" i="50"/>
  <c r="Z48" i="50"/>
  <c r="J48" i="50"/>
  <c r="G48" i="50"/>
  <c r="FA48" i="50" s="1"/>
  <c r="F48" i="50"/>
  <c r="Z205" i="50"/>
  <c r="G205" i="50"/>
  <c r="FA205" i="50" s="1"/>
  <c r="F205" i="50"/>
  <c r="Z204" i="50"/>
  <c r="G204" i="50"/>
  <c r="FA204" i="50" s="1"/>
  <c r="F204" i="50"/>
  <c r="Z54" i="50"/>
  <c r="G54" i="50"/>
  <c r="FA54" i="50" s="1"/>
  <c r="F54" i="50"/>
  <c r="Z53" i="50"/>
  <c r="G53" i="50"/>
  <c r="FA53" i="50" s="1"/>
  <c r="F53" i="50"/>
  <c r="Z52" i="50"/>
  <c r="G52" i="50"/>
  <c r="FA52" i="50" s="1"/>
  <c r="F52" i="50"/>
  <c r="Z56" i="50"/>
  <c r="G56" i="50"/>
  <c r="FA56" i="50" s="1"/>
  <c r="F56" i="50"/>
  <c r="Z55" i="50"/>
  <c r="G55" i="50"/>
  <c r="FA55" i="50" s="1"/>
  <c r="F55" i="50"/>
  <c r="Z62" i="50"/>
  <c r="G62" i="50"/>
  <c r="FA62" i="50" s="1"/>
  <c r="F62" i="50"/>
  <c r="Z61" i="50"/>
  <c r="G61" i="50"/>
  <c r="FA61" i="50" s="1"/>
  <c r="F61" i="50"/>
  <c r="Z60" i="50"/>
  <c r="G60" i="50"/>
  <c r="FA60" i="50" s="1"/>
  <c r="F60" i="50"/>
  <c r="X474" i="50"/>
  <c r="FH474" i="50" s="1"/>
  <c r="S474" i="50"/>
  <c r="FF474" i="50" s="1"/>
  <c r="G474" i="50"/>
  <c r="FA474" i="50" s="1"/>
  <c r="F474" i="50"/>
  <c r="X473" i="50"/>
  <c r="FH473" i="50" s="1"/>
  <c r="S473" i="50"/>
  <c r="FF473" i="50" s="1"/>
  <c r="G473" i="50"/>
  <c r="FA473" i="50" s="1"/>
  <c r="F473" i="50"/>
  <c r="X472" i="50"/>
  <c r="FH472" i="50" s="1"/>
  <c r="S472" i="50"/>
  <c r="FF472" i="50" s="1"/>
  <c r="G472" i="50"/>
  <c r="FA472" i="50" s="1"/>
  <c r="F472" i="50"/>
  <c r="X471" i="50"/>
  <c r="FH471" i="50" s="1"/>
  <c r="S471" i="50"/>
  <c r="FF471" i="50" s="1"/>
  <c r="G471" i="50"/>
  <c r="FA471" i="50" s="1"/>
  <c r="F471" i="50"/>
  <c r="X470" i="50"/>
  <c r="FH470" i="50" s="1"/>
  <c r="S470" i="50"/>
  <c r="FF470" i="50" s="1"/>
  <c r="G470" i="50"/>
  <c r="FA470" i="50" s="1"/>
  <c r="F470" i="50"/>
  <c r="X469" i="50"/>
  <c r="FH469" i="50" s="1"/>
  <c r="S469" i="50"/>
  <c r="FF469" i="50" s="1"/>
  <c r="G469" i="50"/>
  <c r="FA469" i="50" s="1"/>
  <c r="F469" i="50"/>
  <c r="X468" i="50"/>
  <c r="FH468" i="50" s="1"/>
  <c r="S468" i="50"/>
  <c r="FF468" i="50" s="1"/>
  <c r="G468" i="50"/>
  <c r="FA468" i="50" s="1"/>
  <c r="F468" i="50"/>
  <c r="X467" i="50"/>
  <c r="FH467" i="50" s="1"/>
  <c r="S467" i="50"/>
  <c r="FF467" i="50" s="1"/>
  <c r="G467" i="50"/>
  <c r="FA467" i="50" s="1"/>
  <c r="F467" i="50"/>
  <c r="X466" i="50"/>
  <c r="FH466" i="50" s="1"/>
  <c r="S466" i="50"/>
  <c r="FF466" i="50" s="1"/>
  <c r="G466" i="50"/>
  <c r="FA466" i="50" s="1"/>
  <c r="F466" i="50"/>
  <c r="X465" i="50"/>
  <c r="FH465" i="50" s="1"/>
  <c r="S465" i="50"/>
  <c r="FF465" i="50" s="1"/>
  <c r="G465" i="50"/>
  <c r="FA465" i="50" s="1"/>
  <c r="F465" i="50"/>
  <c r="X464" i="50"/>
  <c r="FH464" i="50" s="1"/>
  <c r="S464" i="50"/>
  <c r="FF464" i="50" s="1"/>
  <c r="G464" i="50"/>
  <c r="FA464" i="50" s="1"/>
  <c r="F464" i="50"/>
  <c r="X463" i="50"/>
  <c r="FH463" i="50" s="1"/>
  <c r="S463" i="50"/>
  <c r="FF463" i="50" s="1"/>
  <c r="G463" i="50"/>
  <c r="FA463" i="50" s="1"/>
  <c r="F463" i="50"/>
  <c r="X462" i="50"/>
  <c r="FH462" i="50" s="1"/>
  <c r="S462" i="50"/>
  <c r="FF462" i="50" s="1"/>
  <c r="G462" i="50"/>
  <c r="FA462" i="50" s="1"/>
  <c r="F462" i="50"/>
  <c r="X461" i="50"/>
  <c r="FH461" i="50" s="1"/>
  <c r="S461" i="50"/>
  <c r="FF461" i="50" s="1"/>
  <c r="G461" i="50"/>
  <c r="FA461" i="50" s="1"/>
  <c r="F461" i="50"/>
  <c r="X459" i="50"/>
  <c r="FH459" i="50" s="1"/>
  <c r="S459" i="50"/>
  <c r="FF459" i="50" s="1"/>
  <c r="G459" i="50"/>
  <c r="FA459" i="50" s="1"/>
  <c r="F459" i="50"/>
  <c r="X458" i="50"/>
  <c r="FH458" i="50" s="1"/>
  <c r="S458" i="50"/>
  <c r="FF458" i="50" s="1"/>
  <c r="G458" i="50"/>
  <c r="FA458" i="50" s="1"/>
  <c r="F458" i="50"/>
  <c r="X457" i="50"/>
  <c r="FH457" i="50" s="1"/>
  <c r="S457" i="50"/>
  <c r="FF457" i="50" s="1"/>
  <c r="G457" i="50"/>
  <c r="FA457" i="50" s="1"/>
  <c r="F457" i="50"/>
  <c r="X456" i="50"/>
  <c r="FH456" i="50" s="1"/>
  <c r="S456" i="50"/>
  <c r="FF456" i="50" s="1"/>
  <c r="G456" i="50"/>
  <c r="FA456" i="50" s="1"/>
  <c r="F456" i="50"/>
  <c r="X455" i="50"/>
  <c r="FH455" i="50" s="1"/>
  <c r="S455" i="50"/>
  <c r="FF455" i="50" s="1"/>
  <c r="G455" i="50"/>
  <c r="FA455" i="50" s="1"/>
  <c r="F455" i="50"/>
  <c r="X454" i="50"/>
  <c r="FH454" i="50" s="1"/>
  <c r="S454" i="50"/>
  <c r="FF454" i="50" s="1"/>
  <c r="G454" i="50"/>
  <c r="FA454" i="50" s="1"/>
  <c r="F454" i="50"/>
  <c r="X452" i="50"/>
  <c r="FH452" i="50" s="1"/>
  <c r="S452" i="50"/>
  <c r="FF452" i="50" s="1"/>
  <c r="G452" i="50"/>
  <c r="FA452" i="50" s="1"/>
  <c r="F452" i="50"/>
  <c r="X451" i="50"/>
  <c r="FH451" i="50" s="1"/>
  <c r="S451" i="50"/>
  <c r="FF451" i="50" s="1"/>
  <c r="G451" i="50"/>
  <c r="FA451" i="50" s="1"/>
  <c r="F451" i="50"/>
  <c r="X450" i="50"/>
  <c r="FH450" i="50" s="1"/>
  <c r="S450" i="50"/>
  <c r="FF450" i="50" s="1"/>
  <c r="G450" i="50"/>
  <c r="FA450" i="50" s="1"/>
  <c r="F450" i="50"/>
  <c r="X449" i="50"/>
  <c r="FH449" i="50" s="1"/>
  <c r="S449" i="50"/>
  <c r="FF449" i="50" s="1"/>
  <c r="G449" i="50"/>
  <c r="FA449" i="50" s="1"/>
  <c r="F449" i="50"/>
  <c r="X448" i="50"/>
  <c r="FH448" i="50" s="1"/>
  <c r="S448" i="50"/>
  <c r="FF448" i="50" s="1"/>
  <c r="G448" i="50"/>
  <c r="FA448" i="50" s="1"/>
  <c r="F448" i="50"/>
  <c r="X447" i="50"/>
  <c r="FH447" i="50" s="1"/>
  <c r="S447" i="50"/>
  <c r="FF447" i="50" s="1"/>
  <c r="G447" i="50"/>
  <c r="FA447" i="50" s="1"/>
  <c r="F447" i="50"/>
  <c r="X446" i="50"/>
  <c r="FH446" i="50" s="1"/>
  <c r="S446" i="50"/>
  <c r="FF446" i="50" s="1"/>
  <c r="G446" i="50"/>
  <c r="FA446" i="50" s="1"/>
  <c r="F446" i="50"/>
  <c r="X445" i="50"/>
  <c r="FH445" i="50" s="1"/>
  <c r="S445" i="50"/>
  <c r="FF445" i="50" s="1"/>
  <c r="G445" i="50"/>
  <c r="FA445" i="50" s="1"/>
  <c r="F445" i="50"/>
  <c r="X444" i="50"/>
  <c r="FH444" i="50" s="1"/>
  <c r="S444" i="50"/>
  <c r="FF444" i="50" s="1"/>
  <c r="G444" i="50"/>
  <c r="FA444" i="50" s="1"/>
  <c r="F444" i="50"/>
  <c r="X443" i="50"/>
  <c r="FH443" i="50" s="1"/>
  <c r="S443" i="50"/>
  <c r="FF443" i="50" s="1"/>
  <c r="G443" i="50"/>
  <c r="FA443" i="50" s="1"/>
  <c r="F443" i="50"/>
  <c r="X442" i="50"/>
  <c r="FH442" i="50" s="1"/>
  <c r="S442" i="50"/>
  <c r="FF442" i="50" s="1"/>
  <c r="G442" i="50"/>
  <c r="FA442" i="50" s="1"/>
  <c r="F442" i="50"/>
  <c r="X441" i="50"/>
  <c r="FH441" i="50" s="1"/>
  <c r="S441" i="50"/>
  <c r="FF441" i="50" s="1"/>
  <c r="G441" i="50"/>
  <c r="FA441" i="50" s="1"/>
  <c r="F441" i="50"/>
  <c r="X440" i="50"/>
  <c r="FH440" i="50" s="1"/>
  <c r="S440" i="50"/>
  <c r="FF440" i="50" s="1"/>
  <c r="G440" i="50"/>
  <c r="FA440" i="50" s="1"/>
  <c r="F440" i="50"/>
  <c r="X439" i="50"/>
  <c r="FH439" i="50" s="1"/>
  <c r="S439" i="50"/>
  <c r="FF439" i="50" s="1"/>
  <c r="G439" i="50"/>
  <c r="FA439" i="50" s="1"/>
  <c r="F439" i="50"/>
  <c r="X438" i="50"/>
  <c r="FH438" i="50" s="1"/>
  <c r="S438" i="50"/>
  <c r="FF438" i="50" s="1"/>
  <c r="G438" i="50"/>
  <c r="FA438" i="50" s="1"/>
  <c r="F438" i="50"/>
  <c r="X437" i="50"/>
  <c r="FH437" i="50" s="1"/>
  <c r="S437" i="50"/>
  <c r="FF437" i="50" s="1"/>
  <c r="G437" i="50"/>
  <c r="FA437" i="50" s="1"/>
  <c r="F437" i="50"/>
  <c r="X436" i="50"/>
  <c r="FH436" i="50" s="1"/>
  <c r="S436" i="50"/>
  <c r="FF436" i="50" s="1"/>
  <c r="G436" i="50"/>
  <c r="FA436" i="50" s="1"/>
  <c r="F436" i="50"/>
  <c r="X435" i="50"/>
  <c r="FH435" i="50" s="1"/>
  <c r="S435" i="50"/>
  <c r="FF435" i="50" s="1"/>
  <c r="G435" i="50"/>
  <c r="FA435" i="50" s="1"/>
  <c r="F435" i="50"/>
  <c r="X434" i="50"/>
  <c r="FH434" i="50" s="1"/>
  <c r="S434" i="50"/>
  <c r="FF434" i="50" s="1"/>
  <c r="G434" i="50"/>
  <c r="FA434" i="50" s="1"/>
  <c r="F434" i="50"/>
  <c r="X433" i="50"/>
  <c r="FH433" i="50" s="1"/>
  <c r="S433" i="50"/>
  <c r="FF433" i="50" s="1"/>
  <c r="G433" i="50"/>
  <c r="FA433" i="50" s="1"/>
  <c r="F433" i="50"/>
  <c r="X432" i="50"/>
  <c r="FH432" i="50" s="1"/>
  <c r="S432" i="50"/>
  <c r="FF432" i="50" s="1"/>
  <c r="G432" i="50"/>
  <c r="FA432" i="50" s="1"/>
  <c r="F432" i="50"/>
  <c r="X509" i="50"/>
  <c r="FH509" i="50" s="1"/>
  <c r="S509" i="50"/>
  <c r="FF509" i="50" s="1"/>
  <c r="G509" i="50"/>
  <c r="FA509" i="50" s="1"/>
  <c r="F509" i="50"/>
  <c r="X508" i="50"/>
  <c r="FH508" i="50" s="1"/>
  <c r="S508" i="50"/>
  <c r="FF508" i="50" s="1"/>
  <c r="G508" i="50"/>
  <c r="FA508" i="50" s="1"/>
  <c r="F508" i="50"/>
  <c r="X507" i="50"/>
  <c r="FH507" i="50" s="1"/>
  <c r="S507" i="50"/>
  <c r="FF507" i="50" s="1"/>
  <c r="G507" i="50"/>
  <c r="FA507" i="50" s="1"/>
  <c r="F507" i="50"/>
  <c r="X506" i="50"/>
  <c r="FH506" i="50" s="1"/>
  <c r="S506" i="50"/>
  <c r="FF506" i="50" s="1"/>
  <c r="G506" i="50"/>
  <c r="FA506" i="50" s="1"/>
  <c r="F506" i="50"/>
  <c r="X505" i="50"/>
  <c r="FH505" i="50" s="1"/>
  <c r="S505" i="50"/>
  <c r="FF505" i="50" s="1"/>
  <c r="G505" i="50"/>
  <c r="FA505" i="50" s="1"/>
  <c r="F505" i="50"/>
  <c r="X504" i="50"/>
  <c r="FH504" i="50" s="1"/>
  <c r="S504" i="50"/>
  <c r="FF504" i="50" s="1"/>
  <c r="G504" i="50"/>
  <c r="FA504" i="50" s="1"/>
  <c r="F504" i="50"/>
  <c r="X503" i="50"/>
  <c r="FH503" i="50" s="1"/>
  <c r="S503" i="50"/>
  <c r="FF503" i="50" s="1"/>
  <c r="G503" i="50"/>
  <c r="FA503" i="50" s="1"/>
  <c r="F503" i="50"/>
  <c r="X502" i="50"/>
  <c r="FH502" i="50" s="1"/>
  <c r="S502" i="50"/>
  <c r="FF502" i="50" s="1"/>
  <c r="G502" i="50"/>
  <c r="FA502" i="50" s="1"/>
  <c r="F502" i="50"/>
  <c r="X501" i="50"/>
  <c r="FH501" i="50" s="1"/>
  <c r="S501" i="50"/>
  <c r="FF501" i="50" s="1"/>
  <c r="G501" i="50"/>
  <c r="FA501" i="50" s="1"/>
  <c r="F501" i="50"/>
  <c r="X500" i="50"/>
  <c r="FH500" i="50" s="1"/>
  <c r="S500" i="50"/>
  <c r="FF500" i="50" s="1"/>
  <c r="G500" i="50"/>
  <c r="FA500" i="50" s="1"/>
  <c r="F500" i="50"/>
  <c r="X499" i="50"/>
  <c r="FH499" i="50" s="1"/>
  <c r="S499" i="50"/>
  <c r="FF499" i="50" s="1"/>
  <c r="G499" i="50"/>
  <c r="FA499" i="50" s="1"/>
  <c r="F499" i="50"/>
  <c r="X498" i="50"/>
  <c r="FH498" i="50" s="1"/>
  <c r="S498" i="50"/>
  <c r="FF498" i="50" s="1"/>
  <c r="G498" i="50"/>
  <c r="FA498" i="50" s="1"/>
  <c r="F498" i="50"/>
  <c r="X497" i="50"/>
  <c r="FH497" i="50" s="1"/>
  <c r="S497" i="50"/>
  <c r="FF497" i="50" s="1"/>
  <c r="G497" i="50"/>
  <c r="FA497" i="50" s="1"/>
  <c r="F497" i="50"/>
  <c r="X496" i="50"/>
  <c r="FH496" i="50" s="1"/>
  <c r="S496" i="50"/>
  <c r="FF496" i="50" s="1"/>
  <c r="G496" i="50"/>
  <c r="FA496" i="50" s="1"/>
  <c r="F496" i="50"/>
  <c r="X495" i="50"/>
  <c r="FH495" i="50" s="1"/>
  <c r="S495" i="50"/>
  <c r="FF495" i="50" s="1"/>
  <c r="G495" i="50"/>
  <c r="FA495" i="50" s="1"/>
  <c r="F495" i="50"/>
  <c r="X494" i="50"/>
  <c r="FH494" i="50" s="1"/>
  <c r="S494" i="50"/>
  <c r="FF494" i="50" s="1"/>
  <c r="G494" i="50"/>
  <c r="FA494" i="50" s="1"/>
  <c r="F494" i="50"/>
  <c r="X492" i="50"/>
  <c r="FH492" i="50" s="1"/>
  <c r="S492" i="50"/>
  <c r="FF492" i="50" s="1"/>
  <c r="G492" i="50"/>
  <c r="FA492" i="50" s="1"/>
  <c r="F492" i="50"/>
  <c r="X491" i="50"/>
  <c r="FH491" i="50" s="1"/>
  <c r="S491" i="50"/>
  <c r="FF491" i="50" s="1"/>
  <c r="G491" i="50"/>
  <c r="FA491" i="50" s="1"/>
  <c r="F491" i="50"/>
  <c r="X490" i="50"/>
  <c r="FH490" i="50" s="1"/>
  <c r="S490" i="50"/>
  <c r="FF490" i="50" s="1"/>
  <c r="G490" i="50"/>
  <c r="FA490" i="50" s="1"/>
  <c r="F490" i="50"/>
  <c r="X489" i="50"/>
  <c r="FH489" i="50" s="1"/>
  <c r="S489" i="50"/>
  <c r="FF489" i="50" s="1"/>
  <c r="G489" i="50"/>
  <c r="FA489" i="50" s="1"/>
  <c r="F489" i="50"/>
  <c r="X488" i="50"/>
  <c r="FH488" i="50" s="1"/>
  <c r="S488" i="50"/>
  <c r="FF488" i="50" s="1"/>
  <c r="G488" i="50"/>
  <c r="FA488" i="50" s="1"/>
  <c r="F488" i="50"/>
  <c r="X487" i="50"/>
  <c r="FH487" i="50" s="1"/>
  <c r="S487" i="50"/>
  <c r="FF487" i="50" s="1"/>
  <c r="G487" i="50"/>
  <c r="FA487" i="50" s="1"/>
  <c r="F487" i="50"/>
  <c r="X486" i="50"/>
  <c r="FH486" i="50" s="1"/>
  <c r="S486" i="50"/>
  <c r="FF486" i="50" s="1"/>
  <c r="G486" i="50"/>
  <c r="FA486" i="50" s="1"/>
  <c r="F486" i="50"/>
  <c r="X485" i="50"/>
  <c r="FH485" i="50" s="1"/>
  <c r="S485" i="50"/>
  <c r="FF485" i="50" s="1"/>
  <c r="G485" i="50"/>
  <c r="FA485" i="50" s="1"/>
  <c r="F485" i="50"/>
  <c r="X484" i="50"/>
  <c r="FH484" i="50" s="1"/>
  <c r="S484" i="50"/>
  <c r="FF484" i="50" s="1"/>
  <c r="G484" i="50"/>
  <c r="FA484" i="50" s="1"/>
  <c r="F484" i="50"/>
  <c r="X483" i="50"/>
  <c r="FH483" i="50" s="1"/>
  <c r="S483" i="50"/>
  <c r="FF483" i="50" s="1"/>
  <c r="G483" i="50"/>
  <c r="FA483" i="50" s="1"/>
  <c r="F483" i="50"/>
  <c r="X482" i="50"/>
  <c r="FH482" i="50" s="1"/>
  <c r="S482" i="50"/>
  <c r="FF482" i="50" s="1"/>
  <c r="G482" i="50"/>
  <c r="FA482" i="50" s="1"/>
  <c r="F482" i="50"/>
  <c r="X480" i="50"/>
  <c r="FH480" i="50" s="1"/>
  <c r="S480" i="50"/>
  <c r="FF480" i="50" s="1"/>
  <c r="G480" i="50"/>
  <c r="FA480" i="50" s="1"/>
  <c r="F480" i="50"/>
  <c r="X479" i="50"/>
  <c r="FH479" i="50" s="1"/>
  <c r="S479" i="50"/>
  <c r="FF479" i="50" s="1"/>
  <c r="G479" i="50"/>
  <c r="FA479" i="50" s="1"/>
  <c r="F479" i="50"/>
  <c r="X478" i="50"/>
  <c r="FH478" i="50" s="1"/>
  <c r="S478" i="50"/>
  <c r="FF478" i="50" s="1"/>
  <c r="G478" i="50"/>
  <c r="FA478" i="50" s="1"/>
  <c r="F478" i="50"/>
  <c r="X477" i="50"/>
  <c r="FH477" i="50" s="1"/>
  <c r="S477" i="50"/>
  <c r="FF477" i="50" s="1"/>
  <c r="G477" i="50"/>
  <c r="FA477" i="50" s="1"/>
  <c r="F477" i="50"/>
  <c r="X476" i="50"/>
  <c r="FH476" i="50" s="1"/>
  <c r="S476" i="50"/>
  <c r="FF476" i="50" s="1"/>
  <c r="G476" i="50"/>
  <c r="FA476" i="50" s="1"/>
  <c r="F476" i="50"/>
  <c r="X475" i="50"/>
  <c r="FH475" i="50" s="1"/>
  <c r="S475" i="50"/>
  <c r="FF475" i="50" s="1"/>
  <c r="G475" i="50"/>
  <c r="FA475" i="50" s="1"/>
  <c r="F475" i="50"/>
  <c r="X460" i="50"/>
  <c r="FH460" i="50" s="1"/>
  <c r="S460" i="50"/>
  <c r="FF460" i="50" s="1"/>
  <c r="G460" i="50"/>
  <c r="FA460" i="50" s="1"/>
  <c r="F460" i="50"/>
  <c r="X453" i="50"/>
  <c r="FH453" i="50" s="1"/>
  <c r="S453" i="50"/>
  <c r="FF453" i="50" s="1"/>
  <c r="G453" i="50"/>
  <c r="FA453" i="50" s="1"/>
  <c r="F453" i="50"/>
  <c r="X493" i="50"/>
  <c r="FH493" i="50" s="1"/>
  <c r="S493" i="50"/>
  <c r="FF493" i="50" s="1"/>
  <c r="G493" i="50"/>
  <c r="FA493" i="50" s="1"/>
  <c r="F493" i="50"/>
  <c r="X481" i="50"/>
  <c r="FH481" i="50" s="1"/>
  <c r="S481" i="50"/>
  <c r="FF481" i="50" s="1"/>
  <c r="G481" i="50"/>
  <c r="FA481" i="50" s="1"/>
  <c r="F481" i="50"/>
  <c r="X431" i="50"/>
  <c r="FH431" i="50" s="1"/>
  <c r="S431" i="50"/>
  <c r="FF431" i="50" s="1"/>
  <c r="G431" i="50"/>
  <c r="FA431" i="50" s="1"/>
  <c r="F431" i="50"/>
  <c r="X351" i="50"/>
  <c r="FH351" i="50" s="1"/>
  <c r="S351" i="50"/>
  <c r="FF351" i="50" s="1"/>
  <c r="G351" i="50"/>
  <c r="FA351" i="50" s="1"/>
  <c r="F351" i="50"/>
  <c r="X349" i="50"/>
  <c r="FH349" i="50" s="1"/>
  <c r="S349" i="50"/>
  <c r="FF349" i="50" s="1"/>
  <c r="G349" i="50"/>
  <c r="FA349" i="50" s="1"/>
  <c r="F349" i="50"/>
  <c r="X350" i="50"/>
  <c r="FH350" i="50" s="1"/>
  <c r="S350" i="50"/>
  <c r="FF350" i="50" s="1"/>
  <c r="G350" i="50"/>
  <c r="FA350" i="50" s="1"/>
  <c r="F350" i="50"/>
  <c r="X336" i="50"/>
  <c r="FH336" i="50" s="1"/>
  <c r="S336" i="50"/>
  <c r="FF336" i="50" s="1"/>
  <c r="G336" i="50"/>
  <c r="FA336" i="50" s="1"/>
  <c r="F336" i="50"/>
  <c r="X335" i="50"/>
  <c r="FH335" i="50" s="1"/>
  <c r="S335" i="50"/>
  <c r="FF335" i="50" s="1"/>
  <c r="G335" i="50"/>
  <c r="FA335" i="50" s="1"/>
  <c r="F335" i="50"/>
  <c r="X337" i="50"/>
  <c r="FH337" i="50" s="1"/>
  <c r="S337" i="50"/>
  <c r="FF337" i="50" s="1"/>
  <c r="G337" i="50"/>
  <c r="FA337" i="50" s="1"/>
  <c r="F337" i="50"/>
  <c r="X326" i="50"/>
  <c r="FH326" i="50" s="1"/>
  <c r="S326" i="50"/>
  <c r="FF326" i="50" s="1"/>
  <c r="G326" i="50"/>
  <c r="FA326" i="50" s="1"/>
  <c r="F326" i="50"/>
  <c r="X338" i="50"/>
  <c r="FH338" i="50" s="1"/>
  <c r="S338" i="50"/>
  <c r="FF338" i="50" s="1"/>
  <c r="G338" i="50"/>
  <c r="FA338" i="50" s="1"/>
  <c r="F338" i="50"/>
  <c r="X330" i="50"/>
  <c r="FH330" i="50" s="1"/>
  <c r="S330" i="50"/>
  <c r="FF330" i="50" s="1"/>
  <c r="G330" i="50"/>
  <c r="FA330" i="50" s="1"/>
  <c r="F330" i="50"/>
  <c r="X334" i="50"/>
  <c r="FH334" i="50" s="1"/>
  <c r="S334" i="50"/>
  <c r="FF334" i="50" s="1"/>
  <c r="G334" i="50"/>
  <c r="FA334" i="50" s="1"/>
  <c r="F334" i="50"/>
  <c r="X339" i="50"/>
  <c r="FH339" i="50" s="1"/>
  <c r="S339" i="50"/>
  <c r="FF339" i="50" s="1"/>
  <c r="G339" i="50"/>
  <c r="FA339" i="50" s="1"/>
  <c r="F339" i="50"/>
  <c r="X325" i="50"/>
  <c r="FH325" i="50" s="1"/>
  <c r="S325" i="50"/>
  <c r="FF325" i="50" s="1"/>
  <c r="G325" i="50"/>
  <c r="FA325" i="50" s="1"/>
  <c r="F325" i="50"/>
  <c r="X331" i="50"/>
  <c r="FH331" i="50" s="1"/>
  <c r="S331" i="50"/>
  <c r="FF331" i="50" s="1"/>
  <c r="G331" i="50"/>
  <c r="FA331" i="50" s="1"/>
  <c r="F331" i="50"/>
  <c r="X333" i="50"/>
  <c r="FH333" i="50" s="1"/>
  <c r="S333" i="50"/>
  <c r="FF333" i="50" s="1"/>
  <c r="G333" i="50"/>
  <c r="FA333" i="50" s="1"/>
  <c r="F333" i="50"/>
  <c r="X323" i="50"/>
  <c r="FH323" i="50" s="1"/>
  <c r="S323" i="50"/>
  <c r="FF323" i="50" s="1"/>
  <c r="G323" i="50"/>
  <c r="FA323" i="50" s="1"/>
  <c r="F323" i="50"/>
  <c r="X320" i="50"/>
  <c r="FH320" i="50" s="1"/>
  <c r="S320" i="50"/>
  <c r="FF320" i="50" s="1"/>
  <c r="G320" i="50"/>
  <c r="FA320" i="50" s="1"/>
  <c r="F320" i="50"/>
  <c r="X327" i="50"/>
  <c r="FH327" i="50" s="1"/>
  <c r="S327" i="50"/>
  <c r="FF327" i="50" s="1"/>
  <c r="G327" i="50"/>
  <c r="FA327" i="50" s="1"/>
  <c r="F327" i="50"/>
  <c r="X328" i="50"/>
  <c r="FH328" i="50" s="1"/>
  <c r="S328" i="50"/>
  <c r="FF328" i="50" s="1"/>
  <c r="G328" i="50"/>
  <c r="FA328" i="50" s="1"/>
  <c r="F328" i="50"/>
  <c r="X322" i="50"/>
  <c r="FH322" i="50" s="1"/>
  <c r="S322" i="50"/>
  <c r="FF322" i="50" s="1"/>
  <c r="G322" i="50"/>
  <c r="FA322" i="50" s="1"/>
  <c r="F322" i="50"/>
  <c r="X318" i="50"/>
  <c r="FH318" i="50" s="1"/>
  <c r="S318" i="50"/>
  <c r="FF318" i="50" s="1"/>
  <c r="G318" i="50"/>
  <c r="FA318" i="50" s="1"/>
  <c r="F318" i="50"/>
  <c r="X321" i="50"/>
  <c r="FH321" i="50" s="1"/>
  <c r="S321" i="50"/>
  <c r="FF321" i="50" s="1"/>
  <c r="G321" i="50"/>
  <c r="FA321" i="50" s="1"/>
  <c r="F321" i="50"/>
  <c r="X319" i="50"/>
  <c r="FH319" i="50" s="1"/>
  <c r="S319" i="50"/>
  <c r="FF319" i="50" s="1"/>
  <c r="G319" i="50"/>
  <c r="FA319" i="50" s="1"/>
  <c r="F319" i="50"/>
  <c r="X329" i="50"/>
  <c r="FH329" i="50" s="1"/>
  <c r="S329" i="50"/>
  <c r="FF329" i="50" s="1"/>
  <c r="G329" i="50"/>
  <c r="FA329" i="50" s="1"/>
  <c r="F329" i="50"/>
  <c r="X324" i="50"/>
  <c r="FH324" i="50" s="1"/>
  <c r="S324" i="50"/>
  <c r="FF324" i="50" s="1"/>
  <c r="G324" i="50"/>
  <c r="FA324" i="50" s="1"/>
  <c r="F324" i="50"/>
  <c r="X332" i="50"/>
  <c r="FH332" i="50" s="1"/>
  <c r="S332" i="50"/>
  <c r="FF332" i="50" s="1"/>
  <c r="G332" i="50"/>
  <c r="FA332" i="50" s="1"/>
  <c r="F332" i="50"/>
  <c r="X352" i="50"/>
  <c r="FH352" i="50" s="1"/>
  <c r="S352" i="50"/>
  <c r="FF352" i="50" s="1"/>
  <c r="G352" i="50"/>
  <c r="FA352" i="50" s="1"/>
  <c r="F352" i="50"/>
  <c r="X346" i="50"/>
  <c r="FH346" i="50" s="1"/>
  <c r="S346" i="50"/>
  <c r="FF346" i="50" s="1"/>
  <c r="G346" i="50"/>
  <c r="FA346" i="50" s="1"/>
  <c r="F346" i="50"/>
  <c r="X357" i="50"/>
  <c r="FH357" i="50" s="1"/>
  <c r="S357" i="50"/>
  <c r="FF357" i="50" s="1"/>
  <c r="G357" i="50"/>
  <c r="FA357" i="50" s="1"/>
  <c r="F357" i="50"/>
  <c r="X359" i="50"/>
  <c r="FH359" i="50" s="1"/>
  <c r="S359" i="50"/>
  <c r="FF359" i="50" s="1"/>
  <c r="G359" i="50"/>
  <c r="FA359" i="50" s="1"/>
  <c r="F359" i="50"/>
  <c r="X343" i="50"/>
  <c r="FH343" i="50" s="1"/>
  <c r="S343" i="50"/>
  <c r="FF343" i="50" s="1"/>
  <c r="G343" i="50"/>
  <c r="FA343" i="50" s="1"/>
  <c r="F343" i="50"/>
  <c r="X345" i="50"/>
  <c r="FH345" i="50" s="1"/>
  <c r="S345" i="50"/>
  <c r="FF345" i="50" s="1"/>
  <c r="G345" i="50"/>
  <c r="FA345" i="50" s="1"/>
  <c r="F345" i="50"/>
  <c r="X347" i="50"/>
  <c r="FH347" i="50" s="1"/>
  <c r="S347" i="50"/>
  <c r="FF347" i="50" s="1"/>
  <c r="G347" i="50"/>
  <c r="FA347" i="50" s="1"/>
  <c r="F347" i="50"/>
  <c r="X344" i="50"/>
  <c r="FH344" i="50" s="1"/>
  <c r="S344" i="50"/>
  <c r="FF344" i="50" s="1"/>
  <c r="G344" i="50"/>
  <c r="FA344" i="50" s="1"/>
  <c r="F344" i="50"/>
  <c r="X348" i="50"/>
  <c r="FH348" i="50" s="1"/>
  <c r="S348" i="50"/>
  <c r="FF348" i="50" s="1"/>
  <c r="G348" i="50"/>
  <c r="FA348" i="50" s="1"/>
  <c r="F348" i="50"/>
  <c r="X342" i="50"/>
  <c r="FH342" i="50" s="1"/>
  <c r="S342" i="50"/>
  <c r="FF342" i="50" s="1"/>
  <c r="G342" i="50"/>
  <c r="FA342" i="50" s="1"/>
  <c r="F342" i="50"/>
  <c r="X361" i="50"/>
  <c r="FH361" i="50" s="1"/>
  <c r="S361" i="50"/>
  <c r="FF361" i="50" s="1"/>
  <c r="G361" i="50"/>
  <c r="FA361" i="50" s="1"/>
  <c r="F361" i="50"/>
  <c r="X353" i="50"/>
  <c r="FH353" i="50" s="1"/>
  <c r="S353" i="50"/>
  <c r="FF353" i="50" s="1"/>
  <c r="G353" i="50"/>
  <c r="FA353" i="50" s="1"/>
  <c r="F353" i="50"/>
  <c r="X341" i="50"/>
  <c r="FH341" i="50" s="1"/>
  <c r="S341" i="50"/>
  <c r="FF341" i="50" s="1"/>
  <c r="G341" i="50"/>
  <c r="FA341" i="50" s="1"/>
  <c r="F341" i="50"/>
  <c r="X360" i="50"/>
  <c r="FH360" i="50" s="1"/>
  <c r="S360" i="50"/>
  <c r="FF360" i="50" s="1"/>
  <c r="G360" i="50"/>
  <c r="FA360" i="50" s="1"/>
  <c r="F360" i="50"/>
  <c r="X354" i="50"/>
  <c r="FH354" i="50" s="1"/>
  <c r="S354" i="50"/>
  <c r="FF354" i="50" s="1"/>
  <c r="G354" i="50"/>
  <c r="FA354" i="50" s="1"/>
  <c r="F354" i="50"/>
  <c r="X340" i="50"/>
  <c r="FH340" i="50" s="1"/>
  <c r="S340" i="50"/>
  <c r="FF340" i="50" s="1"/>
  <c r="G340" i="50"/>
  <c r="FA340" i="50" s="1"/>
  <c r="F340" i="50"/>
  <c r="X358" i="50"/>
  <c r="FH358" i="50" s="1"/>
  <c r="S358" i="50"/>
  <c r="FF358" i="50" s="1"/>
  <c r="G358" i="50"/>
  <c r="FA358" i="50" s="1"/>
  <c r="F358" i="50"/>
  <c r="Z1030" i="50"/>
  <c r="G1030" i="50"/>
  <c r="F1030" i="50"/>
  <c r="Z1014" i="50"/>
  <c r="G1014" i="50"/>
  <c r="F1014" i="50"/>
  <c r="Z678" i="50"/>
  <c r="FJ678" i="50" s="1"/>
  <c r="G678" i="50"/>
  <c r="FA678" i="50" s="1"/>
  <c r="F678" i="50"/>
  <c r="Z1026" i="50"/>
  <c r="G1026" i="50"/>
  <c r="F1026" i="50"/>
  <c r="Z1010" i="50"/>
  <c r="G1010" i="50"/>
  <c r="F1010" i="50"/>
  <c r="Z672" i="50"/>
  <c r="FJ672" i="50" s="1"/>
  <c r="G672" i="50"/>
  <c r="FA672" i="50" s="1"/>
  <c r="F672" i="50"/>
  <c r="Z1028" i="50"/>
  <c r="G1028" i="50"/>
  <c r="F1028" i="50"/>
  <c r="Z1012" i="50"/>
  <c r="G1012" i="50"/>
  <c r="F1012" i="50"/>
  <c r="Z668" i="50"/>
  <c r="FJ668" i="50" s="1"/>
  <c r="G668" i="50"/>
  <c r="FA668" i="50" s="1"/>
  <c r="F668" i="50"/>
  <c r="Z1029" i="50"/>
  <c r="G1029" i="50"/>
  <c r="F1029" i="50"/>
  <c r="Z1013" i="50"/>
  <c r="G1013" i="50"/>
  <c r="F1013" i="50"/>
  <c r="Z676" i="50"/>
  <c r="FJ676" i="50" s="1"/>
  <c r="G676" i="50"/>
  <c r="FA676" i="50" s="1"/>
  <c r="F676" i="50"/>
  <c r="Z1025" i="50"/>
  <c r="G1025" i="50"/>
  <c r="F1025" i="50"/>
  <c r="Z1009" i="50"/>
  <c r="G1009" i="50"/>
  <c r="F1009" i="50"/>
  <c r="Z670" i="50"/>
  <c r="FJ670" i="50" s="1"/>
  <c r="G670" i="50"/>
  <c r="FA670" i="50" s="1"/>
  <c r="F670" i="50"/>
  <c r="Z1027" i="50"/>
  <c r="G1027" i="50"/>
  <c r="F1027" i="50"/>
  <c r="Z1011" i="50"/>
  <c r="G1011" i="50"/>
  <c r="F1011" i="50"/>
  <c r="Z666" i="50"/>
  <c r="FJ666" i="50" s="1"/>
  <c r="G666" i="50"/>
  <c r="FA666" i="50" s="1"/>
  <c r="F666" i="50"/>
  <c r="Z769" i="50"/>
  <c r="G769" i="50"/>
  <c r="FA769" i="50" s="1"/>
  <c r="F769" i="50"/>
  <c r="Z771" i="50"/>
  <c r="G771" i="50"/>
  <c r="FA771" i="50" s="1"/>
  <c r="F771" i="50"/>
  <c r="Z773" i="50"/>
  <c r="G773" i="50"/>
  <c r="FA773" i="50" s="1"/>
  <c r="F773" i="50"/>
  <c r="Z767" i="50"/>
  <c r="G767" i="50"/>
  <c r="FA767" i="50" s="1"/>
  <c r="F767" i="50"/>
  <c r="Z677" i="50"/>
  <c r="G677" i="50"/>
  <c r="FA677" i="50" s="1"/>
  <c r="F677" i="50"/>
  <c r="Z671" i="50"/>
  <c r="G671" i="50"/>
  <c r="FA671" i="50" s="1"/>
  <c r="F671" i="50"/>
  <c r="Z667" i="50"/>
  <c r="G667" i="50"/>
  <c r="FA667" i="50" s="1"/>
  <c r="F667" i="50"/>
  <c r="Z674" i="50"/>
  <c r="G674" i="50"/>
  <c r="FA674" i="50" s="1"/>
  <c r="F674" i="50"/>
  <c r="Z768" i="50"/>
  <c r="G768" i="50"/>
  <c r="FA768" i="50" s="1"/>
  <c r="F768" i="50"/>
  <c r="Z770" i="50"/>
  <c r="G770" i="50"/>
  <c r="FA770" i="50" s="1"/>
  <c r="F770" i="50"/>
  <c r="Z772" i="50"/>
  <c r="G772" i="50"/>
  <c r="FA772" i="50" s="1"/>
  <c r="F772" i="50"/>
  <c r="Z766" i="50"/>
  <c r="G766" i="50"/>
  <c r="FA766" i="50" s="1"/>
  <c r="F766" i="50"/>
  <c r="Z675" i="50"/>
  <c r="G675" i="50"/>
  <c r="FA675" i="50" s="1"/>
  <c r="F675" i="50"/>
  <c r="Z669" i="50"/>
  <c r="G669" i="50"/>
  <c r="FA669" i="50" s="1"/>
  <c r="F669" i="50"/>
  <c r="Z665" i="50"/>
  <c r="G665" i="50"/>
  <c r="FA665" i="50" s="1"/>
  <c r="F665" i="50"/>
  <c r="Z673" i="50"/>
  <c r="G673" i="50"/>
  <c r="FA673" i="50" s="1"/>
  <c r="F673" i="50"/>
  <c r="Z277" i="50"/>
  <c r="G277" i="50"/>
  <c r="FA277" i="50" s="1"/>
  <c r="F277" i="50"/>
  <c r="G289" i="50"/>
  <c r="FA289" i="50" s="1"/>
  <c r="F289" i="50"/>
  <c r="G569" i="50"/>
  <c r="FA569" i="50" s="1"/>
  <c r="F569" i="50"/>
  <c r="G568" i="50"/>
  <c r="FA568" i="50" s="1"/>
  <c r="F568" i="50"/>
  <c r="G567" i="50"/>
  <c r="FA567" i="50" s="1"/>
  <c r="F567" i="50"/>
  <c r="G566" i="50"/>
  <c r="FA566" i="50" s="1"/>
  <c r="F566" i="50"/>
  <c r="G565" i="50"/>
  <c r="FA565" i="50" s="1"/>
  <c r="F565" i="50"/>
  <c r="G551" i="50"/>
  <c r="FA551" i="50" s="1"/>
  <c r="F551" i="50"/>
  <c r="G550" i="50"/>
  <c r="FA550" i="50" s="1"/>
  <c r="F550" i="50"/>
  <c r="G549" i="50"/>
  <c r="FA549" i="50" s="1"/>
  <c r="F549" i="50"/>
  <c r="G548" i="50"/>
  <c r="FA548" i="50" s="1"/>
  <c r="F548" i="50"/>
  <c r="G564" i="50"/>
  <c r="FA564" i="50" s="1"/>
  <c r="F564" i="50"/>
  <c r="G563" i="50"/>
  <c r="FA563" i="50" s="1"/>
  <c r="F563" i="50"/>
  <c r="G547" i="50"/>
  <c r="FA547" i="50" s="1"/>
  <c r="F547" i="50"/>
  <c r="G546" i="50"/>
  <c r="FA546" i="50" s="1"/>
  <c r="F546" i="50"/>
  <c r="G561" i="50"/>
  <c r="FA561" i="50" s="1"/>
  <c r="F561" i="50"/>
  <c r="G545" i="50"/>
  <c r="FA545" i="50" s="1"/>
  <c r="F545" i="50"/>
  <c r="G544" i="50"/>
  <c r="FA544" i="50" s="1"/>
  <c r="F544" i="50"/>
  <c r="G543" i="50"/>
  <c r="FA543" i="50" s="1"/>
  <c r="F543" i="50"/>
  <c r="G542" i="50"/>
  <c r="FA542" i="50" s="1"/>
  <c r="F542" i="50"/>
  <c r="G560" i="50"/>
  <c r="FA560" i="50" s="1"/>
  <c r="F560" i="50"/>
  <c r="G541" i="50"/>
  <c r="FA541" i="50" s="1"/>
  <c r="F541" i="50"/>
  <c r="G579" i="50"/>
  <c r="FA579" i="50" s="1"/>
  <c r="F579" i="50"/>
  <c r="G559" i="50"/>
  <c r="FA559" i="50" s="1"/>
  <c r="F559" i="50"/>
  <c r="G558" i="50"/>
  <c r="FA558" i="50" s="1"/>
  <c r="F558" i="50"/>
  <c r="G557" i="50"/>
  <c r="FA557" i="50" s="1"/>
  <c r="F557" i="50"/>
  <c r="G556" i="50"/>
  <c r="FA556" i="50" s="1"/>
  <c r="F556" i="50"/>
  <c r="G578" i="50"/>
  <c r="FA578" i="50" s="1"/>
  <c r="F578" i="50"/>
  <c r="G555" i="50"/>
  <c r="FA555" i="50" s="1"/>
  <c r="F555" i="50"/>
  <c r="G577" i="50"/>
  <c r="FA577" i="50" s="1"/>
  <c r="F577" i="50"/>
  <c r="G576" i="50"/>
  <c r="FA576" i="50" s="1"/>
  <c r="F576" i="50"/>
  <c r="G575" i="50"/>
  <c r="FA575" i="50" s="1"/>
  <c r="F575" i="50"/>
  <c r="G574" i="50"/>
  <c r="FA574" i="50" s="1"/>
  <c r="F574" i="50"/>
  <c r="G554" i="50"/>
  <c r="FA554" i="50" s="1"/>
  <c r="F554" i="50"/>
  <c r="G572" i="50"/>
  <c r="FA572" i="50" s="1"/>
  <c r="F572" i="50"/>
  <c r="G571" i="50"/>
  <c r="FA571" i="50" s="1"/>
  <c r="F571" i="50"/>
  <c r="G553" i="50"/>
  <c r="FA553" i="50" s="1"/>
  <c r="F553" i="50"/>
  <c r="G570" i="50"/>
  <c r="FA570" i="50" s="1"/>
  <c r="F570" i="50"/>
  <c r="G552" i="50"/>
  <c r="FA552" i="50" s="1"/>
  <c r="F552" i="50"/>
  <c r="G562" i="50"/>
  <c r="FA562" i="50" s="1"/>
  <c r="F562" i="50"/>
  <c r="G573" i="50"/>
  <c r="FA573" i="50" s="1"/>
  <c r="F573" i="50"/>
  <c r="G410" i="50"/>
  <c r="FA410" i="50" s="1"/>
  <c r="F410" i="50"/>
  <c r="G412" i="50"/>
  <c r="FA412" i="50" s="1"/>
  <c r="F412" i="50"/>
  <c r="G411" i="50"/>
  <c r="FA411" i="50" s="1"/>
  <c r="F411" i="50"/>
  <c r="G406" i="50"/>
  <c r="FA406" i="50" s="1"/>
  <c r="F406" i="50"/>
  <c r="G404" i="50"/>
  <c r="FA404" i="50" s="1"/>
  <c r="F404" i="50"/>
  <c r="G402" i="50"/>
  <c r="FA402" i="50" s="1"/>
  <c r="F402" i="50"/>
  <c r="G403" i="50"/>
  <c r="FA403" i="50" s="1"/>
  <c r="F403" i="50"/>
  <c r="G401" i="50"/>
  <c r="FA401" i="50" s="1"/>
  <c r="F401" i="50"/>
  <c r="G405" i="50"/>
  <c r="FA405" i="50" s="1"/>
  <c r="F405" i="50"/>
  <c r="G407" i="50"/>
  <c r="FA407" i="50" s="1"/>
  <c r="F407" i="50"/>
  <c r="G400" i="50"/>
  <c r="FA400" i="50" s="1"/>
  <c r="F400" i="50"/>
  <c r="G409" i="50"/>
  <c r="FA409" i="50" s="1"/>
  <c r="F409" i="50"/>
  <c r="G408" i="50"/>
  <c r="FA408" i="50" s="1"/>
  <c r="F408" i="50"/>
  <c r="G398" i="50"/>
  <c r="FA398" i="50" s="1"/>
  <c r="F398" i="50"/>
  <c r="G399" i="50"/>
  <c r="FA399" i="50" s="1"/>
  <c r="F399" i="50"/>
  <c r="G395" i="50"/>
  <c r="FA395" i="50" s="1"/>
  <c r="F395" i="50"/>
  <c r="G394" i="50"/>
  <c r="FA394" i="50" s="1"/>
  <c r="F394" i="50"/>
  <c r="G396" i="50"/>
  <c r="FA396" i="50" s="1"/>
  <c r="F396" i="50"/>
  <c r="G397" i="50"/>
  <c r="FA397" i="50" s="1"/>
  <c r="F397" i="50"/>
  <c r="W280" i="50"/>
  <c r="G280" i="50"/>
  <c r="FA280" i="50" s="1"/>
  <c r="F280" i="50"/>
  <c r="W295" i="50"/>
  <c r="S295" i="50"/>
  <c r="FF295" i="50" s="1"/>
  <c r="I295" i="50"/>
  <c r="G295" i="50"/>
  <c r="FA295" i="50" s="1"/>
  <c r="F295" i="50"/>
  <c r="W294" i="50"/>
  <c r="S294" i="50"/>
  <c r="FF294" i="50" s="1"/>
  <c r="I294" i="50"/>
  <c r="G294" i="50"/>
  <c r="FA294" i="50" s="1"/>
  <c r="F294" i="50"/>
  <c r="W296" i="50"/>
  <c r="S296" i="50"/>
  <c r="FF296" i="50" s="1"/>
  <c r="G296" i="50"/>
  <c r="FA296" i="50" s="1"/>
  <c r="F296" i="50"/>
  <c r="W293" i="50"/>
  <c r="S293" i="50"/>
  <c r="FF293" i="50" s="1"/>
  <c r="G293" i="50"/>
  <c r="FA293" i="50" s="1"/>
  <c r="F293" i="50"/>
  <c r="W292" i="50"/>
  <c r="S292" i="50"/>
  <c r="FF292" i="50" s="1"/>
  <c r="I292" i="50"/>
  <c r="G292" i="50"/>
  <c r="FA292" i="50" s="1"/>
  <c r="F292" i="50"/>
  <c r="W291" i="50"/>
  <c r="S291" i="50"/>
  <c r="FF291" i="50" s="1"/>
  <c r="G291" i="50"/>
  <c r="FA291" i="50" s="1"/>
  <c r="F291" i="50"/>
  <c r="W290" i="50"/>
  <c r="S290" i="50"/>
  <c r="FF290" i="50" s="1"/>
  <c r="G290" i="50"/>
  <c r="FA290" i="50" s="1"/>
  <c r="F290" i="50"/>
  <c r="W297" i="50"/>
  <c r="S297" i="50"/>
  <c r="FF297" i="50" s="1"/>
  <c r="G297" i="50"/>
  <c r="FA297" i="50" s="1"/>
  <c r="F297" i="50"/>
  <c r="W262" i="50"/>
  <c r="G262" i="50"/>
  <c r="FA262" i="50" s="1"/>
  <c r="F262" i="50"/>
  <c r="W261" i="50"/>
  <c r="G261" i="50"/>
  <c r="FA261" i="50" s="1"/>
  <c r="F261" i="50"/>
  <c r="W260" i="50"/>
  <c r="G260" i="50"/>
  <c r="FA260" i="50" s="1"/>
  <c r="F260" i="50"/>
  <c r="W259" i="50"/>
  <c r="G259" i="50"/>
  <c r="FA259" i="50" s="1"/>
  <c r="F259" i="50"/>
  <c r="W258" i="50"/>
  <c r="G258" i="50"/>
  <c r="FA258" i="50" s="1"/>
  <c r="F258" i="50"/>
  <c r="W257" i="50"/>
  <c r="G257" i="50"/>
  <c r="FA257" i="50" s="1"/>
  <c r="F257" i="50"/>
  <c r="W256" i="50"/>
  <c r="G256" i="50"/>
  <c r="FA256" i="50" s="1"/>
  <c r="F256" i="50"/>
  <c r="W270" i="50"/>
  <c r="G270" i="50"/>
  <c r="FA270" i="50" s="1"/>
  <c r="F270" i="50"/>
  <c r="W255" i="50"/>
  <c r="G255" i="50"/>
  <c r="FA255" i="50" s="1"/>
  <c r="F255" i="50"/>
  <c r="W254" i="50"/>
  <c r="G254" i="50"/>
  <c r="FA254" i="50" s="1"/>
  <c r="F254" i="50"/>
  <c r="W274" i="50"/>
  <c r="G274" i="50"/>
  <c r="FA274" i="50" s="1"/>
  <c r="F274" i="50"/>
  <c r="W273" i="50"/>
  <c r="G273" i="50"/>
  <c r="FA273" i="50" s="1"/>
  <c r="F273" i="50"/>
  <c r="W272" i="50"/>
  <c r="G272" i="50"/>
  <c r="FA272" i="50" s="1"/>
  <c r="F272" i="50"/>
  <c r="W271" i="50"/>
  <c r="G271" i="50"/>
  <c r="FA271" i="50" s="1"/>
  <c r="F271" i="50"/>
  <c r="W298" i="50"/>
  <c r="P298" i="50"/>
  <c r="FD298" i="50" s="1"/>
  <c r="G298" i="50"/>
  <c r="FA298" i="50" s="1"/>
  <c r="F298" i="50"/>
  <c r="W268" i="50"/>
  <c r="G268" i="50"/>
  <c r="FA268" i="50" s="1"/>
  <c r="F268" i="50"/>
  <c r="W264" i="50"/>
  <c r="G264" i="50"/>
  <c r="FA264" i="50" s="1"/>
  <c r="F264" i="50"/>
  <c r="W267" i="50"/>
  <c r="G267" i="50"/>
  <c r="FA267" i="50" s="1"/>
  <c r="F267" i="50"/>
  <c r="W263" i="50"/>
  <c r="G263" i="50"/>
  <c r="FA263" i="50" s="1"/>
  <c r="F263" i="50"/>
  <c r="W266" i="50"/>
  <c r="G266" i="50"/>
  <c r="FA266" i="50" s="1"/>
  <c r="F266" i="50"/>
  <c r="W265" i="50"/>
  <c r="G265" i="50"/>
  <c r="FA265" i="50" s="1"/>
  <c r="F265" i="50"/>
  <c r="W269" i="50"/>
  <c r="G269" i="50"/>
  <c r="FA269" i="50" s="1"/>
  <c r="F269" i="50"/>
  <c r="W278" i="50"/>
  <c r="G278" i="50"/>
  <c r="FA278" i="50" s="1"/>
  <c r="F278" i="50"/>
  <c r="W243" i="50"/>
  <c r="P243" i="50"/>
  <c r="FD243" i="50" s="1"/>
  <c r="G243" i="50"/>
  <c r="FA243" i="50" s="1"/>
  <c r="F243" i="50"/>
  <c r="W279" i="50"/>
  <c r="G279" i="50"/>
  <c r="FA279" i="50" s="1"/>
  <c r="F279" i="50"/>
  <c r="W106" i="50"/>
  <c r="G106" i="50"/>
  <c r="FA106" i="50" s="1"/>
  <c r="F106" i="50"/>
  <c r="W105" i="50"/>
  <c r="G105" i="50"/>
  <c r="FA105" i="50" s="1"/>
  <c r="F105" i="50"/>
  <c r="W103" i="50"/>
  <c r="G103" i="50"/>
  <c r="FA103" i="50" s="1"/>
  <c r="F103" i="50"/>
  <c r="W102" i="50"/>
  <c r="G102" i="50"/>
  <c r="FA102" i="50" s="1"/>
  <c r="F102" i="50"/>
  <c r="W113" i="50"/>
  <c r="G113" i="50"/>
  <c r="FA113" i="50" s="1"/>
  <c r="F113" i="50"/>
  <c r="W112" i="50"/>
  <c r="G112" i="50"/>
  <c r="FA112" i="50" s="1"/>
  <c r="F112" i="50"/>
  <c r="W111" i="50"/>
  <c r="G111" i="50"/>
  <c r="FA111" i="50" s="1"/>
  <c r="F111" i="50"/>
  <c r="W110" i="50"/>
  <c r="G110" i="50"/>
  <c r="FA110" i="50" s="1"/>
  <c r="F110" i="50"/>
  <c r="W109" i="50"/>
  <c r="G109" i="50"/>
  <c r="FA109" i="50" s="1"/>
  <c r="F109" i="50"/>
  <c r="W108" i="50"/>
  <c r="G108" i="50"/>
  <c r="FA108" i="50" s="1"/>
  <c r="F108" i="50"/>
  <c r="W107" i="50"/>
  <c r="G107" i="50"/>
  <c r="FA107" i="50" s="1"/>
  <c r="F107" i="50"/>
  <c r="W104" i="50"/>
  <c r="G104" i="50"/>
  <c r="FA104" i="50" s="1"/>
  <c r="F104" i="50"/>
  <c r="W114" i="50"/>
  <c r="G114" i="50"/>
  <c r="FA114" i="50" s="1"/>
  <c r="F114" i="50"/>
  <c r="W115" i="50"/>
  <c r="G115" i="50"/>
  <c r="FA115" i="50" s="1"/>
  <c r="F115" i="50"/>
  <c r="W101" i="50"/>
  <c r="G101" i="50"/>
  <c r="FA101" i="50" s="1"/>
  <c r="F101" i="50"/>
  <c r="W601" i="50"/>
  <c r="P601" i="50"/>
  <c r="FD601" i="50" s="1"/>
  <c r="G601" i="50"/>
  <c r="FA601" i="50" s="1"/>
  <c r="F601" i="50"/>
  <c r="W534" i="50"/>
  <c r="G534" i="50"/>
  <c r="FA534" i="50" s="1"/>
  <c r="F534" i="50"/>
  <c r="W597" i="50"/>
  <c r="P597" i="50"/>
  <c r="FD597" i="50" s="1"/>
  <c r="G597" i="50"/>
  <c r="FA597" i="50" s="1"/>
  <c r="F597" i="50"/>
  <c r="W599" i="50"/>
  <c r="P599" i="50"/>
  <c r="FD599" i="50" s="1"/>
  <c r="G599" i="50"/>
  <c r="FA599" i="50" s="1"/>
  <c r="F599" i="50"/>
  <c r="W521" i="50"/>
  <c r="G521" i="50"/>
  <c r="FA521" i="50" s="1"/>
  <c r="F521" i="50"/>
  <c r="W530" i="50"/>
  <c r="G530" i="50"/>
  <c r="FA530" i="50" s="1"/>
  <c r="F530" i="50"/>
  <c r="W529" i="50"/>
  <c r="G529" i="50"/>
  <c r="FA529" i="50" s="1"/>
  <c r="F529" i="50"/>
  <c r="W520" i="50"/>
  <c r="G520" i="50"/>
  <c r="FA520" i="50" s="1"/>
  <c r="F520" i="50"/>
  <c r="W600" i="50"/>
  <c r="P600" i="50"/>
  <c r="FD600" i="50" s="1"/>
  <c r="G600" i="50"/>
  <c r="FA600" i="50" s="1"/>
  <c r="F600" i="50"/>
  <c r="W596" i="50"/>
  <c r="P596" i="50"/>
  <c r="FD596" i="50" s="1"/>
  <c r="G596" i="50"/>
  <c r="FA596" i="50" s="1"/>
  <c r="F596" i="50"/>
  <c r="W531" i="50"/>
  <c r="G531" i="50"/>
  <c r="FA531" i="50" s="1"/>
  <c r="F531" i="50"/>
  <c r="W518" i="50"/>
  <c r="G518" i="50"/>
  <c r="FA518" i="50" s="1"/>
  <c r="F518" i="50"/>
  <c r="W595" i="50"/>
  <c r="P595" i="50"/>
  <c r="FD595" i="50" s="1"/>
  <c r="G595" i="50"/>
  <c r="FA595" i="50" s="1"/>
  <c r="F595" i="50"/>
  <c r="W587" i="50"/>
  <c r="P587" i="50"/>
  <c r="FD587" i="50" s="1"/>
  <c r="G587" i="50"/>
  <c r="FA587" i="50" s="1"/>
  <c r="F587" i="50"/>
  <c r="W532" i="50"/>
  <c r="G532" i="50"/>
  <c r="FA532" i="50" s="1"/>
  <c r="F532" i="50"/>
  <c r="W527" i="50"/>
  <c r="G527" i="50"/>
  <c r="FA527" i="50" s="1"/>
  <c r="F527" i="50"/>
  <c r="W594" i="50"/>
  <c r="P594" i="50"/>
  <c r="FD594" i="50" s="1"/>
  <c r="G594" i="50"/>
  <c r="FA594" i="50" s="1"/>
  <c r="F594" i="50"/>
  <c r="W588" i="50"/>
  <c r="P588" i="50"/>
  <c r="FD588" i="50" s="1"/>
  <c r="G588" i="50"/>
  <c r="FA588" i="50" s="1"/>
  <c r="F588" i="50"/>
  <c r="W426" i="50"/>
  <c r="P426" i="50"/>
  <c r="FD426" i="50" s="1"/>
  <c r="G426" i="50"/>
  <c r="FA426" i="50" s="1"/>
  <c r="F426" i="50"/>
  <c r="W540" i="50"/>
  <c r="G540" i="50"/>
  <c r="FA540" i="50" s="1"/>
  <c r="F540" i="50"/>
  <c r="W590" i="50"/>
  <c r="P590" i="50"/>
  <c r="FD590" i="50" s="1"/>
  <c r="G590" i="50"/>
  <c r="FA590" i="50" s="1"/>
  <c r="F590" i="50"/>
  <c r="W586" i="50"/>
  <c r="P586" i="50"/>
  <c r="FD586" i="50" s="1"/>
  <c r="G586" i="50"/>
  <c r="FA586" i="50" s="1"/>
  <c r="F586" i="50"/>
  <c r="W516" i="50"/>
  <c r="G516" i="50"/>
  <c r="FA516" i="50" s="1"/>
  <c r="F516" i="50"/>
  <c r="W515" i="50"/>
  <c r="G515" i="50"/>
  <c r="FA515" i="50" s="1"/>
  <c r="F515" i="50"/>
  <c r="W593" i="50"/>
  <c r="P593" i="50"/>
  <c r="FD593" i="50" s="1"/>
  <c r="G593" i="50"/>
  <c r="FA593" i="50" s="1"/>
  <c r="F593" i="50"/>
  <c r="W592" i="50"/>
  <c r="P592" i="50"/>
  <c r="FD592" i="50" s="1"/>
  <c r="G592" i="50"/>
  <c r="FA592" i="50" s="1"/>
  <c r="F592" i="50"/>
  <c r="W538" i="50"/>
  <c r="G538" i="50"/>
  <c r="FA538" i="50" s="1"/>
  <c r="F538" i="50"/>
  <c r="W514" i="50"/>
  <c r="G514" i="50"/>
  <c r="FA514" i="50" s="1"/>
  <c r="F514" i="50"/>
  <c r="W591" i="50"/>
  <c r="P591" i="50"/>
  <c r="FD591" i="50" s="1"/>
  <c r="G591" i="50"/>
  <c r="FA591" i="50" s="1"/>
  <c r="F591" i="50"/>
  <c r="W585" i="50"/>
  <c r="P585" i="50"/>
  <c r="FD585" i="50" s="1"/>
  <c r="G585" i="50"/>
  <c r="FA585" i="50" s="1"/>
  <c r="F585" i="50"/>
  <c r="W528" i="50"/>
  <c r="G528" i="50"/>
  <c r="FA528" i="50" s="1"/>
  <c r="F528" i="50"/>
  <c r="W517" i="50"/>
  <c r="G517" i="50"/>
  <c r="FA517" i="50" s="1"/>
  <c r="F517" i="50"/>
  <c r="W513" i="50"/>
  <c r="G513" i="50"/>
  <c r="FA513" i="50" s="1"/>
  <c r="F513" i="50"/>
  <c r="W583" i="50"/>
  <c r="P583" i="50"/>
  <c r="FD583" i="50" s="1"/>
  <c r="G583" i="50"/>
  <c r="FA583" i="50" s="1"/>
  <c r="F583" i="50"/>
  <c r="W526" i="50"/>
  <c r="G526" i="50"/>
  <c r="FA526" i="50" s="1"/>
  <c r="F526" i="50"/>
  <c r="W511" i="50"/>
  <c r="G511" i="50"/>
  <c r="FA511" i="50" s="1"/>
  <c r="F511" i="50"/>
  <c r="W430" i="50"/>
  <c r="P430" i="50"/>
  <c r="FD430" i="50" s="1"/>
  <c r="G430" i="50"/>
  <c r="FA430" i="50" s="1"/>
  <c r="F430" i="50"/>
  <c r="W510" i="50"/>
  <c r="G510" i="50"/>
  <c r="FA510" i="50" s="1"/>
  <c r="F510" i="50"/>
  <c r="W584" i="50"/>
  <c r="P584" i="50"/>
  <c r="FD584" i="50" s="1"/>
  <c r="G584" i="50"/>
  <c r="FA584" i="50" s="1"/>
  <c r="F584" i="50"/>
  <c r="W581" i="50"/>
  <c r="P581" i="50"/>
  <c r="FD581" i="50" s="1"/>
  <c r="G581" i="50"/>
  <c r="FA581" i="50" s="1"/>
  <c r="F581" i="50"/>
  <c r="W618" i="50"/>
  <c r="P618" i="50"/>
  <c r="FD618" i="50" s="1"/>
  <c r="G618" i="50"/>
  <c r="FA618" i="50" s="1"/>
  <c r="F618" i="50"/>
  <c r="W512" i="50"/>
  <c r="G512" i="50"/>
  <c r="FA512" i="50" s="1"/>
  <c r="F512" i="50"/>
  <c r="W619" i="50"/>
  <c r="P619" i="50"/>
  <c r="FD619" i="50" s="1"/>
  <c r="G619" i="50"/>
  <c r="FA619" i="50" s="1"/>
  <c r="F619" i="50"/>
  <c r="W617" i="50"/>
  <c r="P617" i="50"/>
  <c r="FD617" i="50" s="1"/>
  <c r="G617" i="50"/>
  <c r="FA617" i="50" s="1"/>
  <c r="F617" i="50"/>
  <c r="W582" i="50"/>
  <c r="P582" i="50"/>
  <c r="FD582" i="50" s="1"/>
  <c r="G582" i="50"/>
  <c r="FA582" i="50" s="1"/>
  <c r="F582" i="50"/>
  <c r="W616" i="50"/>
  <c r="P616" i="50"/>
  <c r="FD616" i="50" s="1"/>
  <c r="G616" i="50"/>
  <c r="FA616" i="50" s="1"/>
  <c r="F616" i="50"/>
  <c r="W615" i="50"/>
  <c r="P615" i="50"/>
  <c r="FD615" i="50" s="1"/>
  <c r="G615" i="50"/>
  <c r="FA615" i="50" s="1"/>
  <c r="F615" i="50"/>
  <c r="W535" i="50"/>
  <c r="G535" i="50"/>
  <c r="FA535" i="50" s="1"/>
  <c r="F535" i="50"/>
  <c r="W525" i="50"/>
  <c r="G525" i="50"/>
  <c r="FA525" i="50" s="1"/>
  <c r="F525" i="50"/>
  <c r="W614" i="50"/>
  <c r="P614" i="50"/>
  <c r="FD614" i="50" s="1"/>
  <c r="G614" i="50"/>
  <c r="FA614" i="50" s="1"/>
  <c r="F614" i="50"/>
  <c r="W613" i="50"/>
  <c r="P613" i="50"/>
  <c r="FD613" i="50" s="1"/>
  <c r="G613" i="50"/>
  <c r="FA613" i="50" s="1"/>
  <c r="F613" i="50"/>
  <c r="W610" i="50"/>
  <c r="P610" i="50"/>
  <c r="FD610" i="50" s="1"/>
  <c r="G610" i="50"/>
  <c r="FA610" i="50" s="1"/>
  <c r="F610" i="50"/>
  <c r="W612" i="50"/>
  <c r="P612" i="50"/>
  <c r="FD612" i="50" s="1"/>
  <c r="G612" i="50"/>
  <c r="FA612" i="50" s="1"/>
  <c r="F612" i="50"/>
  <c r="W609" i="50"/>
  <c r="P609" i="50"/>
  <c r="FD609" i="50" s="1"/>
  <c r="G609" i="50"/>
  <c r="FA609" i="50" s="1"/>
  <c r="F609" i="50"/>
  <c r="W429" i="50"/>
  <c r="P429" i="50"/>
  <c r="FD429" i="50" s="1"/>
  <c r="G429" i="50"/>
  <c r="FA429" i="50" s="1"/>
  <c r="F429" i="50"/>
  <c r="W537" i="50"/>
  <c r="G537" i="50"/>
  <c r="FA537" i="50" s="1"/>
  <c r="F537" i="50"/>
  <c r="W536" i="50"/>
  <c r="G536" i="50"/>
  <c r="FA536" i="50" s="1"/>
  <c r="F536" i="50"/>
  <c r="W524" i="50"/>
  <c r="G524" i="50"/>
  <c r="FA524" i="50" s="1"/>
  <c r="F524" i="50"/>
  <c r="W523" i="50"/>
  <c r="G523" i="50"/>
  <c r="FA523" i="50" s="1"/>
  <c r="F523" i="50"/>
  <c r="W611" i="50"/>
  <c r="P611" i="50"/>
  <c r="FD611" i="50" s="1"/>
  <c r="G611" i="50"/>
  <c r="FA611" i="50" s="1"/>
  <c r="F611" i="50"/>
  <c r="W608" i="50"/>
  <c r="P608" i="50"/>
  <c r="FD608" i="50" s="1"/>
  <c r="G608" i="50"/>
  <c r="FA608" i="50" s="1"/>
  <c r="F608" i="50"/>
  <c r="W522" i="50"/>
  <c r="G522" i="50"/>
  <c r="FA522" i="50" s="1"/>
  <c r="F522" i="50"/>
  <c r="W603" i="50"/>
  <c r="P603" i="50"/>
  <c r="FD603" i="50" s="1"/>
  <c r="G603" i="50"/>
  <c r="FA603" i="50" s="1"/>
  <c r="F603" i="50"/>
  <c r="W428" i="50"/>
  <c r="P428" i="50"/>
  <c r="FD428" i="50" s="1"/>
  <c r="G428" i="50"/>
  <c r="FA428" i="50" s="1"/>
  <c r="F428" i="50"/>
  <c r="W606" i="50"/>
  <c r="P606" i="50"/>
  <c r="FD606" i="50" s="1"/>
  <c r="G606" i="50"/>
  <c r="FA606" i="50" s="1"/>
  <c r="F606" i="50"/>
  <c r="W604" i="50"/>
  <c r="P604" i="50"/>
  <c r="FD604" i="50" s="1"/>
  <c r="G604" i="50"/>
  <c r="FA604" i="50" s="1"/>
  <c r="F604" i="50"/>
  <c r="W605" i="50"/>
  <c r="P605" i="50"/>
  <c r="FD605" i="50" s="1"/>
  <c r="G605" i="50"/>
  <c r="FA605" i="50" s="1"/>
  <c r="F605" i="50"/>
  <c r="W602" i="50"/>
  <c r="P602" i="50"/>
  <c r="FD602" i="50" s="1"/>
  <c r="G602" i="50"/>
  <c r="FA602" i="50" s="1"/>
  <c r="F602" i="50"/>
  <c r="W427" i="50"/>
  <c r="P427" i="50"/>
  <c r="FD427" i="50" s="1"/>
  <c r="G427" i="50"/>
  <c r="FA427" i="50" s="1"/>
  <c r="F427" i="50"/>
  <c r="W589" i="50"/>
  <c r="P589" i="50"/>
  <c r="FD589" i="50" s="1"/>
  <c r="G589" i="50"/>
  <c r="FA589" i="50" s="1"/>
  <c r="F589" i="50"/>
  <c r="W519" i="50"/>
  <c r="G519" i="50"/>
  <c r="FA519" i="50" s="1"/>
  <c r="F519" i="50"/>
  <c r="W598" i="50"/>
  <c r="P598" i="50"/>
  <c r="FD598" i="50" s="1"/>
  <c r="G598" i="50"/>
  <c r="FA598" i="50" s="1"/>
  <c r="F598" i="50"/>
  <c r="W533" i="50"/>
  <c r="G533" i="50"/>
  <c r="FA533" i="50" s="1"/>
  <c r="F533" i="50"/>
  <c r="W539" i="50"/>
  <c r="G539" i="50"/>
  <c r="FA539" i="50" s="1"/>
  <c r="F539" i="50"/>
  <c r="W580" i="50"/>
  <c r="P580" i="50"/>
  <c r="FD580" i="50" s="1"/>
  <c r="G580" i="50"/>
  <c r="FA580" i="50" s="1"/>
  <c r="F580" i="50"/>
  <c r="W607" i="50"/>
  <c r="P607" i="50"/>
  <c r="FD607" i="50" s="1"/>
  <c r="G607" i="50"/>
  <c r="FA607" i="50" s="1"/>
  <c r="F607" i="50"/>
  <c r="W388" i="50"/>
  <c r="G388" i="50"/>
  <c r="FA388" i="50" s="1"/>
  <c r="F388" i="50"/>
  <c r="W386" i="50"/>
  <c r="G386" i="50"/>
  <c r="FA386" i="50" s="1"/>
  <c r="F386" i="50"/>
  <c r="W387" i="50"/>
  <c r="G387" i="50"/>
  <c r="FA387" i="50" s="1"/>
  <c r="F387" i="50"/>
  <c r="W393" i="50"/>
  <c r="G393" i="50"/>
  <c r="FA393" i="50" s="1"/>
  <c r="F393" i="50"/>
  <c r="W390" i="50"/>
  <c r="G390" i="50"/>
  <c r="FA390" i="50" s="1"/>
  <c r="F390" i="50"/>
  <c r="W391" i="50"/>
  <c r="G391" i="50"/>
  <c r="FA391" i="50" s="1"/>
  <c r="F391" i="50"/>
  <c r="W389" i="50"/>
  <c r="G389" i="50"/>
  <c r="FA389" i="50" s="1"/>
  <c r="F389" i="50"/>
  <c r="W392" i="50"/>
  <c r="G392" i="50"/>
  <c r="FA392" i="50" s="1"/>
  <c r="F392" i="50"/>
  <c r="W418" i="50"/>
  <c r="P418" i="50"/>
  <c r="FD418" i="50" s="1"/>
  <c r="G418" i="50"/>
  <c r="FA418" i="50" s="1"/>
  <c r="F418" i="50"/>
  <c r="W417" i="50"/>
  <c r="P417" i="50"/>
  <c r="FD417" i="50" s="1"/>
  <c r="G417" i="50"/>
  <c r="FA417" i="50" s="1"/>
  <c r="F417" i="50"/>
  <c r="W416" i="50"/>
  <c r="P416" i="50"/>
  <c r="FD416" i="50" s="1"/>
  <c r="G416" i="50"/>
  <c r="FA416" i="50" s="1"/>
  <c r="F416" i="50"/>
  <c r="W419" i="50"/>
  <c r="P419" i="50"/>
  <c r="FD419" i="50" s="1"/>
  <c r="G419" i="50"/>
  <c r="FA419" i="50" s="1"/>
  <c r="F419" i="50"/>
  <c r="W424" i="50"/>
  <c r="P424" i="50"/>
  <c r="FD424" i="50" s="1"/>
  <c r="G424" i="50"/>
  <c r="FA424" i="50" s="1"/>
  <c r="F424" i="50"/>
  <c r="W420" i="50"/>
  <c r="P420" i="50"/>
  <c r="FD420" i="50" s="1"/>
  <c r="G420" i="50"/>
  <c r="FA420" i="50" s="1"/>
  <c r="F420" i="50"/>
  <c r="W415" i="50"/>
  <c r="P415" i="50"/>
  <c r="FD415" i="50" s="1"/>
  <c r="G415" i="50"/>
  <c r="FA415" i="50" s="1"/>
  <c r="F415" i="50"/>
  <c r="W423" i="50"/>
  <c r="P423" i="50"/>
  <c r="FD423" i="50" s="1"/>
  <c r="G423" i="50"/>
  <c r="FA423" i="50" s="1"/>
  <c r="F423" i="50"/>
  <c r="W421" i="50"/>
  <c r="P421" i="50"/>
  <c r="FD421" i="50" s="1"/>
  <c r="G421" i="50"/>
  <c r="FA421" i="50" s="1"/>
  <c r="F421" i="50"/>
  <c r="W413" i="50"/>
  <c r="P413" i="50"/>
  <c r="FD413" i="50" s="1"/>
  <c r="G413" i="50"/>
  <c r="FA413" i="50" s="1"/>
  <c r="F413" i="50"/>
  <c r="W414" i="50"/>
  <c r="P414" i="50"/>
  <c r="FD414" i="50" s="1"/>
  <c r="G414" i="50"/>
  <c r="FA414" i="50" s="1"/>
  <c r="F414" i="50"/>
  <c r="W422" i="50"/>
  <c r="P422" i="50"/>
  <c r="FD422" i="50" s="1"/>
  <c r="G422" i="50"/>
  <c r="FA422" i="50" s="1"/>
  <c r="F422" i="50"/>
  <c r="W376" i="50"/>
  <c r="G376" i="50"/>
  <c r="FA376" i="50" s="1"/>
  <c r="F376" i="50"/>
  <c r="W373" i="50"/>
  <c r="G373" i="50"/>
  <c r="FA373" i="50" s="1"/>
  <c r="F373" i="50"/>
  <c r="W375" i="50"/>
  <c r="G375" i="50"/>
  <c r="FA375" i="50" s="1"/>
  <c r="F375" i="50"/>
  <c r="W374" i="50"/>
  <c r="G374" i="50"/>
  <c r="FA374" i="50" s="1"/>
  <c r="F374" i="50"/>
  <c r="W381" i="50"/>
  <c r="G381" i="50"/>
  <c r="FA381" i="50" s="1"/>
  <c r="F381" i="50"/>
  <c r="W380" i="50"/>
  <c r="G380" i="50"/>
  <c r="FA380" i="50" s="1"/>
  <c r="F380" i="50"/>
  <c r="W379" i="50"/>
  <c r="G379" i="50"/>
  <c r="FA379" i="50" s="1"/>
  <c r="F379" i="50"/>
  <c r="W378" i="50"/>
  <c r="G378" i="50"/>
  <c r="FA378" i="50" s="1"/>
  <c r="F378" i="50"/>
  <c r="W382" i="50"/>
  <c r="G382" i="50"/>
  <c r="FA382" i="50" s="1"/>
  <c r="F382" i="50"/>
  <c r="W385" i="50"/>
  <c r="G385" i="50"/>
  <c r="FA385" i="50" s="1"/>
  <c r="F385" i="50"/>
  <c r="W383" i="50"/>
  <c r="G383" i="50"/>
  <c r="FA383" i="50" s="1"/>
  <c r="F383" i="50"/>
  <c r="W377" i="50"/>
  <c r="G377" i="50"/>
  <c r="FA377" i="50" s="1"/>
  <c r="F377" i="50"/>
  <c r="W384" i="50"/>
  <c r="G384" i="50"/>
  <c r="FA384" i="50" s="1"/>
  <c r="F384" i="50"/>
  <c r="W366" i="50"/>
  <c r="G366" i="50"/>
  <c r="FA366" i="50" s="1"/>
  <c r="F366" i="50"/>
  <c r="W365" i="50"/>
  <c r="G365" i="50"/>
  <c r="FA365" i="50" s="1"/>
  <c r="F365" i="50"/>
  <c r="W364" i="50"/>
  <c r="G364" i="50"/>
  <c r="FA364" i="50" s="1"/>
  <c r="F364" i="50"/>
  <c r="W363" i="50"/>
  <c r="G363" i="50"/>
  <c r="FA363" i="50" s="1"/>
  <c r="F363" i="50"/>
  <c r="W367" i="50"/>
  <c r="G367" i="50"/>
  <c r="FA367" i="50" s="1"/>
  <c r="F367" i="50"/>
  <c r="W372" i="50"/>
  <c r="G372" i="50"/>
  <c r="FA372" i="50" s="1"/>
  <c r="F372" i="50"/>
  <c r="W368" i="50"/>
  <c r="G368" i="50"/>
  <c r="FA368" i="50" s="1"/>
  <c r="F368" i="50"/>
  <c r="W362" i="50"/>
  <c r="G362" i="50"/>
  <c r="FA362" i="50" s="1"/>
  <c r="F362" i="50"/>
  <c r="W371" i="50"/>
  <c r="G371" i="50"/>
  <c r="FA371" i="50" s="1"/>
  <c r="F371" i="50"/>
  <c r="W369" i="50"/>
  <c r="G369" i="50"/>
  <c r="FA369" i="50" s="1"/>
  <c r="F369" i="50"/>
  <c r="W370" i="50"/>
  <c r="G370" i="50"/>
  <c r="FA370" i="50" s="1"/>
  <c r="F370" i="50"/>
  <c r="W309" i="50"/>
  <c r="P309" i="50"/>
  <c r="FD309" i="50" s="1"/>
  <c r="G309" i="50"/>
  <c r="FA309" i="50" s="1"/>
  <c r="F309" i="50"/>
  <c r="W315" i="50"/>
  <c r="P315" i="50"/>
  <c r="FD315" i="50" s="1"/>
  <c r="G315" i="50"/>
  <c r="FA315" i="50" s="1"/>
  <c r="F315" i="50"/>
  <c r="W311" i="50"/>
  <c r="P311" i="50"/>
  <c r="FD311" i="50" s="1"/>
  <c r="G311" i="50"/>
  <c r="FA311" i="50" s="1"/>
  <c r="F311" i="50"/>
  <c r="W313" i="50"/>
  <c r="P313" i="50"/>
  <c r="FD313" i="50" s="1"/>
  <c r="K313" i="50"/>
  <c r="I313" i="50"/>
  <c r="H313" i="50"/>
  <c r="G313" i="50"/>
  <c r="FA313" i="50" s="1"/>
  <c r="F313" i="50"/>
  <c r="W310" i="50"/>
  <c r="P310" i="50"/>
  <c r="FD310" i="50" s="1"/>
  <c r="G310" i="50"/>
  <c r="FA310" i="50" s="1"/>
  <c r="F310" i="50"/>
  <c r="W312" i="50"/>
  <c r="P312" i="50"/>
  <c r="FD312" i="50" s="1"/>
  <c r="G312" i="50"/>
  <c r="FA312" i="50" s="1"/>
  <c r="F312" i="50"/>
  <c r="W317" i="50"/>
  <c r="P317" i="50"/>
  <c r="FD317" i="50" s="1"/>
  <c r="G317" i="50"/>
  <c r="FA317" i="50" s="1"/>
  <c r="F317" i="50"/>
  <c r="W314" i="50"/>
  <c r="P314" i="50"/>
  <c r="FD314" i="50" s="1"/>
  <c r="G314" i="50"/>
  <c r="FA314" i="50" s="1"/>
  <c r="F314" i="50"/>
  <c r="W316" i="50"/>
  <c r="P316" i="50"/>
  <c r="FD316" i="50" s="1"/>
  <c r="G316" i="50"/>
  <c r="FA316" i="50" s="1"/>
  <c r="F316" i="50"/>
  <c r="Z986" i="50"/>
  <c r="G986" i="50"/>
  <c r="F986" i="50"/>
  <c r="Z987" i="50"/>
  <c r="G987" i="50"/>
  <c r="F987" i="50"/>
  <c r="Z988" i="50"/>
  <c r="G988" i="50"/>
  <c r="F988" i="50"/>
  <c r="Z989" i="50"/>
  <c r="G989" i="50"/>
  <c r="F989" i="50"/>
  <c r="Z990" i="50"/>
  <c r="G990" i="50"/>
  <c r="F990" i="50"/>
  <c r="Z991" i="50"/>
  <c r="G991" i="50"/>
  <c r="F991" i="50"/>
  <c r="Z992" i="50"/>
  <c r="G992" i="50"/>
  <c r="F992" i="50"/>
  <c r="Z993" i="50"/>
  <c r="G993" i="50"/>
  <c r="F993" i="50"/>
  <c r="Z994" i="50"/>
  <c r="G994" i="50"/>
  <c r="F994" i="50"/>
  <c r="Z995" i="50"/>
  <c r="G995" i="50"/>
  <c r="F995" i="50"/>
  <c r="Z876" i="50"/>
  <c r="G876" i="50"/>
  <c r="FA876" i="50" s="1"/>
  <c r="F876" i="50"/>
  <c r="Z620" i="50"/>
  <c r="FJ620" i="50" s="1"/>
  <c r="G620" i="50"/>
  <c r="FA620" i="50" s="1"/>
  <c r="F620" i="50"/>
  <c r="Z882" i="50"/>
  <c r="G882" i="50"/>
  <c r="FA882" i="50" s="1"/>
  <c r="F882" i="50"/>
  <c r="Z880" i="50"/>
  <c r="G880" i="50"/>
  <c r="FA880" i="50" s="1"/>
  <c r="F880" i="50"/>
  <c r="Z874" i="50"/>
  <c r="G874" i="50"/>
  <c r="FA874" i="50" s="1"/>
  <c r="F874" i="50"/>
  <c r="Z661" i="50"/>
  <c r="G661" i="50"/>
  <c r="FA661" i="50" s="1"/>
  <c r="F661" i="50"/>
  <c r="Z663" i="50"/>
  <c r="G663" i="50"/>
  <c r="FA663" i="50" s="1"/>
  <c r="F663" i="50"/>
  <c r="Z738" i="50"/>
  <c r="G738" i="50"/>
  <c r="FA738" i="50" s="1"/>
  <c r="F738" i="50"/>
  <c r="Z739" i="50"/>
  <c r="G739" i="50"/>
  <c r="FA739" i="50" s="1"/>
  <c r="F739" i="50"/>
  <c r="Z878" i="50"/>
  <c r="G878" i="50"/>
  <c r="FA878" i="50" s="1"/>
  <c r="F878" i="50"/>
  <c r="Z764" i="50"/>
  <c r="G764" i="50"/>
  <c r="FA764" i="50" s="1"/>
  <c r="F764" i="50"/>
  <c r="Z760" i="50"/>
  <c r="G760" i="50"/>
  <c r="FA760" i="50" s="1"/>
  <c r="F760" i="50"/>
  <c r="Z762" i="50"/>
  <c r="G762" i="50"/>
  <c r="FA762" i="50" s="1"/>
  <c r="F762" i="50"/>
  <c r="Z758" i="50"/>
  <c r="G758" i="50"/>
  <c r="FA758" i="50" s="1"/>
  <c r="F758" i="50"/>
  <c r="Z1064" i="50"/>
  <c r="G1064" i="50"/>
  <c r="F1064" i="50"/>
  <c r="Z1055" i="50"/>
  <c r="G1055" i="50"/>
  <c r="F1055" i="50"/>
  <c r="Z1065" i="50"/>
  <c r="G1065" i="50"/>
  <c r="F1065" i="50"/>
  <c r="Z1068" i="50"/>
  <c r="G1068" i="50"/>
  <c r="F1068" i="50"/>
  <c r="G1067" i="50"/>
  <c r="F1067" i="50"/>
  <c r="Z1057" i="50"/>
  <c r="G1057" i="50"/>
  <c r="F1057" i="50"/>
  <c r="G1056" i="50"/>
  <c r="F1056" i="50"/>
  <c r="Z1058" i="50"/>
  <c r="G1058" i="50"/>
  <c r="F1058" i="50"/>
  <c r="Z1059" i="50"/>
  <c r="G1059" i="50"/>
  <c r="F1059" i="50"/>
  <c r="Z1066" i="50"/>
  <c r="G1066" i="50"/>
  <c r="F1066" i="50"/>
  <c r="Z1060" i="50"/>
  <c r="G1060" i="50"/>
  <c r="F1060" i="50"/>
  <c r="Z1063" i="50"/>
  <c r="G1063" i="50"/>
  <c r="F1063" i="50"/>
  <c r="Z1062" i="50"/>
  <c r="G1062" i="50"/>
  <c r="F1062" i="50"/>
  <c r="Z1061" i="50"/>
  <c r="G1061" i="50"/>
  <c r="F1061" i="50"/>
  <c r="Z1040" i="50"/>
  <c r="G1040" i="50"/>
  <c r="F1040" i="50"/>
  <c r="Z1031" i="50"/>
  <c r="G1031" i="50"/>
  <c r="F1031" i="50"/>
  <c r="Z1041" i="50"/>
  <c r="G1041" i="50"/>
  <c r="F1041" i="50"/>
  <c r="Z1044" i="50"/>
  <c r="G1044" i="50"/>
  <c r="F1044" i="50"/>
  <c r="G1043" i="50"/>
  <c r="F1043" i="50"/>
  <c r="Z1033" i="50"/>
  <c r="G1033" i="50"/>
  <c r="F1033" i="50"/>
  <c r="G1032" i="50"/>
  <c r="F1032" i="50"/>
  <c r="Z1034" i="50"/>
  <c r="G1034" i="50"/>
  <c r="F1034" i="50"/>
  <c r="Z1035" i="50"/>
  <c r="G1035" i="50"/>
  <c r="F1035" i="50"/>
  <c r="Z1042" i="50"/>
  <c r="G1042" i="50"/>
  <c r="F1042" i="50"/>
  <c r="Z1036" i="50"/>
  <c r="G1036" i="50"/>
  <c r="F1036" i="50"/>
  <c r="Z1039" i="50"/>
  <c r="G1039" i="50"/>
  <c r="F1039" i="50"/>
  <c r="Z1038" i="50"/>
  <c r="G1038" i="50"/>
  <c r="F1038" i="50"/>
  <c r="Z1037" i="50"/>
  <c r="G1037" i="50"/>
  <c r="F1037" i="50"/>
  <c r="Z877" i="50"/>
  <c r="G877" i="50"/>
  <c r="FA877" i="50" s="1"/>
  <c r="F877" i="50"/>
  <c r="Z621" i="50"/>
  <c r="G621" i="50"/>
  <c r="FA621" i="50" s="1"/>
  <c r="F621" i="50"/>
  <c r="Z883" i="50"/>
  <c r="G883" i="50"/>
  <c r="FA883" i="50" s="1"/>
  <c r="F883" i="50"/>
  <c r="Z881" i="50"/>
  <c r="G881" i="50"/>
  <c r="FA881" i="50" s="1"/>
  <c r="F881" i="50"/>
  <c r="Z875" i="50"/>
  <c r="G875" i="50"/>
  <c r="FA875" i="50" s="1"/>
  <c r="F875" i="50"/>
  <c r="Z662" i="50"/>
  <c r="G662" i="50"/>
  <c r="FA662" i="50" s="1"/>
  <c r="F662" i="50"/>
  <c r="Z664" i="50"/>
  <c r="G664" i="50"/>
  <c r="FA664" i="50" s="1"/>
  <c r="F664" i="50"/>
  <c r="Z737" i="50"/>
  <c r="G737" i="50"/>
  <c r="FA737" i="50" s="1"/>
  <c r="F737" i="50"/>
  <c r="Z740" i="50"/>
  <c r="G740" i="50"/>
  <c r="FA740" i="50" s="1"/>
  <c r="F740" i="50"/>
  <c r="Z879" i="50"/>
  <c r="G879" i="50"/>
  <c r="FA879" i="50" s="1"/>
  <c r="F879" i="50"/>
  <c r="Z765" i="50"/>
  <c r="G765" i="50"/>
  <c r="FA765" i="50" s="1"/>
  <c r="F765" i="50"/>
  <c r="Z761" i="50"/>
  <c r="G761" i="50"/>
  <c r="FA761" i="50" s="1"/>
  <c r="F761" i="50"/>
  <c r="Z763" i="50"/>
  <c r="G763" i="50"/>
  <c r="FA763" i="50" s="1"/>
  <c r="F763" i="50"/>
  <c r="Z759" i="50"/>
  <c r="G759" i="50"/>
  <c r="FA759" i="50" s="1"/>
  <c r="F759" i="50"/>
  <c r="FJ47" i="50" l="1"/>
  <c r="DG47" i="50"/>
  <c r="DG763" i="50"/>
  <c r="FJ763" i="50"/>
  <c r="DG665" i="50"/>
  <c r="FJ665" i="50"/>
  <c r="DG667" i="50"/>
  <c r="FJ667" i="50"/>
  <c r="DG773" i="50"/>
  <c r="FJ773" i="50"/>
  <c r="AG358" i="50"/>
  <c r="AG340" i="50"/>
  <c r="AG360" i="50"/>
  <c r="AG353" i="50"/>
  <c r="AG342" i="50"/>
  <c r="AG344" i="50"/>
  <c r="AG345" i="50"/>
  <c r="AG359" i="50"/>
  <c r="AG346" i="50"/>
  <c r="AG332" i="50"/>
  <c r="AG329" i="50"/>
  <c r="AG318" i="50"/>
  <c r="AG328" i="50"/>
  <c r="AG320" i="50"/>
  <c r="AG333" i="50"/>
  <c r="AG325" i="50"/>
  <c r="AG334" i="50"/>
  <c r="AG338" i="50"/>
  <c r="AG337" i="50"/>
  <c r="AG336" i="50"/>
  <c r="AG351" i="50"/>
  <c r="AG481" i="50"/>
  <c r="AG453" i="50"/>
  <c r="AG475" i="50"/>
  <c r="AG478" i="50"/>
  <c r="AG480" i="50"/>
  <c r="AG484" i="50"/>
  <c r="AG486" i="50"/>
  <c r="AG488" i="50"/>
  <c r="AG490" i="50"/>
  <c r="AG492" i="50"/>
  <c r="AG495" i="50"/>
  <c r="AG498" i="50"/>
  <c r="AG500" i="50"/>
  <c r="AG502" i="50"/>
  <c r="AG504" i="50"/>
  <c r="AG506" i="50"/>
  <c r="AG507" i="50"/>
  <c r="AG509" i="50"/>
  <c r="AG433" i="50"/>
  <c r="AG435" i="50"/>
  <c r="AG436" i="50"/>
  <c r="AG438" i="50"/>
  <c r="AG440" i="50"/>
  <c r="AG442" i="50"/>
  <c r="AG444" i="50"/>
  <c r="AG446" i="50"/>
  <c r="AG448" i="50"/>
  <c r="AG450" i="50"/>
  <c r="AG452" i="50"/>
  <c r="AG455" i="50"/>
  <c r="AG457" i="50"/>
  <c r="AG459" i="50"/>
  <c r="AG462" i="50"/>
  <c r="AG464" i="50"/>
  <c r="AG466" i="50"/>
  <c r="AG468" i="50"/>
  <c r="AG471" i="50"/>
  <c r="DG49" i="50"/>
  <c r="FJ49" i="50"/>
  <c r="DG65" i="50"/>
  <c r="FJ65" i="50"/>
  <c r="DG207" i="50"/>
  <c r="FJ207" i="50"/>
  <c r="DG155" i="50"/>
  <c r="FJ155" i="50"/>
  <c r="DG163" i="50"/>
  <c r="FJ163" i="50"/>
  <c r="DG302" i="50"/>
  <c r="FJ302" i="50"/>
  <c r="DG69" i="50"/>
  <c r="FJ69" i="50"/>
  <c r="DG74" i="50"/>
  <c r="FJ74" i="50"/>
  <c r="DG77" i="50"/>
  <c r="FJ77" i="50"/>
  <c r="DG199" i="50"/>
  <c r="FJ199" i="50"/>
  <c r="DG169" i="50"/>
  <c r="FJ169" i="50"/>
  <c r="DG68" i="50"/>
  <c r="FJ68" i="50"/>
  <c r="DG201" i="50"/>
  <c r="FJ201" i="50"/>
  <c r="DG192" i="50"/>
  <c r="FJ192" i="50"/>
  <c r="DG894" i="50"/>
  <c r="FJ894" i="50"/>
  <c r="DG889" i="50"/>
  <c r="FJ889" i="50"/>
  <c r="DG689" i="50"/>
  <c r="FJ689" i="50"/>
  <c r="AG692" i="50"/>
  <c r="DG695" i="50"/>
  <c r="FJ695" i="50"/>
  <c r="AG799" i="50"/>
  <c r="AG797" i="50"/>
  <c r="AG684" i="50"/>
  <c r="AG813" i="50"/>
  <c r="AG809" i="50"/>
  <c r="DG818" i="50"/>
  <c r="FJ818" i="50"/>
  <c r="AG817" i="50"/>
  <c r="DG896" i="50"/>
  <c r="FJ896" i="50"/>
  <c r="DG90" i="50"/>
  <c r="FJ90" i="50"/>
  <c r="DG234" i="50"/>
  <c r="FJ234" i="50"/>
  <c r="DG236" i="50"/>
  <c r="FJ236" i="50"/>
  <c r="DG220" i="50"/>
  <c r="FJ220" i="50"/>
  <c r="DG89" i="50"/>
  <c r="FJ89" i="50"/>
  <c r="DG283" i="50"/>
  <c r="FJ283" i="50"/>
  <c r="DG281" i="50"/>
  <c r="FJ281" i="50"/>
  <c r="DG844" i="50"/>
  <c r="FJ844" i="50"/>
  <c r="DG232" i="50"/>
  <c r="FJ232" i="50"/>
  <c r="AG135" i="50"/>
  <c r="DG728" i="50"/>
  <c r="FJ728" i="50"/>
  <c r="DG919" i="50"/>
  <c r="FJ919" i="50"/>
  <c r="DG911" i="50"/>
  <c r="FJ911" i="50"/>
  <c r="DG873" i="50"/>
  <c r="FJ873" i="50"/>
  <c r="DG905" i="50"/>
  <c r="FJ905" i="50"/>
  <c r="DG734" i="50"/>
  <c r="FJ734" i="50"/>
  <c r="DG792" i="50"/>
  <c r="FJ792" i="50"/>
  <c r="DG681" i="50"/>
  <c r="FJ681" i="50"/>
  <c r="DG879" i="50"/>
  <c r="FJ879" i="50"/>
  <c r="DG662" i="50"/>
  <c r="FJ662" i="50"/>
  <c r="DG738" i="50"/>
  <c r="FJ738" i="50"/>
  <c r="DG880" i="50"/>
  <c r="FJ880" i="50"/>
  <c r="DG83" i="50"/>
  <c r="FJ83" i="50"/>
  <c r="DG194" i="50"/>
  <c r="FJ194" i="50"/>
  <c r="DG63" i="50"/>
  <c r="FJ63" i="50"/>
  <c r="DG161" i="50"/>
  <c r="FJ161" i="50"/>
  <c r="DG299" i="50"/>
  <c r="FJ299" i="50"/>
  <c r="DG72" i="50"/>
  <c r="FJ72" i="50"/>
  <c r="DG76" i="50"/>
  <c r="FJ76" i="50"/>
  <c r="DG304" i="50"/>
  <c r="FJ304" i="50"/>
  <c r="DG624" i="50"/>
  <c r="FJ624" i="50"/>
  <c r="DG635" i="50"/>
  <c r="FJ635" i="50"/>
  <c r="DG775" i="50"/>
  <c r="FJ775" i="50"/>
  <c r="DG893" i="50"/>
  <c r="FJ893" i="50"/>
  <c r="AG686" i="50"/>
  <c r="DG692" i="50"/>
  <c r="FJ692" i="50"/>
  <c r="DG799" i="50"/>
  <c r="FJ799" i="50"/>
  <c r="AG802" i="50"/>
  <c r="AG688" i="50"/>
  <c r="AG807" i="50"/>
  <c r="DG801" i="50"/>
  <c r="FJ801" i="50"/>
  <c r="AG804" i="50"/>
  <c r="AG812" i="50"/>
  <c r="AG808" i="50"/>
  <c r="AG821" i="50"/>
  <c r="DG703" i="50"/>
  <c r="FJ703" i="50"/>
  <c r="AG702" i="50"/>
  <c r="DG741" i="50"/>
  <c r="FJ741" i="50"/>
  <c r="AG830" i="50"/>
  <c r="AG712" i="50"/>
  <c r="AG707" i="50"/>
  <c r="DG87" i="50"/>
  <c r="FJ87" i="50"/>
  <c r="DG219" i="50"/>
  <c r="FJ219" i="50"/>
  <c r="DG172" i="50"/>
  <c r="FJ172" i="50"/>
  <c r="DG218" i="50"/>
  <c r="FJ218" i="50"/>
  <c r="DG221" i="50"/>
  <c r="FJ221" i="50"/>
  <c r="DG224" i="50"/>
  <c r="FJ224" i="50"/>
  <c r="DG239" i="50"/>
  <c r="FJ239" i="50"/>
  <c r="DG241" i="50"/>
  <c r="FJ241" i="50"/>
  <c r="AG842" i="50"/>
  <c r="DG851" i="50"/>
  <c r="FJ851" i="50"/>
  <c r="AG853" i="50"/>
  <c r="AG188" i="50"/>
  <c r="DG135" i="50"/>
  <c r="FJ135" i="50"/>
  <c r="AG138" i="50"/>
  <c r="DG226" i="50"/>
  <c r="FJ226" i="50"/>
  <c r="DG914" i="50"/>
  <c r="FJ914" i="50"/>
  <c r="DG736" i="50"/>
  <c r="FJ736" i="50"/>
  <c r="DG915" i="50"/>
  <c r="FJ915" i="50"/>
  <c r="DG917" i="50"/>
  <c r="FJ917" i="50"/>
  <c r="DG869" i="50"/>
  <c r="FJ869" i="50"/>
  <c r="DG250" i="50"/>
  <c r="FJ250" i="50"/>
  <c r="DG245" i="50"/>
  <c r="FJ245" i="50"/>
  <c r="DG762" i="50"/>
  <c r="FJ762" i="50"/>
  <c r="DG739" i="50"/>
  <c r="FJ739" i="50"/>
  <c r="DG874" i="50"/>
  <c r="FJ874" i="50"/>
  <c r="DG761" i="50"/>
  <c r="FJ761" i="50"/>
  <c r="DG737" i="50"/>
  <c r="FJ737" i="50"/>
  <c r="DG881" i="50"/>
  <c r="FJ881" i="50"/>
  <c r="DG758" i="50"/>
  <c r="FJ758" i="50"/>
  <c r="DG878" i="50"/>
  <c r="FJ878" i="50"/>
  <c r="DG661" i="50"/>
  <c r="FJ661" i="50"/>
  <c r="DG669" i="50"/>
  <c r="FJ669" i="50"/>
  <c r="DG770" i="50"/>
  <c r="FJ770" i="50"/>
  <c r="DG671" i="50"/>
  <c r="FJ671" i="50"/>
  <c r="DG771" i="50"/>
  <c r="FJ771" i="50"/>
  <c r="DG60" i="50"/>
  <c r="FJ60" i="50"/>
  <c r="DG56" i="50"/>
  <c r="FJ56" i="50"/>
  <c r="DG204" i="50"/>
  <c r="FJ204" i="50"/>
  <c r="DG81" i="50"/>
  <c r="FJ81" i="50"/>
  <c r="DG58" i="50"/>
  <c r="FJ58" i="50"/>
  <c r="DG51" i="50"/>
  <c r="FJ51" i="50"/>
  <c r="DG78" i="50"/>
  <c r="FJ78" i="50"/>
  <c r="DG195" i="50"/>
  <c r="FJ195" i="50"/>
  <c r="DG156" i="50"/>
  <c r="FJ156" i="50"/>
  <c r="DG159" i="50"/>
  <c r="FJ159" i="50"/>
  <c r="DG303" i="50"/>
  <c r="FJ303" i="50"/>
  <c r="DG300" i="50"/>
  <c r="FJ300" i="50"/>
  <c r="DG70" i="50"/>
  <c r="FJ70" i="50"/>
  <c r="DG73" i="50"/>
  <c r="FJ73" i="50"/>
  <c r="DG200" i="50"/>
  <c r="FJ200" i="50"/>
  <c r="DG168" i="50"/>
  <c r="FJ168" i="50"/>
  <c r="DG211" i="50"/>
  <c r="FJ211" i="50"/>
  <c r="DG208" i="50"/>
  <c r="FJ208" i="50"/>
  <c r="DG203" i="50"/>
  <c r="FJ203" i="50"/>
  <c r="DG632" i="50"/>
  <c r="FJ632" i="50"/>
  <c r="DG630" i="50"/>
  <c r="FJ630" i="50"/>
  <c r="DG640" i="50"/>
  <c r="FJ640" i="50"/>
  <c r="DG626" i="50"/>
  <c r="FJ626" i="50"/>
  <c r="DG891" i="50"/>
  <c r="FJ891" i="50"/>
  <c r="DG888" i="50"/>
  <c r="FJ888" i="50"/>
  <c r="DG636" i="50"/>
  <c r="FJ636" i="50"/>
  <c r="DG890" i="50"/>
  <c r="FJ890" i="50"/>
  <c r="DG776" i="50"/>
  <c r="FJ776" i="50"/>
  <c r="DG796" i="50"/>
  <c r="FJ796" i="50"/>
  <c r="AG689" i="50"/>
  <c r="DG683" i="50"/>
  <c r="FJ683" i="50"/>
  <c r="AG695" i="50"/>
  <c r="AG687" i="50"/>
  <c r="DG693" i="50"/>
  <c r="FJ693" i="50"/>
  <c r="AG806" i="50"/>
  <c r="AG803" i="50"/>
  <c r="DG798" i="50"/>
  <c r="FJ798" i="50"/>
  <c r="AG691" i="50"/>
  <c r="DG685" i="50"/>
  <c r="FJ685" i="50"/>
  <c r="AG697" i="50"/>
  <c r="DG815" i="50"/>
  <c r="FJ815" i="50"/>
  <c r="AG814" i="50"/>
  <c r="DG811" i="50"/>
  <c r="FJ811" i="50"/>
  <c r="AG810" i="50"/>
  <c r="DG700" i="50"/>
  <c r="FJ700" i="50"/>
  <c r="AG699" i="50"/>
  <c r="AG819" i="50"/>
  <c r="AG818" i="50"/>
  <c r="DG822" i="50"/>
  <c r="FJ822" i="50"/>
  <c r="AG828" i="50"/>
  <c r="AG710" i="50"/>
  <c r="DG706" i="50"/>
  <c r="FJ706" i="50"/>
  <c r="AG705" i="50"/>
  <c r="DG825" i="50"/>
  <c r="FJ825" i="50"/>
  <c r="AG824" i="50"/>
  <c r="DG85" i="50"/>
  <c r="FJ85" i="50"/>
  <c r="DG92" i="50"/>
  <c r="FJ92" i="50"/>
  <c r="DG91" i="50"/>
  <c r="FJ91" i="50"/>
  <c r="DG212" i="50"/>
  <c r="FJ212" i="50"/>
  <c r="DG286" i="50"/>
  <c r="FJ286" i="50"/>
  <c r="DG282" i="50"/>
  <c r="FJ282" i="50"/>
  <c r="DG213" i="50"/>
  <c r="FJ213" i="50"/>
  <c r="DG217" i="50"/>
  <c r="FJ217" i="50"/>
  <c r="DG287" i="50"/>
  <c r="FJ287" i="50"/>
  <c r="DG284" i="50"/>
  <c r="FJ284" i="50"/>
  <c r="DG235" i="50"/>
  <c r="FJ235" i="50"/>
  <c r="AG840" i="50"/>
  <c r="AG836" i="50"/>
  <c r="DG847" i="50"/>
  <c r="FJ847" i="50"/>
  <c r="AG717" i="50"/>
  <c r="AG856" i="50"/>
  <c r="AG718" i="50"/>
  <c r="DG849" i="50"/>
  <c r="FJ849" i="50"/>
  <c r="AG857" i="50"/>
  <c r="DG855" i="50"/>
  <c r="FJ855" i="50"/>
  <c r="DG149" i="50"/>
  <c r="FJ149" i="50"/>
  <c r="AG144" i="50"/>
  <c r="DG233" i="50"/>
  <c r="FJ233" i="50"/>
  <c r="AG425" i="50"/>
  <c r="DG866" i="50"/>
  <c r="FJ866" i="50"/>
  <c r="DG746" i="50"/>
  <c r="FJ746" i="50"/>
  <c r="DG731" i="50"/>
  <c r="FJ731" i="50"/>
  <c r="DG752" i="50"/>
  <c r="FJ752" i="50"/>
  <c r="AG747" i="50"/>
  <c r="DG904" i="50"/>
  <c r="FJ904" i="50"/>
  <c r="DG903" i="50"/>
  <c r="FJ903" i="50"/>
  <c r="DG185" i="50"/>
  <c r="FJ185" i="50"/>
  <c r="AG184" i="50"/>
  <c r="DG912" i="50"/>
  <c r="FJ912" i="50"/>
  <c r="DG735" i="50"/>
  <c r="FJ735" i="50"/>
  <c r="DG871" i="50"/>
  <c r="FJ871" i="50"/>
  <c r="DG916" i="50"/>
  <c r="FJ916" i="50"/>
  <c r="DG906" i="50"/>
  <c r="FJ906" i="50"/>
  <c r="DG870" i="50"/>
  <c r="FJ870" i="50"/>
  <c r="AG781" i="50"/>
  <c r="AG679" i="50"/>
  <c r="AG785" i="50"/>
  <c r="AG789" i="50"/>
  <c r="AG777" i="50"/>
  <c r="AG782" i="50"/>
  <c r="AG680" i="50"/>
  <c r="AG786" i="50"/>
  <c r="AG790" i="50"/>
  <c r="AG778" i="50"/>
  <c r="DG248" i="50"/>
  <c r="FJ248" i="50"/>
  <c r="DG252" i="50"/>
  <c r="FJ252" i="50"/>
  <c r="DG780" i="50"/>
  <c r="FJ780" i="50"/>
  <c r="DG788" i="50"/>
  <c r="FJ788" i="50"/>
  <c r="DG740" i="50"/>
  <c r="FJ740" i="50"/>
  <c r="DG875" i="50"/>
  <c r="FJ875" i="50"/>
  <c r="DG877" i="50"/>
  <c r="FJ877" i="50"/>
  <c r="DG764" i="50"/>
  <c r="FJ764" i="50"/>
  <c r="DG663" i="50"/>
  <c r="FJ663" i="50"/>
  <c r="DG882" i="50"/>
  <c r="FJ882" i="50"/>
  <c r="DG772" i="50"/>
  <c r="FJ772" i="50"/>
  <c r="AG354" i="50"/>
  <c r="AG341" i="50"/>
  <c r="AG361" i="50"/>
  <c r="AG348" i="50"/>
  <c r="AG347" i="50"/>
  <c r="AG343" i="50"/>
  <c r="AG357" i="50"/>
  <c r="AG352" i="50"/>
  <c r="AG324" i="50"/>
  <c r="AG319" i="50"/>
  <c r="AG321" i="50"/>
  <c r="AG322" i="50"/>
  <c r="AG327" i="50"/>
  <c r="AG323" i="50"/>
  <c r="AG331" i="50"/>
  <c r="AG339" i="50"/>
  <c r="AG330" i="50"/>
  <c r="AG326" i="50"/>
  <c r="AG335" i="50"/>
  <c r="AG350" i="50"/>
  <c r="AG349" i="50"/>
  <c r="AG431" i="50"/>
  <c r="AG493" i="50"/>
  <c r="AG460" i="50"/>
  <c r="AG476" i="50"/>
  <c r="AG477" i="50"/>
  <c r="AG479" i="50"/>
  <c r="AG482" i="50"/>
  <c r="AG483" i="50"/>
  <c r="AG485" i="50"/>
  <c r="AG487" i="50"/>
  <c r="AG489" i="50"/>
  <c r="AG491" i="50"/>
  <c r="AG494" i="50"/>
  <c r="AG496" i="50"/>
  <c r="AG497" i="50"/>
  <c r="AG499" i="50"/>
  <c r="AG501" i="50"/>
  <c r="AG503" i="50"/>
  <c r="AG505" i="50"/>
  <c r="AG508" i="50"/>
  <c r="AG432" i="50"/>
  <c r="AG434" i="50"/>
  <c r="AG437" i="50"/>
  <c r="AG439" i="50"/>
  <c r="AG441" i="50"/>
  <c r="AG443" i="50"/>
  <c r="AG445" i="50"/>
  <c r="AG447" i="50"/>
  <c r="AG449" i="50"/>
  <c r="AG451" i="50"/>
  <c r="AG454" i="50"/>
  <c r="AG456" i="50"/>
  <c r="AG458" i="50"/>
  <c r="AG461" i="50"/>
  <c r="AG463" i="50"/>
  <c r="AG465" i="50"/>
  <c r="AG467" i="50"/>
  <c r="AG469" i="50"/>
  <c r="AG470" i="50"/>
  <c r="AG472" i="50"/>
  <c r="AG473" i="50"/>
  <c r="AG474" i="50"/>
  <c r="DG55" i="50"/>
  <c r="FJ55" i="50"/>
  <c r="DG54" i="50"/>
  <c r="FJ54" i="50"/>
  <c r="DG80" i="50"/>
  <c r="FJ80" i="50"/>
  <c r="DG276" i="50"/>
  <c r="FJ276" i="50"/>
  <c r="DG162" i="50"/>
  <c r="FJ162" i="50"/>
  <c r="DG193" i="50"/>
  <c r="FJ193" i="50"/>
  <c r="DG633" i="50"/>
  <c r="FJ633" i="50"/>
  <c r="DG629" i="50"/>
  <c r="FJ629" i="50"/>
  <c r="DG641" i="50"/>
  <c r="FJ641" i="50"/>
  <c r="DG625" i="50"/>
  <c r="FJ625" i="50"/>
  <c r="DG639" i="50"/>
  <c r="FJ639" i="50"/>
  <c r="DG887" i="50"/>
  <c r="FJ887" i="50"/>
  <c r="AG793" i="50"/>
  <c r="AG795" i="50"/>
  <c r="DG691" i="50"/>
  <c r="FJ691" i="50"/>
  <c r="AG694" i="50"/>
  <c r="DG697" i="50"/>
  <c r="FJ697" i="50"/>
  <c r="AG801" i="50"/>
  <c r="DG699" i="50"/>
  <c r="FJ699" i="50"/>
  <c r="AG698" i="50"/>
  <c r="AG703" i="50"/>
  <c r="DG643" i="50"/>
  <c r="FJ643" i="50"/>
  <c r="AG831" i="50"/>
  <c r="AG713" i="50"/>
  <c r="AG708" i="50"/>
  <c r="AG704" i="50"/>
  <c r="AG823" i="50"/>
  <c r="DG88" i="50"/>
  <c r="FJ88" i="50"/>
  <c r="DG94" i="50"/>
  <c r="FJ94" i="50"/>
  <c r="DG170" i="50"/>
  <c r="FJ170" i="50"/>
  <c r="DG237" i="50"/>
  <c r="FJ237" i="50"/>
  <c r="AG837" i="50"/>
  <c r="AG845" i="50"/>
  <c r="DG835" i="50"/>
  <c r="FJ835" i="50"/>
  <c r="AG848" i="50"/>
  <c r="AG854" i="50"/>
  <c r="DG718" i="50"/>
  <c r="FJ718" i="50"/>
  <c r="AG716" i="50"/>
  <c r="DG857" i="50"/>
  <c r="FJ857" i="50"/>
  <c r="AG851" i="50"/>
  <c r="DG144" i="50"/>
  <c r="FJ144" i="50"/>
  <c r="DG425" i="50"/>
  <c r="FJ425" i="50"/>
  <c r="AG226" i="50"/>
  <c r="DG747" i="50"/>
  <c r="FJ747" i="50"/>
  <c r="AG729" i="50"/>
  <c r="AG187" i="50"/>
  <c r="DG184" i="50"/>
  <c r="FJ184" i="50"/>
  <c r="AG183" i="50"/>
  <c r="DG909" i="50"/>
  <c r="FJ909" i="50"/>
  <c r="DG247" i="50"/>
  <c r="FJ247" i="50"/>
  <c r="DG251" i="50"/>
  <c r="FJ251" i="50"/>
  <c r="DG783" i="50"/>
  <c r="FJ783" i="50"/>
  <c r="DG791" i="50"/>
  <c r="FJ791" i="50"/>
  <c r="DG759" i="50"/>
  <c r="FJ759" i="50"/>
  <c r="DG621" i="50"/>
  <c r="FJ621" i="50"/>
  <c r="DG760" i="50"/>
  <c r="FJ760" i="50"/>
  <c r="DG673" i="50"/>
  <c r="FJ673" i="50"/>
  <c r="DG766" i="50"/>
  <c r="FJ766" i="50"/>
  <c r="DG674" i="50"/>
  <c r="FJ674" i="50"/>
  <c r="DG767" i="50"/>
  <c r="FJ767" i="50"/>
  <c r="DG62" i="50"/>
  <c r="FJ62" i="50"/>
  <c r="DG53" i="50"/>
  <c r="FJ53" i="50"/>
  <c r="DG84" i="50"/>
  <c r="FJ84" i="50"/>
  <c r="DG206" i="50"/>
  <c r="FJ206" i="50"/>
  <c r="DG197" i="50"/>
  <c r="FJ197" i="50"/>
  <c r="DG158" i="50"/>
  <c r="FJ158" i="50"/>
  <c r="DG210" i="50"/>
  <c r="FJ210" i="50"/>
  <c r="DG191" i="50"/>
  <c r="FJ191" i="50"/>
  <c r="DG167" i="50"/>
  <c r="FJ167" i="50"/>
  <c r="DG67" i="50"/>
  <c r="FJ67" i="50"/>
  <c r="DG198" i="50"/>
  <c r="FJ198" i="50"/>
  <c r="DG190" i="50"/>
  <c r="FJ190" i="50"/>
  <c r="DG164" i="50"/>
  <c r="FJ164" i="50"/>
  <c r="DG628" i="50"/>
  <c r="FJ628" i="50"/>
  <c r="DG921" i="50"/>
  <c r="FJ921" i="50"/>
  <c r="DG886" i="50"/>
  <c r="FJ886" i="50"/>
  <c r="DG638" i="50"/>
  <c r="FJ638" i="50"/>
  <c r="DG885" i="50"/>
  <c r="FJ885" i="50"/>
  <c r="DG793" i="50"/>
  <c r="FJ793" i="50"/>
  <c r="AG805" i="50"/>
  <c r="AG690" i="50"/>
  <c r="AG696" i="50"/>
  <c r="DG795" i="50"/>
  <c r="FJ795" i="50"/>
  <c r="AG816" i="50"/>
  <c r="AG826" i="50"/>
  <c r="DG222" i="50"/>
  <c r="FJ222" i="50"/>
  <c r="DG214" i="50"/>
  <c r="FJ214" i="50"/>
  <c r="DG288" i="50"/>
  <c r="FJ288" i="50"/>
  <c r="AG846" i="50"/>
  <c r="AG833" i="50"/>
  <c r="DG841" i="50"/>
  <c r="FJ841" i="50"/>
  <c r="AG719" i="50"/>
  <c r="AG852" i="50"/>
  <c r="DG716" i="50"/>
  <c r="FJ716" i="50"/>
  <c r="AG720" i="50"/>
  <c r="DG181" i="50"/>
  <c r="FJ181" i="50"/>
  <c r="DG143" i="50"/>
  <c r="FJ143" i="50"/>
  <c r="DG137" i="50"/>
  <c r="FJ137" i="50"/>
  <c r="DG729" i="50"/>
  <c r="FJ729" i="50"/>
  <c r="AG732" i="50"/>
  <c r="DG187" i="50"/>
  <c r="FJ187" i="50"/>
  <c r="AG186" i="50"/>
  <c r="DG183" i="50"/>
  <c r="FJ183" i="50"/>
  <c r="AG182" i="50"/>
  <c r="DG910" i="50"/>
  <c r="FJ910" i="50"/>
  <c r="DG908" i="50"/>
  <c r="FJ908" i="50"/>
  <c r="DG787" i="50"/>
  <c r="FJ787" i="50"/>
  <c r="DG246" i="50"/>
  <c r="FJ246" i="50"/>
  <c r="DG682" i="50"/>
  <c r="FJ682" i="50"/>
  <c r="DG784" i="50"/>
  <c r="FJ784" i="50"/>
  <c r="DG765" i="50"/>
  <c r="FJ765" i="50"/>
  <c r="DG664" i="50"/>
  <c r="FJ664" i="50"/>
  <c r="DG883" i="50"/>
  <c r="FJ883" i="50"/>
  <c r="DG876" i="50"/>
  <c r="FJ876" i="50"/>
  <c r="DG277" i="50"/>
  <c r="FJ277" i="50"/>
  <c r="DG675" i="50"/>
  <c r="FJ675" i="50"/>
  <c r="DG768" i="50"/>
  <c r="FJ768" i="50"/>
  <c r="DG677" i="50"/>
  <c r="FJ677" i="50"/>
  <c r="DG769" i="50"/>
  <c r="FJ769" i="50"/>
  <c r="DG61" i="50"/>
  <c r="FJ61" i="50"/>
  <c r="DG52" i="50"/>
  <c r="FJ52" i="50"/>
  <c r="DG205" i="50"/>
  <c r="FJ205" i="50"/>
  <c r="DG48" i="50"/>
  <c r="FJ48" i="50"/>
  <c r="DG82" i="50"/>
  <c r="FJ82" i="50"/>
  <c r="DG59" i="50"/>
  <c r="FJ59" i="50"/>
  <c r="DG50" i="50"/>
  <c r="FJ50" i="50"/>
  <c r="DG79" i="50"/>
  <c r="FJ79" i="50"/>
  <c r="DG196" i="50"/>
  <c r="FJ196" i="50"/>
  <c r="DG157" i="50"/>
  <c r="FJ157" i="50"/>
  <c r="DG160" i="50"/>
  <c r="FJ160" i="50"/>
  <c r="DG57" i="50"/>
  <c r="FJ57" i="50"/>
  <c r="DG301" i="50"/>
  <c r="FJ301" i="50"/>
  <c r="DG71" i="50"/>
  <c r="FJ71" i="50"/>
  <c r="DG75" i="50"/>
  <c r="FJ75" i="50"/>
  <c r="DG64" i="50"/>
  <c r="FJ64" i="50"/>
  <c r="DG275" i="50"/>
  <c r="FJ275" i="50"/>
  <c r="DG166" i="50"/>
  <c r="FJ166" i="50"/>
  <c r="DG66" i="50"/>
  <c r="FJ66" i="50"/>
  <c r="DG209" i="50"/>
  <c r="FJ209" i="50"/>
  <c r="DG202" i="50"/>
  <c r="FJ202" i="50"/>
  <c r="DG165" i="50"/>
  <c r="FJ165" i="50"/>
  <c r="DG627" i="50"/>
  <c r="FJ627" i="50"/>
  <c r="DG631" i="50"/>
  <c r="FJ631" i="50"/>
  <c r="DG622" i="50"/>
  <c r="FJ622" i="50"/>
  <c r="DG623" i="50"/>
  <c r="FJ623" i="50"/>
  <c r="DG634" i="50"/>
  <c r="FJ634" i="50"/>
  <c r="DG892" i="50"/>
  <c r="FJ892" i="50"/>
  <c r="DG774" i="50"/>
  <c r="FJ774" i="50"/>
  <c r="DG637" i="50"/>
  <c r="FJ637" i="50"/>
  <c r="DG884" i="50"/>
  <c r="FJ884" i="50"/>
  <c r="DG686" i="50"/>
  <c r="FJ686" i="50"/>
  <c r="AG796" i="50"/>
  <c r="DG805" i="50"/>
  <c r="FJ805" i="50"/>
  <c r="AG683" i="50"/>
  <c r="DG802" i="50"/>
  <c r="FJ802" i="50"/>
  <c r="AG794" i="50"/>
  <c r="AG693" i="50"/>
  <c r="AG800" i="50"/>
  <c r="DG688" i="50"/>
  <c r="FJ688" i="50"/>
  <c r="AG798" i="50"/>
  <c r="DG807" i="50"/>
  <c r="FJ807" i="50"/>
  <c r="AG685" i="50"/>
  <c r="DG804" i="50"/>
  <c r="FJ804" i="50"/>
  <c r="AG815" i="50"/>
  <c r="AG811" i="50"/>
  <c r="AG700" i="50"/>
  <c r="DG821" i="50"/>
  <c r="FJ821" i="50"/>
  <c r="AG820" i="50"/>
  <c r="DG702" i="50"/>
  <c r="FJ702" i="50"/>
  <c r="AG701" i="50"/>
  <c r="DG895" i="50"/>
  <c r="FJ895" i="50"/>
  <c r="DG642" i="50"/>
  <c r="FJ642" i="50"/>
  <c r="DG830" i="50"/>
  <c r="FJ830" i="50"/>
  <c r="AG829" i="50"/>
  <c r="DG712" i="50"/>
  <c r="FJ712" i="50"/>
  <c r="AG711" i="50"/>
  <c r="AG706" i="50"/>
  <c r="AG825" i="50"/>
  <c r="DG86" i="50"/>
  <c r="FJ86" i="50"/>
  <c r="DG171" i="50"/>
  <c r="FJ171" i="50"/>
  <c r="DG223" i="50"/>
  <c r="FJ223" i="50"/>
  <c r="DG215" i="50"/>
  <c r="FJ215" i="50"/>
  <c r="DG216" i="50"/>
  <c r="FJ216" i="50"/>
  <c r="DG238" i="50"/>
  <c r="FJ238" i="50"/>
  <c r="DG285" i="50"/>
  <c r="FJ285" i="50"/>
  <c r="DG93" i="50"/>
  <c r="FJ93" i="50"/>
  <c r="DG240" i="50"/>
  <c r="FJ240" i="50"/>
  <c r="DG242" i="50"/>
  <c r="FJ242" i="50"/>
  <c r="AG834" i="50"/>
  <c r="AG843" i="50"/>
  <c r="AG839" i="50"/>
  <c r="DG838" i="50"/>
  <c r="FJ838" i="50"/>
  <c r="AG715" i="50"/>
  <c r="AG850" i="50"/>
  <c r="DG720" i="50"/>
  <c r="FJ720" i="50"/>
  <c r="AG849" i="50"/>
  <c r="DG853" i="50"/>
  <c r="FJ853" i="50"/>
  <c r="AG855" i="50"/>
  <c r="DG134" i="50"/>
  <c r="FJ134" i="50"/>
  <c r="DG188" i="50"/>
  <c r="FJ188" i="50"/>
  <c r="AG149" i="50"/>
  <c r="DG138" i="50"/>
  <c r="FJ138" i="50"/>
  <c r="AG233" i="50"/>
  <c r="AG752" i="50"/>
  <c r="DG732" i="50"/>
  <c r="FJ732" i="50"/>
  <c r="AG904" i="50"/>
  <c r="DG186" i="50"/>
  <c r="FJ186" i="50"/>
  <c r="AG185" i="50"/>
  <c r="DG182" i="50"/>
  <c r="FJ182" i="50"/>
  <c r="DG918" i="50"/>
  <c r="FJ918" i="50"/>
  <c r="DG920" i="50"/>
  <c r="FJ920" i="50"/>
  <c r="DG913" i="50"/>
  <c r="FJ913" i="50"/>
  <c r="DG872" i="50"/>
  <c r="FJ872" i="50"/>
  <c r="DG907" i="50"/>
  <c r="FJ907" i="50"/>
  <c r="DG733" i="50"/>
  <c r="FJ733" i="50"/>
  <c r="DG868" i="50"/>
  <c r="FJ868" i="50"/>
  <c r="DG244" i="50"/>
  <c r="FJ244" i="50"/>
  <c r="DG249" i="50"/>
  <c r="FJ249" i="50"/>
  <c r="DG253" i="50"/>
  <c r="FJ253" i="50"/>
  <c r="DG779" i="50"/>
  <c r="FJ779" i="50"/>
  <c r="DG620" i="50"/>
  <c r="L1130" i="50" a="1"/>
  <c r="L1130" i="50" s="1"/>
  <c r="L1128" i="50" a="1"/>
  <c r="L1128" i="50" s="1"/>
  <c r="L1126" i="50" a="1"/>
  <c r="L1126" i="50" s="1"/>
  <c r="L1124" i="50" a="1"/>
  <c r="L1124" i="50" s="1"/>
  <c r="L1122" i="50" a="1"/>
  <c r="L1122" i="50" s="1"/>
  <c r="L1120" i="50" a="1"/>
  <c r="L1120" i="50" s="1"/>
  <c r="L1118" i="50" a="1"/>
  <c r="L1118" i="50" s="1"/>
  <c r="L1116" i="50" a="1"/>
  <c r="L1116" i="50" s="1"/>
  <c r="L1132" i="50" a="1"/>
  <c r="L1132" i="50" s="1"/>
  <c r="L1131" i="50" a="1"/>
  <c r="L1131" i="50" s="1"/>
  <c r="L1129" i="50" a="1"/>
  <c r="L1129" i="50" s="1"/>
  <c r="L1127" i="50" a="1"/>
  <c r="L1127" i="50" s="1"/>
  <c r="L1125" i="50" a="1"/>
  <c r="L1125" i="50" s="1"/>
  <c r="L1123" i="50" a="1"/>
  <c r="L1123" i="50" s="1"/>
  <c r="L1121" i="50" a="1"/>
  <c r="L1121" i="50" s="1"/>
  <c r="L1119" i="50" a="1"/>
  <c r="L1119" i="50" s="1"/>
  <c r="L1117" i="50" a="1"/>
  <c r="L1117" i="50" s="1"/>
  <c r="L1110" i="50" a="1"/>
  <c r="L1110" i="50" s="1"/>
  <c r="L1107" i="50" a="1"/>
  <c r="L1107" i="50" s="1"/>
  <c r="L1104" i="50" a="1"/>
  <c r="L1104" i="50" s="1"/>
  <c r="L1100" i="50" a="1"/>
  <c r="L1100" i="50" s="1"/>
  <c r="L1096" i="50" a="1"/>
  <c r="L1096" i="50" s="1"/>
  <c r="L1112" i="50" a="1"/>
  <c r="L1112" i="50" s="1"/>
  <c r="L1109" i="50" a="1"/>
  <c r="L1109" i="50" s="1"/>
  <c r="L1103" i="50" a="1"/>
  <c r="L1103" i="50" s="1"/>
  <c r="L1099" i="50" a="1"/>
  <c r="L1099" i="50" s="1"/>
  <c r="L1111" i="50" a="1"/>
  <c r="L1111" i="50" s="1"/>
  <c r="L1106" i="50" a="1"/>
  <c r="L1106" i="50" s="1"/>
  <c r="L1098" i="50" a="1"/>
  <c r="L1098" i="50" s="1"/>
  <c r="L1101" i="50" a="1"/>
  <c r="L1101" i="50" s="1"/>
  <c r="L1105" i="50" a="1"/>
  <c r="L1105" i="50" s="1"/>
  <c r="L1097" i="50" a="1"/>
  <c r="L1097" i="50" s="1"/>
  <c r="L1102" i="50" a="1"/>
  <c r="L1102" i="50" s="1"/>
  <c r="L1108" i="50" a="1"/>
  <c r="L1108" i="50" s="1"/>
  <c r="AO313" i="50"/>
  <c r="AL313" i="50"/>
  <c r="AH313" i="50"/>
  <c r="AI313" i="50"/>
  <c r="DN39" i="50" l="1"/>
  <c r="DL38" i="50"/>
  <c r="DN33" i="50"/>
  <c r="DJ19" i="50"/>
  <c r="DL39" i="50"/>
  <c r="DL35" i="50"/>
  <c r="DL33" i="50"/>
  <c r="DN35" i="50"/>
  <c r="DN38" i="50"/>
  <c r="E9" i="50" s="1"/>
  <c r="DJ21" i="50"/>
  <c r="DJ25" i="50"/>
  <c r="DJ20" i="50" s="1"/>
  <c r="DJ24" i="50"/>
  <c r="N1101" i="50" a="1"/>
  <c r="N1101" i="50" s="1"/>
  <c r="M1101" i="50" a="1"/>
  <c r="M1101" i="50" s="1"/>
  <c r="O1101" i="50" a="1"/>
  <c r="O1101" i="50" s="1"/>
  <c r="O1096" i="50" a="1"/>
  <c r="O1096" i="50" s="1"/>
  <c r="N1096" i="50" a="1"/>
  <c r="N1096" i="50" s="1"/>
  <c r="M1096" i="50" a="1"/>
  <c r="M1096" i="50" s="1"/>
  <c r="O1123" i="50" a="1"/>
  <c r="O1123" i="50" s="1"/>
  <c r="M1123" i="50" a="1"/>
  <c r="M1123" i="50" s="1"/>
  <c r="N1123" i="50" a="1"/>
  <c r="N1123" i="50" s="1"/>
  <c r="O1120" i="50" a="1"/>
  <c r="O1120" i="50" s="1"/>
  <c r="M1120" i="50" a="1"/>
  <c r="M1120" i="50" s="1"/>
  <c r="N1120" i="50" a="1"/>
  <c r="N1120" i="50" s="1"/>
  <c r="M1102" i="50" a="1"/>
  <c r="M1102" i="50" s="1"/>
  <c r="O1102" i="50" a="1"/>
  <c r="O1102" i="50" s="1"/>
  <c r="N1102" i="50" a="1"/>
  <c r="N1102" i="50" s="1"/>
  <c r="M1103" i="50" a="1"/>
  <c r="M1103" i="50" s="1"/>
  <c r="O1103" i="50" a="1"/>
  <c r="O1103" i="50" s="1"/>
  <c r="N1103" i="50" a="1"/>
  <c r="N1103" i="50" s="1"/>
  <c r="O1117" i="50" a="1"/>
  <c r="O1117" i="50" s="1"/>
  <c r="M1117" i="50" a="1"/>
  <c r="M1117" i="50" s="1"/>
  <c r="N1117" i="50" a="1"/>
  <c r="N1117" i="50" s="1"/>
  <c r="O1132" i="50" a="1"/>
  <c r="O1132" i="50" s="1"/>
  <c r="M1132" i="50" a="1"/>
  <c r="M1132" i="50" s="1"/>
  <c r="N1132" i="50" a="1"/>
  <c r="N1132" i="50" s="1"/>
  <c r="O1130" i="50" a="1"/>
  <c r="O1130" i="50" s="1"/>
  <c r="M1130" i="50" a="1"/>
  <c r="M1130" i="50" s="1"/>
  <c r="N1130" i="50" a="1"/>
  <c r="N1130" i="50" s="1"/>
  <c r="O1105" i="50" a="1"/>
  <c r="O1105" i="50" s="1"/>
  <c r="N1105" i="50" a="1"/>
  <c r="N1105" i="50" s="1"/>
  <c r="M1105" i="50" a="1"/>
  <c r="M1105" i="50" s="1"/>
  <c r="M1111" i="50" a="1"/>
  <c r="M1111" i="50" s="1"/>
  <c r="O1111" i="50" a="1"/>
  <c r="O1111" i="50" s="1"/>
  <c r="N1111" i="50" a="1"/>
  <c r="N1111" i="50" s="1"/>
  <c r="M1112" i="50" a="1"/>
  <c r="M1112" i="50" s="1"/>
  <c r="O1112" i="50" a="1"/>
  <c r="O1112" i="50" s="1"/>
  <c r="N1112" i="50" a="1"/>
  <c r="N1112" i="50" s="1"/>
  <c r="N1107" i="50" a="1"/>
  <c r="N1107" i="50" s="1"/>
  <c r="M1107" i="50" a="1"/>
  <c r="M1107" i="50" s="1"/>
  <c r="O1107" i="50" a="1"/>
  <c r="O1107" i="50" s="1"/>
  <c r="O1121" i="50" a="1"/>
  <c r="O1121" i="50" s="1"/>
  <c r="M1121" i="50" a="1"/>
  <c r="M1121" i="50" s="1"/>
  <c r="N1121" i="50" a="1"/>
  <c r="N1121" i="50" s="1"/>
  <c r="O1129" i="50" a="1"/>
  <c r="O1129" i="50" s="1"/>
  <c r="M1129" i="50" a="1"/>
  <c r="M1129" i="50" s="1"/>
  <c r="N1129" i="50" a="1"/>
  <c r="N1129" i="50" s="1"/>
  <c r="O1118" i="50" a="1"/>
  <c r="O1118" i="50" s="1"/>
  <c r="M1118" i="50" a="1"/>
  <c r="M1118" i="50" s="1"/>
  <c r="N1118" i="50" a="1"/>
  <c r="N1118" i="50" s="1"/>
  <c r="O1126" i="50" a="1"/>
  <c r="O1126" i="50" s="1"/>
  <c r="M1126" i="50" a="1"/>
  <c r="M1126" i="50" s="1"/>
  <c r="N1126" i="50" a="1"/>
  <c r="N1126" i="50" s="1"/>
  <c r="N1108" i="50" a="1"/>
  <c r="N1108" i="50" s="1"/>
  <c r="M1108" i="50" a="1"/>
  <c r="M1108" i="50" s="1"/>
  <c r="O1108" i="50" a="1"/>
  <c r="O1108" i="50" s="1"/>
  <c r="N1099" i="50" a="1"/>
  <c r="N1099" i="50" s="1"/>
  <c r="M1099" i="50" a="1"/>
  <c r="M1099" i="50" s="1"/>
  <c r="O1099" i="50" a="1"/>
  <c r="O1099" i="50" s="1"/>
  <c r="M1110" i="50" a="1"/>
  <c r="M1110" i="50" s="1"/>
  <c r="O1110" i="50" a="1"/>
  <c r="O1110" i="50" s="1"/>
  <c r="N1110" i="50" a="1"/>
  <c r="N1110" i="50" s="1"/>
  <c r="O1131" i="50" a="1"/>
  <c r="O1131" i="50" s="1"/>
  <c r="M1131" i="50" a="1"/>
  <c r="M1131" i="50" s="1"/>
  <c r="N1131" i="50" a="1"/>
  <c r="N1131" i="50" s="1"/>
  <c r="O1128" i="50" a="1"/>
  <c r="O1128" i="50" s="1"/>
  <c r="M1128" i="50" a="1"/>
  <c r="M1128" i="50" s="1"/>
  <c r="N1128" i="50" a="1"/>
  <c r="N1128" i="50" s="1"/>
  <c r="O1098" i="50" a="1"/>
  <c r="O1098" i="50" s="1"/>
  <c r="N1098" i="50" a="1"/>
  <c r="N1098" i="50" s="1"/>
  <c r="M1098" i="50" a="1"/>
  <c r="M1098" i="50" s="1"/>
  <c r="N1100" i="50" a="1"/>
  <c r="N1100" i="50" s="1"/>
  <c r="O1100" i="50" a="1"/>
  <c r="O1100" i="50" s="1"/>
  <c r="M1100" i="50" a="1"/>
  <c r="M1100" i="50" s="1"/>
  <c r="O1125" i="50" a="1"/>
  <c r="O1125" i="50" s="1"/>
  <c r="M1125" i="50" a="1"/>
  <c r="M1125" i="50" s="1"/>
  <c r="N1125" i="50" a="1"/>
  <c r="N1125" i="50" s="1"/>
  <c r="O1122" i="50" a="1"/>
  <c r="O1122" i="50" s="1"/>
  <c r="M1122" i="50" a="1"/>
  <c r="M1122" i="50" s="1"/>
  <c r="N1122" i="50" a="1"/>
  <c r="N1122" i="50" s="1"/>
  <c r="O1097" i="50" a="1"/>
  <c r="O1097" i="50" s="1"/>
  <c r="N1097" i="50" a="1"/>
  <c r="N1097" i="50" s="1"/>
  <c r="M1097" i="50" a="1"/>
  <c r="M1097" i="50" s="1"/>
  <c r="O1106" i="50" a="1"/>
  <c r="O1106" i="50" s="1"/>
  <c r="N1106" i="50" a="1"/>
  <c r="N1106" i="50" s="1"/>
  <c r="M1106" i="50" a="1"/>
  <c r="M1106" i="50" s="1"/>
  <c r="N1109" i="50" a="1"/>
  <c r="N1109" i="50" s="1"/>
  <c r="M1109" i="50" a="1"/>
  <c r="M1109" i="50" s="1"/>
  <c r="O1109" i="50" a="1"/>
  <c r="O1109" i="50" s="1"/>
  <c r="M1104" i="50" a="1"/>
  <c r="M1104" i="50" s="1"/>
  <c r="O1104" i="50" a="1"/>
  <c r="O1104" i="50" s="1"/>
  <c r="N1104" i="50" a="1"/>
  <c r="N1104" i="50" s="1"/>
  <c r="O1119" i="50" a="1"/>
  <c r="O1119" i="50" s="1"/>
  <c r="M1119" i="50" a="1"/>
  <c r="M1119" i="50" s="1"/>
  <c r="N1119" i="50" a="1"/>
  <c r="N1119" i="50" s="1"/>
  <c r="O1127" i="50" a="1"/>
  <c r="O1127" i="50" s="1"/>
  <c r="M1127" i="50" a="1"/>
  <c r="M1127" i="50" s="1"/>
  <c r="N1127" i="50" a="1"/>
  <c r="N1127" i="50" s="1"/>
  <c r="O1116" i="50" a="1"/>
  <c r="O1116" i="50" s="1"/>
  <c r="M1116" i="50" a="1"/>
  <c r="M1116" i="50" s="1"/>
  <c r="N1116" i="50" a="1"/>
  <c r="N1116" i="50" s="1"/>
  <c r="O1124" i="50" a="1"/>
  <c r="O1124" i="50" s="1"/>
  <c r="M1124" i="50" a="1"/>
  <c r="M1124" i="50" s="1"/>
  <c r="N1124" i="50" a="1"/>
  <c r="N1124" i="50" s="1"/>
  <c r="DJ26" i="50"/>
  <c r="DL36" i="50"/>
  <c r="DL34" i="50"/>
  <c r="DL40" i="50"/>
  <c r="DN34" i="50"/>
  <c r="E6" i="50" s="1"/>
  <c r="E10" i="50"/>
  <c r="DN36" i="50"/>
  <c r="E7" i="50" s="1"/>
  <c r="DN40" i="50"/>
  <c r="E11" i="50" s="1"/>
  <c r="DN31" i="50" l="1"/>
  <c r="DL31" i="50"/>
  <c r="DN30" i="50"/>
  <c r="DL30" i="50"/>
  <c r="K213" i="32"/>
  <c r="J295" i="50"/>
  <c r="T295" i="50" s="1"/>
  <c r="FG295" i="50" s="1"/>
  <c r="I213" i="32"/>
  <c r="K209" i="32"/>
  <c r="J294" i="50"/>
  <c r="T294" i="50" s="1"/>
  <c r="FG294" i="50" s="1"/>
  <c r="I209" i="32"/>
  <c r="K207" i="32"/>
  <c r="J292" i="50"/>
  <c r="T292" i="50" s="1"/>
  <c r="FG292" i="50" s="1"/>
  <c r="I207" i="32"/>
  <c r="K292" i="50" l="1"/>
  <c r="CX207" i="32"/>
  <c r="H295" i="50"/>
  <c r="CT213" i="32"/>
  <c r="H294" i="50"/>
  <c r="CT209" i="32"/>
  <c r="H292" i="50"/>
  <c r="CT207" i="32"/>
  <c r="K295" i="50"/>
  <c r="CX213" i="32"/>
  <c r="K294" i="50"/>
  <c r="CX209" i="32"/>
  <c r="C156" i="32"/>
  <c r="CX156" i="32"/>
  <c r="CS156" i="32"/>
  <c r="CR156" i="32"/>
  <c r="CD156" i="32"/>
  <c r="BV156" i="32"/>
  <c r="BS156" i="32"/>
  <c r="BP156" i="32"/>
  <c r="BL156" i="32"/>
  <c r="BM156" i="32" s="1"/>
  <c r="BI156" i="32"/>
  <c r="BJ156" i="32" s="1"/>
  <c r="BF156" i="32"/>
  <c r="BG156" i="32" s="1"/>
  <c r="BC156" i="32"/>
  <c r="BD156" i="32" s="1"/>
  <c r="AZ156" i="32"/>
  <c r="BA156" i="32" s="1"/>
  <c r="AW156" i="32"/>
  <c r="AT156" i="32"/>
  <c r="AP156" i="32"/>
  <c r="AQ156" i="32" s="1"/>
  <c r="AM156" i="32"/>
  <c r="AN156" i="32" s="1"/>
  <c r="AJ156" i="32"/>
  <c r="AK156" i="32" s="1"/>
  <c r="AG156" i="32"/>
  <c r="AC156" i="32"/>
  <c r="AD156" i="32" s="1"/>
  <c r="Z156" i="32"/>
  <c r="AA156" i="32" s="1"/>
  <c r="W156" i="32"/>
  <c r="X156" i="32" s="1"/>
  <c r="T156" i="32"/>
  <c r="Q156" i="32"/>
  <c r="R156" i="32" s="1"/>
  <c r="CH156" i="32"/>
  <c r="U156" i="32" l="1"/>
  <c r="J156" i="32" s="1"/>
  <c r="J313" i="50" s="1"/>
  <c r="CY156" i="32"/>
  <c r="CE156" i="32"/>
  <c r="CT156" i="32"/>
  <c r="CU156" i="32"/>
  <c r="I39" i="46"/>
  <c r="H39" i="46"/>
  <c r="F39" i="46"/>
  <c r="E39" i="46"/>
  <c r="J17" i="46"/>
  <c r="I17" i="46"/>
  <c r="H17" i="46"/>
  <c r="O37" i="46"/>
  <c r="AC37" i="46" s="1"/>
  <c r="N37" i="46"/>
  <c r="AB37" i="46" s="1"/>
  <c r="O32" i="46"/>
  <c r="AC32" i="46" s="1"/>
  <c r="N32" i="46"/>
  <c r="AB32" i="46" s="1"/>
  <c r="R36" i="46"/>
  <c r="AF36" i="46" s="1"/>
  <c r="Q36" i="46"/>
  <c r="AE36" i="46" s="1"/>
  <c r="O36" i="46"/>
  <c r="AC36" i="46" s="1"/>
  <c r="N36" i="46"/>
  <c r="AB36" i="46" s="1"/>
  <c r="R35" i="46"/>
  <c r="AF35" i="46" s="1"/>
  <c r="Q35" i="46"/>
  <c r="AE35" i="46" s="1"/>
  <c r="O35" i="46"/>
  <c r="AC35" i="46" s="1"/>
  <c r="N35" i="46"/>
  <c r="AB35" i="46" s="1"/>
  <c r="R34" i="46"/>
  <c r="AF34" i="46" s="1"/>
  <c r="Q34" i="46"/>
  <c r="AE34" i="46" s="1"/>
  <c r="O34" i="46"/>
  <c r="AC34" i="46" s="1"/>
  <c r="N34" i="46"/>
  <c r="AB34" i="46" s="1"/>
  <c r="R33" i="46"/>
  <c r="AF33" i="46" s="1"/>
  <c r="Q33" i="46"/>
  <c r="AE33" i="46" s="1"/>
  <c r="O33" i="46"/>
  <c r="AC33" i="46" s="1"/>
  <c r="N33" i="46"/>
  <c r="AB33" i="46" s="1"/>
  <c r="R30" i="46"/>
  <c r="AF30" i="46" s="1"/>
  <c r="Q30" i="46"/>
  <c r="AE30" i="46" s="1"/>
  <c r="O30" i="46"/>
  <c r="AC30" i="46" s="1"/>
  <c r="N30" i="46"/>
  <c r="AB30" i="46" s="1"/>
  <c r="R29" i="46"/>
  <c r="AF29" i="46" s="1"/>
  <c r="Q29" i="46"/>
  <c r="AE29" i="46" s="1"/>
  <c r="O29" i="46"/>
  <c r="AC29" i="46" s="1"/>
  <c r="N29" i="46"/>
  <c r="AB29" i="46" s="1"/>
  <c r="R28" i="46"/>
  <c r="AF28" i="46" s="1"/>
  <c r="Q28" i="46"/>
  <c r="AE28" i="46" s="1"/>
  <c r="O28" i="46"/>
  <c r="AC28" i="46" s="1"/>
  <c r="N28" i="46"/>
  <c r="AB28" i="46" s="1"/>
  <c r="R27" i="46"/>
  <c r="AF27" i="46" s="1"/>
  <c r="Q27" i="46"/>
  <c r="AE27" i="46" s="1"/>
  <c r="O27" i="46"/>
  <c r="AC27" i="46" s="1"/>
  <c r="N27" i="46"/>
  <c r="AB27" i="46" s="1"/>
  <c r="R26" i="46"/>
  <c r="AF26" i="46" s="1"/>
  <c r="Q26" i="46"/>
  <c r="AE26" i="46" s="1"/>
  <c r="O26" i="46"/>
  <c r="AC26" i="46" s="1"/>
  <c r="N26" i="46"/>
  <c r="AB26" i="46" s="1"/>
  <c r="R25" i="46"/>
  <c r="Q25" i="46"/>
  <c r="O25" i="46"/>
  <c r="N25" i="46"/>
  <c r="O24" i="46"/>
  <c r="AC24" i="46" s="1"/>
  <c r="N24" i="46"/>
  <c r="AB24" i="46" s="1"/>
  <c r="S15" i="46"/>
  <c r="AG15" i="46" s="1"/>
  <c r="R15" i="46"/>
  <c r="AF15" i="46" s="1"/>
  <c r="Q15" i="46"/>
  <c r="AE15" i="46" s="1"/>
  <c r="S14" i="46"/>
  <c r="AG14" i="46" s="1"/>
  <c r="R14" i="46"/>
  <c r="AF14" i="46" s="1"/>
  <c r="Q14" i="46"/>
  <c r="AE14" i="46" s="1"/>
  <c r="S13" i="46"/>
  <c r="AG13" i="46" s="1"/>
  <c r="R13" i="46"/>
  <c r="AF13" i="46" s="1"/>
  <c r="Q13" i="46"/>
  <c r="AE13" i="46" s="1"/>
  <c r="S12" i="46"/>
  <c r="AG12" i="46" s="1"/>
  <c r="R12" i="46"/>
  <c r="AF12" i="46" s="1"/>
  <c r="Q12" i="46"/>
  <c r="AE12" i="46" s="1"/>
  <c r="S11" i="46"/>
  <c r="AG11" i="46" s="1"/>
  <c r="R11" i="46"/>
  <c r="AF11" i="46" s="1"/>
  <c r="Q11" i="46"/>
  <c r="AE11" i="46" s="1"/>
  <c r="S9" i="46"/>
  <c r="AG9" i="46" s="1"/>
  <c r="R9" i="46"/>
  <c r="AF9" i="46" s="1"/>
  <c r="Q9" i="46"/>
  <c r="AE9" i="46" s="1"/>
  <c r="S8" i="46"/>
  <c r="AG8" i="46" s="1"/>
  <c r="R8" i="46"/>
  <c r="AF8" i="46" s="1"/>
  <c r="Q8" i="46"/>
  <c r="AE8" i="46" s="1"/>
  <c r="S7" i="46"/>
  <c r="AG7" i="46" s="1"/>
  <c r="R7" i="46"/>
  <c r="AF7" i="46" s="1"/>
  <c r="Q7" i="46"/>
  <c r="AE7" i="46" s="1"/>
  <c r="S6" i="46"/>
  <c r="AG6" i="46" s="1"/>
  <c r="R6" i="46"/>
  <c r="AF6" i="46" s="1"/>
  <c r="Q6" i="46"/>
  <c r="AE6" i="46" s="1"/>
  <c r="S5" i="46"/>
  <c r="AG5" i="46" s="1"/>
  <c r="R5" i="46"/>
  <c r="AF5" i="46" s="1"/>
  <c r="Q5" i="46"/>
  <c r="AE5" i="46" s="1"/>
  <c r="O15" i="46"/>
  <c r="AC15" i="46" s="1"/>
  <c r="O14" i="46"/>
  <c r="AC14" i="46" s="1"/>
  <c r="O13" i="46"/>
  <c r="AC13" i="46" s="1"/>
  <c r="O12" i="46"/>
  <c r="AC12" i="46" s="1"/>
  <c r="O11" i="46"/>
  <c r="AC11" i="46" s="1"/>
  <c r="O9" i="46"/>
  <c r="AC9" i="46" s="1"/>
  <c r="O8" i="46"/>
  <c r="AC8" i="46" s="1"/>
  <c r="O7" i="46"/>
  <c r="AC7" i="46" s="1"/>
  <c r="O6" i="46"/>
  <c r="AC6" i="46" s="1"/>
  <c r="O5" i="46"/>
  <c r="AC5" i="46" s="1"/>
  <c r="K5" i="46"/>
  <c r="P15" i="46"/>
  <c r="AD15" i="46" s="1"/>
  <c r="N15" i="46"/>
  <c r="AB15" i="46" s="1"/>
  <c r="P14" i="46"/>
  <c r="AD14" i="46" s="1"/>
  <c r="N14" i="46"/>
  <c r="AB14" i="46" s="1"/>
  <c r="P13" i="46"/>
  <c r="AD13" i="46" s="1"/>
  <c r="N13" i="46"/>
  <c r="P12" i="46"/>
  <c r="N12" i="46"/>
  <c r="AB12" i="46" s="1"/>
  <c r="P11" i="46"/>
  <c r="AD11" i="46" s="1"/>
  <c r="N11" i="46"/>
  <c r="AB11" i="46" s="1"/>
  <c r="P9" i="46"/>
  <c r="AD9" i="46" s="1"/>
  <c r="N9" i="46"/>
  <c r="AB9" i="46" s="1"/>
  <c r="P8" i="46"/>
  <c r="AD8" i="46" s="1"/>
  <c r="N8" i="46"/>
  <c r="AB8" i="46" s="1"/>
  <c r="P7" i="46"/>
  <c r="AD7" i="46" s="1"/>
  <c r="N7" i="46"/>
  <c r="AB7" i="46" s="1"/>
  <c r="P6" i="46"/>
  <c r="AD6" i="46" s="1"/>
  <c r="N6" i="46"/>
  <c r="AB6" i="46" s="1"/>
  <c r="P5" i="46"/>
  <c r="N5" i="46"/>
  <c r="AB5" i="46" s="1"/>
  <c r="AW356" i="32"/>
  <c r="AW266" i="32"/>
  <c r="AW267" i="32"/>
  <c r="AW285" i="32"/>
  <c r="AW219" i="32"/>
  <c r="AW318" i="32"/>
  <c r="I356" i="32"/>
  <c r="CS356" i="32"/>
  <c r="K356" i="32"/>
  <c r="CR356" i="32"/>
  <c r="T8" i="46" l="1"/>
  <c r="O39" i="46"/>
  <c r="AC39" i="46" s="1"/>
  <c r="AC25" i="46"/>
  <c r="R39" i="46"/>
  <c r="AF25" i="46"/>
  <c r="N39" i="46"/>
  <c r="AB39" i="46" s="1"/>
  <c r="AB25" i="46"/>
  <c r="Q39" i="46"/>
  <c r="AE25" i="46"/>
  <c r="U36" i="46"/>
  <c r="P17" i="46"/>
  <c r="AD17" i="46" s="1"/>
  <c r="AD5" i="46"/>
  <c r="V12" i="46"/>
  <c r="AD12" i="46"/>
  <c r="T13" i="46"/>
  <c r="AB13" i="46"/>
  <c r="H40" i="46"/>
  <c r="I40" i="46"/>
  <c r="CW156" i="32"/>
  <c r="CE313" i="50"/>
  <c r="BY313" i="50"/>
  <c r="BX313" i="50"/>
  <c r="CB313" i="50"/>
  <c r="H926" i="50"/>
  <c r="H355" i="50"/>
  <c r="H927" i="50"/>
  <c r="H356" i="50"/>
  <c r="J927" i="50"/>
  <c r="J356" i="50"/>
  <c r="J926" i="50"/>
  <c r="J355" i="50"/>
  <c r="K926" i="50"/>
  <c r="K927" i="50"/>
  <c r="K355" i="50"/>
  <c r="K356" i="50"/>
  <c r="CV156" i="32"/>
  <c r="CG156" i="32"/>
  <c r="V11" i="46"/>
  <c r="V15" i="46"/>
  <c r="O17" i="46"/>
  <c r="AC17" i="46" s="1"/>
  <c r="U9" i="46"/>
  <c r="U14" i="46"/>
  <c r="S17" i="46"/>
  <c r="T7" i="46"/>
  <c r="U8" i="46"/>
  <c r="V9" i="46"/>
  <c r="U13" i="46"/>
  <c r="T26" i="46"/>
  <c r="T28" i="46"/>
  <c r="T30" i="46"/>
  <c r="T34" i="46"/>
  <c r="T36" i="46"/>
  <c r="N17" i="46"/>
  <c r="AB17" i="46" s="1"/>
  <c r="T14" i="46"/>
  <c r="U15" i="46"/>
  <c r="T6" i="46"/>
  <c r="T11" i="46"/>
  <c r="U25" i="46"/>
  <c r="U26" i="46"/>
  <c r="U27" i="46"/>
  <c r="U28" i="46"/>
  <c r="U29" i="46"/>
  <c r="U30" i="46"/>
  <c r="U33" i="46"/>
  <c r="U34" i="46"/>
  <c r="U35" i="46"/>
  <c r="T12" i="46"/>
  <c r="V5" i="46"/>
  <c r="T15" i="46"/>
  <c r="U7" i="46"/>
  <c r="U12" i="46"/>
  <c r="Q17" i="46"/>
  <c r="U6" i="46"/>
  <c r="V7" i="46"/>
  <c r="T9" i="46"/>
  <c r="U11" i="46"/>
  <c r="T25" i="46"/>
  <c r="T27" i="46"/>
  <c r="T29" i="46"/>
  <c r="T33" i="46"/>
  <c r="T35" i="46"/>
  <c r="V14" i="46"/>
  <c r="V8" i="46"/>
  <c r="V13" i="46"/>
  <c r="R17" i="46"/>
  <c r="AF17" i="46" s="1"/>
  <c r="V6" i="46"/>
  <c r="T5" i="46"/>
  <c r="U5" i="46"/>
  <c r="K347" i="32"/>
  <c r="K346" i="32"/>
  <c r="K344" i="32"/>
  <c r="K343" i="32"/>
  <c r="K355" i="32"/>
  <c r="K113" i="50" s="1"/>
  <c r="AH113" i="50" s="1"/>
  <c r="K354" i="32"/>
  <c r="K353" i="32"/>
  <c r="K352" i="32"/>
  <c r="K351" i="32"/>
  <c r="K350" i="32"/>
  <c r="K348" i="32"/>
  <c r="K345" i="32"/>
  <c r="K349" i="32"/>
  <c r="K342" i="32"/>
  <c r="K104" i="32"/>
  <c r="CX104" i="32" s="1"/>
  <c r="K103" i="32"/>
  <c r="K102" i="32"/>
  <c r="K101" i="32"/>
  <c r="K100" i="32"/>
  <c r="K99" i="32"/>
  <c r="K98" i="32"/>
  <c r="K96" i="32"/>
  <c r="K95" i="32"/>
  <c r="K94" i="32"/>
  <c r="K118" i="32"/>
  <c r="K116" i="32"/>
  <c r="K115" i="32"/>
  <c r="K114" i="32"/>
  <c r="K113" i="32"/>
  <c r="K112" i="32"/>
  <c r="K111" i="32"/>
  <c r="CX111" i="32" s="1"/>
  <c r="K110" i="32"/>
  <c r="K108" i="32"/>
  <c r="K107" i="32"/>
  <c r="K106" i="32"/>
  <c r="K105" i="32"/>
  <c r="K97" i="32"/>
  <c r="K93" i="32"/>
  <c r="K117" i="32"/>
  <c r="K109" i="32"/>
  <c r="K142" i="32"/>
  <c r="CT266" i="32"/>
  <c r="CT267" i="32"/>
  <c r="CT285" i="32"/>
  <c r="CT219" i="32"/>
  <c r="CT318" i="32"/>
  <c r="CV359" i="32"/>
  <c r="AG266" i="32"/>
  <c r="AG267" i="32"/>
  <c r="AG285" i="32"/>
  <c r="AG219" i="32"/>
  <c r="AG318" i="32"/>
  <c r="AG223" i="32"/>
  <c r="AG231" i="32"/>
  <c r="AG230" i="32"/>
  <c r="AG229" i="32"/>
  <c r="AG228" i="32"/>
  <c r="AG227" i="32"/>
  <c r="AG226" i="32"/>
  <c r="AG225" i="32"/>
  <c r="AG224" i="32"/>
  <c r="AG222" i="32"/>
  <c r="AG193" i="32"/>
  <c r="AG192" i="32"/>
  <c r="AG159" i="32"/>
  <c r="AG146" i="32"/>
  <c r="AG145" i="32"/>
  <c r="AG220" i="32"/>
  <c r="AG208" i="32"/>
  <c r="AG206" i="32"/>
  <c r="AG205" i="32"/>
  <c r="AG221" i="32"/>
  <c r="AG204" i="32"/>
  <c r="AG203" i="32"/>
  <c r="AG202" i="32"/>
  <c r="AG200" i="32"/>
  <c r="AG199" i="32"/>
  <c r="AG198" i="32"/>
  <c r="AG197" i="32"/>
  <c r="AG232" i="32"/>
  <c r="AG195" i="32"/>
  <c r="AG189" i="32"/>
  <c r="AG236" i="32"/>
  <c r="AG235" i="32"/>
  <c r="AG234" i="32"/>
  <c r="AG233" i="32"/>
  <c r="AG201" i="32"/>
  <c r="AG216" i="32"/>
  <c r="AG211" i="32"/>
  <c r="AG215" i="32"/>
  <c r="AG210" i="32"/>
  <c r="AG214" i="32"/>
  <c r="AG212" i="32"/>
  <c r="AG217" i="32"/>
  <c r="AG181" i="32"/>
  <c r="AG183" i="32"/>
  <c r="AG184" i="32"/>
  <c r="AG347" i="32"/>
  <c r="AG346" i="32"/>
  <c r="AG344" i="32"/>
  <c r="AG343" i="32"/>
  <c r="AG355" i="32"/>
  <c r="AG354" i="32"/>
  <c r="AG353" i="32"/>
  <c r="AG352" i="32"/>
  <c r="AG351" i="32"/>
  <c r="AG350" i="32"/>
  <c r="AG348" i="32"/>
  <c r="AG345" i="32"/>
  <c r="AG349" i="32"/>
  <c r="AG342" i="32"/>
  <c r="AG104" i="32"/>
  <c r="AG103" i="32"/>
  <c r="AG102" i="32"/>
  <c r="AG101" i="32"/>
  <c r="AG100" i="32"/>
  <c r="AG99" i="32"/>
  <c r="AG98" i="32"/>
  <c r="AG96" i="32"/>
  <c r="AG95" i="32"/>
  <c r="AG94" i="32"/>
  <c r="AG118" i="32"/>
  <c r="AG116" i="32"/>
  <c r="AG115" i="32"/>
  <c r="AG114" i="32"/>
  <c r="AG113" i="32"/>
  <c r="AG112" i="32"/>
  <c r="AG111" i="32"/>
  <c r="AG110" i="32"/>
  <c r="AG108" i="32"/>
  <c r="AG107" i="32"/>
  <c r="AG106" i="32"/>
  <c r="AG105" i="32"/>
  <c r="AG97" i="32"/>
  <c r="AG93" i="32"/>
  <c r="AG117" i="32"/>
  <c r="AG109" i="32"/>
  <c r="AG142" i="32"/>
  <c r="AG278" i="32"/>
  <c r="AG252" i="32"/>
  <c r="AG246" i="32"/>
  <c r="AG191" i="32"/>
  <c r="AG190" i="32"/>
  <c r="AG188" i="32"/>
  <c r="AG238" i="32"/>
  <c r="AG240" i="32"/>
  <c r="AG244" i="32"/>
  <c r="AG245" i="32"/>
  <c r="AG185" i="32"/>
  <c r="AG179" i="32"/>
  <c r="AG242" i="32"/>
  <c r="AG243" i="32"/>
  <c r="AG194" i="32"/>
  <c r="AG182" i="32"/>
  <c r="AG284" i="32"/>
  <c r="AG378" i="32"/>
  <c r="AG265" i="32"/>
  <c r="AG373" i="32"/>
  <c r="AG196" i="32"/>
  <c r="AG186" i="32"/>
  <c r="AG253" i="32"/>
  <c r="AG280" i="32"/>
  <c r="AG254" i="32"/>
  <c r="AG241" i="32"/>
  <c r="AG180" i="32"/>
  <c r="AG239" i="32"/>
  <c r="AG281" i="32"/>
  <c r="AG256" i="32"/>
  <c r="AG187" i="32"/>
  <c r="AG288" i="32"/>
  <c r="AG282" i="32"/>
  <c r="AG255" i="32"/>
  <c r="AG251" i="32"/>
  <c r="AG237" i="32"/>
  <c r="AG272" i="32"/>
  <c r="AG365" i="32"/>
  <c r="AG178" i="32"/>
  <c r="AG218" i="32"/>
  <c r="AG57" i="32"/>
  <c r="AG56" i="32"/>
  <c r="AG55" i="32"/>
  <c r="AG54" i="32"/>
  <c r="AG53" i="32"/>
  <c r="AG52" i="32"/>
  <c r="AG51" i="32"/>
  <c r="AG50" i="32"/>
  <c r="AG49" i="32"/>
  <c r="AG48" i="32"/>
  <c r="AG47" i="32"/>
  <c r="AG46" i="32"/>
  <c r="AG45" i="32"/>
  <c r="AG44" i="32"/>
  <c r="AG42" i="32"/>
  <c r="AG41" i="32"/>
  <c r="AG40" i="32"/>
  <c r="AG39" i="32"/>
  <c r="AG38" i="32"/>
  <c r="AG37" i="32"/>
  <c r="AG35" i="32"/>
  <c r="AG34" i="32"/>
  <c r="AG33" i="32"/>
  <c r="AG32" i="32"/>
  <c r="AG31" i="32"/>
  <c r="AG30" i="32"/>
  <c r="AG29" i="32"/>
  <c r="AG28" i="32"/>
  <c r="AG27" i="32"/>
  <c r="AG26" i="32"/>
  <c r="AG25" i="32"/>
  <c r="AG24" i="32"/>
  <c r="AG23" i="32"/>
  <c r="AG22" i="32"/>
  <c r="AG21" i="32"/>
  <c r="AG20" i="32"/>
  <c r="AG19" i="32"/>
  <c r="AG18" i="32"/>
  <c r="AG17" i="32"/>
  <c r="AG16" i="32"/>
  <c r="AG15" i="32"/>
  <c r="AG92" i="32"/>
  <c r="AG91" i="32"/>
  <c r="AG90" i="32"/>
  <c r="AG89" i="32"/>
  <c r="AG88" i="32"/>
  <c r="AG87" i="32"/>
  <c r="AG86" i="32"/>
  <c r="AG85" i="32"/>
  <c r="AG84" i="32"/>
  <c r="AG83" i="32"/>
  <c r="AG82" i="32"/>
  <c r="AG81" i="32"/>
  <c r="AG80" i="32"/>
  <c r="AG79" i="32"/>
  <c r="AG78" i="32"/>
  <c r="AG77" i="32"/>
  <c r="AG75" i="32"/>
  <c r="AG74" i="32"/>
  <c r="AG73" i="32"/>
  <c r="AG72" i="32"/>
  <c r="AG71" i="32"/>
  <c r="AG70" i="32"/>
  <c r="AG69" i="32"/>
  <c r="AG68" i="32"/>
  <c r="AG67" i="32"/>
  <c r="AG66" i="32"/>
  <c r="AG65" i="32"/>
  <c r="AG63" i="32"/>
  <c r="AG62" i="32"/>
  <c r="AG61" i="32"/>
  <c r="AG60" i="32"/>
  <c r="AG59" i="32"/>
  <c r="AG58" i="32"/>
  <c r="AG43" i="32"/>
  <c r="AG36" i="32"/>
  <c r="AG76" i="32"/>
  <c r="AG64" i="32"/>
  <c r="AG14" i="32"/>
  <c r="AG157" i="32"/>
  <c r="AG154" i="32"/>
  <c r="AG155" i="32"/>
  <c r="AG137" i="32"/>
  <c r="AG136" i="32"/>
  <c r="AG138" i="32"/>
  <c r="AG127" i="32"/>
  <c r="AG139" i="32"/>
  <c r="AG131" i="32"/>
  <c r="AG135" i="32"/>
  <c r="AG140" i="32"/>
  <c r="AG126" i="32"/>
  <c r="AG132" i="32"/>
  <c r="AG134" i="32"/>
  <c r="AG124" i="32"/>
  <c r="AG121" i="32"/>
  <c r="AG128" i="32"/>
  <c r="AG129" i="32"/>
  <c r="AG123" i="32"/>
  <c r="AG119" i="32"/>
  <c r="AG122" i="32"/>
  <c r="AG120" i="32"/>
  <c r="AG130" i="32"/>
  <c r="AG125" i="32"/>
  <c r="AG133" i="32"/>
  <c r="AG158" i="32"/>
  <c r="AG150" i="32"/>
  <c r="AG163" i="32"/>
  <c r="AG166" i="32"/>
  <c r="AG147" i="32"/>
  <c r="AG149" i="32"/>
  <c r="AG151" i="32"/>
  <c r="AG148" i="32"/>
  <c r="AG153" i="32"/>
  <c r="AG144" i="32"/>
  <c r="AG168" i="32"/>
  <c r="AG161" i="32"/>
  <c r="AG143" i="32"/>
  <c r="AG167" i="32"/>
  <c r="AG162" i="32"/>
  <c r="AG141" i="32"/>
  <c r="AG165" i="32"/>
  <c r="AG296" i="32"/>
  <c r="AG325" i="32"/>
  <c r="AG260" i="32"/>
  <c r="AG277" i="32"/>
  <c r="AG305" i="32"/>
  <c r="AG307" i="32"/>
  <c r="AG276" i="32"/>
  <c r="AG286" i="32"/>
  <c r="AG169" i="32"/>
  <c r="AG270" i="32"/>
  <c r="AG273" i="32"/>
  <c r="AG262" i="32"/>
  <c r="AG250" i="32"/>
  <c r="AG248" i="32"/>
  <c r="AG269" i="32"/>
  <c r="AG177" i="32"/>
  <c r="AG374" i="32"/>
  <c r="AG358" i="32"/>
  <c r="AG283" i="32"/>
  <c r="AG171" i="32"/>
  <c r="AG172" i="32"/>
  <c r="AG259" i="32"/>
  <c r="AG261" i="32"/>
  <c r="AG377" i="32"/>
  <c r="AG375" i="32"/>
  <c r="AG372" i="32"/>
  <c r="AG257" i="32"/>
  <c r="AG366" i="32"/>
  <c r="AG176" i="32"/>
  <c r="AG380" i="32"/>
  <c r="AG381" i="32"/>
  <c r="AG359" i="32"/>
  <c r="AG274" i="32"/>
  <c r="AG361" i="32"/>
  <c r="AG362" i="32"/>
  <c r="AG367" i="32"/>
  <c r="AG258" i="32"/>
  <c r="AG152" i="32"/>
  <c r="AG263" i="32"/>
  <c r="AG275" i="32"/>
  <c r="AG264" i="32"/>
  <c r="AG279" i="32"/>
  <c r="AG249" i="32"/>
  <c r="AG247" i="32"/>
  <c r="AG268" i="32"/>
  <c r="AG334" i="32"/>
  <c r="AG174" i="32"/>
  <c r="AG341" i="32"/>
  <c r="AG333" i="32"/>
  <c r="AG337" i="32"/>
  <c r="AG335" i="32"/>
  <c r="AG332" i="32"/>
  <c r="AG331" i="32"/>
  <c r="AG340" i="32"/>
  <c r="AG271" i="32"/>
  <c r="AG173" i="32"/>
  <c r="AG175" i="32"/>
  <c r="AG339" i="32"/>
  <c r="AG338" i="32"/>
  <c r="AG336" i="32"/>
  <c r="AG170" i="32"/>
  <c r="AG330" i="32"/>
  <c r="AG324" i="32"/>
  <c r="AG321" i="32"/>
  <c r="AG322" i="32"/>
  <c r="AG329" i="32"/>
  <c r="AG327" i="32"/>
  <c r="AG320" i="32"/>
  <c r="AG323" i="32"/>
  <c r="AG317" i="32"/>
  <c r="AG315" i="32"/>
  <c r="AG316" i="32"/>
  <c r="AG319" i="32"/>
  <c r="AG328" i="32"/>
  <c r="AG326" i="32"/>
  <c r="AG312" i="32"/>
  <c r="AG313" i="32"/>
  <c r="AG314" i="32"/>
  <c r="AG302" i="32"/>
  <c r="AG300" i="32"/>
  <c r="AG299" i="32"/>
  <c r="AG304" i="32"/>
  <c r="AG303" i="32"/>
  <c r="AG301" i="32"/>
  <c r="AG311" i="32"/>
  <c r="AG308" i="32"/>
  <c r="AG310" i="32"/>
  <c r="AG306" i="32"/>
  <c r="AG309" i="32"/>
  <c r="AG371" i="32"/>
  <c r="AG370" i="32"/>
  <c r="AG369" i="32"/>
  <c r="AG368" i="32"/>
  <c r="AG357" i="32"/>
  <c r="AG379" i="32"/>
  <c r="AG363" i="32"/>
  <c r="AG360" i="32"/>
  <c r="AG364" i="32"/>
  <c r="AG376" i="32"/>
  <c r="AG160" i="32"/>
  <c r="AG164" i="32"/>
  <c r="AG298" i="32"/>
  <c r="AG293" i="32"/>
  <c r="AG294" i="32"/>
  <c r="AG290" i="32"/>
  <c r="AG287" i="32"/>
  <c r="AG295" i="32"/>
  <c r="AG291" i="32"/>
  <c r="AG292" i="32"/>
  <c r="AG297" i="32"/>
  <c r="AG289" i="32"/>
  <c r="BV266" i="32"/>
  <c r="BV267" i="32"/>
  <c r="BV285" i="32"/>
  <c r="BV219" i="32"/>
  <c r="BV318" i="32"/>
  <c r="BV223" i="32"/>
  <c r="BV231" i="32"/>
  <c r="BV230" i="32"/>
  <c r="BV229" i="32"/>
  <c r="BV228" i="32"/>
  <c r="BV227" i="32"/>
  <c r="BV226" i="32"/>
  <c r="BV225" i="32"/>
  <c r="BV224" i="32"/>
  <c r="BV222" i="32"/>
  <c r="BV193" i="32"/>
  <c r="BV192" i="32"/>
  <c r="BV159" i="32"/>
  <c r="BV146" i="32"/>
  <c r="BV145" i="32"/>
  <c r="BV220" i="32"/>
  <c r="BV208" i="32"/>
  <c r="BV206" i="32"/>
  <c r="BV205" i="32"/>
  <c r="BV221" i="32"/>
  <c r="BV204" i="32"/>
  <c r="BV203" i="32"/>
  <c r="BV202" i="32"/>
  <c r="BV200" i="32"/>
  <c r="BV199" i="32"/>
  <c r="BV198" i="32"/>
  <c r="BV197" i="32"/>
  <c r="BV232" i="32"/>
  <c r="BV195" i="32"/>
  <c r="BV189" i="32"/>
  <c r="BV236" i="32"/>
  <c r="BV235" i="32"/>
  <c r="BV234" i="32"/>
  <c r="BV233" i="32"/>
  <c r="BV201" i="32"/>
  <c r="BV216" i="32"/>
  <c r="BV211" i="32"/>
  <c r="BV215" i="32"/>
  <c r="BV210" i="32"/>
  <c r="BV214" i="32"/>
  <c r="BV212" i="32"/>
  <c r="BV217" i="32"/>
  <c r="BV181" i="32"/>
  <c r="BV183" i="32"/>
  <c r="BV184" i="32"/>
  <c r="BV347" i="32"/>
  <c r="BV346" i="32"/>
  <c r="BV344" i="32"/>
  <c r="BV343" i="32"/>
  <c r="BV355" i="32"/>
  <c r="BV354" i="32"/>
  <c r="BV353" i="32"/>
  <c r="BV352" i="32"/>
  <c r="BV351" i="32"/>
  <c r="BV350" i="32"/>
  <c r="BV348" i="32"/>
  <c r="BV345" i="32"/>
  <c r="BV349" i="32"/>
  <c r="BV342" i="32"/>
  <c r="BV104" i="32"/>
  <c r="BV103" i="32"/>
  <c r="BV102" i="32"/>
  <c r="BV101" i="32"/>
  <c r="BV100" i="32"/>
  <c r="BV99" i="32"/>
  <c r="BV98" i="32"/>
  <c r="BV96" i="32"/>
  <c r="BV95" i="32"/>
  <c r="BV94" i="32"/>
  <c r="BV118" i="32"/>
  <c r="BV116" i="32"/>
  <c r="BV115" i="32"/>
  <c r="BV114" i="32"/>
  <c r="BV113" i="32"/>
  <c r="BV112" i="32"/>
  <c r="BV111" i="32"/>
  <c r="BV110" i="32"/>
  <c r="BV108" i="32"/>
  <c r="BV107" i="32"/>
  <c r="BV106" i="32"/>
  <c r="BV105" i="32"/>
  <c r="BV97" i="32"/>
  <c r="BV93" i="32"/>
  <c r="BV117" i="32"/>
  <c r="BV109" i="32"/>
  <c r="BV142" i="32"/>
  <c r="BV278" i="32"/>
  <c r="BV252" i="32"/>
  <c r="BV246" i="32"/>
  <c r="BV191" i="32"/>
  <c r="BV190" i="32"/>
  <c r="BV188" i="32"/>
  <c r="BV238" i="32"/>
  <c r="BV240" i="32"/>
  <c r="BV244" i="32"/>
  <c r="BV245" i="32"/>
  <c r="BV185" i="32"/>
  <c r="BV179" i="32"/>
  <c r="BV242" i="32"/>
  <c r="BV243" i="32"/>
  <c r="BV194" i="32"/>
  <c r="BV182" i="32"/>
  <c r="BV284" i="32"/>
  <c r="BV378" i="32"/>
  <c r="BV265" i="32"/>
  <c r="BV373" i="32"/>
  <c r="BV196" i="32"/>
  <c r="BV186" i="32"/>
  <c r="BV253" i="32"/>
  <c r="BV280" i="32"/>
  <c r="BV254" i="32"/>
  <c r="BV241" i="32"/>
  <c r="BV180" i="32"/>
  <c r="BV239" i="32"/>
  <c r="BV281" i="32"/>
  <c r="BV256" i="32"/>
  <c r="BV187" i="32"/>
  <c r="BV288" i="32"/>
  <c r="BV282" i="32"/>
  <c r="BV255" i="32"/>
  <c r="BV251" i="32"/>
  <c r="BV237" i="32"/>
  <c r="BV272" i="32"/>
  <c r="BV365" i="32"/>
  <c r="BV178" i="32"/>
  <c r="BV218" i="32"/>
  <c r="BV57" i="32"/>
  <c r="BV56" i="32"/>
  <c r="BV55" i="32"/>
  <c r="BV54" i="32"/>
  <c r="BV53" i="32"/>
  <c r="BV52" i="32"/>
  <c r="BV51" i="32"/>
  <c r="BV50" i="32"/>
  <c r="BV49" i="32"/>
  <c r="BV48" i="32"/>
  <c r="BV47" i="32"/>
  <c r="BV46" i="32"/>
  <c r="BV45" i="32"/>
  <c r="BV44" i="32"/>
  <c r="BV42" i="32"/>
  <c r="BV41" i="32"/>
  <c r="BV40" i="32"/>
  <c r="BV39" i="32"/>
  <c r="BV38" i="32"/>
  <c r="BV37" i="32"/>
  <c r="BV35" i="32"/>
  <c r="BV34" i="32"/>
  <c r="BV33" i="32"/>
  <c r="BV32" i="32"/>
  <c r="BV31" i="32"/>
  <c r="BV30" i="32"/>
  <c r="BV29" i="32"/>
  <c r="BV28" i="32"/>
  <c r="BV27" i="32"/>
  <c r="BV26" i="32"/>
  <c r="BV25" i="32"/>
  <c r="BV24" i="32"/>
  <c r="BV23" i="32"/>
  <c r="BV22" i="32"/>
  <c r="BV21" i="32"/>
  <c r="BV20" i="32"/>
  <c r="BV19" i="32"/>
  <c r="BV18" i="32"/>
  <c r="BV17" i="32"/>
  <c r="BV16" i="32"/>
  <c r="BV15" i="32"/>
  <c r="BV92" i="32"/>
  <c r="BV91" i="32"/>
  <c r="BV90" i="32"/>
  <c r="BV89" i="32"/>
  <c r="BV88" i="32"/>
  <c r="BV87" i="32"/>
  <c r="BV86" i="32"/>
  <c r="BV85" i="32"/>
  <c r="BV84" i="32"/>
  <c r="BV83" i="32"/>
  <c r="BV82" i="32"/>
  <c r="BV81" i="32"/>
  <c r="BV80" i="32"/>
  <c r="BV79" i="32"/>
  <c r="BV78" i="32"/>
  <c r="BV77" i="32"/>
  <c r="BV75" i="32"/>
  <c r="BV74" i="32"/>
  <c r="BV73" i="32"/>
  <c r="BV72" i="32"/>
  <c r="BV71" i="32"/>
  <c r="BV70" i="32"/>
  <c r="BV69" i="32"/>
  <c r="BV68" i="32"/>
  <c r="BV67" i="32"/>
  <c r="BV66" i="32"/>
  <c r="BV65" i="32"/>
  <c r="BV63" i="32"/>
  <c r="BV62" i="32"/>
  <c r="BV61" i="32"/>
  <c r="BV60" i="32"/>
  <c r="BV59" i="32"/>
  <c r="BV58" i="32"/>
  <c r="BV43" i="32"/>
  <c r="BV36" i="32"/>
  <c r="BV76" i="32"/>
  <c r="BV64" i="32"/>
  <c r="BV14" i="32"/>
  <c r="BV157" i="32"/>
  <c r="BV154" i="32"/>
  <c r="BV155" i="32"/>
  <c r="BV137" i="32"/>
  <c r="BV136" i="32"/>
  <c r="BV138" i="32"/>
  <c r="BV127" i="32"/>
  <c r="BV139" i="32"/>
  <c r="BV131" i="32"/>
  <c r="BV135" i="32"/>
  <c r="BV140" i="32"/>
  <c r="BV126" i="32"/>
  <c r="BV132" i="32"/>
  <c r="BV134" i="32"/>
  <c r="BV124" i="32"/>
  <c r="BV121" i="32"/>
  <c r="BV128" i="32"/>
  <c r="BV129" i="32"/>
  <c r="BV123" i="32"/>
  <c r="BV119" i="32"/>
  <c r="BV122" i="32"/>
  <c r="BV120" i="32"/>
  <c r="BV130" i="32"/>
  <c r="BV125" i="32"/>
  <c r="BV133" i="32"/>
  <c r="BV158" i="32"/>
  <c r="BV150" i="32"/>
  <c r="BV163" i="32"/>
  <c r="BV166" i="32"/>
  <c r="BV147" i="32"/>
  <c r="BV149" i="32"/>
  <c r="BV151" i="32"/>
  <c r="BV148" i="32"/>
  <c r="BV153" i="32"/>
  <c r="BV144" i="32"/>
  <c r="BV168" i="32"/>
  <c r="BV161" i="32"/>
  <c r="BV143" i="32"/>
  <c r="BV167" i="32"/>
  <c r="BV162" i="32"/>
  <c r="BV141" i="32"/>
  <c r="BV165" i="32"/>
  <c r="BV296" i="32"/>
  <c r="BV325" i="32"/>
  <c r="BV260" i="32"/>
  <c r="BV277" i="32"/>
  <c r="BV305" i="32"/>
  <c r="BV307" i="32"/>
  <c r="BV276" i="32"/>
  <c r="BV286" i="32"/>
  <c r="BV169" i="32"/>
  <c r="BV270" i="32"/>
  <c r="BV273" i="32"/>
  <c r="BV262" i="32"/>
  <c r="BV250" i="32"/>
  <c r="BV248" i="32"/>
  <c r="BV269" i="32"/>
  <c r="BV177" i="32"/>
  <c r="BV374" i="32"/>
  <c r="BV358" i="32"/>
  <c r="BV283" i="32"/>
  <c r="BV171" i="32"/>
  <c r="BV172" i="32"/>
  <c r="BV259" i="32"/>
  <c r="BV261" i="32"/>
  <c r="BV377" i="32"/>
  <c r="BV375" i="32"/>
  <c r="BV372" i="32"/>
  <c r="BV257" i="32"/>
  <c r="BV366" i="32"/>
  <c r="BV176" i="32"/>
  <c r="BV380" i="32"/>
  <c r="BV381" i="32"/>
  <c r="BV359" i="32"/>
  <c r="BV274" i="32"/>
  <c r="BV361" i="32"/>
  <c r="BV362" i="32"/>
  <c r="BV367" i="32"/>
  <c r="BV258" i="32"/>
  <c r="BV152" i="32"/>
  <c r="BV263" i="32"/>
  <c r="BV275" i="32"/>
  <c r="BV264" i="32"/>
  <c r="BV279" i="32"/>
  <c r="BV249" i="32"/>
  <c r="BV247" i="32"/>
  <c r="BV268" i="32"/>
  <c r="BV334" i="32"/>
  <c r="BV174" i="32"/>
  <c r="BV341" i="32"/>
  <c r="BV333" i="32"/>
  <c r="BV337" i="32"/>
  <c r="BV335" i="32"/>
  <c r="BV332" i="32"/>
  <c r="BV331" i="32"/>
  <c r="BV340" i="32"/>
  <c r="BV271" i="32"/>
  <c r="BV173" i="32"/>
  <c r="BV175" i="32"/>
  <c r="BV339" i="32"/>
  <c r="BV338" i="32"/>
  <c r="BV336" i="32"/>
  <c r="BV170" i="32"/>
  <c r="BV330" i="32"/>
  <c r="BV324" i="32"/>
  <c r="BV321" i="32"/>
  <c r="BV322" i="32"/>
  <c r="BV329" i="32"/>
  <c r="BV327" i="32"/>
  <c r="BV320" i="32"/>
  <c r="BV323" i="32"/>
  <c r="BV317" i="32"/>
  <c r="BV315" i="32"/>
  <c r="BV316" i="32"/>
  <c r="BV319" i="32"/>
  <c r="BV328" i="32"/>
  <c r="BV326" i="32"/>
  <c r="BV312" i="32"/>
  <c r="BV313" i="32"/>
  <c r="BV314" i="32"/>
  <c r="BV302" i="32"/>
  <c r="BV300" i="32"/>
  <c r="BV299" i="32"/>
  <c r="BV304" i="32"/>
  <c r="BV303" i="32"/>
  <c r="BV301" i="32"/>
  <c r="BV311" i="32"/>
  <c r="BV308" i="32"/>
  <c r="BV310" i="32"/>
  <c r="BV306" i="32"/>
  <c r="BV309" i="32"/>
  <c r="BV371" i="32"/>
  <c r="BV370" i="32"/>
  <c r="BV369" i="32"/>
  <c r="BV368" i="32"/>
  <c r="BV357" i="32"/>
  <c r="BV379" i="32"/>
  <c r="BV363" i="32"/>
  <c r="BV360" i="32"/>
  <c r="BV364" i="32"/>
  <c r="BV376" i="32"/>
  <c r="BV160" i="32"/>
  <c r="BV164" i="32"/>
  <c r="BV298" i="32"/>
  <c r="BV293" i="32"/>
  <c r="BV294" i="32"/>
  <c r="BV290" i="32"/>
  <c r="BV287" i="32"/>
  <c r="BV295" i="32"/>
  <c r="BV291" i="32"/>
  <c r="BV292" i="32"/>
  <c r="BV297" i="32"/>
  <c r="BV289" i="32"/>
  <c r="BS266" i="32"/>
  <c r="BS267" i="32"/>
  <c r="BS285" i="32"/>
  <c r="BS219" i="32"/>
  <c r="BS318" i="32"/>
  <c r="BS223" i="32"/>
  <c r="BS231" i="32"/>
  <c r="BS230" i="32"/>
  <c r="BS229" i="32"/>
  <c r="BS228" i="32"/>
  <c r="BS227" i="32"/>
  <c r="BS226" i="32"/>
  <c r="BS225" i="32"/>
  <c r="BS224" i="32"/>
  <c r="BS222" i="32"/>
  <c r="BS193" i="32"/>
  <c r="BS192" i="32"/>
  <c r="BS159" i="32"/>
  <c r="BS146" i="32"/>
  <c r="BS145" i="32"/>
  <c r="BS220" i="32"/>
  <c r="BS208" i="32"/>
  <c r="BS206" i="32"/>
  <c r="BS205" i="32"/>
  <c r="BS221" i="32"/>
  <c r="BS204" i="32"/>
  <c r="BS203" i="32"/>
  <c r="BS202" i="32"/>
  <c r="BS200" i="32"/>
  <c r="BS199" i="32"/>
  <c r="BS198" i="32"/>
  <c r="BS197" i="32"/>
  <c r="BS232" i="32"/>
  <c r="BS195" i="32"/>
  <c r="BS189" i="32"/>
  <c r="BS236" i="32"/>
  <c r="BS235" i="32"/>
  <c r="BS234" i="32"/>
  <c r="BS233" i="32"/>
  <c r="BS201" i="32"/>
  <c r="BS216" i="32"/>
  <c r="BS211" i="32"/>
  <c r="BS215" i="32"/>
  <c r="BS210" i="32"/>
  <c r="BS214" i="32"/>
  <c r="BS212" i="32"/>
  <c r="BS217" i="32"/>
  <c r="BS181" i="32"/>
  <c r="BS183" i="32"/>
  <c r="BS184" i="32"/>
  <c r="BS347" i="32"/>
  <c r="BS346" i="32"/>
  <c r="BS344" i="32"/>
  <c r="BS343" i="32"/>
  <c r="BS355" i="32"/>
  <c r="BS354" i="32"/>
  <c r="BS353" i="32"/>
  <c r="BS352" i="32"/>
  <c r="BS351" i="32"/>
  <c r="BS350" i="32"/>
  <c r="BS348" i="32"/>
  <c r="BS345" i="32"/>
  <c r="BS349" i="32"/>
  <c r="BS342" i="32"/>
  <c r="BS104" i="32"/>
  <c r="BS103" i="32"/>
  <c r="BS102" i="32"/>
  <c r="BS101" i="32"/>
  <c r="BS100" i="32"/>
  <c r="BS99" i="32"/>
  <c r="BS98" i="32"/>
  <c r="BS96" i="32"/>
  <c r="BS95" i="32"/>
  <c r="BS94" i="32"/>
  <c r="BS118" i="32"/>
  <c r="BS116" i="32"/>
  <c r="BS115" i="32"/>
  <c r="BS114" i="32"/>
  <c r="BS113" i="32"/>
  <c r="BS112" i="32"/>
  <c r="BS111" i="32"/>
  <c r="BS110" i="32"/>
  <c r="BS108" i="32"/>
  <c r="BS107" i="32"/>
  <c r="BS106" i="32"/>
  <c r="BS105" i="32"/>
  <c r="BS97" i="32"/>
  <c r="BS93" i="32"/>
  <c r="BS117" i="32"/>
  <c r="BS109" i="32"/>
  <c r="BS142" i="32"/>
  <c r="BS278" i="32"/>
  <c r="BS252" i="32"/>
  <c r="BS246" i="32"/>
  <c r="BS191" i="32"/>
  <c r="BS190" i="32"/>
  <c r="BS188" i="32"/>
  <c r="BS238" i="32"/>
  <c r="BS240" i="32"/>
  <c r="BS244" i="32"/>
  <c r="BS245" i="32"/>
  <c r="BS185" i="32"/>
  <c r="BS179" i="32"/>
  <c r="BS242" i="32"/>
  <c r="BS243" i="32"/>
  <c r="BS194" i="32"/>
  <c r="BS182" i="32"/>
  <c r="BS284" i="32"/>
  <c r="BS378" i="32"/>
  <c r="BS265" i="32"/>
  <c r="BS373" i="32"/>
  <c r="BS196" i="32"/>
  <c r="BS186" i="32"/>
  <c r="BS253" i="32"/>
  <c r="BS280" i="32"/>
  <c r="BS254" i="32"/>
  <c r="BS241" i="32"/>
  <c r="BS180" i="32"/>
  <c r="BS239" i="32"/>
  <c r="BS281" i="32"/>
  <c r="BS256" i="32"/>
  <c r="BS187" i="32"/>
  <c r="BS288" i="32"/>
  <c r="BS282" i="32"/>
  <c r="BS255" i="32"/>
  <c r="BS251" i="32"/>
  <c r="BS237" i="32"/>
  <c r="BS272" i="32"/>
  <c r="BS365" i="32"/>
  <c r="BS178" i="32"/>
  <c r="BS218" i="32"/>
  <c r="BS57" i="32"/>
  <c r="BS56" i="32"/>
  <c r="BS55" i="32"/>
  <c r="BS54" i="32"/>
  <c r="BS53" i="32"/>
  <c r="BS52" i="32"/>
  <c r="BS51" i="32"/>
  <c r="BS50" i="32"/>
  <c r="BS49" i="32"/>
  <c r="BS48" i="32"/>
  <c r="BS47" i="32"/>
  <c r="BS46" i="32"/>
  <c r="BS45" i="32"/>
  <c r="BS44" i="32"/>
  <c r="BS42" i="32"/>
  <c r="BS41" i="32"/>
  <c r="BS40" i="32"/>
  <c r="BS39" i="32"/>
  <c r="BS38" i="32"/>
  <c r="BS37" i="32"/>
  <c r="BS35" i="32"/>
  <c r="BS34" i="32"/>
  <c r="BS33" i="32"/>
  <c r="BS32" i="32"/>
  <c r="BS31" i="32"/>
  <c r="BS30" i="32"/>
  <c r="BS29" i="32"/>
  <c r="BS28" i="32"/>
  <c r="BS27" i="32"/>
  <c r="BS26" i="32"/>
  <c r="BS25" i="32"/>
  <c r="BS24" i="32"/>
  <c r="BS23" i="32"/>
  <c r="BS22" i="32"/>
  <c r="BS21" i="32"/>
  <c r="BS20" i="32"/>
  <c r="BS19" i="32"/>
  <c r="BS18" i="32"/>
  <c r="BS17" i="32"/>
  <c r="BS16" i="32"/>
  <c r="BS15" i="32"/>
  <c r="BS92" i="32"/>
  <c r="BS91" i="32"/>
  <c r="BS90" i="32"/>
  <c r="BS89" i="32"/>
  <c r="BS88" i="32"/>
  <c r="BS87" i="32"/>
  <c r="BS86" i="32"/>
  <c r="BS85" i="32"/>
  <c r="BS84" i="32"/>
  <c r="BS83" i="32"/>
  <c r="BS82" i="32"/>
  <c r="BS81" i="32"/>
  <c r="BS80" i="32"/>
  <c r="BS79" i="32"/>
  <c r="BS78" i="32"/>
  <c r="BS77" i="32"/>
  <c r="BS75" i="32"/>
  <c r="BS74" i="32"/>
  <c r="BS73" i="32"/>
  <c r="BS72" i="32"/>
  <c r="BS71" i="32"/>
  <c r="BS70" i="32"/>
  <c r="BS69" i="32"/>
  <c r="BS68" i="32"/>
  <c r="BS67" i="32"/>
  <c r="BS66" i="32"/>
  <c r="BS65" i="32"/>
  <c r="BS63" i="32"/>
  <c r="BS62" i="32"/>
  <c r="BS61" i="32"/>
  <c r="BS60" i="32"/>
  <c r="BS59" i="32"/>
  <c r="BS58" i="32"/>
  <c r="BS43" i="32"/>
  <c r="BS36" i="32"/>
  <c r="BS76" i="32"/>
  <c r="BS64" i="32"/>
  <c r="BS14" i="32"/>
  <c r="BS157" i="32"/>
  <c r="BS154" i="32"/>
  <c r="BS155" i="32"/>
  <c r="BS137" i="32"/>
  <c r="BS136" i="32"/>
  <c r="BS138" i="32"/>
  <c r="BS127" i="32"/>
  <c r="BS139" i="32"/>
  <c r="BS131" i="32"/>
  <c r="BS135" i="32"/>
  <c r="BS140" i="32"/>
  <c r="BS126" i="32"/>
  <c r="BS132" i="32"/>
  <c r="BS134" i="32"/>
  <c r="BS124" i="32"/>
  <c r="BS121" i="32"/>
  <c r="BS128" i="32"/>
  <c r="BS129" i="32"/>
  <c r="BS123" i="32"/>
  <c r="BS119" i="32"/>
  <c r="BS122" i="32"/>
  <c r="BS120" i="32"/>
  <c r="BS130" i="32"/>
  <c r="BS125" i="32"/>
  <c r="BS133" i="32"/>
  <c r="BS158" i="32"/>
  <c r="BS150" i="32"/>
  <c r="BS163" i="32"/>
  <c r="BS166" i="32"/>
  <c r="BS147" i="32"/>
  <c r="BS149" i="32"/>
  <c r="BS151" i="32"/>
  <c r="BS148" i="32"/>
  <c r="BS153" i="32"/>
  <c r="BS144" i="32"/>
  <c r="BS168" i="32"/>
  <c r="BS161" i="32"/>
  <c r="BS143" i="32"/>
  <c r="BS167" i="32"/>
  <c r="BS162" i="32"/>
  <c r="BS141" i="32"/>
  <c r="BS165" i="32"/>
  <c r="BS296" i="32"/>
  <c r="BS325" i="32"/>
  <c r="BS260" i="32"/>
  <c r="BS277" i="32"/>
  <c r="BS305" i="32"/>
  <c r="BS307" i="32"/>
  <c r="BS276" i="32"/>
  <c r="BS286" i="32"/>
  <c r="BS169" i="32"/>
  <c r="BS270" i="32"/>
  <c r="BS273" i="32"/>
  <c r="BS262" i="32"/>
  <c r="BS250" i="32"/>
  <c r="BS248" i="32"/>
  <c r="BS269" i="32"/>
  <c r="BS177" i="32"/>
  <c r="BS374" i="32"/>
  <c r="BS358" i="32"/>
  <c r="BS283" i="32"/>
  <c r="BS171" i="32"/>
  <c r="BS172" i="32"/>
  <c r="BS259" i="32"/>
  <c r="BS261" i="32"/>
  <c r="BS377" i="32"/>
  <c r="BS375" i="32"/>
  <c r="BS372" i="32"/>
  <c r="BS257" i="32"/>
  <c r="BS366" i="32"/>
  <c r="BS176" i="32"/>
  <c r="BS380" i="32"/>
  <c r="BS381" i="32"/>
  <c r="BS359" i="32"/>
  <c r="BS274" i="32"/>
  <c r="BS361" i="32"/>
  <c r="BS362" i="32"/>
  <c r="BS367" i="32"/>
  <c r="BS258" i="32"/>
  <c r="BS152" i="32"/>
  <c r="BS263" i="32"/>
  <c r="BS275" i="32"/>
  <c r="BS264" i="32"/>
  <c r="BS279" i="32"/>
  <c r="BS249" i="32"/>
  <c r="BS247" i="32"/>
  <c r="BS268" i="32"/>
  <c r="BS334" i="32"/>
  <c r="BS174" i="32"/>
  <c r="BS341" i="32"/>
  <c r="BS333" i="32"/>
  <c r="BS337" i="32"/>
  <c r="BS335" i="32"/>
  <c r="BS332" i="32"/>
  <c r="BS331" i="32"/>
  <c r="BS340" i="32"/>
  <c r="BS271" i="32"/>
  <c r="BS173" i="32"/>
  <c r="BS175" i="32"/>
  <c r="BS339" i="32"/>
  <c r="BS338" i="32"/>
  <c r="BS336" i="32"/>
  <c r="BS170" i="32"/>
  <c r="BS330" i="32"/>
  <c r="BS324" i="32"/>
  <c r="BS321" i="32"/>
  <c r="BS322" i="32"/>
  <c r="BS329" i="32"/>
  <c r="BS327" i="32"/>
  <c r="BS320" i="32"/>
  <c r="BS323" i="32"/>
  <c r="BS317" i="32"/>
  <c r="BS315" i="32"/>
  <c r="BS316" i="32"/>
  <c r="BS319" i="32"/>
  <c r="BS328" i="32"/>
  <c r="BS326" i="32"/>
  <c r="BS312" i="32"/>
  <c r="BS313" i="32"/>
  <c r="BS314" i="32"/>
  <c r="BS302" i="32"/>
  <c r="BS300" i="32"/>
  <c r="BS299" i="32"/>
  <c r="BS304" i="32"/>
  <c r="BS303" i="32"/>
  <c r="BS301" i="32"/>
  <c r="BS311" i="32"/>
  <c r="BS308" i="32"/>
  <c r="BS310" i="32"/>
  <c r="BS306" i="32"/>
  <c r="BS309" i="32"/>
  <c r="BS371" i="32"/>
  <c r="BS370" i="32"/>
  <c r="BS369" i="32"/>
  <c r="BS368" i="32"/>
  <c r="BS357" i="32"/>
  <c r="BS379" i="32"/>
  <c r="BS363" i="32"/>
  <c r="BS360" i="32"/>
  <c r="BS364" i="32"/>
  <c r="BS376" i="32"/>
  <c r="BS160" i="32"/>
  <c r="BS164" i="32"/>
  <c r="BS298" i="32"/>
  <c r="BS293" i="32"/>
  <c r="BS294" i="32"/>
  <c r="BS290" i="32"/>
  <c r="BS287" i="32"/>
  <c r="BS295" i="32"/>
  <c r="BS291" i="32"/>
  <c r="BS292" i="32"/>
  <c r="BS297" i="32"/>
  <c r="BS289" i="32"/>
  <c r="BP266" i="32"/>
  <c r="BP267" i="32"/>
  <c r="BP285" i="32"/>
  <c r="BP219" i="32"/>
  <c r="BP318" i="32"/>
  <c r="BP223" i="32"/>
  <c r="BP231" i="32"/>
  <c r="BP230" i="32"/>
  <c r="BP229" i="32"/>
  <c r="BP228" i="32"/>
  <c r="BP227" i="32"/>
  <c r="BP226" i="32"/>
  <c r="BP225" i="32"/>
  <c r="BP224" i="32"/>
  <c r="BP222" i="32"/>
  <c r="BP193" i="32"/>
  <c r="BP192" i="32"/>
  <c r="BP159" i="32"/>
  <c r="BP146" i="32"/>
  <c r="BP145" i="32"/>
  <c r="BP220" i="32"/>
  <c r="BP208" i="32"/>
  <c r="BP206" i="32"/>
  <c r="BP205" i="32"/>
  <c r="BP221" i="32"/>
  <c r="BP204" i="32"/>
  <c r="BP203" i="32"/>
  <c r="BP202" i="32"/>
  <c r="BP200" i="32"/>
  <c r="BP199" i="32"/>
  <c r="BP198" i="32"/>
  <c r="BP197" i="32"/>
  <c r="BP232" i="32"/>
  <c r="BP195" i="32"/>
  <c r="BP189" i="32"/>
  <c r="BP236" i="32"/>
  <c r="BP235" i="32"/>
  <c r="BP234" i="32"/>
  <c r="BP233" i="32"/>
  <c r="BP201" i="32"/>
  <c r="BP216" i="32"/>
  <c r="BP211" i="32"/>
  <c r="BP215" i="32"/>
  <c r="BP210" i="32"/>
  <c r="BP214" i="32"/>
  <c r="BP212" i="32"/>
  <c r="BP217" i="32"/>
  <c r="BP181" i="32"/>
  <c r="BP183" i="32"/>
  <c r="BP184" i="32"/>
  <c r="BP347" i="32"/>
  <c r="BP346" i="32"/>
  <c r="BP344" i="32"/>
  <c r="BP343" i="32"/>
  <c r="BP355" i="32"/>
  <c r="BP354" i="32"/>
  <c r="BP353" i="32"/>
  <c r="BP352" i="32"/>
  <c r="BP351" i="32"/>
  <c r="BP350" i="32"/>
  <c r="BP348" i="32"/>
  <c r="BP345" i="32"/>
  <c r="BP349" i="32"/>
  <c r="BP342" i="32"/>
  <c r="BP104" i="32"/>
  <c r="BP103" i="32"/>
  <c r="BP102" i="32"/>
  <c r="BP101" i="32"/>
  <c r="BP100" i="32"/>
  <c r="BP99" i="32"/>
  <c r="BP98" i="32"/>
  <c r="BP96" i="32"/>
  <c r="BP95" i="32"/>
  <c r="BP94" i="32"/>
  <c r="BP118" i="32"/>
  <c r="BP116" i="32"/>
  <c r="BP115" i="32"/>
  <c r="BP114" i="32"/>
  <c r="BP113" i="32"/>
  <c r="BP112" i="32"/>
  <c r="BP111" i="32"/>
  <c r="BP110" i="32"/>
  <c r="BP108" i="32"/>
  <c r="BP107" i="32"/>
  <c r="BP106" i="32"/>
  <c r="BP105" i="32"/>
  <c r="BP97" i="32"/>
  <c r="BP93" i="32"/>
  <c r="BP117" i="32"/>
  <c r="BP109" i="32"/>
  <c r="BP142" i="32"/>
  <c r="BP278" i="32"/>
  <c r="BP252" i="32"/>
  <c r="BP246" i="32"/>
  <c r="BP191" i="32"/>
  <c r="BP190" i="32"/>
  <c r="BP188" i="32"/>
  <c r="BP238" i="32"/>
  <c r="BP240" i="32"/>
  <c r="BP244" i="32"/>
  <c r="BP245" i="32"/>
  <c r="BP185" i="32"/>
  <c r="BP179" i="32"/>
  <c r="BP242" i="32"/>
  <c r="BP243" i="32"/>
  <c r="BP194" i="32"/>
  <c r="BP182" i="32"/>
  <c r="BP284" i="32"/>
  <c r="BP378" i="32"/>
  <c r="BP265" i="32"/>
  <c r="BP373" i="32"/>
  <c r="BP196" i="32"/>
  <c r="BP186" i="32"/>
  <c r="BP253" i="32"/>
  <c r="BP280" i="32"/>
  <c r="BP254" i="32"/>
  <c r="BP241" i="32"/>
  <c r="BP180" i="32"/>
  <c r="BP239" i="32"/>
  <c r="BP281" i="32"/>
  <c r="BP256" i="32"/>
  <c r="BP187" i="32"/>
  <c r="BP288" i="32"/>
  <c r="BP282" i="32"/>
  <c r="BP255" i="32"/>
  <c r="BP251" i="32"/>
  <c r="BP237" i="32"/>
  <c r="BP272" i="32"/>
  <c r="BP365" i="32"/>
  <c r="BP178" i="32"/>
  <c r="BP218" i="32"/>
  <c r="BP57" i="32"/>
  <c r="BP56" i="32"/>
  <c r="BP55" i="32"/>
  <c r="BP54" i="32"/>
  <c r="BP53" i="32"/>
  <c r="BP52" i="32"/>
  <c r="BP51" i="32"/>
  <c r="BP50" i="32"/>
  <c r="BP49" i="32"/>
  <c r="BP48" i="32"/>
  <c r="BP47" i="32"/>
  <c r="BP46" i="32"/>
  <c r="BP45" i="32"/>
  <c r="BP44" i="32"/>
  <c r="BP42" i="32"/>
  <c r="BP41" i="32"/>
  <c r="BP40" i="32"/>
  <c r="BP39" i="32"/>
  <c r="BP38" i="32"/>
  <c r="BP37" i="32"/>
  <c r="BP35" i="32"/>
  <c r="BP34" i="32"/>
  <c r="BP33" i="32"/>
  <c r="BP32" i="32"/>
  <c r="BP31" i="32"/>
  <c r="BP30" i="32"/>
  <c r="BP29" i="32"/>
  <c r="BP28" i="32"/>
  <c r="BP27" i="32"/>
  <c r="BP26" i="32"/>
  <c r="BP25" i="32"/>
  <c r="BP24" i="32"/>
  <c r="BP23" i="32"/>
  <c r="BP22" i="32"/>
  <c r="BP21" i="32"/>
  <c r="BP20" i="32"/>
  <c r="BP19" i="32"/>
  <c r="BP18" i="32"/>
  <c r="BP17" i="32"/>
  <c r="BP16" i="32"/>
  <c r="BP15" i="32"/>
  <c r="BP92" i="32"/>
  <c r="BP91" i="32"/>
  <c r="BP90" i="32"/>
  <c r="BP89" i="32"/>
  <c r="BP88" i="32"/>
  <c r="BP87" i="32"/>
  <c r="BP86" i="32"/>
  <c r="BP85" i="32"/>
  <c r="BP84" i="32"/>
  <c r="BP83" i="32"/>
  <c r="BP82" i="32"/>
  <c r="BP81" i="32"/>
  <c r="BP80" i="32"/>
  <c r="BP79" i="32"/>
  <c r="BP78" i="32"/>
  <c r="BP77" i="32"/>
  <c r="BP75" i="32"/>
  <c r="BP74" i="32"/>
  <c r="BP73" i="32"/>
  <c r="BP72" i="32"/>
  <c r="BP71" i="32"/>
  <c r="BP70" i="32"/>
  <c r="BP69" i="32"/>
  <c r="BP68" i="32"/>
  <c r="BP67" i="32"/>
  <c r="BP66" i="32"/>
  <c r="BP65" i="32"/>
  <c r="BP63" i="32"/>
  <c r="BP62" i="32"/>
  <c r="BP61" i="32"/>
  <c r="BP60" i="32"/>
  <c r="BP59" i="32"/>
  <c r="BP58" i="32"/>
  <c r="BP43" i="32"/>
  <c r="BP36" i="32"/>
  <c r="BP76" i="32"/>
  <c r="BP64" i="32"/>
  <c r="BP14" i="32"/>
  <c r="BP157" i="32"/>
  <c r="BP154" i="32"/>
  <c r="BP155" i="32"/>
  <c r="BP137" i="32"/>
  <c r="BP136" i="32"/>
  <c r="BP138" i="32"/>
  <c r="BP127" i="32"/>
  <c r="BP139" i="32"/>
  <c r="BP131" i="32"/>
  <c r="BP135" i="32"/>
  <c r="BP140" i="32"/>
  <c r="BP126" i="32"/>
  <c r="BP132" i="32"/>
  <c r="BP134" i="32"/>
  <c r="BP124" i="32"/>
  <c r="BP121" i="32"/>
  <c r="BP128" i="32"/>
  <c r="BP129" i="32"/>
  <c r="BP123" i="32"/>
  <c r="BP119" i="32"/>
  <c r="BP122" i="32"/>
  <c r="BP120" i="32"/>
  <c r="BP130" i="32"/>
  <c r="BP125" i="32"/>
  <c r="BP133" i="32"/>
  <c r="BP158" i="32"/>
  <c r="BP150" i="32"/>
  <c r="BP163" i="32"/>
  <c r="BP166" i="32"/>
  <c r="BP147" i="32"/>
  <c r="BP149" i="32"/>
  <c r="BP151" i="32"/>
  <c r="BP148" i="32"/>
  <c r="BP153" i="32"/>
  <c r="BP144" i="32"/>
  <c r="BP168" i="32"/>
  <c r="BP161" i="32"/>
  <c r="BP143" i="32"/>
  <c r="BP167" i="32"/>
  <c r="BP162" i="32"/>
  <c r="BP141" i="32"/>
  <c r="BP165" i="32"/>
  <c r="BP296" i="32"/>
  <c r="BP325" i="32"/>
  <c r="BP260" i="32"/>
  <c r="BP277" i="32"/>
  <c r="BP305" i="32"/>
  <c r="BP307" i="32"/>
  <c r="BP276" i="32"/>
  <c r="BP286" i="32"/>
  <c r="BP169" i="32"/>
  <c r="BP270" i="32"/>
  <c r="BP273" i="32"/>
  <c r="BP262" i="32"/>
  <c r="BP250" i="32"/>
  <c r="BP248" i="32"/>
  <c r="BP269" i="32"/>
  <c r="BP177" i="32"/>
  <c r="BP374" i="32"/>
  <c r="BP358" i="32"/>
  <c r="BP283" i="32"/>
  <c r="BP171" i="32"/>
  <c r="BP172" i="32"/>
  <c r="BP259" i="32"/>
  <c r="BP261" i="32"/>
  <c r="BP377" i="32"/>
  <c r="BP375" i="32"/>
  <c r="BP372" i="32"/>
  <c r="BP257" i="32"/>
  <c r="BP366" i="32"/>
  <c r="BP176" i="32"/>
  <c r="BP380" i="32"/>
  <c r="BP381" i="32"/>
  <c r="BP359" i="32"/>
  <c r="BP274" i="32"/>
  <c r="BP361" i="32"/>
  <c r="BP362" i="32"/>
  <c r="BP367" i="32"/>
  <c r="BP258" i="32"/>
  <c r="BP152" i="32"/>
  <c r="BP263" i="32"/>
  <c r="BP275" i="32"/>
  <c r="BP264" i="32"/>
  <c r="BP279" i="32"/>
  <c r="BP249" i="32"/>
  <c r="BP247" i="32"/>
  <c r="BP268" i="32"/>
  <c r="BP334" i="32"/>
  <c r="BP174" i="32"/>
  <c r="BP341" i="32"/>
  <c r="BP333" i="32"/>
  <c r="BP337" i="32"/>
  <c r="BP335" i="32"/>
  <c r="BP332" i="32"/>
  <c r="BP331" i="32"/>
  <c r="BP340" i="32"/>
  <c r="BP271" i="32"/>
  <c r="BP173" i="32"/>
  <c r="BP175" i="32"/>
  <c r="BP339" i="32"/>
  <c r="BP338" i="32"/>
  <c r="BP336" i="32"/>
  <c r="BP170" i="32"/>
  <c r="BP330" i="32"/>
  <c r="BP324" i="32"/>
  <c r="BP321" i="32"/>
  <c r="BP322" i="32"/>
  <c r="BP329" i="32"/>
  <c r="BP327" i="32"/>
  <c r="BP320" i="32"/>
  <c r="BP323" i="32"/>
  <c r="BP317" i="32"/>
  <c r="BP315" i="32"/>
  <c r="BP316" i="32"/>
  <c r="BP319" i="32"/>
  <c r="BP328" i="32"/>
  <c r="BP326" i="32"/>
  <c r="BP312" i="32"/>
  <c r="BP313" i="32"/>
  <c r="BP314" i="32"/>
  <c r="BP302" i="32"/>
  <c r="BP300" i="32"/>
  <c r="BP299" i="32"/>
  <c r="BP304" i="32"/>
  <c r="BP303" i="32"/>
  <c r="BP301" i="32"/>
  <c r="BP311" i="32"/>
  <c r="BP308" i="32"/>
  <c r="BP310" i="32"/>
  <c r="BP306" i="32"/>
  <c r="BP309" i="32"/>
  <c r="BP371" i="32"/>
  <c r="BP370" i="32"/>
  <c r="BP369" i="32"/>
  <c r="BP368" i="32"/>
  <c r="BP357" i="32"/>
  <c r="BP379" i="32"/>
  <c r="BP363" i="32"/>
  <c r="BP360" i="32"/>
  <c r="BP364" i="32"/>
  <c r="BP376" i="32"/>
  <c r="BP160" i="32"/>
  <c r="BP164" i="32"/>
  <c r="BP298" i="32"/>
  <c r="BP293" i="32"/>
  <c r="BP294" i="32"/>
  <c r="BP290" i="32"/>
  <c r="BP287" i="32"/>
  <c r="BP295" i="32"/>
  <c r="BP291" i="32"/>
  <c r="BP292" i="32"/>
  <c r="BP297" i="32"/>
  <c r="BP289" i="32"/>
  <c r="AT266" i="32"/>
  <c r="AT267" i="32"/>
  <c r="AT285" i="32"/>
  <c r="AT219" i="32"/>
  <c r="AT318" i="32"/>
  <c r="AT223" i="32"/>
  <c r="AT231" i="32"/>
  <c r="AT230" i="32"/>
  <c r="AT229" i="32"/>
  <c r="AT228" i="32"/>
  <c r="AT227" i="32"/>
  <c r="AT226" i="32"/>
  <c r="AT225" i="32"/>
  <c r="AT224" i="32"/>
  <c r="AT222" i="32"/>
  <c r="AT193" i="32"/>
  <c r="AT192" i="32"/>
  <c r="AT159" i="32"/>
  <c r="AT146" i="32"/>
  <c r="AT145" i="32"/>
  <c r="AT220" i="32"/>
  <c r="AT208" i="32"/>
  <c r="AT206" i="32"/>
  <c r="AT205" i="32"/>
  <c r="AT221" i="32"/>
  <c r="AT204" i="32"/>
  <c r="AT203" i="32"/>
  <c r="AT202" i="32"/>
  <c r="AT200" i="32"/>
  <c r="AT199" i="32"/>
  <c r="AT198" i="32"/>
  <c r="AT197" i="32"/>
  <c r="AT232" i="32"/>
  <c r="AT195" i="32"/>
  <c r="AT189" i="32"/>
  <c r="AT236" i="32"/>
  <c r="AT235" i="32"/>
  <c r="AT234" i="32"/>
  <c r="AT233" i="32"/>
  <c r="AT201" i="32"/>
  <c r="AT216" i="32"/>
  <c r="AT211" i="32"/>
  <c r="AT215" i="32"/>
  <c r="AT210" i="32"/>
  <c r="AT214" i="32"/>
  <c r="AT212" i="32"/>
  <c r="AT217" i="32"/>
  <c r="AT181" i="32"/>
  <c r="AT183" i="32"/>
  <c r="AT184" i="32"/>
  <c r="AT347" i="32"/>
  <c r="AT346" i="32"/>
  <c r="AT344" i="32"/>
  <c r="AT343" i="32"/>
  <c r="AT355" i="32"/>
  <c r="AT354" i="32"/>
  <c r="AT353" i="32"/>
  <c r="AT352" i="32"/>
  <c r="AT351" i="32"/>
  <c r="AT350" i="32"/>
  <c r="AT348" i="32"/>
  <c r="AT345" i="32"/>
  <c r="AT349" i="32"/>
  <c r="AT342" i="32"/>
  <c r="AT104" i="32"/>
  <c r="AT103" i="32"/>
  <c r="AT102" i="32"/>
  <c r="AT101" i="32"/>
  <c r="AT100" i="32"/>
  <c r="AT99" i="32"/>
  <c r="AT98" i="32"/>
  <c r="AT96" i="32"/>
  <c r="AT95" i="32"/>
  <c r="AT94" i="32"/>
  <c r="AT118" i="32"/>
  <c r="AT116" i="32"/>
  <c r="AT115" i="32"/>
  <c r="AT114" i="32"/>
  <c r="AT113" i="32"/>
  <c r="AT112" i="32"/>
  <c r="AT111" i="32"/>
  <c r="AT110" i="32"/>
  <c r="AT108" i="32"/>
  <c r="AT107" i="32"/>
  <c r="AT106" i="32"/>
  <c r="AT105" i="32"/>
  <c r="AT97" i="32"/>
  <c r="AT93" i="32"/>
  <c r="AT117" i="32"/>
  <c r="AT109" i="32"/>
  <c r="AT142" i="32"/>
  <c r="AT278" i="32"/>
  <c r="AT252" i="32"/>
  <c r="AT246" i="32"/>
  <c r="AT191" i="32"/>
  <c r="AT190" i="32"/>
  <c r="AT188" i="32"/>
  <c r="AT238" i="32"/>
  <c r="AT240" i="32"/>
  <c r="AT244" i="32"/>
  <c r="AT245" i="32"/>
  <c r="AT185" i="32"/>
  <c r="AT179" i="32"/>
  <c r="AT242" i="32"/>
  <c r="AT243" i="32"/>
  <c r="AT194" i="32"/>
  <c r="AT182" i="32"/>
  <c r="AT284" i="32"/>
  <c r="AT378" i="32"/>
  <c r="AT265" i="32"/>
  <c r="AT373" i="32"/>
  <c r="AT196" i="32"/>
  <c r="AT186" i="32"/>
  <c r="AT253" i="32"/>
  <c r="AT280" i="32"/>
  <c r="AT254" i="32"/>
  <c r="AT241" i="32"/>
  <c r="AT180" i="32"/>
  <c r="AT239" i="32"/>
  <c r="AT281" i="32"/>
  <c r="AT256" i="32"/>
  <c r="AT187" i="32"/>
  <c r="AT288" i="32"/>
  <c r="AT282" i="32"/>
  <c r="AT255" i="32"/>
  <c r="AT251" i="32"/>
  <c r="AT237" i="32"/>
  <c r="AT272" i="32"/>
  <c r="AT365" i="32"/>
  <c r="AT178" i="32"/>
  <c r="AT218" i="32"/>
  <c r="AT57" i="32"/>
  <c r="AT56" i="32"/>
  <c r="AT55" i="32"/>
  <c r="AT54" i="32"/>
  <c r="AT53" i="32"/>
  <c r="AT52" i="32"/>
  <c r="AT51" i="32"/>
  <c r="AT50" i="32"/>
  <c r="AT49" i="32"/>
  <c r="AT48" i="32"/>
  <c r="AT47" i="32"/>
  <c r="AT46" i="32"/>
  <c r="AT45" i="32"/>
  <c r="AT44" i="32"/>
  <c r="AT42" i="32"/>
  <c r="AT41" i="32"/>
  <c r="AT40" i="32"/>
  <c r="AT39" i="32"/>
  <c r="AT38" i="32"/>
  <c r="AT37" i="32"/>
  <c r="AT35" i="32"/>
  <c r="AT34" i="32"/>
  <c r="AT33" i="32"/>
  <c r="AT32" i="32"/>
  <c r="AT31" i="32"/>
  <c r="AT30" i="32"/>
  <c r="AT29" i="32"/>
  <c r="AT28" i="32"/>
  <c r="AT27" i="32"/>
  <c r="AT26" i="32"/>
  <c r="AT25" i="32"/>
  <c r="AT24" i="32"/>
  <c r="AT23" i="32"/>
  <c r="AT22" i="32"/>
  <c r="AT21" i="32"/>
  <c r="AT20" i="32"/>
  <c r="AT19" i="32"/>
  <c r="AT18" i="32"/>
  <c r="AT17" i="32"/>
  <c r="AT16" i="32"/>
  <c r="AT15" i="32"/>
  <c r="AT92" i="32"/>
  <c r="AT91" i="32"/>
  <c r="AT90" i="32"/>
  <c r="AT89" i="32"/>
  <c r="AT88" i="32"/>
  <c r="AT87" i="32"/>
  <c r="AT86" i="32"/>
  <c r="AT85" i="32"/>
  <c r="AT84" i="32"/>
  <c r="AT83" i="32"/>
  <c r="AT82" i="32"/>
  <c r="AT81" i="32"/>
  <c r="AT80" i="32"/>
  <c r="AT79" i="32"/>
  <c r="AT78" i="32"/>
  <c r="AT77" i="32"/>
  <c r="AT75" i="32"/>
  <c r="AT74" i="32"/>
  <c r="AT73" i="32"/>
  <c r="AT72" i="32"/>
  <c r="AT71" i="32"/>
  <c r="AT70" i="32"/>
  <c r="AT69" i="32"/>
  <c r="AT68" i="32"/>
  <c r="AT67" i="32"/>
  <c r="AT66" i="32"/>
  <c r="AT65" i="32"/>
  <c r="AT63" i="32"/>
  <c r="AT62" i="32"/>
  <c r="AT61" i="32"/>
  <c r="AT60" i="32"/>
  <c r="AT59" i="32"/>
  <c r="AT58" i="32"/>
  <c r="AT43" i="32"/>
  <c r="AT36" i="32"/>
  <c r="AT76" i="32"/>
  <c r="AT64" i="32"/>
  <c r="AT14" i="32"/>
  <c r="AT157" i="32"/>
  <c r="AT154" i="32"/>
  <c r="AT155" i="32"/>
  <c r="AT137" i="32"/>
  <c r="AT136" i="32"/>
  <c r="AT138" i="32"/>
  <c r="AT127" i="32"/>
  <c r="AT139" i="32"/>
  <c r="AT131" i="32"/>
  <c r="AT135" i="32"/>
  <c r="AT140" i="32"/>
  <c r="AT126" i="32"/>
  <c r="AT132" i="32"/>
  <c r="AT134" i="32"/>
  <c r="AT124" i="32"/>
  <c r="AT121" i="32"/>
  <c r="AT128" i="32"/>
  <c r="AT129" i="32"/>
  <c r="AT123" i="32"/>
  <c r="AT119" i="32"/>
  <c r="AT122" i="32"/>
  <c r="AT120" i="32"/>
  <c r="AT130" i="32"/>
  <c r="AT125" i="32"/>
  <c r="AT133" i="32"/>
  <c r="AT158" i="32"/>
  <c r="AT150" i="32"/>
  <c r="AT163" i="32"/>
  <c r="AT166" i="32"/>
  <c r="AT147" i="32"/>
  <c r="AT149" i="32"/>
  <c r="AT151" i="32"/>
  <c r="AT148" i="32"/>
  <c r="AT153" i="32"/>
  <c r="AT144" i="32"/>
  <c r="AT168" i="32"/>
  <c r="AT161" i="32"/>
  <c r="AT143" i="32"/>
  <c r="AT167" i="32"/>
  <c r="AT162" i="32"/>
  <c r="AT141" i="32"/>
  <c r="AT165" i="32"/>
  <c r="AT296" i="32"/>
  <c r="AT325" i="32"/>
  <c r="AT260" i="32"/>
  <c r="AT277" i="32"/>
  <c r="AT305" i="32"/>
  <c r="AT307" i="32"/>
  <c r="AT276" i="32"/>
  <c r="AT286" i="32"/>
  <c r="AT169" i="32"/>
  <c r="AT270" i="32"/>
  <c r="AT273" i="32"/>
  <c r="AT262" i="32"/>
  <c r="AT250" i="32"/>
  <c r="AT248" i="32"/>
  <c r="AT269" i="32"/>
  <c r="AT177" i="32"/>
  <c r="AT374" i="32"/>
  <c r="AT358" i="32"/>
  <c r="AT283" i="32"/>
  <c r="AT171" i="32"/>
  <c r="AT172" i="32"/>
  <c r="AT259" i="32"/>
  <c r="AT261" i="32"/>
  <c r="AT377" i="32"/>
  <c r="AT375" i="32"/>
  <c r="AT372" i="32"/>
  <c r="AT257" i="32"/>
  <c r="AT366" i="32"/>
  <c r="AT176" i="32"/>
  <c r="AT380" i="32"/>
  <c r="AT381" i="32"/>
  <c r="AT359" i="32"/>
  <c r="AT274" i="32"/>
  <c r="AT361" i="32"/>
  <c r="AT362" i="32"/>
  <c r="AT367" i="32"/>
  <c r="AT258" i="32"/>
  <c r="AT152" i="32"/>
  <c r="AT263" i="32"/>
  <c r="AT275" i="32"/>
  <c r="AT264" i="32"/>
  <c r="AT279" i="32"/>
  <c r="AT249" i="32"/>
  <c r="AT247" i="32"/>
  <c r="AT268" i="32"/>
  <c r="AT334" i="32"/>
  <c r="AT174" i="32"/>
  <c r="AT341" i="32"/>
  <c r="AT333" i="32"/>
  <c r="AT337" i="32"/>
  <c r="AT335" i="32"/>
  <c r="AT332" i="32"/>
  <c r="AT331" i="32"/>
  <c r="AT340" i="32"/>
  <c r="AT271" i="32"/>
  <c r="AT173" i="32"/>
  <c r="AT175" i="32"/>
  <c r="AT339" i="32"/>
  <c r="AT338" i="32"/>
  <c r="AT336" i="32"/>
  <c r="AT170" i="32"/>
  <c r="AT330" i="32"/>
  <c r="AT324" i="32"/>
  <c r="AT321" i="32"/>
  <c r="AT322" i="32"/>
  <c r="AT329" i="32"/>
  <c r="AT327" i="32"/>
  <c r="AT320" i="32"/>
  <c r="AT323" i="32"/>
  <c r="AT317" i="32"/>
  <c r="AT315" i="32"/>
  <c r="AT316" i="32"/>
  <c r="AT319" i="32"/>
  <c r="AT328" i="32"/>
  <c r="AT326" i="32"/>
  <c r="AT312" i="32"/>
  <c r="AT313" i="32"/>
  <c r="AT314" i="32"/>
  <c r="AT302" i="32"/>
  <c r="AT300" i="32"/>
  <c r="AT299" i="32"/>
  <c r="AT304" i="32"/>
  <c r="AT303" i="32"/>
  <c r="AT301" i="32"/>
  <c r="AT311" i="32"/>
  <c r="AT308" i="32"/>
  <c r="AT310" i="32"/>
  <c r="AT306" i="32"/>
  <c r="AT309" i="32"/>
  <c r="AT371" i="32"/>
  <c r="AT370" i="32"/>
  <c r="AT369" i="32"/>
  <c r="AT368" i="32"/>
  <c r="AT357" i="32"/>
  <c r="AT379" i="32"/>
  <c r="AT363" i="32"/>
  <c r="AT360" i="32"/>
  <c r="AT364" i="32"/>
  <c r="AT376" i="32"/>
  <c r="AT160" i="32"/>
  <c r="AT164" i="32"/>
  <c r="AT298" i="32"/>
  <c r="AT293" i="32"/>
  <c r="AT294" i="32"/>
  <c r="AT290" i="32"/>
  <c r="AT287" i="32"/>
  <c r="AT295" i="32"/>
  <c r="AT291" i="32"/>
  <c r="AT292" i="32"/>
  <c r="AT297" i="32"/>
  <c r="AT289" i="32"/>
  <c r="AW223" i="32"/>
  <c r="AW231" i="32"/>
  <c r="AW230" i="32"/>
  <c r="AW229" i="32"/>
  <c r="AW228" i="32"/>
  <c r="AW227" i="32"/>
  <c r="AW226" i="32"/>
  <c r="AW225" i="32"/>
  <c r="AW224" i="32"/>
  <c r="AW222" i="32"/>
  <c r="AW193" i="32"/>
  <c r="AW192" i="32"/>
  <c r="AW159" i="32"/>
  <c r="AW146" i="32"/>
  <c r="AW145" i="32"/>
  <c r="AW220" i="32"/>
  <c r="AW208" i="32"/>
  <c r="AW206" i="32"/>
  <c r="AW205" i="32"/>
  <c r="AW221" i="32"/>
  <c r="AW204" i="32"/>
  <c r="AW203" i="32"/>
  <c r="AW202" i="32"/>
  <c r="AW200" i="32"/>
  <c r="AW199" i="32"/>
  <c r="AW198" i="32"/>
  <c r="AW197" i="32"/>
  <c r="AW232" i="32"/>
  <c r="AW195" i="32"/>
  <c r="AW189" i="32"/>
  <c r="AW236" i="32"/>
  <c r="AW235" i="32"/>
  <c r="AW234" i="32"/>
  <c r="AW233" i="32"/>
  <c r="AW201" i="32"/>
  <c r="AW216" i="32"/>
  <c r="AW211" i="32"/>
  <c r="AW215" i="32"/>
  <c r="AW210" i="32"/>
  <c r="AW214" i="32"/>
  <c r="AW212" i="32"/>
  <c r="AW217" i="32"/>
  <c r="AW181" i="32"/>
  <c r="AW183" i="32"/>
  <c r="AW184" i="32"/>
  <c r="AW347" i="32"/>
  <c r="AW346" i="32"/>
  <c r="AW344" i="32"/>
  <c r="AW343" i="32"/>
  <c r="AW355" i="32"/>
  <c r="AW354" i="32"/>
  <c r="AW353" i="32"/>
  <c r="AW352" i="32"/>
  <c r="AW351" i="32"/>
  <c r="AW350" i="32"/>
  <c r="AW348" i="32"/>
  <c r="AW345" i="32"/>
  <c r="AW349" i="32"/>
  <c r="AW342" i="32"/>
  <c r="AW104" i="32"/>
  <c r="AW103" i="32"/>
  <c r="AW102" i="32"/>
  <c r="AW101" i="32"/>
  <c r="AW100" i="32"/>
  <c r="AW99" i="32"/>
  <c r="AW98" i="32"/>
  <c r="AW96" i="32"/>
  <c r="AW95" i="32"/>
  <c r="AW94" i="32"/>
  <c r="AW118" i="32"/>
  <c r="AW116" i="32"/>
  <c r="AW115" i="32"/>
  <c r="AW114" i="32"/>
  <c r="AW113" i="32"/>
  <c r="AW112" i="32"/>
  <c r="AW111" i="32"/>
  <c r="AW110" i="32"/>
  <c r="AW108" i="32"/>
  <c r="AW107" i="32"/>
  <c r="AW106" i="32"/>
  <c r="AW105" i="32"/>
  <c r="AW97" i="32"/>
  <c r="AW93" i="32"/>
  <c r="AW117" i="32"/>
  <c r="AW109" i="32"/>
  <c r="AW142" i="32"/>
  <c r="AW278" i="32"/>
  <c r="AW252" i="32"/>
  <c r="AW246" i="32"/>
  <c r="AW191" i="32"/>
  <c r="AW190" i="32"/>
  <c r="AW188" i="32"/>
  <c r="AW238" i="32"/>
  <c r="AW240" i="32"/>
  <c r="AW244" i="32"/>
  <c r="AW245" i="32"/>
  <c r="AW185" i="32"/>
  <c r="AW179" i="32"/>
  <c r="AW242" i="32"/>
  <c r="AW243" i="32"/>
  <c r="AW194" i="32"/>
  <c r="AW182" i="32"/>
  <c r="AW284" i="32"/>
  <c r="AW378" i="32"/>
  <c r="AW265" i="32"/>
  <c r="AW373" i="32"/>
  <c r="AW196" i="32"/>
  <c r="AW186" i="32"/>
  <c r="AW253" i="32"/>
  <c r="AW280" i="32"/>
  <c r="AW254" i="32"/>
  <c r="AW241" i="32"/>
  <c r="AW180" i="32"/>
  <c r="AW239" i="32"/>
  <c r="AW281" i="32"/>
  <c r="AW256" i="32"/>
  <c r="AW187" i="32"/>
  <c r="AW288" i="32"/>
  <c r="AW282" i="32"/>
  <c r="AW255" i="32"/>
  <c r="AW251" i="32"/>
  <c r="AW237" i="32"/>
  <c r="AW272" i="32"/>
  <c r="AW365" i="32"/>
  <c r="AW178" i="32"/>
  <c r="AW218" i="32"/>
  <c r="AW57" i="32"/>
  <c r="AW56" i="32"/>
  <c r="AW55" i="32"/>
  <c r="AW54" i="32"/>
  <c r="AW53" i="32"/>
  <c r="AW52" i="32"/>
  <c r="AW51" i="32"/>
  <c r="AW50" i="32"/>
  <c r="AW49" i="32"/>
  <c r="AW48" i="32"/>
  <c r="AW47" i="32"/>
  <c r="AW46" i="32"/>
  <c r="AW45" i="32"/>
  <c r="AW44" i="32"/>
  <c r="AW42" i="32"/>
  <c r="AW41" i="32"/>
  <c r="AW40" i="32"/>
  <c r="AW39" i="32"/>
  <c r="AW38" i="32"/>
  <c r="AW37" i="32"/>
  <c r="AW35" i="32"/>
  <c r="AW34" i="32"/>
  <c r="AW33" i="32"/>
  <c r="AW32" i="32"/>
  <c r="AW31" i="32"/>
  <c r="AW30" i="32"/>
  <c r="AW29" i="32"/>
  <c r="AW28" i="32"/>
  <c r="AW27" i="32"/>
  <c r="AW26" i="32"/>
  <c r="AW25" i="32"/>
  <c r="AW24" i="32"/>
  <c r="AW23" i="32"/>
  <c r="AW22" i="32"/>
  <c r="AW21" i="32"/>
  <c r="AW20" i="32"/>
  <c r="AW19" i="32"/>
  <c r="AW18" i="32"/>
  <c r="AW17" i="32"/>
  <c r="AW16" i="32"/>
  <c r="AW15" i="32"/>
  <c r="AW92" i="32"/>
  <c r="AW91" i="32"/>
  <c r="AW90" i="32"/>
  <c r="AW89" i="32"/>
  <c r="AW88" i="32"/>
  <c r="AW87" i="32"/>
  <c r="AW86" i="32"/>
  <c r="AW85" i="32"/>
  <c r="AW84" i="32"/>
  <c r="AW83" i="32"/>
  <c r="AW82" i="32"/>
  <c r="AW81" i="32"/>
  <c r="AW80" i="32"/>
  <c r="AW79" i="32"/>
  <c r="AW78" i="32"/>
  <c r="AW77" i="32"/>
  <c r="AW75" i="32"/>
  <c r="AW74" i="32"/>
  <c r="AW73" i="32"/>
  <c r="AW72" i="32"/>
  <c r="AW71" i="32"/>
  <c r="AW70" i="32"/>
  <c r="AW69" i="32"/>
  <c r="AW68" i="32"/>
  <c r="AW67" i="32"/>
  <c r="AW66" i="32"/>
  <c r="AW65" i="32"/>
  <c r="AW63" i="32"/>
  <c r="AW62" i="32"/>
  <c r="AW61" i="32"/>
  <c r="AW60" i="32"/>
  <c r="AW59" i="32"/>
  <c r="AW58" i="32"/>
  <c r="AW43" i="32"/>
  <c r="AW36" i="32"/>
  <c r="AW76" i="32"/>
  <c r="AW64" i="32"/>
  <c r="AW14" i="32"/>
  <c r="AW157" i="32"/>
  <c r="AW154" i="32"/>
  <c r="AW155" i="32"/>
  <c r="AW137" i="32"/>
  <c r="AW136" i="32"/>
  <c r="AW138" i="32"/>
  <c r="AW127" i="32"/>
  <c r="AW139" i="32"/>
  <c r="AW131" i="32"/>
  <c r="AW135" i="32"/>
  <c r="AW140" i="32"/>
  <c r="AW126" i="32"/>
  <c r="AW132" i="32"/>
  <c r="AW134" i="32"/>
  <c r="AW124" i="32"/>
  <c r="AW121" i="32"/>
  <c r="AW128" i="32"/>
  <c r="AW129" i="32"/>
  <c r="AW123" i="32"/>
  <c r="AW119" i="32"/>
  <c r="AW122" i="32"/>
  <c r="AW120" i="32"/>
  <c r="AW130" i="32"/>
  <c r="AW125" i="32"/>
  <c r="AW133" i="32"/>
  <c r="AW158" i="32"/>
  <c r="AW150" i="32"/>
  <c r="AW163" i="32"/>
  <c r="AW166" i="32"/>
  <c r="AW147" i="32"/>
  <c r="AW149" i="32"/>
  <c r="AW151" i="32"/>
  <c r="AW148" i="32"/>
  <c r="AW153" i="32"/>
  <c r="AW144" i="32"/>
  <c r="AW168" i="32"/>
  <c r="AW161" i="32"/>
  <c r="AW143" i="32"/>
  <c r="AW167" i="32"/>
  <c r="AW162" i="32"/>
  <c r="AW141" i="32"/>
  <c r="AW165" i="32"/>
  <c r="AW296" i="32"/>
  <c r="AW325" i="32"/>
  <c r="AW260" i="32"/>
  <c r="AW277" i="32"/>
  <c r="AW305" i="32"/>
  <c r="AW307" i="32"/>
  <c r="AW276" i="32"/>
  <c r="AW286" i="32"/>
  <c r="AW169" i="32"/>
  <c r="AW270" i="32"/>
  <c r="AW273" i="32"/>
  <c r="AW262" i="32"/>
  <c r="AW250" i="32"/>
  <c r="AW248" i="32"/>
  <c r="AW269" i="32"/>
  <c r="AW177" i="32"/>
  <c r="AW374" i="32"/>
  <c r="AW358" i="32"/>
  <c r="AW283" i="32"/>
  <c r="AW171" i="32"/>
  <c r="AW172" i="32"/>
  <c r="AW259" i="32"/>
  <c r="AW261" i="32"/>
  <c r="AW377" i="32"/>
  <c r="AW375" i="32"/>
  <c r="AW372" i="32"/>
  <c r="AW257" i="32"/>
  <c r="AW366" i="32"/>
  <c r="AW176" i="32"/>
  <c r="AW380" i="32"/>
  <c r="AW381" i="32"/>
  <c r="AW359" i="32"/>
  <c r="AW274" i="32"/>
  <c r="AW361" i="32"/>
  <c r="AW362" i="32"/>
  <c r="AW367" i="32"/>
  <c r="AW258" i="32"/>
  <c r="AW152" i="32"/>
  <c r="AW263" i="32"/>
  <c r="AW275" i="32"/>
  <c r="AW264" i="32"/>
  <c r="AW279" i="32"/>
  <c r="AW249" i="32"/>
  <c r="AW247" i="32"/>
  <c r="AW268" i="32"/>
  <c r="AW334" i="32"/>
  <c r="AW174" i="32"/>
  <c r="AW341" i="32"/>
  <c r="AW333" i="32"/>
  <c r="AW337" i="32"/>
  <c r="AW335" i="32"/>
  <c r="AW332" i="32"/>
  <c r="AW331" i="32"/>
  <c r="AW340" i="32"/>
  <c r="AW271" i="32"/>
  <c r="AW173" i="32"/>
  <c r="AW175" i="32"/>
  <c r="AW339" i="32"/>
  <c r="AW338" i="32"/>
  <c r="AW336" i="32"/>
  <c r="AW170" i="32"/>
  <c r="AW330" i="32"/>
  <c r="AW321" i="32"/>
  <c r="AW322" i="32"/>
  <c r="AW329" i="32"/>
  <c r="AW327" i="32"/>
  <c r="AW320" i="32"/>
  <c r="AW323" i="32"/>
  <c r="AW317" i="32"/>
  <c r="AW315" i="32"/>
  <c r="AW316" i="32"/>
  <c r="AW319" i="32"/>
  <c r="AW328" i="32"/>
  <c r="AW326" i="32"/>
  <c r="AW312" i="32"/>
  <c r="AW313" i="32"/>
  <c r="AW314" i="32"/>
  <c r="AW302" i="32"/>
  <c r="AW300" i="32"/>
  <c r="AW299" i="32"/>
  <c r="AW304" i="32"/>
  <c r="AW303" i="32"/>
  <c r="AW301" i="32"/>
  <c r="AW311" i="32"/>
  <c r="AW308" i="32"/>
  <c r="AW310" i="32"/>
  <c r="AW306" i="32"/>
  <c r="AW309" i="32"/>
  <c r="AW371" i="32"/>
  <c r="AW370" i="32"/>
  <c r="AW369" i="32"/>
  <c r="AW368" i="32"/>
  <c r="AW357" i="32"/>
  <c r="AW379" i="32"/>
  <c r="AW363" i="32"/>
  <c r="AW360" i="32"/>
  <c r="AW364" i="32"/>
  <c r="AW376" i="32"/>
  <c r="AW160" i="32"/>
  <c r="AW164" i="32"/>
  <c r="AW298" i="32"/>
  <c r="AW293" i="32"/>
  <c r="AW294" i="32"/>
  <c r="AW290" i="32"/>
  <c r="AW287" i="32"/>
  <c r="AW295" i="32"/>
  <c r="AW291" i="32"/>
  <c r="AW292" i="32"/>
  <c r="AW297" i="32"/>
  <c r="AW289" i="32"/>
  <c r="AW324" i="32"/>
  <c r="R40" i="46" l="1"/>
  <c r="AF39" i="46"/>
  <c r="Q40" i="46"/>
  <c r="AE39" i="46"/>
  <c r="S18" i="46"/>
  <c r="AG17" i="46"/>
  <c r="Q18" i="46"/>
  <c r="AE17" i="46"/>
  <c r="CX109" i="32"/>
  <c r="K573" i="50"/>
  <c r="K607" i="50"/>
  <c r="CX105" i="32"/>
  <c r="K602" i="50"/>
  <c r="CX110" i="32"/>
  <c r="K574" i="50"/>
  <c r="K609" i="50"/>
  <c r="CX114" i="32"/>
  <c r="K613" i="50"/>
  <c r="CX94" i="32"/>
  <c r="K560" i="50"/>
  <c r="K582" i="50"/>
  <c r="CX99" i="32"/>
  <c r="K563" i="50"/>
  <c r="K591" i="50"/>
  <c r="CX103" i="32"/>
  <c r="K567" i="50"/>
  <c r="K600" i="50"/>
  <c r="K521" i="50"/>
  <c r="CX345" i="32"/>
  <c r="K114" i="50"/>
  <c r="AH114" i="50" s="1"/>
  <c r="K104" i="50"/>
  <c r="AH104" i="50" s="1"/>
  <c r="CX352" i="32"/>
  <c r="K110" i="50"/>
  <c r="AH110" i="50" s="1"/>
  <c r="CX343" i="32"/>
  <c r="K102" i="50"/>
  <c r="AH102" i="50" s="1"/>
  <c r="CX93" i="32"/>
  <c r="K580" i="50"/>
  <c r="CX107" i="32"/>
  <c r="K605" i="50"/>
  <c r="K571" i="50"/>
  <c r="CX112" i="32"/>
  <c r="K576" i="50"/>
  <c r="K611" i="50"/>
  <c r="CX116" i="32"/>
  <c r="K616" i="50"/>
  <c r="CX96" i="32"/>
  <c r="K561" i="50"/>
  <c r="K587" i="50"/>
  <c r="CX101" i="32"/>
  <c r="K565" i="50"/>
  <c r="K597" i="50"/>
  <c r="K518" i="50"/>
  <c r="CX342" i="32"/>
  <c r="K101" i="50"/>
  <c r="AH101" i="50" s="1"/>
  <c r="CX350" i="32"/>
  <c r="K108" i="50"/>
  <c r="AH108" i="50" s="1"/>
  <c r="CX354" i="32"/>
  <c r="K112" i="50"/>
  <c r="AH112" i="50" s="1"/>
  <c r="CX346" i="32"/>
  <c r="K105" i="50"/>
  <c r="AH105" i="50" s="1"/>
  <c r="CX142" i="32"/>
  <c r="K399" i="50"/>
  <c r="K414" i="50"/>
  <c r="CX97" i="32"/>
  <c r="K562" i="50"/>
  <c r="K589" i="50"/>
  <c r="CX108" i="32"/>
  <c r="K606" i="50"/>
  <c r="K572" i="50"/>
  <c r="CX113" i="32"/>
  <c r="K524" i="50"/>
  <c r="K577" i="50"/>
  <c r="K612" i="50"/>
  <c r="K537" i="50"/>
  <c r="AH537" i="50" s="1"/>
  <c r="K428" i="50"/>
  <c r="CX118" i="32"/>
  <c r="K540" i="50"/>
  <c r="AH540" i="50" s="1"/>
  <c r="K579" i="50"/>
  <c r="CX98" i="32"/>
  <c r="K426" i="50"/>
  <c r="CX102" i="32"/>
  <c r="K566" i="50"/>
  <c r="K534" i="50"/>
  <c r="AH534" i="50" s="1"/>
  <c r="K599" i="50"/>
  <c r="K520" i="50"/>
  <c r="CX349" i="32"/>
  <c r="K115" i="50"/>
  <c r="AH115" i="50" s="1"/>
  <c r="CX351" i="32"/>
  <c r="K109" i="50"/>
  <c r="AH109" i="50" s="1"/>
  <c r="CX347" i="32"/>
  <c r="K106" i="50"/>
  <c r="AH106" i="50" s="1"/>
  <c r="CX355" i="32"/>
  <c r="CX117" i="32"/>
  <c r="K539" i="50"/>
  <c r="AH539" i="50" s="1"/>
  <c r="CX106" i="32"/>
  <c r="K535" i="50"/>
  <c r="AH535" i="50" s="1"/>
  <c r="K603" i="50"/>
  <c r="K570" i="50"/>
  <c r="K522" i="50"/>
  <c r="K575" i="50"/>
  <c r="K610" i="50"/>
  <c r="CX115" i="32"/>
  <c r="K578" i="50"/>
  <c r="K525" i="50"/>
  <c r="K615" i="50"/>
  <c r="K538" i="50"/>
  <c r="AH538" i="50" s="1"/>
  <c r="CX95" i="32"/>
  <c r="K515" i="50"/>
  <c r="CX100" i="32"/>
  <c r="K564" i="50"/>
  <c r="K592" i="50"/>
  <c r="K569" i="50"/>
  <c r="K601" i="50"/>
  <c r="CX348" i="32"/>
  <c r="K107" i="50"/>
  <c r="AH107" i="50" s="1"/>
  <c r="CX353" i="32"/>
  <c r="K111" i="50"/>
  <c r="AH111" i="50" s="1"/>
  <c r="CX344" i="32"/>
  <c r="K103" i="50"/>
  <c r="AH103" i="50" s="1"/>
  <c r="R18" i="46"/>
  <c r="AP266" i="32"/>
  <c r="AQ266" i="32" s="1"/>
  <c r="AP267" i="32"/>
  <c r="AQ267" i="32" s="1"/>
  <c r="AP285" i="32"/>
  <c r="AQ285" i="32" s="1"/>
  <c r="AP219" i="32"/>
  <c r="AQ219" i="32" s="1"/>
  <c r="AP318" i="32"/>
  <c r="AQ318" i="32" s="1"/>
  <c r="AP223" i="32"/>
  <c r="AQ223" i="32" s="1"/>
  <c r="AP231" i="32"/>
  <c r="AQ231" i="32" s="1"/>
  <c r="AP230" i="32"/>
  <c r="AQ230" i="32" s="1"/>
  <c r="AP229" i="32"/>
  <c r="AQ229" i="32" s="1"/>
  <c r="AP228" i="32"/>
  <c r="AQ228" i="32" s="1"/>
  <c r="AP227" i="32"/>
  <c r="AQ227" i="32" s="1"/>
  <c r="AP226" i="32"/>
  <c r="AQ226" i="32" s="1"/>
  <c r="AP225" i="32"/>
  <c r="AQ225" i="32" s="1"/>
  <c r="AP224" i="32"/>
  <c r="AQ224" i="32" s="1"/>
  <c r="AP222" i="32"/>
  <c r="AQ222" i="32" s="1"/>
  <c r="AP193" i="32"/>
  <c r="AQ193" i="32" s="1"/>
  <c r="AP192" i="32"/>
  <c r="AQ192" i="32" s="1"/>
  <c r="AP159" i="32"/>
  <c r="AQ159" i="32" s="1"/>
  <c r="AP146" i="32"/>
  <c r="AQ146" i="32" s="1"/>
  <c r="AP145" i="32"/>
  <c r="AQ145" i="32" s="1"/>
  <c r="AP220" i="32"/>
  <c r="AQ220" i="32" s="1"/>
  <c r="AP208" i="32"/>
  <c r="AQ208" i="32" s="1"/>
  <c r="AP206" i="32"/>
  <c r="AQ206" i="32" s="1"/>
  <c r="AP205" i="32"/>
  <c r="AQ205" i="32" s="1"/>
  <c r="AP221" i="32"/>
  <c r="AQ221" i="32" s="1"/>
  <c r="AP204" i="32"/>
  <c r="AQ204" i="32" s="1"/>
  <c r="AP203" i="32"/>
  <c r="AQ203" i="32" s="1"/>
  <c r="AP202" i="32"/>
  <c r="AQ202" i="32" s="1"/>
  <c r="AP200" i="32"/>
  <c r="AQ200" i="32" s="1"/>
  <c r="AP199" i="32"/>
  <c r="AQ199" i="32" s="1"/>
  <c r="AP198" i="32"/>
  <c r="AQ198" i="32" s="1"/>
  <c r="AP197" i="32"/>
  <c r="AQ197" i="32" s="1"/>
  <c r="AP232" i="32"/>
  <c r="AQ232" i="32" s="1"/>
  <c r="AP195" i="32"/>
  <c r="AQ195" i="32" s="1"/>
  <c r="AP189" i="32"/>
  <c r="AQ189" i="32" s="1"/>
  <c r="AP236" i="32"/>
  <c r="AQ236" i="32" s="1"/>
  <c r="AP235" i="32"/>
  <c r="AQ235" i="32" s="1"/>
  <c r="AP234" i="32"/>
  <c r="AQ234" i="32" s="1"/>
  <c r="AP233" i="32"/>
  <c r="AQ233" i="32" s="1"/>
  <c r="AP201" i="32"/>
  <c r="AQ201" i="32" s="1"/>
  <c r="AP216" i="32"/>
  <c r="AQ216" i="32" s="1"/>
  <c r="AP211" i="32"/>
  <c r="AQ211" i="32" s="1"/>
  <c r="AP215" i="32"/>
  <c r="AQ215" i="32" s="1"/>
  <c r="AP210" i="32"/>
  <c r="AQ210" i="32" s="1"/>
  <c r="AP214" i="32"/>
  <c r="AQ214" i="32" s="1"/>
  <c r="AP212" i="32"/>
  <c r="AQ212" i="32" s="1"/>
  <c r="AP217" i="32"/>
  <c r="AQ217" i="32" s="1"/>
  <c r="AP181" i="32"/>
  <c r="AQ181" i="32" s="1"/>
  <c r="AP183" i="32"/>
  <c r="AQ183" i="32" s="1"/>
  <c r="AP184" i="32"/>
  <c r="AQ184" i="32" s="1"/>
  <c r="AP347" i="32"/>
  <c r="AQ347" i="32" s="1"/>
  <c r="AP346" i="32"/>
  <c r="AQ346" i="32" s="1"/>
  <c r="AP344" i="32"/>
  <c r="AQ344" i="32" s="1"/>
  <c r="AP343" i="32"/>
  <c r="AQ343" i="32" s="1"/>
  <c r="AP355" i="32"/>
  <c r="AQ355" i="32" s="1"/>
  <c r="AP354" i="32"/>
  <c r="AQ354" i="32" s="1"/>
  <c r="AP353" i="32"/>
  <c r="AQ353" i="32" s="1"/>
  <c r="AP352" i="32"/>
  <c r="AQ352" i="32" s="1"/>
  <c r="AP351" i="32"/>
  <c r="AQ351" i="32" s="1"/>
  <c r="AP350" i="32"/>
  <c r="AQ350" i="32" s="1"/>
  <c r="AP348" i="32"/>
  <c r="AQ348" i="32" s="1"/>
  <c r="AP345" i="32"/>
  <c r="AQ345" i="32" s="1"/>
  <c r="AP349" i="32"/>
  <c r="AQ349" i="32" s="1"/>
  <c r="AP342" i="32"/>
  <c r="AQ342" i="32" s="1"/>
  <c r="AP104" i="32"/>
  <c r="AQ104" i="32" s="1"/>
  <c r="AP103" i="32"/>
  <c r="AQ103" i="32" s="1"/>
  <c r="AP102" i="32"/>
  <c r="AQ102" i="32" s="1"/>
  <c r="AP101" i="32"/>
  <c r="AQ101" i="32" s="1"/>
  <c r="AP100" i="32"/>
  <c r="AQ100" i="32" s="1"/>
  <c r="AP99" i="32"/>
  <c r="AQ99" i="32" s="1"/>
  <c r="AP98" i="32"/>
  <c r="AQ98" i="32" s="1"/>
  <c r="AP96" i="32"/>
  <c r="AQ96" i="32" s="1"/>
  <c r="AP95" i="32"/>
  <c r="AQ95" i="32" s="1"/>
  <c r="AP94" i="32"/>
  <c r="AQ94" i="32" s="1"/>
  <c r="AP118" i="32"/>
  <c r="AQ118" i="32" s="1"/>
  <c r="AP116" i="32"/>
  <c r="AQ116" i="32" s="1"/>
  <c r="AP115" i="32"/>
  <c r="AQ115" i="32" s="1"/>
  <c r="AP114" i="32"/>
  <c r="AQ114" i="32" s="1"/>
  <c r="AP113" i="32"/>
  <c r="AQ113" i="32" s="1"/>
  <c r="AP112" i="32"/>
  <c r="AQ112" i="32" s="1"/>
  <c r="AP111" i="32"/>
  <c r="AQ111" i="32" s="1"/>
  <c r="AP110" i="32"/>
  <c r="AQ110" i="32" s="1"/>
  <c r="AP108" i="32"/>
  <c r="AQ108" i="32" s="1"/>
  <c r="AP107" i="32"/>
  <c r="AQ107" i="32" s="1"/>
  <c r="AP106" i="32"/>
  <c r="AQ106" i="32" s="1"/>
  <c r="AP105" i="32"/>
  <c r="AQ105" i="32" s="1"/>
  <c r="AP97" i="32"/>
  <c r="AQ97" i="32" s="1"/>
  <c r="AP93" i="32"/>
  <c r="AQ93" i="32" s="1"/>
  <c r="AP117" i="32"/>
  <c r="AQ117" i="32" s="1"/>
  <c r="AP109" i="32"/>
  <c r="AQ109" i="32" s="1"/>
  <c r="AP142" i="32"/>
  <c r="AQ142" i="32" s="1"/>
  <c r="AP278" i="32"/>
  <c r="AQ278" i="32" s="1"/>
  <c r="AP252" i="32"/>
  <c r="AQ252" i="32" s="1"/>
  <c r="AP246" i="32"/>
  <c r="AQ246" i="32" s="1"/>
  <c r="AP191" i="32"/>
  <c r="AQ191" i="32" s="1"/>
  <c r="AP190" i="32"/>
  <c r="AQ190" i="32" s="1"/>
  <c r="AP188" i="32"/>
  <c r="AQ188" i="32" s="1"/>
  <c r="AP238" i="32"/>
  <c r="AQ238" i="32" s="1"/>
  <c r="AP240" i="32"/>
  <c r="AQ240" i="32" s="1"/>
  <c r="AP244" i="32"/>
  <c r="AQ244" i="32" s="1"/>
  <c r="AP245" i="32"/>
  <c r="AQ245" i="32" s="1"/>
  <c r="AP185" i="32"/>
  <c r="AQ185" i="32" s="1"/>
  <c r="AP179" i="32"/>
  <c r="AQ179" i="32" s="1"/>
  <c r="AP242" i="32"/>
  <c r="AQ242" i="32" s="1"/>
  <c r="AP243" i="32"/>
  <c r="AQ243" i="32" s="1"/>
  <c r="AP194" i="32"/>
  <c r="AQ194" i="32" s="1"/>
  <c r="AP182" i="32"/>
  <c r="AQ182" i="32" s="1"/>
  <c r="AP284" i="32"/>
  <c r="AQ284" i="32" s="1"/>
  <c r="AP378" i="32"/>
  <c r="AQ378" i="32" s="1"/>
  <c r="AP265" i="32"/>
  <c r="AQ265" i="32" s="1"/>
  <c r="AP373" i="32"/>
  <c r="AQ373" i="32" s="1"/>
  <c r="AP196" i="32"/>
  <c r="AQ196" i="32" s="1"/>
  <c r="AP186" i="32"/>
  <c r="AQ186" i="32" s="1"/>
  <c r="AP253" i="32"/>
  <c r="AQ253" i="32" s="1"/>
  <c r="AP280" i="32"/>
  <c r="AQ280" i="32" s="1"/>
  <c r="AP254" i="32"/>
  <c r="AQ254" i="32" s="1"/>
  <c r="AP241" i="32"/>
  <c r="AQ241" i="32" s="1"/>
  <c r="AP180" i="32"/>
  <c r="AQ180" i="32" s="1"/>
  <c r="AP239" i="32"/>
  <c r="AQ239" i="32" s="1"/>
  <c r="AP281" i="32"/>
  <c r="AQ281" i="32" s="1"/>
  <c r="AP256" i="32"/>
  <c r="AQ256" i="32" s="1"/>
  <c r="AP187" i="32"/>
  <c r="AQ187" i="32" s="1"/>
  <c r="AP288" i="32"/>
  <c r="AQ288" i="32" s="1"/>
  <c r="AP282" i="32"/>
  <c r="AQ282" i="32" s="1"/>
  <c r="AP255" i="32"/>
  <c r="AQ255" i="32" s="1"/>
  <c r="AP251" i="32"/>
  <c r="AQ251" i="32" s="1"/>
  <c r="AP237" i="32"/>
  <c r="AQ237" i="32" s="1"/>
  <c r="AP272" i="32"/>
  <c r="AQ272" i="32" s="1"/>
  <c r="AP365" i="32"/>
  <c r="AQ365" i="32" s="1"/>
  <c r="AP178" i="32"/>
  <c r="AQ178" i="32" s="1"/>
  <c r="AP218" i="32"/>
  <c r="AQ218" i="32" s="1"/>
  <c r="AP57" i="32"/>
  <c r="AQ57" i="32" s="1"/>
  <c r="AP56" i="32"/>
  <c r="AQ56" i="32" s="1"/>
  <c r="AP55" i="32"/>
  <c r="AQ55" i="32" s="1"/>
  <c r="AP54" i="32"/>
  <c r="AQ54" i="32" s="1"/>
  <c r="AP53" i="32"/>
  <c r="AQ53" i="32" s="1"/>
  <c r="AP52" i="32"/>
  <c r="AQ52" i="32" s="1"/>
  <c r="AP51" i="32"/>
  <c r="AQ51" i="32" s="1"/>
  <c r="AP50" i="32"/>
  <c r="AQ50" i="32" s="1"/>
  <c r="AP49" i="32"/>
  <c r="AQ49" i="32" s="1"/>
  <c r="AP48" i="32"/>
  <c r="AQ48" i="32" s="1"/>
  <c r="AP47" i="32"/>
  <c r="AQ47" i="32" s="1"/>
  <c r="AP46" i="32"/>
  <c r="AQ46" i="32" s="1"/>
  <c r="AP45" i="32"/>
  <c r="AQ45" i="32" s="1"/>
  <c r="AP44" i="32"/>
  <c r="AQ44" i="32" s="1"/>
  <c r="AP42" i="32"/>
  <c r="AQ42" i="32" s="1"/>
  <c r="AP41" i="32"/>
  <c r="AQ41" i="32" s="1"/>
  <c r="AP40" i="32"/>
  <c r="AQ40" i="32" s="1"/>
  <c r="AP39" i="32"/>
  <c r="AQ39" i="32" s="1"/>
  <c r="AP38" i="32"/>
  <c r="AQ38" i="32" s="1"/>
  <c r="AP37" i="32"/>
  <c r="AQ37" i="32" s="1"/>
  <c r="AP35" i="32"/>
  <c r="AQ35" i="32" s="1"/>
  <c r="AP34" i="32"/>
  <c r="AQ34" i="32" s="1"/>
  <c r="AP33" i="32"/>
  <c r="AQ33" i="32" s="1"/>
  <c r="AP32" i="32"/>
  <c r="AQ32" i="32" s="1"/>
  <c r="AP31" i="32"/>
  <c r="AQ31" i="32" s="1"/>
  <c r="AP30" i="32"/>
  <c r="AQ30" i="32" s="1"/>
  <c r="AP29" i="32"/>
  <c r="AQ29" i="32" s="1"/>
  <c r="AP28" i="32"/>
  <c r="AQ28" i="32" s="1"/>
  <c r="AP27" i="32"/>
  <c r="AQ27" i="32" s="1"/>
  <c r="AP26" i="32"/>
  <c r="AQ26" i="32" s="1"/>
  <c r="AP25" i="32"/>
  <c r="AQ25" i="32" s="1"/>
  <c r="AP24" i="32"/>
  <c r="AQ24" i="32" s="1"/>
  <c r="AP23" i="32"/>
  <c r="AQ23" i="32" s="1"/>
  <c r="AP22" i="32"/>
  <c r="AQ22" i="32" s="1"/>
  <c r="AP21" i="32"/>
  <c r="AQ21" i="32" s="1"/>
  <c r="AP20" i="32"/>
  <c r="AQ20" i="32" s="1"/>
  <c r="AP19" i="32"/>
  <c r="AQ19" i="32" s="1"/>
  <c r="AP18" i="32"/>
  <c r="AQ18" i="32" s="1"/>
  <c r="AP17" i="32"/>
  <c r="AQ17" i="32" s="1"/>
  <c r="AP16" i="32"/>
  <c r="AQ16" i="32" s="1"/>
  <c r="AP15" i="32"/>
  <c r="AQ15" i="32" s="1"/>
  <c r="AP92" i="32"/>
  <c r="AQ92" i="32" s="1"/>
  <c r="AP91" i="32"/>
  <c r="AQ91" i="32" s="1"/>
  <c r="AP90" i="32"/>
  <c r="AQ90" i="32" s="1"/>
  <c r="AP89" i="32"/>
  <c r="AQ89" i="32" s="1"/>
  <c r="AP88" i="32"/>
  <c r="AQ88" i="32" s="1"/>
  <c r="AP87" i="32"/>
  <c r="AQ87" i="32" s="1"/>
  <c r="AP86" i="32"/>
  <c r="AQ86" i="32" s="1"/>
  <c r="AP85" i="32"/>
  <c r="AQ85" i="32" s="1"/>
  <c r="AP84" i="32"/>
  <c r="AQ84" i="32" s="1"/>
  <c r="AP83" i="32"/>
  <c r="AQ83" i="32" s="1"/>
  <c r="AP82" i="32"/>
  <c r="AQ82" i="32" s="1"/>
  <c r="AP81" i="32"/>
  <c r="AQ81" i="32" s="1"/>
  <c r="AP80" i="32"/>
  <c r="AQ80" i="32" s="1"/>
  <c r="AP79" i="32"/>
  <c r="AQ79" i="32" s="1"/>
  <c r="AP78" i="32"/>
  <c r="AQ78" i="32" s="1"/>
  <c r="AP77" i="32"/>
  <c r="AQ77" i="32" s="1"/>
  <c r="AP75" i="32"/>
  <c r="AQ75" i="32" s="1"/>
  <c r="AP74" i="32"/>
  <c r="AQ74" i="32" s="1"/>
  <c r="AP73" i="32"/>
  <c r="AQ73" i="32" s="1"/>
  <c r="AP72" i="32"/>
  <c r="AQ72" i="32" s="1"/>
  <c r="AP71" i="32"/>
  <c r="AQ71" i="32" s="1"/>
  <c r="AP70" i="32"/>
  <c r="AQ70" i="32" s="1"/>
  <c r="AP69" i="32"/>
  <c r="AQ69" i="32" s="1"/>
  <c r="AP68" i="32"/>
  <c r="AQ68" i="32" s="1"/>
  <c r="AP67" i="32"/>
  <c r="AQ67" i="32" s="1"/>
  <c r="AP66" i="32"/>
  <c r="AQ66" i="32" s="1"/>
  <c r="AP65" i="32"/>
  <c r="AQ65" i="32" s="1"/>
  <c r="AP63" i="32"/>
  <c r="AQ63" i="32" s="1"/>
  <c r="AP62" i="32"/>
  <c r="AQ62" i="32" s="1"/>
  <c r="AP61" i="32"/>
  <c r="AQ61" i="32" s="1"/>
  <c r="AP60" i="32"/>
  <c r="AQ60" i="32" s="1"/>
  <c r="AP59" i="32"/>
  <c r="AQ59" i="32" s="1"/>
  <c r="AP58" i="32"/>
  <c r="AQ58" i="32" s="1"/>
  <c r="AP43" i="32"/>
  <c r="AQ43" i="32" s="1"/>
  <c r="AP36" i="32"/>
  <c r="AQ36" i="32" s="1"/>
  <c r="AP76" i="32"/>
  <c r="AQ76" i="32" s="1"/>
  <c r="AP64" i="32"/>
  <c r="AQ64" i="32" s="1"/>
  <c r="AP14" i="32"/>
  <c r="AQ14" i="32" s="1"/>
  <c r="AP157" i="32"/>
  <c r="AQ157" i="32" s="1"/>
  <c r="AP154" i="32"/>
  <c r="AQ154" i="32" s="1"/>
  <c r="AP155" i="32"/>
  <c r="AQ155" i="32" s="1"/>
  <c r="AP137" i="32"/>
  <c r="AQ137" i="32" s="1"/>
  <c r="AP136" i="32"/>
  <c r="AQ136" i="32" s="1"/>
  <c r="AP138" i="32"/>
  <c r="AQ138" i="32" s="1"/>
  <c r="AP127" i="32"/>
  <c r="AQ127" i="32" s="1"/>
  <c r="AP139" i="32"/>
  <c r="AQ139" i="32" s="1"/>
  <c r="AP131" i="32"/>
  <c r="AQ131" i="32" s="1"/>
  <c r="AP135" i="32"/>
  <c r="AQ135" i="32" s="1"/>
  <c r="AP140" i="32"/>
  <c r="AQ140" i="32" s="1"/>
  <c r="AP126" i="32"/>
  <c r="AQ126" i="32" s="1"/>
  <c r="AP132" i="32"/>
  <c r="AQ132" i="32" s="1"/>
  <c r="AP134" i="32"/>
  <c r="AQ134" i="32" s="1"/>
  <c r="AP124" i="32"/>
  <c r="AQ124" i="32" s="1"/>
  <c r="AP121" i="32"/>
  <c r="AQ121" i="32" s="1"/>
  <c r="AP128" i="32"/>
  <c r="AQ128" i="32" s="1"/>
  <c r="AP129" i="32"/>
  <c r="AQ129" i="32" s="1"/>
  <c r="AP123" i="32"/>
  <c r="AQ123" i="32" s="1"/>
  <c r="AP119" i="32"/>
  <c r="AQ119" i="32" s="1"/>
  <c r="AP122" i="32"/>
  <c r="AQ122" i="32" s="1"/>
  <c r="AP120" i="32"/>
  <c r="AQ120" i="32" s="1"/>
  <c r="AP130" i="32"/>
  <c r="AQ130" i="32" s="1"/>
  <c r="AP125" i="32"/>
  <c r="AQ125" i="32" s="1"/>
  <c r="AP133" i="32"/>
  <c r="AQ133" i="32" s="1"/>
  <c r="AP158" i="32"/>
  <c r="AQ158" i="32" s="1"/>
  <c r="AP150" i="32"/>
  <c r="AQ150" i="32" s="1"/>
  <c r="AP163" i="32"/>
  <c r="AQ163" i="32" s="1"/>
  <c r="AP166" i="32"/>
  <c r="AQ166" i="32" s="1"/>
  <c r="AP147" i="32"/>
  <c r="AQ147" i="32" s="1"/>
  <c r="AP149" i="32"/>
  <c r="AQ149" i="32" s="1"/>
  <c r="AP151" i="32"/>
  <c r="AQ151" i="32" s="1"/>
  <c r="AP148" i="32"/>
  <c r="AQ148" i="32" s="1"/>
  <c r="AP153" i="32"/>
  <c r="AQ153" i="32" s="1"/>
  <c r="AP144" i="32"/>
  <c r="AQ144" i="32" s="1"/>
  <c r="AP168" i="32"/>
  <c r="AQ168" i="32" s="1"/>
  <c r="AP161" i="32"/>
  <c r="AQ161" i="32" s="1"/>
  <c r="AP143" i="32"/>
  <c r="AQ143" i="32" s="1"/>
  <c r="AP167" i="32"/>
  <c r="AQ167" i="32" s="1"/>
  <c r="AP162" i="32"/>
  <c r="AQ162" i="32" s="1"/>
  <c r="AP141" i="32"/>
  <c r="AQ141" i="32" s="1"/>
  <c r="AP165" i="32"/>
  <c r="AQ165" i="32" s="1"/>
  <c r="AP296" i="32"/>
  <c r="AQ296" i="32" s="1"/>
  <c r="AP325" i="32"/>
  <c r="AQ325" i="32" s="1"/>
  <c r="AP260" i="32"/>
  <c r="AQ260" i="32" s="1"/>
  <c r="AP277" i="32"/>
  <c r="AQ277" i="32" s="1"/>
  <c r="AP305" i="32"/>
  <c r="AQ305" i="32" s="1"/>
  <c r="AP307" i="32"/>
  <c r="AQ307" i="32" s="1"/>
  <c r="AP276" i="32"/>
  <c r="AQ276" i="32" s="1"/>
  <c r="AP286" i="32"/>
  <c r="AQ286" i="32" s="1"/>
  <c r="AP169" i="32"/>
  <c r="AQ169" i="32" s="1"/>
  <c r="AP270" i="32"/>
  <c r="AQ270" i="32" s="1"/>
  <c r="AP273" i="32"/>
  <c r="AQ273" i="32" s="1"/>
  <c r="AP262" i="32"/>
  <c r="AQ262" i="32" s="1"/>
  <c r="AP250" i="32"/>
  <c r="AQ250" i="32" s="1"/>
  <c r="AP248" i="32"/>
  <c r="AQ248" i="32" s="1"/>
  <c r="AP269" i="32"/>
  <c r="AQ269" i="32" s="1"/>
  <c r="AP177" i="32"/>
  <c r="AQ177" i="32" s="1"/>
  <c r="AP374" i="32"/>
  <c r="AQ374" i="32" s="1"/>
  <c r="AP358" i="32"/>
  <c r="AQ358" i="32" s="1"/>
  <c r="AP283" i="32"/>
  <c r="AQ283" i="32" s="1"/>
  <c r="AP171" i="32"/>
  <c r="AQ171" i="32" s="1"/>
  <c r="AP172" i="32"/>
  <c r="AQ172" i="32" s="1"/>
  <c r="AP259" i="32"/>
  <c r="AQ259" i="32" s="1"/>
  <c r="AP261" i="32"/>
  <c r="AQ261" i="32" s="1"/>
  <c r="AP377" i="32"/>
  <c r="AQ377" i="32" s="1"/>
  <c r="AP375" i="32"/>
  <c r="AQ375" i="32" s="1"/>
  <c r="AP372" i="32"/>
  <c r="AQ372" i="32" s="1"/>
  <c r="AP257" i="32"/>
  <c r="AQ257" i="32" s="1"/>
  <c r="AP366" i="32"/>
  <c r="AQ366" i="32" s="1"/>
  <c r="AP176" i="32"/>
  <c r="AQ176" i="32" s="1"/>
  <c r="AP380" i="32"/>
  <c r="AQ380" i="32" s="1"/>
  <c r="AP381" i="32"/>
  <c r="AQ381" i="32" s="1"/>
  <c r="AP359" i="32"/>
  <c r="AQ359" i="32" s="1"/>
  <c r="AP274" i="32"/>
  <c r="AQ274" i="32" s="1"/>
  <c r="AP361" i="32"/>
  <c r="AQ361" i="32" s="1"/>
  <c r="AP362" i="32"/>
  <c r="AQ362" i="32" s="1"/>
  <c r="AP367" i="32"/>
  <c r="AQ367" i="32" s="1"/>
  <c r="AP258" i="32"/>
  <c r="AQ258" i="32" s="1"/>
  <c r="AP152" i="32"/>
  <c r="AQ152" i="32" s="1"/>
  <c r="AP263" i="32"/>
  <c r="AQ263" i="32" s="1"/>
  <c r="AP275" i="32"/>
  <c r="AQ275" i="32" s="1"/>
  <c r="AP264" i="32"/>
  <c r="AQ264" i="32" s="1"/>
  <c r="AP279" i="32"/>
  <c r="AQ279" i="32" s="1"/>
  <c r="AP249" i="32"/>
  <c r="AQ249" i="32" s="1"/>
  <c r="AP247" i="32"/>
  <c r="AQ247" i="32" s="1"/>
  <c r="AP268" i="32"/>
  <c r="AQ268" i="32" s="1"/>
  <c r="AP334" i="32"/>
  <c r="AQ334" i="32" s="1"/>
  <c r="AP174" i="32"/>
  <c r="AQ174" i="32" s="1"/>
  <c r="AP341" i="32"/>
  <c r="AQ341" i="32" s="1"/>
  <c r="AP333" i="32"/>
  <c r="AQ333" i="32" s="1"/>
  <c r="AP337" i="32"/>
  <c r="AQ337" i="32" s="1"/>
  <c r="AP335" i="32"/>
  <c r="AQ335" i="32" s="1"/>
  <c r="AP332" i="32"/>
  <c r="AQ332" i="32" s="1"/>
  <c r="AP331" i="32"/>
  <c r="AQ331" i="32" s="1"/>
  <c r="AP340" i="32"/>
  <c r="AQ340" i="32" s="1"/>
  <c r="AP271" i="32"/>
  <c r="AQ271" i="32" s="1"/>
  <c r="AP173" i="32"/>
  <c r="AQ173" i="32" s="1"/>
  <c r="AP175" i="32"/>
  <c r="AQ175" i="32" s="1"/>
  <c r="AP339" i="32"/>
  <c r="AQ339" i="32" s="1"/>
  <c r="AP338" i="32"/>
  <c r="AQ338" i="32" s="1"/>
  <c r="AP336" i="32"/>
  <c r="AQ336" i="32" s="1"/>
  <c r="AP170" i="32"/>
  <c r="AQ170" i="32" s="1"/>
  <c r="AP330" i="32"/>
  <c r="AQ330" i="32" s="1"/>
  <c r="AP324" i="32"/>
  <c r="AQ324" i="32" s="1"/>
  <c r="AP321" i="32"/>
  <c r="AQ321" i="32" s="1"/>
  <c r="AP322" i="32"/>
  <c r="AQ322" i="32" s="1"/>
  <c r="AP329" i="32"/>
  <c r="AQ329" i="32" s="1"/>
  <c r="AP327" i="32"/>
  <c r="AQ327" i="32" s="1"/>
  <c r="AP320" i="32"/>
  <c r="AQ320" i="32" s="1"/>
  <c r="AP323" i="32"/>
  <c r="AQ323" i="32" s="1"/>
  <c r="AP317" i="32"/>
  <c r="AQ317" i="32" s="1"/>
  <c r="AP315" i="32"/>
  <c r="AQ315" i="32" s="1"/>
  <c r="AP316" i="32"/>
  <c r="AQ316" i="32" s="1"/>
  <c r="AP319" i="32"/>
  <c r="AQ319" i="32" s="1"/>
  <c r="AP328" i="32"/>
  <c r="AQ328" i="32" s="1"/>
  <c r="AP326" i="32"/>
  <c r="AQ326" i="32" s="1"/>
  <c r="AP312" i="32"/>
  <c r="AQ312" i="32" s="1"/>
  <c r="AP313" i="32"/>
  <c r="AQ313" i="32" s="1"/>
  <c r="AP314" i="32"/>
  <c r="AQ314" i="32" s="1"/>
  <c r="AP302" i="32"/>
  <c r="AQ302" i="32" s="1"/>
  <c r="AP300" i="32"/>
  <c r="AQ300" i="32" s="1"/>
  <c r="AP299" i="32"/>
  <c r="AQ299" i="32" s="1"/>
  <c r="AP304" i="32"/>
  <c r="AQ304" i="32" s="1"/>
  <c r="AP303" i="32"/>
  <c r="AQ303" i="32" s="1"/>
  <c r="AP301" i="32"/>
  <c r="AQ301" i="32" s="1"/>
  <c r="AP311" i="32"/>
  <c r="AQ311" i="32" s="1"/>
  <c r="AP308" i="32"/>
  <c r="AQ308" i="32" s="1"/>
  <c r="AP310" i="32"/>
  <c r="AQ310" i="32" s="1"/>
  <c r="AP306" i="32"/>
  <c r="AQ306" i="32" s="1"/>
  <c r="AP309" i="32"/>
  <c r="AQ309" i="32" s="1"/>
  <c r="AP371" i="32"/>
  <c r="AQ371" i="32" s="1"/>
  <c r="AP370" i="32"/>
  <c r="AQ370" i="32" s="1"/>
  <c r="AP369" i="32"/>
  <c r="AQ369" i="32" s="1"/>
  <c r="AP368" i="32"/>
  <c r="AQ368" i="32" s="1"/>
  <c r="AP357" i="32"/>
  <c r="AQ357" i="32" s="1"/>
  <c r="AP379" i="32"/>
  <c r="AQ379" i="32" s="1"/>
  <c r="AP363" i="32"/>
  <c r="AQ363" i="32" s="1"/>
  <c r="AP360" i="32"/>
  <c r="AQ360" i="32" s="1"/>
  <c r="AP376" i="32"/>
  <c r="AQ376" i="32" s="1"/>
  <c r="AP160" i="32"/>
  <c r="AQ160" i="32" s="1"/>
  <c r="AP164" i="32"/>
  <c r="AQ164" i="32" s="1"/>
  <c r="AP298" i="32"/>
  <c r="AQ298" i="32" s="1"/>
  <c r="AP293" i="32"/>
  <c r="AQ293" i="32" s="1"/>
  <c r="AP294" i="32"/>
  <c r="AQ294" i="32" s="1"/>
  <c r="AP290" i="32"/>
  <c r="AQ290" i="32" s="1"/>
  <c r="AP287" i="32"/>
  <c r="AQ287" i="32" s="1"/>
  <c r="AP295" i="32"/>
  <c r="AQ295" i="32" s="1"/>
  <c r="AP291" i="32"/>
  <c r="AQ291" i="32" s="1"/>
  <c r="AP292" i="32"/>
  <c r="AQ292" i="32" s="1"/>
  <c r="AP297" i="32"/>
  <c r="AQ297" i="32" s="1"/>
  <c r="AP289" i="32"/>
  <c r="AQ289" i="32" s="1"/>
  <c r="AM266" i="32"/>
  <c r="AM267" i="32"/>
  <c r="AM285" i="32"/>
  <c r="AM219" i="32"/>
  <c r="AM318" i="32"/>
  <c r="AM223" i="32"/>
  <c r="AN223" i="32" s="1"/>
  <c r="AM231" i="32"/>
  <c r="AN231" i="32" s="1"/>
  <c r="AM230" i="32"/>
  <c r="AN230" i="32" s="1"/>
  <c r="AM229" i="32"/>
  <c r="AN229" i="32" s="1"/>
  <c r="AM228" i="32"/>
  <c r="AN228" i="32" s="1"/>
  <c r="AM227" i="32"/>
  <c r="AN227" i="32" s="1"/>
  <c r="AM226" i="32"/>
  <c r="AN226" i="32" s="1"/>
  <c r="AM225" i="32"/>
  <c r="AN225" i="32" s="1"/>
  <c r="AM224" i="32"/>
  <c r="AN224" i="32" s="1"/>
  <c r="AM222" i="32"/>
  <c r="AN222" i="32" s="1"/>
  <c r="AM193" i="32"/>
  <c r="AN193" i="32" s="1"/>
  <c r="AM192" i="32"/>
  <c r="AN192" i="32" s="1"/>
  <c r="AM159" i="32"/>
  <c r="AN159" i="32" s="1"/>
  <c r="AM146" i="32"/>
  <c r="AN146" i="32" s="1"/>
  <c r="AM145" i="32"/>
  <c r="AN145" i="32" s="1"/>
  <c r="AM220" i="32"/>
  <c r="AN220" i="32" s="1"/>
  <c r="AM208" i="32"/>
  <c r="AN208" i="32" s="1"/>
  <c r="AM206" i="32"/>
  <c r="AN206" i="32" s="1"/>
  <c r="AM205" i="32"/>
  <c r="AN205" i="32" s="1"/>
  <c r="AM221" i="32"/>
  <c r="AN221" i="32" s="1"/>
  <c r="AM204" i="32"/>
  <c r="AN204" i="32" s="1"/>
  <c r="AM203" i="32"/>
  <c r="AN203" i="32" s="1"/>
  <c r="AM202" i="32"/>
  <c r="AN202" i="32" s="1"/>
  <c r="AM200" i="32"/>
  <c r="AN200" i="32" s="1"/>
  <c r="AM199" i="32"/>
  <c r="AN199" i="32" s="1"/>
  <c r="AM198" i="32"/>
  <c r="AN198" i="32" s="1"/>
  <c r="AM197" i="32"/>
  <c r="AN197" i="32" s="1"/>
  <c r="AM232" i="32"/>
  <c r="AN232" i="32" s="1"/>
  <c r="AM195" i="32"/>
  <c r="AN195" i="32" s="1"/>
  <c r="AM189" i="32"/>
  <c r="AN189" i="32" s="1"/>
  <c r="AM236" i="32"/>
  <c r="AN236" i="32" s="1"/>
  <c r="AM235" i="32"/>
  <c r="AN235" i="32" s="1"/>
  <c r="AM234" i="32"/>
  <c r="AN234" i="32" s="1"/>
  <c r="AM233" i="32"/>
  <c r="AN233" i="32" s="1"/>
  <c r="AM201" i="32"/>
  <c r="AN201" i="32" s="1"/>
  <c r="AM216" i="32"/>
  <c r="AN216" i="32" s="1"/>
  <c r="AM211" i="32"/>
  <c r="AN211" i="32" s="1"/>
  <c r="AM215" i="32"/>
  <c r="AN215" i="32" s="1"/>
  <c r="AM210" i="32"/>
  <c r="AN210" i="32" s="1"/>
  <c r="AM214" i="32"/>
  <c r="AN214" i="32" s="1"/>
  <c r="AM212" i="32"/>
  <c r="AN212" i="32" s="1"/>
  <c r="AM217" i="32"/>
  <c r="AN217" i="32" s="1"/>
  <c r="AM181" i="32"/>
  <c r="AN181" i="32" s="1"/>
  <c r="AM183" i="32"/>
  <c r="AN183" i="32" s="1"/>
  <c r="AM184" i="32"/>
  <c r="AN184" i="32" s="1"/>
  <c r="AM347" i="32"/>
  <c r="AN347" i="32" s="1"/>
  <c r="AM346" i="32"/>
  <c r="AN346" i="32" s="1"/>
  <c r="AM344" i="32"/>
  <c r="AN344" i="32" s="1"/>
  <c r="AM343" i="32"/>
  <c r="AN343" i="32" s="1"/>
  <c r="AM355" i="32"/>
  <c r="AN355" i="32" s="1"/>
  <c r="AM354" i="32"/>
  <c r="AN354" i="32" s="1"/>
  <c r="AM353" i="32"/>
  <c r="AN353" i="32" s="1"/>
  <c r="AM352" i="32"/>
  <c r="AN352" i="32" s="1"/>
  <c r="AM351" i="32"/>
  <c r="AN351" i="32" s="1"/>
  <c r="AM350" i="32"/>
  <c r="AN350" i="32" s="1"/>
  <c r="AM348" i="32"/>
  <c r="AN348" i="32" s="1"/>
  <c r="AM345" i="32"/>
  <c r="AN345" i="32" s="1"/>
  <c r="AM349" i="32"/>
  <c r="AN349" i="32" s="1"/>
  <c r="AM342" i="32"/>
  <c r="AN342" i="32" s="1"/>
  <c r="AM104" i="32"/>
  <c r="AN104" i="32" s="1"/>
  <c r="AM103" i="32"/>
  <c r="AN103" i="32" s="1"/>
  <c r="AM102" i="32"/>
  <c r="AN102" i="32" s="1"/>
  <c r="AM101" i="32"/>
  <c r="AN101" i="32" s="1"/>
  <c r="AM100" i="32"/>
  <c r="AN100" i="32" s="1"/>
  <c r="AM99" i="32"/>
  <c r="AN99" i="32" s="1"/>
  <c r="AM98" i="32"/>
  <c r="AN98" i="32" s="1"/>
  <c r="AM96" i="32"/>
  <c r="AN96" i="32" s="1"/>
  <c r="AM95" i="32"/>
  <c r="AN95" i="32" s="1"/>
  <c r="AM94" i="32"/>
  <c r="AN94" i="32" s="1"/>
  <c r="AM118" i="32"/>
  <c r="AN118" i="32" s="1"/>
  <c r="AM116" i="32"/>
  <c r="AN116" i="32" s="1"/>
  <c r="AM115" i="32"/>
  <c r="AN115" i="32" s="1"/>
  <c r="AM114" i="32"/>
  <c r="AN114" i="32" s="1"/>
  <c r="AM113" i="32"/>
  <c r="AN113" i="32" s="1"/>
  <c r="AM112" i="32"/>
  <c r="AN112" i="32" s="1"/>
  <c r="AM111" i="32"/>
  <c r="AN111" i="32" s="1"/>
  <c r="AM110" i="32"/>
  <c r="AN110" i="32" s="1"/>
  <c r="AM108" i="32"/>
  <c r="AN108" i="32" s="1"/>
  <c r="AM107" i="32"/>
  <c r="AN107" i="32" s="1"/>
  <c r="AM106" i="32"/>
  <c r="AN106" i="32" s="1"/>
  <c r="AM105" i="32"/>
  <c r="AN105" i="32" s="1"/>
  <c r="AM97" i="32"/>
  <c r="AN97" i="32" s="1"/>
  <c r="AM93" i="32"/>
  <c r="AN93" i="32" s="1"/>
  <c r="AM117" i="32"/>
  <c r="AN117" i="32" s="1"/>
  <c r="AM109" i="32"/>
  <c r="AN109" i="32" s="1"/>
  <c r="AM142" i="32"/>
  <c r="AN142" i="32" s="1"/>
  <c r="AM278" i="32"/>
  <c r="AN278" i="32" s="1"/>
  <c r="AM252" i="32"/>
  <c r="AN252" i="32" s="1"/>
  <c r="AM246" i="32"/>
  <c r="AN246" i="32" s="1"/>
  <c r="AM191" i="32"/>
  <c r="AN191" i="32" s="1"/>
  <c r="AM190" i="32"/>
  <c r="AN190" i="32" s="1"/>
  <c r="AM188" i="32"/>
  <c r="AN188" i="32" s="1"/>
  <c r="AM238" i="32"/>
  <c r="AN238" i="32" s="1"/>
  <c r="AM240" i="32"/>
  <c r="AN240" i="32" s="1"/>
  <c r="AM244" i="32"/>
  <c r="AN244" i="32" s="1"/>
  <c r="AM245" i="32"/>
  <c r="AN245" i="32" s="1"/>
  <c r="AM185" i="32"/>
  <c r="AN185" i="32" s="1"/>
  <c r="AM179" i="32"/>
  <c r="AN179" i="32" s="1"/>
  <c r="AM242" i="32"/>
  <c r="AN242" i="32" s="1"/>
  <c r="AM243" i="32"/>
  <c r="AN243" i="32" s="1"/>
  <c r="AM194" i="32"/>
  <c r="AN194" i="32" s="1"/>
  <c r="AM182" i="32"/>
  <c r="AN182" i="32" s="1"/>
  <c r="AM284" i="32"/>
  <c r="AN284" i="32" s="1"/>
  <c r="AM378" i="32"/>
  <c r="AN378" i="32" s="1"/>
  <c r="AM265" i="32"/>
  <c r="AN265" i="32" s="1"/>
  <c r="AM373" i="32"/>
  <c r="AN373" i="32" s="1"/>
  <c r="AM196" i="32"/>
  <c r="AN196" i="32" s="1"/>
  <c r="AM186" i="32"/>
  <c r="AN186" i="32" s="1"/>
  <c r="AM253" i="32"/>
  <c r="AN253" i="32" s="1"/>
  <c r="AM280" i="32"/>
  <c r="AN280" i="32" s="1"/>
  <c r="AM254" i="32"/>
  <c r="AN254" i="32" s="1"/>
  <c r="AM241" i="32"/>
  <c r="AN241" i="32" s="1"/>
  <c r="AM180" i="32"/>
  <c r="AN180" i="32" s="1"/>
  <c r="AM239" i="32"/>
  <c r="AN239" i="32" s="1"/>
  <c r="AM281" i="32"/>
  <c r="AN281" i="32" s="1"/>
  <c r="AM256" i="32"/>
  <c r="AN256" i="32" s="1"/>
  <c r="AM187" i="32"/>
  <c r="AN187" i="32" s="1"/>
  <c r="AM288" i="32"/>
  <c r="AN288" i="32" s="1"/>
  <c r="AM282" i="32"/>
  <c r="AN282" i="32" s="1"/>
  <c r="AM255" i="32"/>
  <c r="AN255" i="32" s="1"/>
  <c r="AM251" i="32"/>
  <c r="AN251" i="32" s="1"/>
  <c r="AM237" i="32"/>
  <c r="AN237" i="32" s="1"/>
  <c r="AM272" i="32"/>
  <c r="AN272" i="32" s="1"/>
  <c r="AM365" i="32"/>
  <c r="AN365" i="32" s="1"/>
  <c r="AM178" i="32"/>
  <c r="AN178" i="32" s="1"/>
  <c r="AM218" i="32"/>
  <c r="AN218" i="32" s="1"/>
  <c r="AM57" i="32"/>
  <c r="AN57" i="32" s="1"/>
  <c r="AM56" i="32"/>
  <c r="AN56" i="32" s="1"/>
  <c r="AM55" i="32"/>
  <c r="AN55" i="32" s="1"/>
  <c r="AM54" i="32"/>
  <c r="AN54" i="32" s="1"/>
  <c r="AM53" i="32"/>
  <c r="AN53" i="32" s="1"/>
  <c r="AM52" i="32"/>
  <c r="AN52" i="32" s="1"/>
  <c r="AM51" i="32"/>
  <c r="AN51" i="32" s="1"/>
  <c r="AM50" i="32"/>
  <c r="AN50" i="32" s="1"/>
  <c r="AM49" i="32"/>
  <c r="AN49" i="32" s="1"/>
  <c r="AM48" i="32"/>
  <c r="AN48" i="32" s="1"/>
  <c r="AM47" i="32"/>
  <c r="AN47" i="32" s="1"/>
  <c r="AM46" i="32"/>
  <c r="AN46" i="32" s="1"/>
  <c r="AM45" i="32"/>
  <c r="AN45" i="32" s="1"/>
  <c r="AM44" i="32"/>
  <c r="AN44" i="32" s="1"/>
  <c r="AM42" i="32"/>
  <c r="AN42" i="32" s="1"/>
  <c r="AM41" i="32"/>
  <c r="AN41" i="32" s="1"/>
  <c r="AM40" i="32"/>
  <c r="AN40" i="32" s="1"/>
  <c r="AM39" i="32"/>
  <c r="AN39" i="32" s="1"/>
  <c r="AM38" i="32"/>
  <c r="AN38" i="32" s="1"/>
  <c r="AM37" i="32"/>
  <c r="AN37" i="32" s="1"/>
  <c r="AM35" i="32"/>
  <c r="AN35" i="32" s="1"/>
  <c r="AM34" i="32"/>
  <c r="AN34" i="32" s="1"/>
  <c r="AM33" i="32"/>
  <c r="AN33" i="32" s="1"/>
  <c r="AM32" i="32"/>
  <c r="AN32" i="32" s="1"/>
  <c r="AM31" i="32"/>
  <c r="AN31" i="32" s="1"/>
  <c r="AM30" i="32"/>
  <c r="AN30" i="32" s="1"/>
  <c r="AM29" i="32"/>
  <c r="AN29" i="32" s="1"/>
  <c r="AM28" i="32"/>
  <c r="AN28" i="32" s="1"/>
  <c r="AM27" i="32"/>
  <c r="AN27" i="32" s="1"/>
  <c r="AM26" i="32"/>
  <c r="AN26" i="32" s="1"/>
  <c r="AM25" i="32"/>
  <c r="AN25" i="32" s="1"/>
  <c r="AM24" i="32"/>
  <c r="AN24" i="32" s="1"/>
  <c r="AM23" i="32"/>
  <c r="AN23" i="32" s="1"/>
  <c r="AM22" i="32"/>
  <c r="AN22" i="32" s="1"/>
  <c r="AM21" i="32"/>
  <c r="AN21" i="32" s="1"/>
  <c r="AM20" i="32"/>
  <c r="AN20" i="32" s="1"/>
  <c r="AM19" i="32"/>
  <c r="AN19" i="32" s="1"/>
  <c r="AM18" i="32"/>
  <c r="AN18" i="32" s="1"/>
  <c r="AM17" i="32"/>
  <c r="AN17" i="32" s="1"/>
  <c r="AM16" i="32"/>
  <c r="AN16" i="32" s="1"/>
  <c r="AM15" i="32"/>
  <c r="AN15" i="32" s="1"/>
  <c r="AM92" i="32"/>
  <c r="AN92" i="32" s="1"/>
  <c r="AM91" i="32"/>
  <c r="AN91" i="32" s="1"/>
  <c r="AM90" i="32"/>
  <c r="AN90" i="32" s="1"/>
  <c r="AM89" i="32"/>
  <c r="AN89" i="32" s="1"/>
  <c r="AM88" i="32"/>
  <c r="AN88" i="32" s="1"/>
  <c r="AM87" i="32"/>
  <c r="AN87" i="32" s="1"/>
  <c r="AM86" i="32"/>
  <c r="AN86" i="32" s="1"/>
  <c r="AM85" i="32"/>
  <c r="AN85" i="32" s="1"/>
  <c r="AM84" i="32"/>
  <c r="AN84" i="32" s="1"/>
  <c r="AM83" i="32"/>
  <c r="AN83" i="32" s="1"/>
  <c r="AM82" i="32"/>
  <c r="AN82" i="32" s="1"/>
  <c r="AM81" i="32"/>
  <c r="AN81" i="32" s="1"/>
  <c r="AM80" i="32"/>
  <c r="AN80" i="32" s="1"/>
  <c r="AM79" i="32"/>
  <c r="AN79" i="32" s="1"/>
  <c r="AM78" i="32"/>
  <c r="AN78" i="32" s="1"/>
  <c r="AM77" i="32"/>
  <c r="AN77" i="32" s="1"/>
  <c r="AM75" i="32"/>
  <c r="AN75" i="32" s="1"/>
  <c r="AM74" i="32"/>
  <c r="AN74" i="32" s="1"/>
  <c r="AM73" i="32"/>
  <c r="AN73" i="32" s="1"/>
  <c r="AM72" i="32"/>
  <c r="AN72" i="32" s="1"/>
  <c r="AM71" i="32"/>
  <c r="AN71" i="32" s="1"/>
  <c r="AM70" i="32"/>
  <c r="AN70" i="32" s="1"/>
  <c r="AM69" i="32"/>
  <c r="AN69" i="32" s="1"/>
  <c r="AM68" i="32"/>
  <c r="AN68" i="32" s="1"/>
  <c r="AM67" i="32"/>
  <c r="AN67" i="32" s="1"/>
  <c r="AM66" i="32"/>
  <c r="AN66" i="32" s="1"/>
  <c r="AM65" i="32"/>
  <c r="AN65" i="32" s="1"/>
  <c r="AM63" i="32"/>
  <c r="AN63" i="32" s="1"/>
  <c r="AM62" i="32"/>
  <c r="AN62" i="32" s="1"/>
  <c r="AM61" i="32"/>
  <c r="AN61" i="32" s="1"/>
  <c r="AM60" i="32"/>
  <c r="AN60" i="32" s="1"/>
  <c r="AM59" i="32"/>
  <c r="AN59" i="32" s="1"/>
  <c r="AM58" i="32"/>
  <c r="AN58" i="32" s="1"/>
  <c r="AM43" i="32"/>
  <c r="AN43" i="32" s="1"/>
  <c r="AM36" i="32"/>
  <c r="AN36" i="32" s="1"/>
  <c r="AM76" i="32"/>
  <c r="AN76" i="32" s="1"/>
  <c r="AM64" i="32"/>
  <c r="AN64" i="32" s="1"/>
  <c r="AM14" i="32"/>
  <c r="AN14" i="32" s="1"/>
  <c r="AM157" i="32"/>
  <c r="AN157" i="32" s="1"/>
  <c r="AM154" i="32"/>
  <c r="AN154" i="32" s="1"/>
  <c r="AM155" i="32"/>
  <c r="AN155" i="32" s="1"/>
  <c r="AM137" i="32"/>
  <c r="AN137" i="32" s="1"/>
  <c r="AM136" i="32"/>
  <c r="AN136" i="32" s="1"/>
  <c r="AM138" i="32"/>
  <c r="AN138" i="32" s="1"/>
  <c r="AM127" i="32"/>
  <c r="AN127" i="32" s="1"/>
  <c r="AM139" i="32"/>
  <c r="AN139" i="32" s="1"/>
  <c r="AM131" i="32"/>
  <c r="AN131" i="32" s="1"/>
  <c r="AM135" i="32"/>
  <c r="AN135" i="32" s="1"/>
  <c r="AM140" i="32"/>
  <c r="AN140" i="32" s="1"/>
  <c r="AM126" i="32"/>
  <c r="AN126" i="32" s="1"/>
  <c r="AM132" i="32"/>
  <c r="AN132" i="32" s="1"/>
  <c r="AM134" i="32"/>
  <c r="AN134" i="32" s="1"/>
  <c r="AM124" i="32"/>
  <c r="AN124" i="32" s="1"/>
  <c r="AM121" i="32"/>
  <c r="AN121" i="32" s="1"/>
  <c r="AM128" i="32"/>
  <c r="AN128" i="32" s="1"/>
  <c r="AM129" i="32"/>
  <c r="AN129" i="32" s="1"/>
  <c r="AM123" i="32"/>
  <c r="AN123" i="32" s="1"/>
  <c r="AM119" i="32"/>
  <c r="AN119" i="32" s="1"/>
  <c r="AM122" i="32"/>
  <c r="AN122" i="32" s="1"/>
  <c r="AM120" i="32"/>
  <c r="AN120" i="32" s="1"/>
  <c r="AM130" i="32"/>
  <c r="AN130" i="32" s="1"/>
  <c r="AM125" i="32"/>
  <c r="AN125" i="32" s="1"/>
  <c r="AM133" i="32"/>
  <c r="AN133" i="32" s="1"/>
  <c r="AM158" i="32"/>
  <c r="AN158" i="32" s="1"/>
  <c r="AM150" i="32"/>
  <c r="AN150" i="32" s="1"/>
  <c r="AM163" i="32"/>
  <c r="AN163" i="32" s="1"/>
  <c r="AM166" i="32"/>
  <c r="AN166" i="32" s="1"/>
  <c r="AM147" i="32"/>
  <c r="AN147" i="32" s="1"/>
  <c r="AM149" i="32"/>
  <c r="AN149" i="32" s="1"/>
  <c r="AM151" i="32"/>
  <c r="AN151" i="32" s="1"/>
  <c r="AM148" i="32"/>
  <c r="AN148" i="32" s="1"/>
  <c r="AM153" i="32"/>
  <c r="AN153" i="32" s="1"/>
  <c r="AM144" i="32"/>
  <c r="AN144" i="32" s="1"/>
  <c r="AM168" i="32"/>
  <c r="AN168" i="32" s="1"/>
  <c r="AM161" i="32"/>
  <c r="AN161" i="32" s="1"/>
  <c r="AM143" i="32"/>
  <c r="AN143" i="32" s="1"/>
  <c r="AM167" i="32"/>
  <c r="AN167" i="32" s="1"/>
  <c r="AM162" i="32"/>
  <c r="AN162" i="32" s="1"/>
  <c r="AM141" i="32"/>
  <c r="AN141" i="32" s="1"/>
  <c r="AM165" i="32"/>
  <c r="AN165" i="32" s="1"/>
  <c r="AM296" i="32"/>
  <c r="AN296" i="32" s="1"/>
  <c r="AM325" i="32"/>
  <c r="AN325" i="32" s="1"/>
  <c r="AM260" i="32"/>
  <c r="AN260" i="32" s="1"/>
  <c r="AM277" i="32"/>
  <c r="AN277" i="32" s="1"/>
  <c r="AM305" i="32"/>
  <c r="AN305" i="32" s="1"/>
  <c r="AM307" i="32"/>
  <c r="AN307" i="32" s="1"/>
  <c r="AM276" i="32"/>
  <c r="AN276" i="32" s="1"/>
  <c r="AM286" i="32"/>
  <c r="AM169" i="32"/>
  <c r="AN169" i="32" s="1"/>
  <c r="AM270" i="32"/>
  <c r="AN270" i="32" s="1"/>
  <c r="AM273" i="32"/>
  <c r="AM262" i="32"/>
  <c r="AN262" i="32" s="1"/>
  <c r="AM250" i="32"/>
  <c r="AN250" i="32" s="1"/>
  <c r="AM248" i="32"/>
  <c r="AM269" i="32"/>
  <c r="AN269" i="32" s="1"/>
  <c r="AM177" i="32"/>
  <c r="AN177" i="32" s="1"/>
  <c r="AM374" i="32"/>
  <c r="AN374" i="32" s="1"/>
  <c r="AM358" i="32"/>
  <c r="AN358" i="32" s="1"/>
  <c r="AM283" i="32"/>
  <c r="AN283" i="32" s="1"/>
  <c r="AM171" i="32"/>
  <c r="AM172" i="32"/>
  <c r="AN172" i="32" s="1"/>
  <c r="AM259" i="32"/>
  <c r="AM261" i="32"/>
  <c r="AN261" i="32" s="1"/>
  <c r="AM377" i="32"/>
  <c r="AM375" i="32"/>
  <c r="AN375" i="32" s="1"/>
  <c r="AM372" i="32"/>
  <c r="AN372" i="32" s="1"/>
  <c r="AM257" i="32"/>
  <c r="AM366" i="32"/>
  <c r="AM176" i="32"/>
  <c r="AM380" i="32"/>
  <c r="AN380" i="32" s="1"/>
  <c r="AM381" i="32"/>
  <c r="AM359" i="32"/>
  <c r="AN359" i="32" s="1"/>
  <c r="AM274" i="32"/>
  <c r="AN274" i="32" s="1"/>
  <c r="AM361" i="32"/>
  <c r="AM362" i="32"/>
  <c r="AN362" i="32" s="1"/>
  <c r="AM367" i="32"/>
  <c r="AM258" i="32"/>
  <c r="AM152" i="32"/>
  <c r="AM263" i="32"/>
  <c r="AN263" i="32" s="1"/>
  <c r="AM275" i="32"/>
  <c r="AN275" i="32" s="1"/>
  <c r="AM264" i="32"/>
  <c r="AN264" i="32" s="1"/>
  <c r="AM279" i="32"/>
  <c r="AN279" i="32" s="1"/>
  <c r="AM249" i="32"/>
  <c r="AN249" i="32" s="1"/>
  <c r="AM247" i="32"/>
  <c r="AN247" i="32" s="1"/>
  <c r="AM268" i="32"/>
  <c r="AN268" i="32" s="1"/>
  <c r="AM334" i="32"/>
  <c r="AN334" i="32" s="1"/>
  <c r="AM174" i="32"/>
  <c r="AN174" i="32" s="1"/>
  <c r="AM341" i="32"/>
  <c r="AN341" i="32" s="1"/>
  <c r="AM333" i="32"/>
  <c r="AN333" i="32" s="1"/>
  <c r="AM337" i="32"/>
  <c r="AN337" i="32" s="1"/>
  <c r="AM335" i="32"/>
  <c r="AN335" i="32" s="1"/>
  <c r="AM332" i="32"/>
  <c r="AN332" i="32" s="1"/>
  <c r="AM331" i="32"/>
  <c r="AN331" i="32" s="1"/>
  <c r="AM340" i="32"/>
  <c r="AN340" i="32" s="1"/>
  <c r="AM271" i="32"/>
  <c r="AN271" i="32" s="1"/>
  <c r="AM173" i="32"/>
  <c r="AN173" i="32" s="1"/>
  <c r="AM175" i="32"/>
  <c r="AN175" i="32" s="1"/>
  <c r="AM339" i="32"/>
  <c r="AN339" i="32" s="1"/>
  <c r="AM338" i="32"/>
  <c r="AN338" i="32" s="1"/>
  <c r="AM336" i="32"/>
  <c r="AN336" i="32" s="1"/>
  <c r="AM170" i="32"/>
  <c r="AN170" i="32" s="1"/>
  <c r="AM330" i="32"/>
  <c r="AN330" i="32" s="1"/>
  <c r="AM324" i="32"/>
  <c r="AN324" i="32" s="1"/>
  <c r="AM321" i="32"/>
  <c r="AN321" i="32" s="1"/>
  <c r="AM322" i="32"/>
  <c r="AN322" i="32" s="1"/>
  <c r="AM329" i="32"/>
  <c r="AN329" i="32" s="1"/>
  <c r="AM327" i="32"/>
  <c r="AN327" i="32" s="1"/>
  <c r="AM320" i="32"/>
  <c r="AN320" i="32" s="1"/>
  <c r="AM323" i="32"/>
  <c r="AN323" i="32" s="1"/>
  <c r="AM317" i="32"/>
  <c r="AN317" i="32" s="1"/>
  <c r="AM315" i="32"/>
  <c r="AN315" i="32" s="1"/>
  <c r="AM316" i="32"/>
  <c r="AN316" i="32" s="1"/>
  <c r="AM319" i="32"/>
  <c r="AN319" i="32" s="1"/>
  <c r="AM328" i="32"/>
  <c r="AN328" i="32" s="1"/>
  <c r="AM326" i="32"/>
  <c r="AN326" i="32" s="1"/>
  <c r="AM312" i="32"/>
  <c r="AN312" i="32" s="1"/>
  <c r="AM313" i="32"/>
  <c r="AN313" i="32" s="1"/>
  <c r="AM314" i="32"/>
  <c r="AN314" i="32" s="1"/>
  <c r="AM302" i="32"/>
  <c r="AN302" i="32" s="1"/>
  <c r="AM300" i="32"/>
  <c r="AN300" i="32" s="1"/>
  <c r="AM299" i="32"/>
  <c r="AN299" i="32" s="1"/>
  <c r="AM304" i="32"/>
  <c r="AN304" i="32" s="1"/>
  <c r="AM303" i="32"/>
  <c r="AN303" i="32" s="1"/>
  <c r="AM301" i="32"/>
  <c r="AN301" i="32" s="1"/>
  <c r="AM311" i="32"/>
  <c r="AN311" i="32" s="1"/>
  <c r="AM308" i="32"/>
  <c r="AN308" i="32" s="1"/>
  <c r="AM310" i="32"/>
  <c r="AN310" i="32" s="1"/>
  <c r="AM306" i="32"/>
  <c r="AN306" i="32" s="1"/>
  <c r="AM309" i="32"/>
  <c r="AN309" i="32" s="1"/>
  <c r="AM371" i="32"/>
  <c r="AN371" i="32" s="1"/>
  <c r="AM370" i="32"/>
  <c r="AN370" i="32" s="1"/>
  <c r="AM369" i="32"/>
  <c r="AN369" i="32" s="1"/>
  <c r="AM368" i="32"/>
  <c r="AN368" i="32" s="1"/>
  <c r="AM357" i="32"/>
  <c r="AN357" i="32" s="1"/>
  <c r="AM379" i="32"/>
  <c r="AN379" i="32" s="1"/>
  <c r="AM363" i="32"/>
  <c r="AN363" i="32" s="1"/>
  <c r="AM360" i="32"/>
  <c r="AN360" i="32" s="1"/>
  <c r="AM364" i="32"/>
  <c r="AN364" i="32" s="1"/>
  <c r="AM376" i="32"/>
  <c r="AN376" i="32" s="1"/>
  <c r="AM160" i="32"/>
  <c r="AN160" i="32" s="1"/>
  <c r="AM164" i="32"/>
  <c r="AN164" i="32" s="1"/>
  <c r="AM298" i="32"/>
  <c r="AN298" i="32" s="1"/>
  <c r="AM293" i="32"/>
  <c r="AN293" i="32" s="1"/>
  <c r="AM294" i="32"/>
  <c r="AN294" i="32" s="1"/>
  <c r="AM290" i="32"/>
  <c r="AN290" i="32" s="1"/>
  <c r="AM287" i="32"/>
  <c r="AN287" i="32" s="1"/>
  <c r="AM295" i="32"/>
  <c r="AN295" i="32" s="1"/>
  <c r="AM291" i="32"/>
  <c r="AN291" i="32" s="1"/>
  <c r="AM292" i="32"/>
  <c r="AN292" i="32" s="1"/>
  <c r="AM297" i="32"/>
  <c r="AN297" i="32" s="1"/>
  <c r="AM289" i="32"/>
  <c r="AN289" i="32" s="1"/>
  <c r="AJ266" i="32"/>
  <c r="AK266" i="32" s="1"/>
  <c r="AJ267" i="32"/>
  <c r="AK267" i="32" s="1"/>
  <c r="AJ285" i="32"/>
  <c r="AK285" i="32" s="1"/>
  <c r="AJ219" i="32"/>
  <c r="AK219" i="32" s="1"/>
  <c r="AJ318" i="32"/>
  <c r="AK318" i="32" s="1"/>
  <c r="AJ223" i="32"/>
  <c r="AK223" i="32" s="1"/>
  <c r="AJ231" i="32"/>
  <c r="AK231" i="32" s="1"/>
  <c r="AJ230" i="32"/>
  <c r="AK230" i="32" s="1"/>
  <c r="AJ229" i="32"/>
  <c r="AK229" i="32" s="1"/>
  <c r="AJ228" i="32"/>
  <c r="AK228" i="32" s="1"/>
  <c r="AJ227" i="32"/>
  <c r="AK227" i="32" s="1"/>
  <c r="AJ226" i="32"/>
  <c r="AK226" i="32" s="1"/>
  <c r="AJ225" i="32"/>
  <c r="AK225" i="32" s="1"/>
  <c r="AJ224" i="32"/>
  <c r="AK224" i="32" s="1"/>
  <c r="AJ222" i="32"/>
  <c r="AK222" i="32" s="1"/>
  <c r="AJ193" i="32"/>
  <c r="AK193" i="32" s="1"/>
  <c r="AJ192" i="32"/>
  <c r="AK192" i="32" s="1"/>
  <c r="AJ159" i="32"/>
  <c r="AK159" i="32" s="1"/>
  <c r="AJ146" i="32"/>
  <c r="AK146" i="32" s="1"/>
  <c r="AJ145" i="32"/>
  <c r="AK145" i="32" s="1"/>
  <c r="AJ220" i="32"/>
  <c r="AK220" i="32" s="1"/>
  <c r="AJ208" i="32"/>
  <c r="AK208" i="32" s="1"/>
  <c r="AJ206" i="32"/>
  <c r="AK206" i="32" s="1"/>
  <c r="AJ205" i="32"/>
  <c r="AK205" i="32" s="1"/>
  <c r="AJ221" i="32"/>
  <c r="AK221" i="32" s="1"/>
  <c r="AJ204" i="32"/>
  <c r="AK204" i="32" s="1"/>
  <c r="AJ203" i="32"/>
  <c r="AK203" i="32" s="1"/>
  <c r="AJ202" i="32"/>
  <c r="AK202" i="32" s="1"/>
  <c r="AJ200" i="32"/>
  <c r="AK200" i="32" s="1"/>
  <c r="AJ199" i="32"/>
  <c r="AK199" i="32" s="1"/>
  <c r="AJ198" i="32"/>
  <c r="AK198" i="32" s="1"/>
  <c r="AJ197" i="32"/>
  <c r="AK197" i="32" s="1"/>
  <c r="AJ232" i="32"/>
  <c r="AK232" i="32" s="1"/>
  <c r="AJ195" i="32"/>
  <c r="AK195" i="32" s="1"/>
  <c r="AJ189" i="32"/>
  <c r="AK189" i="32" s="1"/>
  <c r="AJ236" i="32"/>
  <c r="AK236" i="32" s="1"/>
  <c r="AJ235" i="32"/>
  <c r="AK235" i="32" s="1"/>
  <c r="AJ234" i="32"/>
  <c r="AK234" i="32" s="1"/>
  <c r="AJ233" i="32"/>
  <c r="AK233" i="32" s="1"/>
  <c r="AJ201" i="32"/>
  <c r="AK201" i="32" s="1"/>
  <c r="AJ216" i="32"/>
  <c r="AK216" i="32" s="1"/>
  <c r="AJ211" i="32"/>
  <c r="AK211" i="32" s="1"/>
  <c r="AJ215" i="32"/>
  <c r="AK215" i="32" s="1"/>
  <c r="AJ210" i="32"/>
  <c r="AK210" i="32" s="1"/>
  <c r="AJ214" i="32"/>
  <c r="AK214" i="32" s="1"/>
  <c r="AJ212" i="32"/>
  <c r="AK212" i="32" s="1"/>
  <c r="AJ217" i="32"/>
  <c r="AK217" i="32" s="1"/>
  <c r="AJ181" i="32"/>
  <c r="AK181" i="32" s="1"/>
  <c r="AJ183" i="32"/>
  <c r="AK183" i="32" s="1"/>
  <c r="AJ184" i="32"/>
  <c r="AK184" i="32" s="1"/>
  <c r="AJ347" i="32"/>
  <c r="AK347" i="32" s="1"/>
  <c r="AJ346" i="32"/>
  <c r="AK346" i="32" s="1"/>
  <c r="AJ344" i="32"/>
  <c r="AK344" i="32" s="1"/>
  <c r="AJ343" i="32"/>
  <c r="AK343" i="32" s="1"/>
  <c r="AJ355" i="32"/>
  <c r="AK355" i="32" s="1"/>
  <c r="AJ354" i="32"/>
  <c r="AK354" i="32" s="1"/>
  <c r="AJ353" i="32"/>
  <c r="AK353" i="32" s="1"/>
  <c r="AJ352" i="32"/>
  <c r="AK352" i="32" s="1"/>
  <c r="AJ351" i="32"/>
  <c r="AK351" i="32" s="1"/>
  <c r="AJ350" i="32"/>
  <c r="AK350" i="32" s="1"/>
  <c r="AJ348" i="32"/>
  <c r="AK348" i="32" s="1"/>
  <c r="AJ345" i="32"/>
  <c r="AK345" i="32" s="1"/>
  <c r="AJ349" i="32"/>
  <c r="AK349" i="32" s="1"/>
  <c r="AJ342" i="32"/>
  <c r="AK342" i="32" s="1"/>
  <c r="AJ104" i="32"/>
  <c r="AK104" i="32" s="1"/>
  <c r="AJ103" i="32"/>
  <c r="AK103" i="32" s="1"/>
  <c r="AJ102" i="32"/>
  <c r="AK102" i="32" s="1"/>
  <c r="AJ101" i="32"/>
  <c r="AK101" i="32" s="1"/>
  <c r="AJ100" i="32"/>
  <c r="AK100" i="32" s="1"/>
  <c r="AJ99" i="32"/>
  <c r="AK99" i="32" s="1"/>
  <c r="AJ98" i="32"/>
  <c r="AK98" i="32" s="1"/>
  <c r="AJ96" i="32"/>
  <c r="AK96" i="32" s="1"/>
  <c r="AJ95" i="32"/>
  <c r="AK95" i="32" s="1"/>
  <c r="AJ94" i="32"/>
  <c r="AK94" i="32" s="1"/>
  <c r="AJ118" i="32"/>
  <c r="AK118" i="32" s="1"/>
  <c r="AJ116" i="32"/>
  <c r="AK116" i="32" s="1"/>
  <c r="AJ115" i="32"/>
  <c r="AK115" i="32" s="1"/>
  <c r="AJ114" i="32"/>
  <c r="AK114" i="32" s="1"/>
  <c r="AJ113" i="32"/>
  <c r="AK113" i="32" s="1"/>
  <c r="AJ112" i="32"/>
  <c r="AK112" i="32" s="1"/>
  <c r="AJ111" i="32"/>
  <c r="AK111" i="32" s="1"/>
  <c r="AJ110" i="32"/>
  <c r="AK110" i="32" s="1"/>
  <c r="AJ108" i="32"/>
  <c r="AK108" i="32" s="1"/>
  <c r="AJ107" i="32"/>
  <c r="AK107" i="32" s="1"/>
  <c r="AJ106" i="32"/>
  <c r="AK106" i="32" s="1"/>
  <c r="AJ105" i="32"/>
  <c r="AK105" i="32" s="1"/>
  <c r="AJ97" i="32"/>
  <c r="AK97" i="32" s="1"/>
  <c r="AJ93" i="32"/>
  <c r="AK93" i="32" s="1"/>
  <c r="AJ117" i="32"/>
  <c r="AK117" i="32" s="1"/>
  <c r="AJ109" i="32"/>
  <c r="AK109" i="32" s="1"/>
  <c r="AJ142" i="32"/>
  <c r="AK142" i="32" s="1"/>
  <c r="AJ278" i="32"/>
  <c r="AK278" i="32" s="1"/>
  <c r="AJ252" i="32"/>
  <c r="AK252" i="32" s="1"/>
  <c r="AJ246" i="32"/>
  <c r="AK246" i="32" s="1"/>
  <c r="AJ191" i="32"/>
  <c r="AK191" i="32" s="1"/>
  <c r="AJ190" i="32"/>
  <c r="AK190" i="32" s="1"/>
  <c r="AJ188" i="32"/>
  <c r="AK188" i="32" s="1"/>
  <c r="AJ238" i="32"/>
  <c r="AK238" i="32" s="1"/>
  <c r="AJ240" i="32"/>
  <c r="AK240" i="32" s="1"/>
  <c r="AJ244" i="32"/>
  <c r="AK244" i="32" s="1"/>
  <c r="AJ245" i="32"/>
  <c r="AK245" i="32" s="1"/>
  <c r="AJ185" i="32"/>
  <c r="AK185" i="32" s="1"/>
  <c r="AJ179" i="32"/>
  <c r="AK179" i="32" s="1"/>
  <c r="AJ242" i="32"/>
  <c r="AK242" i="32" s="1"/>
  <c r="AJ243" i="32"/>
  <c r="AK243" i="32" s="1"/>
  <c r="AJ194" i="32"/>
  <c r="AK194" i="32" s="1"/>
  <c r="AJ182" i="32"/>
  <c r="AK182" i="32" s="1"/>
  <c r="AJ284" i="32"/>
  <c r="AK284" i="32" s="1"/>
  <c r="AJ378" i="32"/>
  <c r="AK378" i="32" s="1"/>
  <c r="AJ265" i="32"/>
  <c r="AK265" i="32" s="1"/>
  <c r="AJ373" i="32"/>
  <c r="AK373" i="32" s="1"/>
  <c r="AJ196" i="32"/>
  <c r="AK196" i="32" s="1"/>
  <c r="AJ186" i="32"/>
  <c r="AK186" i="32" s="1"/>
  <c r="AJ253" i="32"/>
  <c r="AK253" i="32" s="1"/>
  <c r="AJ280" i="32"/>
  <c r="AK280" i="32" s="1"/>
  <c r="AJ254" i="32"/>
  <c r="AK254" i="32" s="1"/>
  <c r="AJ241" i="32"/>
  <c r="AK241" i="32" s="1"/>
  <c r="AJ180" i="32"/>
  <c r="AK180" i="32" s="1"/>
  <c r="AJ239" i="32"/>
  <c r="AK239" i="32" s="1"/>
  <c r="AJ281" i="32"/>
  <c r="AK281" i="32" s="1"/>
  <c r="AJ256" i="32"/>
  <c r="AK256" i="32" s="1"/>
  <c r="AJ187" i="32"/>
  <c r="AK187" i="32" s="1"/>
  <c r="AJ288" i="32"/>
  <c r="AK288" i="32" s="1"/>
  <c r="AJ282" i="32"/>
  <c r="AK282" i="32" s="1"/>
  <c r="AJ255" i="32"/>
  <c r="AK255" i="32" s="1"/>
  <c r="AJ251" i="32"/>
  <c r="AK251" i="32" s="1"/>
  <c r="AJ237" i="32"/>
  <c r="AK237" i="32" s="1"/>
  <c r="AJ272" i="32"/>
  <c r="AK272" i="32" s="1"/>
  <c r="AJ365" i="32"/>
  <c r="AK365" i="32" s="1"/>
  <c r="AJ178" i="32"/>
  <c r="AK178" i="32" s="1"/>
  <c r="AJ218" i="32"/>
  <c r="AK218" i="32" s="1"/>
  <c r="AJ57" i="32"/>
  <c r="AK57" i="32" s="1"/>
  <c r="AJ56" i="32"/>
  <c r="AK56" i="32" s="1"/>
  <c r="AJ55" i="32"/>
  <c r="AK55" i="32" s="1"/>
  <c r="AJ54" i="32"/>
  <c r="AK54" i="32" s="1"/>
  <c r="AJ53" i="32"/>
  <c r="AK53" i="32" s="1"/>
  <c r="AJ52" i="32"/>
  <c r="AK52" i="32" s="1"/>
  <c r="AJ51" i="32"/>
  <c r="AK51" i="32" s="1"/>
  <c r="AJ50" i="32"/>
  <c r="AK50" i="32" s="1"/>
  <c r="AJ49" i="32"/>
  <c r="AK49" i="32" s="1"/>
  <c r="AJ48" i="32"/>
  <c r="AK48" i="32" s="1"/>
  <c r="AJ47" i="32"/>
  <c r="AK47" i="32" s="1"/>
  <c r="AJ46" i="32"/>
  <c r="AK46" i="32" s="1"/>
  <c r="AJ45" i="32"/>
  <c r="AK45" i="32" s="1"/>
  <c r="AJ44" i="32"/>
  <c r="AK44" i="32" s="1"/>
  <c r="AJ42" i="32"/>
  <c r="AK42" i="32" s="1"/>
  <c r="AJ41" i="32"/>
  <c r="AK41" i="32" s="1"/>
  <c r="AJ40" i="32"/>
  <c r="AK40" i="32" s="1"/>
  <c r="AJ39" i="32"/>
  <c r="AK39" i="32" s="1"/>
  <c r="AJ38" i="32"/>
  <c r="AK38" i="32" s="1"/>
  <c r="AJ37" i="32"/>
  <c r="AK37" i="32" s="1"/>
  <c r="AJ35" i="32"/>
  <c r="AK35" i="32" s="1"/>
  <c r="AJ34" i="32"/>
  <c r="AK34" i="32" s="1"/>
  <c r="AJ33" i="32"/>
  <c r="AK33" i="32" s="1"/>
  <c r="AJ32" i="32"/>
  <c r="AK32" i="32" s="1"/>
  <c r="AJ31" i="32"/>
  <c r="AK31" i="32" s="1"/>
  <c r="AJ30" i="32"/>
  <c r="AK30" i="32" s="1"/>
  <c r="AJ29" i="32"/>
  <c r="AK29" i="32" s="1"/>
  <c r="AJ28" i="32"/>
  <c r="AK28" i="32" s="1"/>
  <c r="AJ27" i="32"/>
  <c r="AK27" i="32" s="1"/>
  <c r="AJ26" i="32"/>
  <c r="AK26" i="32" s="1"/>
  <c r="AJ25" i="32"/>
  <c r="AK25" i="32" s="1"/>
  <c r="AJ24" i="32"/>
  <c r="AK24" i="32" s="1"/>
  <c r="AJ23" i="32"/>
  <c r="AK23" i="32" s="1"/>
  <c r="AJ22" i="32"/>
  <c r="AK22" i="32" s="1"/>
  <c r="AJ21" i="32"/>
  <c r="AK21" i="32" s="1"/>
  <c r="AJ20" i="32"/>
  <c r="AK20" i="32" s="1"/>
  <c r="AJ19" i="32"/>
  <c r="AK19" i="32" s="1"/>
  <c r="AJ18" i="32"/>
  <c r="AK18" i="32" s="1"/>
  <c r="AJ17" i="32"/>
  <c r="AK17" i="32" s="1"/>
  <c r="AJ16" i="32"/>
  <c r="AK16" i="32" s="1"/>
  <c r="AJ15" i="32"/>
  <c r="AK15" i="32" s="1"/>
  <c r="AJ92" i="32"/>
  <c r="AK92" i="32" s="1"/>
  <c r="AJ91" i="32"/>
  <c r="AK91" i="32" s="1"/>
  <c r="AJ90" i="32"/>
  <c r="AK90" i="32" s="1"/>
  <c r="AJ89" i="32"/>
  <c r="AK89" i="32" s="1"/>
  <c r="AJ88" i="32"/>
  <c r="AK88" i="32" s="1"/>
  <c r="AJ87" i="32"/>
  <c r="AK87" i="32" s="1"/>
  <c r="AJ86" i="32"/>
  <c r="AK86" i="32" s="1"/>
  <c r="AJ85" i="32"/>
  <c r="AK85" i="32" s="1"/>
  <c r="AJ84" i="32"/>
  <c r="AK84" i="32" s="1"/>
  <c r="AJ83" i="32"/>
  <c r="AK83" i="32" s="1"/>
  <c r="AJ82" i="32"/>
  <c r="AK82" i="32" s="1"/>
  <c r="AJ81" i="32"/>
  <c r="AK81" i="32" s="1"/>
  <c r="AJ80" i="32"/>
  <c r="AK80" i="32" s="1"/>
  <c r="AJ79" i="32"/>
  <c r="AK79" i="32" s="1"/>
  <c r="AJ78" i="32"/>
  <c r="AK78" i="32" s="1"/>
  <c r="AJ77" i="32"/>
  <c r="AK77" i="32" s="1"/>
  <c r="AJ75" i="32"/>
  <c r="AK75" i="32" s="1"/>
  <c r="AJ74" i="32"/>
  <c r="AK74" i="32" s="1"/>
  <c r="AJ73" i="32"/>
  <c r="AK73" i="32" s="1"/>
  <c r="AJ72" i="32"/>
  <c r="AK72" i="32" s="1"/>
  <c r="AJ71" i="32"/>
  <c r="AK71" i="32" s="1"/>
  <c r="AJ70" i="32"/>
  <c r="AK70" i="32" s="1"/>
  <c r="AJ69" i="32"/>
  <c r="AK69" i="32" s="1"/>
  <c r="AJ68" i="32"/>
  <c r="AK68" i="32" s="1"/>
  <c r="AJ67" i="32"/>
  <c r="AK67" i="32" s="1"/>
  <c r="AJ66" i="32"/>
  <c r="AK66" i="32" s="1"/>
  <c r="AJ65" i="32"/>
  <c r="AK65" i="32" s="1"/>
  <c r="AJ63" i="32"/>
  <c r="AK63" i="32" s="1"/>
  <c r="AJ62" i="32"/>
  <c r="AK62" i="32" s="1"/>
  <c r="AJ61" i="32"/>
  <c r="AK61" i="32" s="1"/>
  <c r="AJ60" i="32"/>
  <c r="AK60" i="32" s="1"/>
  <c r="AJ59" i="32"/>
  <c r="AK59" i="32" s="1"/>
  <c r="AJ58" i="32"/>
  <c r="AK58" i="32" s="1"/>
  <c r="AJ43" i="32"/>
  <c r="AK43" i="32" s="1"/>
  <c r="AJ36" i="32"/>
  <c r="AK36" i="32" s="1"/>
  <c r="AJ76" i="32"/>
  <c r="AK76" i="32" s="1"/>
  <c r="AJ64" i="32"/>
  <c r="AK64" i="32" s="1"/>
  <c r="AJ14" i="32"/>
  <c r="AK14" i="32" s="1"/>
  <c r="AJ157" i="32"/>
  <c r="AK157" i="32" s="1"/>
  <c r="AJ154" i="32"/>
  <c r="AK154" i="32" s="1"/>
  <c r="AJ155" i="32"/>
  <c r="AK155" i="32" s="1"/>
  <c r="AJ137" i="32"/>
  <c r="AK137" i="32" s="1"/>
  <c r="AJ136" i="32"/>
  <c r="AK136" i="32" s="1"/>
  <c r="AJ138" i="32"/>
  <c r="AK138" i="32" s="1"/>
  <c r="AJ127" i="32"/>
  <c r="AK127" i="32" s="1"/>
  <c r="AJ139" i="32"/>
  <c r="AK139" i="32" s="1"/>
  <c r="AJ131" i="32"/>
  <c r="AK131" i="32" s="1"/>
  <c r="AJ135" i="32"/>
  <c r="AK135" i="32" s="1"/>
  <c r="AJ140" i="32"/>
  <c r="AK140" i="32" s="1"/>
  <c r="AJ126" i="32"/>
  <c r="AK126" i="32" s="1"/>
  <c r="AJ132" i="32"/>
  <c r="AK132" i="32" s="1"/>
  <c r="AJ134" i="32"/>
  <c r="AK134" i="32" s="1"/>
  <c r="AJ124" i="32"/>
  <c r="AK124" i="32" s="1"/>
  <c r="AJ121" i="32"/>
  <c r="AK121" i="32" s="1"/>
  <c r="AJ128" i="32"/>
  <c r="AK128" i="32" s="1"/>
  <c r="AJ129" i="32"/>
  <c r="AK129" i="32" s="1"/>
  <c r="AJ123" i="32"/>
  <c r="AK123" i="32" s="1"/>
  <c r="AJ119" i="32"/>
  <c r="AK119" i="32" s="1"/>
  <c r="AJ122" i="32"/>
  <c r="AK122" i="32" s="1"/>
  <c r="AJ120" i="32"/>
  <c r="AK120" i="32" s="1"/>
  <c r="AJ130" i="32"/>
  <c r="AK130" i="32" s="1"/>
  <c r="AJ125" i="32"/>
  <c r="AK125" i="32" s="1"/>
  <c r="AJ133" i="32"/>
  <c r="AK133" i="32" s="1"/>
  <c r="AJ158" i="32"/>
  <c r="AK158" i="32" s="1"/>
  <c r="AJ150" i="32"/>
  <c r="AK150" i="32" s="1"/>
  <c r="AJ163" i="32"/>
  <c r="AK163" i="32" s="1"/>
  <c r="AJ166" i="32"/>
  <c r="AK166" i="32" s="1"/>
  <c r="AJ147" i="32"/>
  <c r="AK147" i="32" s="1"/>
  <c r="AJ149" i="32"/>
  <c r="AK149" i="32" s="1"/>
  <c r="AJ151" i="32"/>
  <c r="AK151" i="32" s="1"/>
  <c r="AJ148" i="32"/>
  <c r="AK148" i="32" s="1"/>
  <c r="AJ153" i="32"/>
  <c r="AK153" i="32" s="1"/>
  <c r="AJ144" i="32"/>
  <c r="AK144" i="32" s="1"/>
  <c r="AJ168" i="32"/>
  <c r="AK168" i="32" s="1"/>
  <c r="AJ161" i="32"/>
  <c r="AK161" i="32" s="1"/>
  <c r="AJ143" i="32"/>
  <c r="AK143" i="32" s="1"/>
  <c r="AJ167" i="32"/>
  <c r="AK167" i="32" s="1"/>
  <c r="AJ162" i="32"/>
  <c r="AK162" i="32" s="1"/>
  <c r="AJ141" i="32"/>
  <c r="AK141" i="32" s="1"/>
  <c r="AJ165" i="32"/>
  <c r="AK165" i="32" s="1"/>
  <c r="AJ296" i="32"/>
  <c r="AJ325" i="32"/>
  <c r="AK325" i="32" s="1"/>
  <c r="AJ260" i="32"/>
  <c r="AK260" i="32" s="1"/>
  <c r="AJ277" i="32"/>
  <c r="AK277" i="32" s="1"/>
  <c r="AJ305" i="32"/>
  <c r="AK305" i="32" s="1"/>
  <c r="AJ307" i="32"/>
  <c r="AK307" i="32" s="1"/>
  <c r="AJ276" i="32"/>
  <c r="AK276" i="32" s="1"/>
  <c r="AJ286" i="32"/>
  <c r="AK286" i="32" s="1"/>
  <c r="AJ169" i="32"/>
  <c r="AK169" i="32" s="1"/>
  <c r="AJ270" i="32"/>
  <c r="AK270" i="32" s="1"/>
  <c r="AJ273" i="32"/>
  <c r="AK273" i="32" s="1"/>
  <c r="AJ262" i="32"/>
  <c r="AK262" i="32" s="1"/>
  <c r="AJ250" i="32"/>
  <c r="AK250" i="32" s="1"/>
  <c r="AJ248" i="32"/>
  <c r="AK248" i="32" s="1"/>
  <c r="AJ269" i="32"/>
  <c r="AJ177" i="32"/>
  <c r="AK177" i="32" s="1"/>
  <c r="AJ374" i="32"/>
  <c r="AK374" i="32" s="1"/>
  <c r="AJ358" i="32"/>
  <c r="AK358" i="32" s="1"/>
  <c r="AJ283" i="32"/>
  <c r="AK283" i="32" s="1"/>
  <c r="AJ171" i="32"/>
  <c r="AK171" i="32" s="1"/>
  <c r="AJ172" i="32"/>
  <c r="AK172" i="32" s="1"/>
  <c r="AJ259" i="32"/>
  <c r="AK259" i="32" s="1"/>
  <c r="AJ261" i="32"/>
  <c r="AK261" i="32" s="1"/>
  <c r="AJ377" i="32"/>
  <c r="AK377" i="32" s="1"/>
  <c r="AJ375" i="32"/>
  <c r="AK375" i="32" s="1"/>
  <c r="AJ372" i="32"/>
  <c r="AK372" i="32" s="1"/>
  <c r="AJ257" i="32"/>
  <c r="AK257" i="32" s="1"/>
  <c r="AJ366" i="32"/>
  <c r="AK366" i="32" s="1"/>
  <c r="AJ176" i="32"/>
  <c r="AK176" i="32" s="1"/>
  <c r="AJ380" i="32"/>
  <c r="AK380" i="32" s="1"/>
  <c r="AJ381" i="32"/>
  <c r="AK381" i="32" s="1"/>
  <c r="AJ359" i="32"/>
  <c r="AK359" i="32" s="1"/>
  <c r="AJ274" i="32"/>
  <c r="AJ361" i="32"/>
  <c r="AK361" i="32" s="1"/>
  <c r="AJ362" i="32"/>
  <c r="AK362" i="32" s="1"/>
  <c r="AJ367" i="32"/>
  <c r="AK367" i="32" s="1"/>
  <c r="AJ258" i="32"/>
  <c r="AK258" i="32" s="1"/>
  <c r="AJ152" i="32"/>
  <c r="AK152" i="32" s="1"/>
  <c r="AJ263" i="32"/>
  <c r="AJ275" i="32"/>
  <c r="AJ264" i="32"/>
  <c r="AJ279" i="32"/>
  <c r="AJ249" i="32"/>
  <c r="AK249" i="32" s="1"/>
  <c r="AJ247" i="32"/>
  <c r="AJ268" i="32"/>
  <c r="AJ334" i="32"/>
  <c r="AJ174" i="32"/>
  <c r="AJ341" i="32"/>
  <c r="AJ333" i="32"/>
  <c r="AJ337" i="32"/>
  <c r="AJ335" i="32"/>
  <c r="AJ332" i="32"/>
  <c r="AJ331" i="32"/>
  <c r="AJ340" i="32"/>
  <c r="AJ271" i="32"/>
  <c r="AJ173" i="32"/>
  <c r="AJ175" i="32"/>
  <c r="AJ339" i="32"/>
  <c r="AJ338" i="32"/>
  <c r="AJ336" i="32"/>
  <c r="AJ170" i="32"/>
  <c r="AJ330" i="32"/>
  <c r="AJ324" i="32"/>
  <c r="AK324" i="32" s="1"/>
  <c r="AJ321" i="32"/>
  <c r="AJ322" i="32"/>
  <c r="AJ329" i="32"/>
  <c r="AJ327" i="32"/>
  <c r="AJ320" i="32"/>
  <c r="AJ323" i="32"/>
  <c r="AJ317" i="32"/>
  <c r="AJ315" i="32"/>
  <c r="AJ316" i="32"/>
  <c r="AJ319" i="32"/>
  <c r="AJ328" i="32"/>
  <c r="AJ326" i="32"/>
  <c r="AJ312" i="32"/>
  <c r="AK312" i="32" s="1"/>
  <c r="CU312" i="32" s="1"/>
  <c r="AJ313" i="32"/>
  <c r="AJ314" i="32"/>
  <c r="AJ302" i="32"/>
  <c r="AJ300" i="32"/>
  <c r="AJ299" i="32"/>
  <c r="AJ304" i="32"/>
  <c r="AK304" i="32" s="1"/>
  <c r="CU304" i="32" s="1"/>
  <c r="AJ303" i="32"/>
  <c r="AJ301" i="32"/>
  <c r="AJ311" i="32"/>
  <c r="AJ308" i="32"/>
  <c r="AJ310" i="32"/>
  <c r="AJ306" i="32"/>
  <c r="AJ309" i="32"/>
  <c r="AJ371" i="32"/>
  <c r="AK371" i="32" s="1"/>
  <c r="AJ370" i="32"/>
  <c r="AK370" i="32" s="1"/>
  <c r="AJ369" i="32"/>
  <c r="AK369" i="32" s="1"/>
  <c r="AJ368" i="32"/>
  <c r="AK368" i="32" s="1"/>
  <c r="AJ357" i="32"/>
  <c r="AJ379" i="32"/>
  <c r="AJ363" i="32"/>
  <c r="AJ360" i="32"/>
  <c r="AJ364" i="32"/>
  <c r="AJ376" i="32"/>
  <c r="AJ160" i="32"/>
  <c r="AJ164" i="32"/>
  <c r="AJ298" i="32"/>
  <c r="AK298" i="32" s="1"/>
  <c r="AJ293" i="32"/>
  <c r="AJ294" i="32"/>
  <c r="AJ290" i="32"/>
  <c r="AJ287" i="32"/>
  <c r="AJ295" i="32"/>
  <c r="AJ291" i="32"/>
  <c r="AJ292" i="32"/>
  <c r="AJ297" i="32"/>
  <c r="AJ289" i="32"/>
  <c r="AC266" i="32"/>
  <c r="AD266" i="32" s="1"/>
  <c r="AC267" i="32"/>
  <c r="AD267" i="32" s="1"/>
  <c r="AC285" i="32"/>
  <c r="AD285" i="32" s="1"/>
  <c r="AC219" i="32"/>
  <c r="AD219" i="32" s="1"/>
  <c r="AC318" i="32"/>
  <c r="AD318" i="32" s="1"/>
  <c r="AC223" i="32"/>
  <c r="AD223" i="32" s="1"/>
  <c r="AC231" i="32"/>
  <c r="AD231" i="32" s="1"/>
  <c r="AC230" i="32"/>
  <c r="AD230" i="32" s="1"/>
  <c r="AC229" i="32"/>
  <c r="AD229" i="32" s="1"/>
  <c r="AC228" i="32"/>
  <c r="AD228" i="32" s="1"/>
  <c r="AC227" i="32"/>
  <c r="AD227" i="32" s="1"/>
  <c r="AC226" i="32"/>
  <c r="AD226" i="32" s="1"/>
  <c r="AC225" i="32"/>
  <c r="AD225" i="32" s="1"/>
  <c r="AC224" i="32"/>
  <c r="AD224" i="32" s="1"/>
  <c r="AC222" i="32"/>
  <c r="AD222" i="32" s="1"/>
  <c r="AC193" i="32"/>
  <c r="AD193" i="32" s="1"/>
  <c r="AC192" i="32"/>
  <c r="AD192" i="32" s="1"/>
  <c r="AC159" i="32"/>
  <c r="AD159" i="32" s="1"/>
  <c r="AC146" i="32"/>
  <c r="AD146" i="32" s="1"/>
  <c r="AC145" i="32"/>
  <c r="AD145" i="32" s="1"/>
  <c r="AC220" i="32"/>
  <c r="AD220" i="32" s="1"/>
  <c r="AC208" i="32"/>
  <c r="AD208" i="32" s="1"/>
  <c r="AC206" i="32"/>
  <c r="AD206" i="32" s="1"/>
  <c r="AC205" i="32"/>
  <c r="AD205" i="32" s="1"/>
  <c r="AC221" i="32"/>
  <c r="AD221" i="32" s="1"/>
  <c r="AC204" i="32"/>
  <c r="AD204" i="32" s="1"/>
  <c r="AC203" i="32"/>
  <c r="AD203" i="32" s="1"/>
  <c r="AC202" i="32"/>
  <c r="AD202" i="32" s="1"/>
  <c r="AC200" i="32"/>
  <c r="AD200" i="32" s="1"/>
  <c r="AC199" i="32"/>
  <c r="AD199" i="32" s="1"/>
  <c r="AC198" i="32"/>
  <c r="AD198" i="32" s="1"/>
  <c r="AC197" i="32"/>
  <c r="AD197" i="32" s="1"/>
  <c r="AC232" i="32"/>
  <c r="AD232" i="32" s="1"/>
  <c r="AC195" i="32"/>
  <c r="AD195" i="32" s="1"/>
  <c r="AC189" i="32"/>
  <c r="AD189" i="32" s="1"/>
  <c r="AC236" i="32"/>
  <c r="AD236" i="32" s="1"/>
  <c r="AC235" i="32"/>
  <c r="AD235" i="32" s="1"/>
  <c r="AC234" i="32"/>
  <c r="AD234" i="32" s="1"/>
  <c r="AC233" i="32"/>
  <c r="AD233" i="32" s="1"/>
  <c r="AC201" i="32"/>
  <c r="AD201" i="32" s="1"/>
  <c r="AC216" i="32"/>
  <c r="AD216" i="32" s="1"/>
  <c r="AC211" i="32"/>
  <c r="AD211" i="32" s="1"/>
  <c r="AC215" i="32"/>
  <c r="AD215" i="32" s="1"/>
  <c r="AC210" i="32"/>
  <c r="AD210" i="32" s="1"/>
  <c r="AC214" i="32"/>
  <c r="AD214" i="32" s="1"/>
  <c r="AC212" i="32"/>
  <c r="AD212" i="32" s="1"/>
  <c r="AC217" i="32"/>
  <c r="AD217" i="32" s="1"/>
  <c r="AC181" i="32"/>
  <c r="AD181" i="32" s="1"/>
  <c r="AC183" i="32"/>
  <c r="AD183" i="32" s="1"/>
  <c r="AC184" i="32"/>
  <c r="AD184" i="32" s="1"/>
  <c r="AC347" i="32"/>
  <c r="AD347" i="32" s="1"/>
  <c r="AC346" i="32"/>
  <c r="AD346" i="32" s="1"/>
  <c r="AC344" i="32"/>
  <c r="AD344" i="32" s="1"/>
  <c r="AC343" i="32"/>
  <c r="AD343" i="32" s="1"/>
  <c r="AC355" i="32"/>
  <c r="AD355" i="32" s="1"/>
  <c r="AC354" i="32"/>
  <c r="AD354" i="32" s="1"/>
  <c r="AC353" i="32"/>
  <c r="AD353" i="32" s="1"/>
  <c r="AC352" i="32"/>
  <c r="AD352" i="32" s="1"/>
  <c r="AC351" i="32"/>
  <c r="AD351" i="32" s="1"/>
  <c r="AC350" i="32"/>
  <c r="AD350" i="32" s="1"/>
  <c r="AC348" i="32"/>
  <c r="AD348" i="32" s="1"/>
  <c r="AC345" i="32"/>
  <c r="AD345" i="32" s="1"/>
  <c r="AC349" i="32"/>
  <c r="AD349" i="32" s="1"/>
  <c r="AC342" i="32"/>
  <c r="AD342" i="32" s="1"/>
  <c r="AC104" i="32"/>
  <c r="AD104" i="32" s="1"/>
  <c r="AC103" i="32"/>
  <c r="AD103" i="32" s="1"/>
  <c r="AC102" i="32"/>
  <c r="AD102" i="32" s="1"/>
  <c r="AC101" i="32"/>
  <c r="AD101" i="32" s="1"/>
  <c r="AC100" i="32"/>
  <c r="AD100" i="32" s="1"/>
  <c r="AC99" i="32"/>
  <c r="AD99" i="32" s="1"/>
  <c r="AC98" i="32"/>
  <c r="AD98" i="32" s="1"/>
  <c r="AC96" i="32"/>
  <c r="AD96" i="32" s="1"/>
  <c r="AC95" i="32"/>
  <c r="AD95" i="32" s="1"/>
  <c r="AC94" i="32"/>
  <c r="AD94" i="32" s="1"/>
  <c r="AC118" i="32"/>
  <c r="AD118" i="32" s="1"/>
  <c r="AC116" i="32"/>
  <c r="AD116" i="32" s="1"/>
  <c r="AC115" i="32"/>
  <c r="AD115" i="32" s="1"/>
  <c r="AC114" i="32"/>
  <c r="AD114" i="32" s="1"/>
  <c r="AC113" i="32"/>
  <c r="AD113" i="32" s="1"/>
  <c r="AC112" i="32"/>
  <c r="AD112" i="32" s="1"/>
  <c r="AC111" i="32"/>
  <c r="AD111" i="32" s="1"/>
  <c r="AC110" i="32"/>
  <c r="AD110" i="32" s="1"/>
  <c r="AC108" i="32"/>
  <c r="AD108" i="32" s="1"/>
  <c r="AC107" i="32"/>
  <c r="AD107" i="32" s="1"/>
  <c r="AC106" i="32"/>
  <c r="AD106" i="32" s="1"/>
  <c r="AC105" i="32"/>
  <c r="AD105" i="32" s="1"/>
  <c r="AC97" i="32"/>
  <c r="AD97" i="32" s="1"/>
  <c r="AC93" i="32"/>
  <c r="AD93" i="32" s="1"/>
  <c r="AC117" i="32"/>
  <c r="AD117" i="32" s="1"/>
  <c r="AC109" i="32"/>
  <c r="AD109" i="32" s="1"/>
  <c r="AC142" i="32"/>
  <c r="AD142" i="32" s="1"/>
  <c r="AC278" i="32"/>
  <c r="AD278" i="32" s="1"/>
  <c r="AC252" i="32"/>
  <c r="AD252" i="32" s="1"/>
  <c r="AC246" i="32"/>
  <c r="AD246" i="32" s="1"/>
  <c r="AC191" i="32"/>
  <c r="AD191" i="32" s="1"/>
  <c r="AC190" i="32"/>
  <c r="AD190" i="32" s="1"/>
  <c r="AC188" i="32"/>
  <c r="AD188" i="32" s="1"/>
  <c r="AC238" i="32"/>
  <c r="AD238" i="32" s="1"/>
  <c r="AC240" i="32"/>
  <c r="AD240" i="32" s="1"/>
  <c r="AC244" i="32"/>
  <c r="AD244" i="32" s="1"/>
  <c r="AC245" i="32"/>
  <c r="AD245" i="32" s="1"/>
  <c r="AC185" i="32"/>
  <c r="AD185" i="32" s="1"/>
  <c r="AC179" i="32"/>
  <c r="AD179" i="32" s="1"/>
  <c r="AC242" i="32"/>
  <c r="AD242" i="32" s="1"/>
  <c r="AC243" i="32"/>
  <c r="AD243" i="32" s="1"/>
  <c r="AC194" i="32"/>
  <c r="AD194" i="32" s="1"/>
  <c r="AC182" i="32"/>
  <c r="AD182" i="32" s="1"/>
  <c r="AC284" i="32"/>
  <c r="AD284" i="32" s="1"/>
  <c r="AC378" i="32"/>
  <c r="AD378" i="32" s="1"/>
  <c r="AC265" i="32"/>
  <c r="AD265" i="32" s="1"/>
  <c r="AC373" i="32"/>
  <c r="AD373" i="32" s="1"/>
  <c r="AC196" i="32"/>
  <c r="AD196" i="32" s="1"/>
  <c r="AC186" i="32"/>
  <c r="AD186" i="32" s="1"/>
  <c r="AC253" i="32"/>
  <c r="AD253" i="32" s="1"/>
  <c r="AC280" i="32"/>
  <c r="AD280" i="32" s="1"/>
  <c r="AC254" i="32"/>
  <c r="AD254" i="32" s="1"/>
  <c r="AC241" i="32"/>
  <c r="AD241" i="32" s="1"/>
  <c r="AC180" i="32"/>
  <c r="AD180" i="32" s="1"/>
  <c r="AC239" i="32"/>
  <c r="AD239" i="32" s="1"/>
  <c r="AC281" i="32"/>
  <c r="AD281" i="32" s="1"/>
  <c r="AC256" i="32"/>
  <c r="AD256" i="32" s="1"/>
  <c r="AC187" i="32"/>
  <c r="AD187" i="32" s="1"/>
  <c r="AC288" i="32"/>
  <c r="AD288" i="32" s="1"/>
  <c r="AC282" i="32"/>
  <c r="AD282" i="32" s="1"/>
  <c r="AC255" i="32"/>
  <c r="AD255" i="32" s="1"/>
  <c r="AC251" i="32"/>
  <c r="AD251" i="32" s="1"/>
  <c r="AC237" i="32"/>
  <c r="AD237" i="32" s="1"/>
  <c r="AC272" i="32"/>
  <c r="AD272" i="32" s="1"/>
  <c r="AC365" i="32"/>
  <c r="AD365" i="32" s="1"/>
  <c r="AC178" i="32"/>
  <c r="AD178" i="32" s="1"/>
  <c r="AC218" i="32"/>
  <c r="AD218" i="32" s="1"/>
  <c r="AC57" i="32"/>
  <c r="AD57" i="32" s="1"/>
  <c r="AC56" i="32"/>
  <c r="AD56" i="32" s="1"/>
  <c r="AC55" i="32"/>
  <c r="AD55" i="32" s="1"/>
  <c r="AC54" i="32"/>
  <c r="AD54" i="32" s="1"/>
  <c r="AC53" i="32"/>
  <c r="AD53" i="32" s="1"/>
  <c r="AC52" i="32"/>
  <c r="AD52" i="32" s="1"/>
  <c r="AC51" i="32"/>
  <c r="AD51" i="32" s="1"/>
  <c r="AC50" i="32"/>
  <c r="AD50" i="32" s="1"/>
  <c r="AC49" i="32"/>
  <c r="AD49" i="32" s="1"/>
  <c r="AC48" i="32"/>
  <c r="AD48" i="32" s="1"/>
  <c r="AC47" i="32"/>
  <c r="AD47" i="32" s="1"/>
  <c r="AC46" i="32"/>
  <c r="AD46" i="32" s="1"/>
  <c r="AC45" i="32"/>
  <c r="AD45" i="32" s="1"/>
  <c r="AC44" i="32"/>
  <c r="AD44" i="32" s="1"/>
  <c r="AC42" i="32"/>
  <c r="AD42" i="32" s="1"/>
  <c r="AC41" i="32"/>
  <c r="AD41" i="32" s="1"/>
  <c r="AC40" i="32"/>
  <c r="AD40" i="32" s="1"/>
  <c r="AC39" i="32"/>
  <c r="AD39" i="32" s="1"/>
  <c r="AC38" i="32"/>
  <c r="AD38" i="32" s="1"/>
  <c r="AC37" i="32"/>
  <c r="AD37" i="32" s="1"/>
  <c r="AC35" i="32"/>
  <c r="AD35" i="32" s="1"/>
  <c r="AC34" i="32"/>
  <c r="AD34" i="32" s="1"/>
  <c r="AC33" i="32"/>
  <c r="AD33" i="32" s="1"/>
  <c r="AC32" i="32"/>
  <c r="AD32" i="32" s="1"/>
  <c r="AC31" i="32"/>
  <c r="AD31" i="32" s="1"/>
  <c r="AC30" i="32"/>
  <c r="AD30" i="32" s="1"/>
  <c r="AC29" i="32"/>
  <c r="AD29" i="32" s="1"/>
  <c r="AC28" i="32"/>
  <c r="AD28" i="32" s="1"/>
  <c r="AC27" i="32"/>
  <c r="AD27" i="32" s="1"/>
  <c r="AC26" i="32"/>
  <c r="AD26" i="32" s="1"/>
  <c r="AC25" i="32"/>
  <c r="AD25" i="32" s="1"/>
  <c r="AC24" i="32"/>
  <c r="AD24" i="32" s="1"/>
  <c r="AC23" i="32"/>
  <c r="AD23" i="32" s="1"/>
  <c r="AC22" i="32"/>
  <c r="AD22" i="32" s="1"/>
  <c r="AC21" i="32"/>
  <c r="AD21" i="32" s="1"/>
  <c r="AC20" i="32"/>
  <c r="AD20" i="32" s="1"/>
  <c r="AC19" i="32"/>
  <c r="AD19" i="32" s="1"/>
  <c r="AC18" i="32"/>
  <c r="AD18" i="32" s="1"/>
  <c r="AC17" i="32"/>
  <c r="AD17" i="32" s="1"/>
  <c r="AC16" i="32"/>
  <c r="AD16" i="32" s="1"/>
  <c r="AC15" i="32"/>
  <c r="AD15" i="32" s="1"/>
  <c r="AC92" i="32"/>
  <c r="AD92" i="32" s="1"/>
  <c r="AC91" i="32"/>
  <c r="AD91" i="32" s="1"/>
  <c r="AC90" i="32"/>
  <c r="AD90" i="32" s="1"/>
  <c r="AC89" i="32"/>
  <c r="AD89" i="32" s="1"/>
  <c r="AC88" i="32"/>
  <c r="AD88" i="32" s="1"/>
  <c r="AC87" i="32"/>
  <c r="AD87" i="32" s="1"/>
  <c r="AC86" i="32"/>
  <c r="AD86" i="32" s="1"/>
  <c r="AC85" i="32"/>
  <c r="AD85" i="32" s="1"/>
  <c r="AC84" i="32"/>
  <c r="AD84" i="32" s="1"/>
  <c r="AC83" i="32"/>
  <c r="AD83" i="32" s="1"/>
  <c r="AC82" i="32"/>
  <c r="AD82" i="32" s="1"/>
  <c r="AC81" i="32"/>
  <c r="AD81" i="32" s="1"/>
  <c r="AC80" i="32"/>
  <c r="AD80" i="32" s="1"/>
  <c r="AC79" i="32"/>
  <c r="AD79" i="32" s="1"/>
  <c r="AC78" i="32"/>
  <c r="AD78" i="32" s="1"/>
  <c r="AC77" i="32"/>
  <c r="AD77" i="32" s="1"/>
  <c r="AC75" i="32"/>
  <c r="AD75" i="32" s="1"/>
  <c r="AC74" i="32"/>
  <c r="AD74" i="32" s="1"/>
  <c r="AC73" i="32"/>
  <c r="AD73" i="32" s="1"/>
  <c r="AC72" i="32"/>
  <c r="AD72" i="32" s="1"/>
  <c r="AC71" i="32"/>
  <c r="AD71" i="32" s="1"/>
  <c r="AC70" i="32"/>
  <c r="AD70" i="32" s="1"/>
  <c r="AC69" i="32"/>
  <c r="AD69" i="32" s="1"/>
  <c r="AC68" i="32"/>
  <c r="AD68" i="32" s="1"/>
  <c r="AC67" i="32"/>
  <c r="AD67" i="32" s="1"/>
  <c r="AC66" i="32"/>
  <c r="AD66" i="32" s="1"/>
  <c r="AC65" i="32"/>
  <c r="AD65" i="32" s="1"/>
  <c r="AC63" i="32"/>
  <c r="AD63" i="32" s="1"/>
  <c r="AC62" i="32"/>
  <c r="AD62" i="32" s="1"/>
  <c r="AC61" i="32"/>
  <c r="AD61" i="32" s="1"/>
  <c r="AC60" i="32"/>
  <c r="AD60" i="32" s="1"/>
  <c r="AC59" i="32"/>
  <c r="AD59" i="32" s="1"/>
  <c r="AC58" i="32"/>
  <c r="AD58" i="32" s="1"/>
  <c r="AC43" i="32"/>
  <c r="AD43" i="32" s="1"/>
  <c r="AC36" i="32"/>
  <c r="AD36" i="32" s="1"/>
  <c r="AC76" i="32"/>
  <c r="AD76" i="32" s="1"/>
  <c r="AC64" i="32"/>
  <c r="AD64" i="32" s="1"/>
  <c r="AC14" i="32"/>
  <c r="AD14" i="32" s="1"/>
  <c r="AC157" i="32"/>
  <c r="AD157" i="32" s="1"/>
  <c r="AC154" i="32"/>
  <c r="AD154" i="32" s="1"/>
  <c r="AC155" i="32"/>
  <c r="AD155" i="32" s="1"/>
  <c r="AC137" i="32"/>
  <c r="AD137" i="32" s="1"/>
  <c r="AC136" i="32"/>
  <c r="AD136" i="32" s="1"/>
  <c r="AC138" i="32"/>
  <c r="AD138" i="32" s="1"/>
  <c r="AC127" i="32"/>
  <c r="AD127" i="32" s="1"/>
  <c r="AC139" i="32"/>
  <c r="AD139" i="32" s="1"/>
  <c r="AC131" i="32"/>
  <c r="AD131" i="32" s="1"/>
  <c r="AC135" i="32"/>
  <c r="AD135" i="32" s="1"/>
  <c r="AC140" i="32"/>
  <c r="AD140" i="32" s="1"/>
  <c r="AC126" i="32"/>
  <c r="AD126" i="32" s="1"/>
  <c r="AC132" i="32"/>
  <c r="AD132" i="32" s="1"/>
  <c r="AC134" i="32"/>
  <c r="AD134" i="32" s="1"/>
  <c r="AC124" i="32"/>
  <c r="AD124" i="32" s="1"/>
  <c r="AC121" i="32"/>
  <c r="AD121" i="32" s="1"/>
  <c r="AC128" i="32"/>
  <c r="AD128" i="32" s="1"/>
  <c r="AC129" i="32"/>
  <c r="AD129" i="32" s="1"/>
  <c r="AC123" i="32"/>
  <c r="AD123" i="32" s="1"/>
  <c r="AC119" i="32"/>
  <c r="AD119" i="32" s="1"/>
  <c r="AC122" i="32"/>
  <c r="AD122" i="32" s="1"/>
  <c r="AC120" i="32"/>
  <c r="AD120" i="32" s="1"/>
  <c r="AC130" i="32"/>
  <c r="AD130" i="32" s="1"/>
  <c r="AC125" i="32"/>
  <c r="AD125" i="32" s="1"/>
  <c r="AC133" i="32"/>
  <c r="AD133" i="32" s="1"/>
  <c r="AC158" i="32"/>
  <c r="AD158" i="32" s="1"/>
  <c r="AC150" i="32"/>
  <c r="AD150" i="32" s="1"/>
  <c r="AC163" i="32"/>
  <c r="AD163" i="32" s="1"/>
  <c r="AC166" i="32"/>
  <c r="AD166" i="32" s="1"/>
  <c r="AC147" i="32"/>
  <c r="AD147" i="32" s="1"/>
  <c r="AC149" i="32"/>
  <c r="AD149" i="32" s="1"/>
  <c r="AC151" i="32"/>
  <c r="AD151" i="32" s="1"/>
  <c r="AC148" i="32"/>
  <c r="AD148" i="32" s="1"/>
  <c r="AC153" i="32"/>
  <c r="AD153" i="32" s="1"/>
  <c r="AC144" i="32"/>
  <c r="AD144" i="32" s="1"/>
  <c r="AC168" i="32"/>
  <c r="AD168" i="32" s="1"/>
  <c r="AC161" i="32"/>
  <c r="AD161" i="32" s="1"/>
  <c r="AC143" i="32"/>
  <c r="AD143" i="32" s="1"/>
  <c r="AC167" i="32"/>
  <c r="AD167" i="32" s="1"/>
  <c r="AC162" i="32"/>
  <c r="AD162" i="32" s="1"/>
  <c r="AC141" i="32"/>
  <c r="AD141" i="32" s="1"/>
  <c r="AC165" i="32"/>
  <c r="AD165" i="32" s="1"/>
  <c r="AC296" i="32"/>
  <c r="AD296" i="32" s="1"/>
  <c r="AC325" i="32"/>
  <c r="AD325" i="32" s="1"/>
  <c r="AC260" i="32"/>
  <c r="AD260" i="32" s="1"/>
  <c r="AC277" i="32"/>
  <c r="AD277" i="32" s="1"/>
  <c r="AC305" i="32"/>
  <c r="AD305" i="32" s="1"/>
  <c r="AC307" i="32"/>
  <c r="AD307" i="32" s="1"/>
  <c r="AC276" i="32"/>
  <c r="AD276" i="32" s="1"/>
  <c r="AC286" i="32"/>
  <c r="AD286" i="32" s="1"/>
  <c r="AC169" i="32"/>
  <c r="AD169" i="32" s="1"/>
  <c r="AC270" i="32"/>
  <c r="AD270" i="32" s="1"/>
  <c r="AC273" i="32"/>
  <c r="AD273" i="32" s="1"/>
  <c r="AC262" i="32"/>
  <c r="AD262" i="32" s="1"/>
  <c r="AC250" i="32"/>
  <c r="AD250" i="32" s="1"/>
  <c r="AC248" i="32"/>
  <c r="AD248" i="32" s="1"/>
  <c r="AC269" i="32"/>
  <c r="AD269" i="32" s="1"/>
  <c r="AC177" i="32"/>
  <c r="AD177" i="32" s="1"/>
  <c r="AC374" i="32"/>
  <c r="AD374" i="32" s="1"/>
  <c r="AC358" i="32"/>
  <c r="AD358" i="32" s="1"/>
  <c r="AC283" i="32"/>
  <c r="AD283" i="32" s="1"/>
  <c r="AC171" i="32"/>
  <c r="AD171" i="32" s="1"/>
  <c r="AC172" i="32"/>
  <c r="AD172" i="32" s="1"/>
  <c r="AC259" i="32"/>
  <c r="AD259" i="32" s="1"/>
  <c r="AC261" i="32"/>
  <c r="AD261" i="32" s="1"/>
  <c r="AC377" i="32"/>
  <c r="AD377" i="32" s="1"/>
  <c r="AC375" i="32"/>
  <c r="AD375" i="32" s="1"/>
  <c r="AC372" i="32"/>
  <c r="AD372" i="32" s="1"/>
  <c r="AC257" i="32"/>
  <c r="AD257" i="32" s="1"/>
  <c r="AC366" i="32"/>
  <c r="AD366" i="32" s="1"/>
  <c r="AC176" i="32"/>
  <c r="AD176" i="32" s="1"/>
  <c r="AC380" i="32"/>
  <c r="AD380" i="32" s="1"/>
  <c r="AC381" i="32"/>
  <c r="AD381" i="32" s="1"/>
  <c r="AC359" i="32"/>
  <c r="AD359" i="32" s="1"/>
  <c r="AC274" i="32"/>
  <c r="AD274" i="32" s="1"/>
  <c r="AC361" i="32"/>
  <c r="AD361" i="32" s="1"/>
  <c r="AC362" i="32"/>
  <c r="AD362" i="32" s="1"/>
  <c r="AC367" i="32"/>
  <c r="AD367" i="32" s="1"/>
  <c r="AC258" i="32"/>
  <c r="AD258" i="32" s="1"/>
  <c r="AC152" i="32"/>
  <c r="AD152" i="32" s="1"/>
  <c r="AC263" i="32"/>
  <c r="AD263" i="32" s="1"/>
  <c r="AC275" i="32"/>
  <c r="AD275" i="32" s="1"/>
  <c r="AC264" i="32"/>
  <c r="AD264" i="32" s="1"/>
  <c r="AC279" i="32"/>
  <c r="AD279" i="32" s="1"/>
  <c r="AC249" i="32"/>
  <c r="AD249" i="32" s="1"/>
  <c r="AC247" i="32"/>
  <c r="AD247" i="32" s="1"/>
  <c r="AC268" i="32"/>
  <c r="AD268" i="32" s="1"/>
  <c r="AC334" i="32"/>
  <c r="AD334" i="32" s="1"/>
  <c r="AC174" i="32"/>
  <c r="AD174" i="32" s="1"/>
  <c r="AC341" i="32"/>
  <c r="AD341" i="32" s="1"/>
  <c r="AC333" i="32"/>
  <c r="AD333" i="32" s="1"/>
  <c r="AC337" i="32"/>
  <c r="AD337" i="32" s="1"/>
  <c r="AC335" i="32"/>
  <c r="AD335" i="32" s="1"/>
  <c r="AC332" i="32"/>
  <c r="AD332" i="32" s="1"/>
  <c r="AC331" i="32"/>
  <c r="AD331" i="32" s="1"/>
  <c r="AC340" i="32"/>
  <c r="AD340" i="32" s="1"/>
  <c r="AC271" i="32"/>
  <c r="AD271" i="32" s="1"/>
  <c r="AC173" i="32"/>
  <c r="AD173" i="32" s="1"/>
  <c r="AC175" i="32"/>
  <c r="AD175" i="32" s="1"/>
  <c r="AC339" i="32"/>
  <c r="AD339" i="32" s="1"/>
  <c r="AC338" i="32"/>
  <c r="AD338" i="32" s="1"/>
  <c r="AC336" i="32"/>
  <c r="AD336" i="32" s="1"/>
  <c r="AC170" i="32"/>
  <c r="AD170" i="32" s="1"/>
  <c r="AC330" i="32"/>
  <c r="AD330" i="32" s="1"/>
  <c r="AC324" i="32"/>
  <c r="AD324" i="32" s="1"/>
  <c r="AC321" i="32"/>
  <c r="AD321" i="32" s="1"/>
  <c r="AC322" i="32"/>
  <c r="AD322" i="32" s="1"/>
  <c r="AC329" i="32"/>
  <c r="AD329" i="32" s="1"/>
  <c r="AC327" i="32"/>
  <c r="AD327" i="32" s="1"/>
  <c r="AC320" i="32"/>
  <c r="AD320" i="32" s="1"/>
  <c r="AC323" i="32"/>
  <c r="AD323" i="32" s="1"/>
  <c r="AC317" i="32"/>
  <c r="AD317" i="32" s="1"/>
  <c r="AC315" i="32"/>
  <c r="AD315" i="32" s="1"/>
  <c r="AC316" i="32"/>
  <c r="AD316" i="32" s="1"/>
  <c r="AC319" i="32"/>
  <c r="AD319" i="32" s="1"/>
  <c r="AC328" i="32"/>
  <c r="AD328" i="32" s="1"/>
  <c r="AC326" i="32"/>
  <c r="AD326" i="32" s="1"/>
  <c r="AC312" i="32"/>
  <c r="AD312" i="32" s="1"/>
  <c r="AC313" i="32"/>
  <c r="AD313" i="32" s="1"/>
  <c r="AC314" i="32"/>
  <c r="AD314" i="32" s="1"/>
  <c r="AC302" i="32"/>
  <c r="AD302" i="32" s="1"/>
  <c r="AC300" i="32"/>
  <c r="AD300" i="32" s="1"/>
  <c r="AC299" i="32"/>
  <c r="AD299" i="32" s="1"/>
  <c r="AC304" i="32"/>
  <c r="AD304" i="32" s="1"/>
  <c r="AC303" i="32"/>
  <c r="AD303" i="32" s="1"/>
  <c r="AC301" i="32"/>
  <c r="AD301" i="32" s="1"/>
  <c r="AC311" i="32"/>
  <c r="AD311" i="32" s="1"/>
  <c r="AC308" i="32"/>
  <c r="AD308" i="32" s="1"/>
  <c r="AC310" i="32"/>
  <c r="AD310" i="32" s="1"/>
  <c r="AC306" i="32"/>
  <c r="AD306" i="32" s="1"/>
  <c r="AC309" i="32"/>
  <c r="AD309" i="32" s="1"/>
  <c r="AC371" i="32"/>
  <c r="AD371" i="32" s="1"/>
  <c r="AC370" i="32"/>
  <c r="AD370" i="32" s="1"/>
  <c r="AC369" i="32"/>
  <c r="AD369" i="32" s="1"/>
  <c r="AC368" i="32"/>
  <c r="AD368" i="32" s="1"/>
  <c r="AC357" i="32"/>
  <c r="AD357" i="32" s="1"/>
  <c r="AC379" i="32"/>
  <c r="AD379" i="32" s="1"/>
  <c r="AC363" i="32"/>
  <c r="AD363" i="32" s="1"/>
  <c r="AC360" i="32"/>
  <c r="AD360" i="32" s="1"/>
  <c r="AC364" i="32"/>
  <c r="AD364" i="32" s="1"/>
  <c r="AC376" i="32"/>
  <c r="AD376" i="32" s="1"/>
  <c r="AC160" i="32"/>
  <c r="AD160" i="32" s="1"/>
  <c r="AC164" i="32"/>
  <c r="AD164" i="32" s="1"/>
  <c r="AC298" i="32"/>
  <c r="AD298" i="32" s="1"/>
  <c r="AC293" i="32"/>
  <c r="AD293" i="32" s="1"/>
  <c r="AC294" i="32"/>
  <c r="AD294" i="32" s="1"/>
  <c r="AC290" i="32"/>
  <c r="AD290" i="32" s="1"/>
  <c r="AC287" i="32"/>
  <c r="AD287" i="32" s="1"/>
  <c r="AC295" i="32"/>
  <c r="AD295" i="32" s="1"/>
  <c r="AC291" i="32"/>
  <c r="AD291" i="32" s="1"/>
  <c r="AC292" i="32"/>
  <c r="AD292" i="32" s="1"/>
  <c r="AC297" i="32"/>
  <c r="AD297" i="32" s="1"/>
  <c r="AC289" i="32"/>
  <c r="AD289" i="32" s="1"/>
  <c r="Z289" i="32"/>
  <c r="AA289" i="32" s="1"/>
  <c r="Z266" i="32"/>
  <c r="AA266" i="32" s="1"/>
  <c r="Z267" i="32"/>
  <c r="AA267" i="32" s="1"/>
  <c r="Z285" i="32"/>
  <c r="AA285" i="32" s="1"/>
  <c r="Z219" i="32"/>
  <c r="AA219" i="32" s="1"/>
  <c r="Z318" i="32"/>
  <c r="AA318" i="32" s="1"/>
  <c r="Z223" i="32"/>
  <c r="AA223" i="32" s="1"/>
  <c r="Z231" i="32"/>
  <c r="AA231" i="32" s="1"/>
  <c r="Z230" i="32"/>
  <c r="AA230" i="32" s="1"/>
  <c r="Z229" i="32"/>
  <c r="AA229" i="32" s="1"/>
  <c r="Z228" i="32"/>
  <c r="AA228" i="32" s="1"/>
  <c r="Z227" i="32"/>
  <c r="AA227" i="32" s="1"/>
  <c r="Z226" i="32"/>
  <c r="AA226" i="32" s="1"/>
  <c r="Z225" i="32"/>
  <c r="AA225" i="32" s="1"/>
  <c r="Z224" i="32"/>
  <c r="AA224" i="32" s="1"/>
  <c r="Z222" i="32"/>
  <c r="AA222" i="32" s="1"/>
  <c r="Z193" i="32"/>
  <c r="AA193" i="32" s="1"/>
  <c r="Z192" i="32"/>
  <c r="AA192" i="32" s="1"/>
  <c r="Z159" i="32"/>
  <c r="AA159" i="32" s="1"/>
  <c r="Z146" i="32"/>
  <c r="AA146" i="32" s="1"/>
  <c r="Z145" i="32"/>
  <c r="AA145" i="32" s="1"/>
  <c r="Z220" i="32"/>
  <c r="AA220" i="32" s="1"/>
  <c r="Z208" i="32"/>
  <c r="AA208" i="32" s="1"/>
  <c r="Z206" i="32"/>
  <c r="AA206" i="32" s="1"/>
  <c r="Z205" i="32"/>
  <c r="AA205" i="32" s="1"/>
  <c r="Z221" i="32"/>
  <c r="AA221" i="32" s="1"/>
  <c r="Z204" i="32"/>
  <c r="AA204" i="32" s="1"/>
  <c r="Z203" i="32"/>
  <c r="AA203" i="32" s="1"/>
  <c r="Z202" i="32"/>
  <c r="AA202" i="32" s="1"/>
  <c r="Z200" i="32"/>
  <c r="AA200" i="32" s="1"/>
  <c r="Z199" i="32"/>
  <c r="AA199" i="32" s="1"/>
  <c r="Z198" i="32"/>
  <c r="AA198" i="32" s="1"/>
  <c r="Z197" i="32"/>
  <c r="AA197" i="32" s="1"/>
  <c r="Z232" i="32"/>
  <c r="AA232" i="32" s="1"/>
  <c r="Z195" i="32"/>
  <c r="AA195" i="32" s="1"/>
  <c r="Z189" i="32"/>
  <c r="AA189" i="32" s="1"/>
  <c r="Z236" i="32"/>
  <c r="AA236" i="32" s="1"/>
  <c r="Z235" i="32"/>
  <c r="AA235" i="32" s="1"/>
  <c r="Z234" i="32"/>
  <c r="AA234" i="32" s="1"/>
  <c r="Z233" i="32"/>
  <c r="AA233" i="32" s="1"/>
  <c r="Z201" i="32"/>
  <c r="AA201" i="32" s="1"/>
  <c r="Z216" i="32"/>
  <c r="AA216" i="32" s="1"/>
  <c r="Z211" i="32"/>
  <c r="AA211" i="32" s="1"/>
  <c r="Z215" i="32"/>
  <c r="AA215" i="32" s="1"/>
  <c r="Z210" i="32"/>
  <c r="AA210" i="32" s="1"/>
  <c r="Z214" i="32"/>
  <c r="AA214" i="32" s="1"/>
  <c r="Z212" i="32"/>
  <c r="AA212" i="32" s="1"/>
  <c r="Z217" i="32"/>
  <c r="AA217" i="32" s="1"/>
  <c r="Z181" i="32"/>
  <c r="AA181" i="32" s="1"/>
  <c r="Z183" i="32"/>
  <c r="AA183" i="32" s="1"/>
  <c r="Z184" i="32"/>
  <c r="AA184" i="32" s="1"/>
  <c r="Z347" i="32"/>
  <c r="AA347" i="32" s="1"/>
  <c r="Z346" i="32"/>
  <c r="AA346" i="32" s="1"/>
  <c r="Z344" i="32"/>
  <c r="AA344" i="32" s="1"/>
  <c r="Z343" i="32"/>
  <c r="AA343" i="32" s="1"/>
  <c r="Z355" i="32"/>
  <c r="AA355" i="32" s="1"/>
  <c r="Z354" i="32"/>
  <c r="AA354" i="32" s="1"/>
  <c r="Z353" i="32"/>
  <c r="AA353" i="32" s="1"/>
  <c r="Z352" i="32"/>
  <c r="AA352" i="32" s="1"/>
  <c r="Z351" i="32"/>
  <c r="AA351" i="32" s="1"/>
  <c r="Z350" i="32"/>
  <c r="AA350" i="32" s="1"/>
  <c r="Z348" i="32"/>
  <c r="AA348" i="32" s="1"/>
  <c r="Z345" i="32"/>
  <c r="AA345" i="32" s="1"/>
  <c r="Z349" i="32"/>
  <c r="AA349" i="32" s="1"/>
  <c r="Z342" i="32"/>
  <c r="AA342" i="32" s="1"/>
  <c r="Z104" i="32"/>
  <c r="AA104" i="32" s="1"/>
  <c r="Z103" i="32"/>
  <c r="AA103" i="32" s="1"/>
  <c r="Z102" i="32"/>
  <c r="AA102" i="32" s="1"/>
  <c r="Z101" i="32"/>
  <c r="AA101" i="32" s="1"/>
  <c r="Z100" i="32"/>
  <c r="AA100" i="32" s="1"/>
  <c r="Z99" i="32"/>
  <c r="AA99" i="32" s="1"/>
  <c r="Z98" i="32"/>
  <c r="AA98" i="32" s="1"/>
  <c r="Z96" i="32"/>
  <c r="AA96" i="32" s="1"/>
  <c r="Z95" i="32"/>
  <c r="AA95" i="32" s="1"/>
  <c r="Z94" i="32"/>
  <c r="AA94" i="32" s="1"/>
  <c r="Z118" i="32"/>
  <c r="AA118" i="32" s="1"/>
  <c r="Z116" i="32"/>
  <c r="AA116" i="32" s="1"/>
  <c r="Z115" i="32"/>
  <c r="AA115" i="32" s="1"/>
  <c r="Z114" i="32"/>
  <c r="AA114" i="32" s="1"/>
  <c r="Z113" i="32"/>
  <c r="AA113" i="32" s="1"/>
  <c r="Z112" i="32"/>
  <c r="AA112" i="32" s="1"/>
  <c r="Z111" i="32"/>
  <c r="AA111" i="32" s="1"/>
  <c r="Z110" i="32"/>
  <c r="AA110" i="32" s="1"/>
  <c r="Z108" i="32"/>
  <c r="AA108" i="32" s="1"/>
  <c r="Z107" i="32"/>
  <c r="AA107" i="32" s="1"/>
  <c r="Z106" i="32"/>
  <c r="AA106" i="32" s="1"/>
  <c r="Z105" i="32"/>
  <c r="AA105" i="32" s="1"/>
  <c r="Z97" i="32"/>
  <c r="AA97" i="32" s="1"/>
  <c r="Z93" i="32"/>
  <c r="AA93" i="32" s="1"/>
  <c r="Z117" i="32"/>
  <c r="AA117" i="32" s="1"/>
  <c r="Z109" i="32"/>
  <c r="AA109" i="32" s="1"/>
  <c r="Z142" i="32"/>
  <c r="AA142" i="32" s="1"/>
  <c r="Z278" i="32"/>
  <c r="AA278" i="32" s="1"/>
  <c r="Z252" i="32"/>
  <c r="AA252" i="32" s="1"/>
  <c r="Z246" i="32"/>
  <c r="AA246" i="32" s="1"/>
  <c r="Z191" i="32"/>
  <c r="AA191" i="32" s="1"/>
  <c r="Z190" i="32"/>
  <c r="AA190" i="32" s="1"/>
  <c r="Z188" i="32"/>
  <c r="AA188" i="32" s="1"/>
  <c r="Z238" i="32"/>
  <c r="AA238" i="32" s="1"/>
  <c r="Z240" i="32"/>
  <c r="AA240" i="32" s="1"/>
  <c r="Z244" i="32"/>
  <c r="AA244" i="32" s="1"/>
  <c r="Z245" i="32"/>
  <c r="AA245" i="32" s="1"/>
  <c r="Z185" i="32"/>
  <c r="AA185" i="32" s="1"/>
  <c r="Z179" i="32"/>
  <c r="AA179" i="32" s="1"/>
  <c r="Z242" i="32"/>
  <c r="AA242" i="32" s="1"/>
  <c r="Z243" i="32"/>
  <c r="AA243" i="32" s="1"/>
  <c r="Z194" i="32"/>
  <c r="AA194" i="32" s="1"/>
  <c r="Z182" i="32"/>
  <c r="AA182" i="32" s="1"/>
  <c r="Z284" i="32"/>
  <c r="AA284" i="32" s="1"/>
  <c r="Z378" i="32"/>
  <c r="AA378" i="32" s="1"/>
  <c r="Z265" i="32"/>
  <c r="AA265" i="32" s="1"/>
  <c r="Z373" i="32"/>
  <c r="AA373" i="32" s="1"/>
  <c r="Z196" i="32"/>
  <c r="AA196" i="32" s="1"/>
  <c r="Z186" i="32"/>
  <c r="AA186" i="32" s="1"/>
  <c r="Z253" i="32"/>
  <c r="AA253" i="32" s="1"/>
  <c r="Z280" i="32"/>
  <c r="AA280" i="32" s="1"/>
  <c r="Z254" i="32"/>
  <c r="AA254" i="32" s="1"/>
  <c r="Z241" i="32"/>
  <c r="AA241" i="32" s="1"/>
  <c r="Z180" i="32"/>
  <c r="AA180" i="32" s="1"/>
  <c r="Z239" i="32"/>
  <c r="AA239" i="32" s="1"/>
  <c r="Z281" i="32"/>
  <c r="AA281" i="32" s="1"/>
  <c r="Z256" i="32"/>
  <c r="AA256" i="32" s="1"/>
  <c r="Z187" i="32"/>
  <c r="AA187" i="32" s="1"/>
  <c r="Z288" i="32"/>
  <c r="AA288" i="32" s="1"/>
  <c r="Z282" i="32"/>
  <c r="AA282" i="32" s="1"/>
  <c r="Z255" i="32"/>
  <c r="AA255" i="32" s="1"/>
  <c r="Z251" i="32"/>
  <c r="AA251" i="32" s="1"/>
  <c r="Z237" i="32"/>
  <c r="AA237" i="32" s="1"/>
  <c r="Z272" i="32"/>
  <c r="AA272" i="32" s="1"/>
  <c r="Z365" i="32"/>
  <c r="AA365" i="32" s="1"/>
  <c r="Z178" i="32"/>
  <c r="AA178" i="32" s="1"/>
  <c r="Z218" i="32"/>
  <c r="AA218" i="32" s="1"/>
  <c r="Z57" i="32"/>
  <c r="AA57" i="32" s="1"/>
  <c r="Z56" i="32"/>
  <c r="AA56" i="32" s="1"/>
  <c r="Z55" i="32"/>
  <c r="AA55" i="32" s="1"/>
  <c r="Z54" i="32"/>
  <c r="AA54" i="32" s="1"/>
  <c r="Z53" i="32"/>
  <c r="AA53" i="32" s="1"/>
  <c r="Z52" i="32"/>
  <c r="AA52" i="32" s="1"/>
  <c r="Z51" i="32"/>
  <c r="AA51" i="32" s="1"/>
  <c r="Z50" i="32"/>
  <c r="AA50" i="32" s="1"/>
  <c r="Z49" i="32"/>
  <c r="AA49" i="32" s="1"/>
  <c r="Z48" i="32"/>
  <c r="AA48" i="32" s="1"/>
  <c r="Z47" i="32"/>
  <c r="AA47" i="32" s="1"/>
  <c r="Z46" i="32"/>
  <c r="AA46" i="32" s="1"/>
  <c r="Z45" i="32"/>
  <c r="AA45" i="32" s="1"/>
  <c r="Z44" i="32"/>
  <c r="AA44" i="32" s="1"/>
  <c r="Z42" i="32"/>
  <c r="AA42" i="32" s="1"/>
  <c r="Z41" i="32"/>
  <c r="AA41" i="32" s="1"/>
  <c r="Z40" i="32"/>
  <c r="AA40" i="32" s="1"/>
  <c r="Z39" i="32"/>
  <c r="AA39" i="32" s="1"/>
  <c r="Z38" i="32"/>
  <c r="AA38" i="32" s="1"/>
  <c r="Z37" i="32"/>
  <c r="AA37" i="32" s="1"/>
  <c r="Z35" i="32"/>
  <c r="AA35" i="32" s="1"/>
  <c r="Z34" i="32"/>
  <c r="AA34" i="32" s="1"/>
  <c r="Z33" i="32"/>
  <c r="AA33" i="32" s="1"/>
  <c r="Z32" i="32"/>
  <c r="AA32" i="32" s="1"/>
  <c r="Z31" i="32"/>
  <c r="AA31" i="32" s="1"/>
  <c r="Z30" i="32"/>
  <c r="AA30" i="32" s="1"/>
  <c r="Z29" i="32"/>
  <c r="AA29" i="32" s="1"/>
  <c r="Z28" i="32"/>
  <c r="AA28" i="32" s="1"/>
  <c r="Z27" i="32"/>
  <c r="AA27" i="32" s="1"/>
  <c r="Z26" i="32"/>
  <c r="AA26" i="32" s="1"/>
  <c r="Z25" i="32"/>
  <c r="AA25" i="32" s="1"/>
  <c r="Z24" i="32"/>
  <c r="AA24" i="32" s="1"/>
  <c r="Z23" i="32"/>
  <c r="AA23" i="32" s="1"/>
  <c r="Z22" i="32"/>
  <c r="AA22" i="32" s="1"/>
  <c r="Z21" i="32"/>
  <c r="AA21" i="32" s="1"/>
  <c r="Z20" i="32"/>
  <c r="AA20" i="32" s="1"/>
  <c r="Z19" i="32"/>
  <c r="AA19" i="32" s="1"/>
  <c r="Z18" i="32"/>
  <c r="AA18" i="32" s="1"/>
  <c r="Z17" i="32"/>
  <c r="AA17" i="32" s="1"/>
  <c r="Z16" i="32"/>
  <c r="AA16" i="32" s="1"/>
  <c r="Z15" i="32"/>
  <c r="AA15" i="32" s="1"/>
  <c r="Z92" i="32"/>
  <c r="AA92" i="32" s="1"/>
  <c r="Z91" i="32"/>
  <c r="AA91" i="32" s="1"/>
  <c r="Z90" i="32"/>
  <c r="AA90" i="32" s="1"/>
  <c r="Z89" i="32"/>
  <c r="AA89" i="32" s="1"/>
  <c r="Z88" i="32"/>
  <c r="AA88" i="32" s="1"/>
  <c r="Z87" i="32"/>
  <c r="AA87" i="32" s="1"/>
  <c r="Z86" i="32"/>
  <c r="AA86" i="32" s="1"/>
  <c r="Z85" i="32"/>
  <c r="AA85" i="32" s="1"/>
  <c r="Z84" i="32"/>
  <c r="AA84" i="32" s="1"/>
  <c r="Z83" i="32"/>
  <c r="AA83" i="32" s="1"/>
  <c r="Z82" i="32"/>
  <c r="AA82" i="32" s="1"/>
  <c r="Z81" i="32"/>
  <c r="AA81" i="32" s="1"/>
  <c r="Z80" i="32"/>
  <c r="AA80" i="32" s="1"/>
  <c r="Z79" i="32"/>
  <c r="AA79" i="32" s="1"/>
  <c r="Z78" i="32"/>
  <c r="AA78" i="32" s="1"/>
  <c r="Z77" i="32"/>
  <c r="AA77" i="32" s="1"/>
  <c r="Z75" i="32"/>
  <c r="AA75" i="32" s="1"/>
  <c r="Z74" i="32"/>
  <c r="AA74" i="32" s="1"/>
  <c r="Z73" i="32"/>
  <c r="AA73" i="32" s="1"/>
  <c r="Z72" i="32"/>
  <c r="AA72" i="32" s="1"/>
  <c r="Z71" i="32"/>
  <c r="AA71" i="32" s="1"/>
  <c r="Z70" i="32"/>
  <c r="AA70" i="32" s="1"/>
  <c r="Z69" i="32"/>
  <c r="AA69" i="32" s="1"/>
  <c r="Z68" i="32"/>
  <c r="AA68" i="32" s="1"/>
  <c r="Z67" i="32"/>
  <c r="AA67" i="32" s="1"/>
  <c r="Z66" i="32"/>
  <c r="AA66" i="32" s="1"/>
  <c r="Z65" i="32"/>
  <c r="AA65" i="32" s="1"/>
  <c r="Z63" i="32"/>
  <c r="AA63" i="32" s="1"/>
  <c r="Z62" i="32"/>
  <c r="AA62" i="32" s="1"/>
  <c r="Z61" i="32"/>
  <c r="AA61" i="32" s="1"/>
  <c r="Z60" i="32"/>
  <c r="AA60" i="32" s="1"/>
  <c r="Z59" i="32"/>
  <c r="AA59" i="32" s="1"/>
  <c r="Z58" i="32"/>
  <c r="AA58" i="32" s="1"/>
  <c r="Z43" i="32"/>
  <c r="AA43" i="32" s="1"/>
  <c r="Z36" i="32"/>
  <c r="AA36" i="32" s="1"/>
  <c r="Z76" i="32"/>
  <c r="AA76" i="32" s="1"/>
  <c r="Z64" i="32"/>
  <c r="AA64" i="32" s="1"/>
  <c r="Z14" i="32"/>
  <c r="AA14" i="32" s="1"/>
  <c r="Z157" i="32"/>
  <c r="AA157" i="32" s="1"/>
  <c r="Z154" i="32"/>
  <c r="AA154" i="32" s="1"/>
  <c r="Z155" i="32"/>
  <c r="AA155" i="32" s="1"/>
  <c r="Z137" i="32"/>
  <c r="AA137" i="32" s="1"/>
  <c r="Z136" i="32"/>
  <c r="AA136" i="32" s="1"/>
  <c r="Z138" i="32"/>
  <c r="AA138" i="32" s="1"/>
  <c r="Z127" i="32"/>
  <c r="AA127" i="32" s="1"/>
  <c r="Z139" i="32"/>
  <c r="AA139" i="32" s="1"/>
  <c r="Z131" i="32"/>
  <c r="AA131" i="32" s="1"/>
  <c r="Z135" i="32"/>
  <c r="AA135" i="32" s="1"/>
  <c r="Z140" i="32"/>
  <c r="AA140" i="32" s="1"/>
  <c r="Z126" i="32"/>
  <c r="AA126" i="32" s="1"/>
  <c r="Z132" i="32"/>
  <c r="AA132" i="32" s="1"/>
  <c r="Z134" i="32"/>
  <c r="AA134" i="32" s="1"/>
  <c r="Z124" i="32"/>
  <c r="AA124" i="32" s="1"/>
  <c r="Z121" i="32"/>
  <c r="AA121" i="32" s="1"/>
  <c r="Z128" i="32"/>
  <c r="AA128" i="32" s="1"/>
  <c r="Z129" i="32"/>
  <c r="AA129" i="32" s="1"/>
  <c r="Z123" i="32"/>
  <c r="AA123" i="32" s="1"/>
  <c r="Z119" i="32"/>
  <c r="AA119" i="32" s="1"/>
  <c r="Z122" i="32"/>
  <c r="AA122" i="32" s="1"/>
  <c r="Z120" i="32"/>
  <c r="AA120" i="32" s="1"/>
  <c r="Z130" i="32"/>
  <c r="AA130" i="32" s="1"/>
  <c r="Z125" i="32"/>
  <c r="AA125" i="32" s="1"/>
  <c r="Z133" i="32"/>
  <c r="AA133" i="32" s="1"/>
  <c r="Z158" i="32"/>
  <c r="AA158" i="32" s="1"/>
  <c r="Z150" i="32"/>
  <c r="AA150" i="32" s="1"/>
  <c r="Z163" i="32"/>
  <c r="AA163" i="32" s="1"/>
  <c r="Z166" i="32"/>
  <c r="AA166" i="32" s="1"/>
  <c r="Z147" i="32"/>
  <c r="AA147" i="32" s="1"/>
  <c r="Z149" i="32"/>
  <c r="AA149" i="32" s="1"/>
  <c r="Z151" i="32"/>
  <c r="AA151" i="32" s="1"/>
  <c r="Z148" i="32"/>
  <c r="AA148" i="32" s="1"/>
  <c r="Z153" i="32"/>
  <c r="AA153" i="32" s="1"/>
  <c r="Z144" i="32"/>
  <c r="AA144" i="32" s="1"/>
  <c r="Z168" i="32"/>
  <c r="AA168" i="32" s="1"/>
  <c r="Z161" i="32"/>
  <c r="AA161" i="32" s="1"/>
  <c r="Z143" i="32"/>
  <c r="AA143" i="32" s="1"/>
  <c r="Z167" i="32"/>
  <c r="AA167" i="32" s="1"/>
  <c r="Z162" i="32"/>
  <c r="AA162" i="32" s="1"/>
  <c r="Z141" i="32"/>
  <c r="AA141" i="32" s="1"/>
  <c r="Z165" i="32"/>
  <c r="AA165" i="32" s="1"/>
  <c r="Z296" i="32"/>
  <c r="AA296" i="32" s="1"/>
  <c r="Z325" i="32"/>
  <c r="AA325" i="32" s="1"/>
  <c r="Z260" i="32"/>
  <c r="AA260" i="32" s="1"/>
  <c r="Z277" i="32"/>
  <c r="AA277" i="32" s="1"/>
  <c r="Z305" i="32"/>
  <c r="AA305" i="32" s="1"/>
  <c r="Z307" i="32"/>
  <c r="AA307" i="32" s="1"/>
  <c r="Z276" i="32"/>
  <c r="AA276" i="32" s="1"/>
  <c r="Z286" i="32"/>
  <c r="AA286" i="32" s="1"/>
  <c r="Z169" i="32"/>
  <c r="AA169" i="32" s="1"/>
  <c r="Z270" i="32"/>
  <c r="AA270" i="32" s="1"/>
  <c r="Z273" i="32"/>
  <c r="AA273" i="32" s="1"/>
  <c r="Z262" i="32"/>
  <c r="AA262" i="32" s="1"/>
  <c r="Z250" i="32"/>
  <c r="AA250" i="32" s="1"/>
  <c r="Z248" i="32"/>
  <c r="AA248" i="32" s="1"/>
  <c r="Z269" i="32"/>
  <c r="AA269" i="32" s="1"/>
  <c r="Z177" i="32"/>
  <c r="AA177" i="32" s="1"/>
  <c r="Z374" i="32"/>
  <c r="AA374" i="32" s="1"/>
  <c r="Z358" i="32"/>
  <c r="AA358" i="32" s="1"/>
  <c r="Z283" i="32"/>
  <c r="AA283" i="32" s="1"/>
  <c r="Z171" i="32"/>
  <c r="AA171" i="32" s="1"/>
  <c r="Z172" i="32"/>
  <c r="AA172" i="32" s="1"/>
  <c r="Z259" i="32"/>
  <c r="AA259" i="32" s="1"/>
  <c r="Z261" i="32"/>
  <c r="AA261" i="32" s="1"/>
  <c r="Z377" i="32"/>
  <c r="AA377" i="32" s="1"/>
  <c r="Z375" i="32"/>
  <c r="AA375" i="32" s="1"/>
  <c r="Z372" i="32"/>
  <c r="AA372" i="32" s="1"/>
  <c r="Z257" i="32"/>
  <c r="AA257" i="32" s="1"/>
  <c r="Z366" i="32"/>
  <c r="AA366" i="32" s="1"/>
  <c r="Z176" i="32"/>
  <c r="AA176" i="32" s="1"/>
  <c r="Z380" i="32"/>
  <c r="AA380" i="32" s="1"/>
  <c r="Z381" i="32"/>
  <c r="AA381" i="32" s="1"/>
  <c r="Z359" i="32"/>
  <c r="AA359" i="32" s="1"/>
  <c r="Z274" i="32"/>
  <c r="AA274" i="32" s="1"/>
  <c r="Z361" i="32"/>
  <c r="AA361" i="32" s="1"/>
  <c r="Z362" i="32"/>
  <c r="AA362" i="32" s="1"/>
  <c r="Z367" i="32"/>
  <c r="AA367" i="32" s="1"/>
  <c r="Z258" i="32"/>
  <c r="AA258" i="32" s="1"/>
  <c r="Z152" i="32"/>
  <c r="AA152" i="32" s="1"/>
  <c r="Z263" i="32"/>
  <c r="AA263" i="32" s="1"/>
  <c r="Z275" i="32"/>
  <c r="AA275" i="32" s="1"/>
  <c r="Z264" i="32"/>
  <c r="AA264" i="32" s="1"/>
  <c r="Z279" i="32"/>
  <c r="AA279" i="32" s="1"/>
  <c r="Z249" i="32"/>
  <c r="AA249" i="32" s="1"/>
  <c r="Z247" i="32"/>
  <c r="AA247" i="32" s="1"/>
  <c r="Z268" i="32"/>
  <c r="AA268" i="32" s="1"/>
  <c r="Z334" i="32"/>
  <c r="AA334" i="32" s="1"/>
  <c r="Z174" i="32"/>
  <c r="AA174" i="32" s="1"/>
  <c r="Z341" i="32"/>
  <c r="AA341" i="32" s="1"/>
  <c r="Z333" i="32"/>
  <c r="AA333" i="32" s="1"/>
  <c r="Z337" i="32"/>
  <c r="AA337" i="32" s="1"/>
  <c r="Z335" i="32"/>
  <c r="AA335" i="32" s="1"/>
  <c r="Z332" i="32"/>
  <c r="AA332" i="32" s="1"/>
  <c r="Z331" i="32"/>
  <c r="AA331" i="32" s="1"/>
  <c r="Z340" i="32"/>
  <c r="AA340" i="32" s="1"/>
  <c r="Z271" i="32"/>
  <c r="AA271" i="32" s="1"/>
  <c r="Z173" i="32"/>
  <c r="AA173" i="32" s="1"/>
  <c r="Z175" i="32"/>
  <c r="AA175" i="32" s="1"/>
  <c r="Z339" i="32"/>
  <c r="AA339" i="32" s="1"/>
  <c r="Z338" i="32"/>
  <c r="AA338" i="32" s="1"/>
  <c r="Z336" i="32"/>
  <c r="AA336" i="32" s="1"/>
  <c r="Z170" i="32"/>
  <c r="AA170" i="32" s="1"/>
  <c r="Z330" i="32"/>
  <c r="AA330" i="32" s="1"/>
  <c r="Z324" i="32"/>
  <c r="AA324" i="32" s="1"/>
  <c r="Z321" i="32"/>
  <c r="AA321" i="32" s="1"/>
  <c r="Z322" i="32"/>
  <c r="AA322" i="32" s="1"/>
  <c r="Z329" i="32"/>
  <c r="AA329" i="32" s="1"/>
  <c r="Z327" i="32"/>
  <c r="AA327" i="32" s="1"/>
  <c r="Z320" i="32"/>
  <c r="AA320" i="32" s="1"/>
  <c r="Z323" i="32"/>
  <c r="AA323" i="32" s="1"/>
  <c r="Z317" i="32"/>
  <c r="AA317" i="32" s="1"/>
  <c r="Z315" i="32"/>
  <c r="AA315" i="32" s="1"/>
  <c r="Z316" i="32"/>
  <c r="AA316" i="32" s="1"/>
  <c r="Z319" i="32"/>
  <c r="AA319" i="32" s="1"/>
  <c r="Z328" i="32"/>
  <c r="AA328" i="32" s="1"/>
  <c r="Z326" i="32"/>
  <c r="AA326" i="32" s="1"/>
  <c r="Z312" i="32"/>
  <c r="AA312" i="32" s="1"/>
  <c r="Z313" i="32"/>
  <c r="AA313" i="32" s="1"/>
  <c r="Z314" i="32"/>
  <c r="AA314" i="32" s="1"/>
  <c r="Z302" i="32"/>
  <c r="AA302" i="32" s="1"/>
  <c r="Z300" i="32"/>
  <c r="AA300" i="32" s="1"/>
  <c r="Z299" i="32"/>
  <c r="AA299" i="32" s="1"/>
  <c r="Z304" i="32"/>
  <c r="AA304" i="32" s="1"/>
  <c r="Z303" i="32"/>
  <c r="AA303" i="32" s="1"/>
  <c r="Z301" i="32"/>
  <c r="AA301" i="32" s="1"/>
  <c r="Z311" i="32"/>
  <c r="AA311" i="32" s="1"/>
  <c r="Z308" i="32"/>
  <c r="AA308" i="32" s="1"/>
  <c r="Z310" i="32"/>
  <c r="AA310" i="32" s="1"/>
  <c r="Z306" i="32"/>
  <c r="AA306" i="32" s="1"/>
  <c r="Z309" i="32"/>
  <c r="AA309" i="32" s="1"/>
  <c r="Z371" i="32"/>
  <c r="AA371" i="32" s="1"/>
  <c r="Z370" i="32"/>
  <c r="AA370" i="32" s="1"/>
  <c r="Z369" i="32"/>
  <c r="AA369" i="32" s="1"/>
  <c r="Z368" i="32"/>
  <c r="AA368" i="32" s="1"/>
  <c r="Z357" i="32"/>
  <c r="AA357" i="32" s="1"/>
  <c r="Z379" i="32"/>
  <c r="AA379" i="32" s="1"/>
  <c r="Z363" i="32"/>
  <c r="AA363" i="32" s="1"/>
  <c r="Z360" i="32"/>
  <c r="AA360" i="32" s="1"/>
  <c r="Z364" i="32"/>
  <c r="AA364" i="32" s="1"/>
  <c r="Z376" i="32"/>
  <c r="AA376" i="32" s="1"/>
  <c r="Z160" i="32"/>
  <c r="AA160" i="32" s="1"/>
  <c r="Z164" i="32"/>
  <c r="AA164" i="32" s="1"/>
  <c r="Z298" i="32"/>
  <c r="AA298" i="32" s="1"/>
  <c r="Z293" i="32"/>
  <c r="AA293" i="32" s="1"/>
  <c r="Z294" i="32"/>
  <c r="AA294" i="32" s="1"/>
  <c r="Z290" i="32"/>
  <c r="AA290" i="32" s="1"/>
  <c r="Z287" i="32"/>
  <c r="AA287" i="32" s="1"/>
  <c r="Z295" i="32"/>
  <c r="AA295" i="32" s="1"/>
  <c r="Z291" i="32"/>
  <c r="AA291" i="32" s="1"/>
  <c r="Z292" i="32"/>
  <c r="AA292" i="32" s="1"/>
  <c r="Z297" i="32"/>
  <c r="AA297" i="32" s="1"/>
  <c r="W266" i="32"/>
  <c r="X266" i="32" s="1"/>
  <c r="W267" i="32"/>
  <c r="X267" i="32" s="1"/>
  <c r="W285" i="32"/>
  <c r="X285" i="32" s="1"/>
  <c r="W219" i="32"/>
  <c r="X219" i="32" s="1"/>
  <c r="W318" i="32"/>
  <c r="X318" i="32" s="1"/>
  <c r="W223" i="32"/>
  <c r="X223" i="32" s="1"/>
  <c r="W231" i="32"/>
  <c r="X231" i="32" s="1"/>
  <c r="W230" i="32"/>
  <c r="X230" i="32" s="1"/>
  <c r="W229" i="32"/>
  <c r="X229" i="32" s="1"/>
  <c r="W228" i="32"/>
  <c r="X228" i="32" s="1"/>
  <c r="W227" i="32"/>
  <c r="X227" i="32" s="1"/>
  <c r="W226" i="32"/>
  <c r="X226" i="32" s="1"/>
  <c r="W225" i="32"/>
  <c r="X225" i="32" s="1"/>
  <c r="W224" i="32"/>
  <c r="X224" i="32" s="1"/>
  <c r="W222" i="32"/>
  <c r="X222" i="32" s="1"/>
  <c r="W193" i="32"/>
  <c r="X193" i="32" s="1"/>
  <c r="W192" i="32"/>
  <c r="X192" i="32" s="1"/>
  <c r="W159" i="32"/>
  <c r="X159" i="32" s="1"/>
  <c r="W146" i="32"/>
  <c r="X146" i="32" s="1"/>
  <c r="W145" i="32"/>
  <c r="X145" i="32" s="1"/>
  <c r="W220" i="32"/>
  <c r="X220" i="32" s="1"/>
  <c r="W208" i="32"/>
  <c r="X208" i="32" s="1"/>
  <c r="W206" i="32"/>
  <c r="X206" i="32" s="1"/>
  <c r="W205" i="32"/>
  <c r="X205" i="32" s="1"/>
  <c r="W221" i="32"/>
  <c r="X221" i="32" s="1"/>
  <c r="W204" i="32"/>
  <c r="X204" i="32" s="1"/>
  <c r="W203" i="32"/>
  <c r="X203" i="32" s="1"/>
  <c r="W202" i="32"/>
  <c r="X202" i="32" s="1"/>
  <c r="W200" i="32"/>
  <c r="X200" i="32" s="1"/>
  <c r="W199" i="32"/>
  <c r="X199" i="32" s="1"/>
  <c r="W198" i="32"/>
  <c r="X198" i="32" s="1"/>
  <c r="W197" i="32"/>
  <c r="X197" i="32" s="1"/>
  <c r="W232" i="32"/>
  <c r="X232" i="32" s="1"/>
  <c r="W195" i="32"/>
  <c r="X195" i="32" s="1"/>
  <c r="W189" i="32"/>
  <c r="X189" i="32" s="1"/>
  <c r="W236" i="32"/>
  <c r="X236" i="32" s="1"/>
  <c r="W235" i="32"/>
  <c r="X235" i="32" s="1"/>
  <c r="W234" i="32"/>
  <c r="X234" i="32" s="1"/>
  <c r="W233" i="32"/>
  <c r="X233" i="32" s="1"/>
  <c r="W201" i="32"/>
  <c r="X201" i="32" s="1"/>
  <c r="W216" i="32"/>
  <c r="X216" i="32" s="1"/>
  <c r="W211" i="32"/>
  <c r="X211" i="32" s="1"/>
  <c r="W215" i="32"/>
  <c r="X215" i="32" s="1"/>
  <c r="W210" i="32"/>
  <c r="X210" i="32" s="1"/>
  <c r="W214" i="32"/>
  <c r="X214" i="32" s="1"/>
  <c r="W212" i="32"/>
  <c r="X212" i="32" s="1"/>
  <c r="W217" i="32"/>
  <c r="X217" i="32" s="1"/>
  <c r="W181" i="32"/>
  <c r="X181" i="32" s="1"/>
  <c r="W183" i="32"/>
  <c r="X183" i="32" s="1"/>
  <c r="W184" i="32"/>
  <c r="X184" i="32" s="1"/>
  <c r="W347" i="32"/>
  <c r="X347" i="32" s="1"/>
  <c r="W346" i="32"/>
  <c r="X346" i="32" s="1"/>
  <c r="W344" i="32"/>
  <c r="X344" i="32" s="1"/>
  <c r="W343" i="32"/>
  <c r="X343" i="32" s="1"/>
  <c r="W355" i="32"/>
  <c r="X355" i="32" s="1"/>
  <c r="W354" i="32"/>
  <c r="X354" i="32" s="1"/>
  <c r="W353" i="32"/>
  <c r="X353" i="32" s="1"/>
  <c r="W352" i="32"/>
  <c r="X352" i="32" s="1"/>
  <c r="W351" i="32"/>
  <c r="X351" i="32" s="1"/>
  <c r="W350" i="32"/>
  <c r="X350" i="32" s="1"/>
  <c r="W348" i="32"/>
  <c r="X348" i="32" s="1"/>
  <c r="W345" i="32"/>
  <c r="X345" i="32" s="1"/>
  <c r="W349" i="32"/>
  <c r="X349" i="32" s="1"/>
  <c r="W342" i="32"/>
  <c r="X342" i="32" s="1"/>
  <c r="W104" i="32"/>
  <c r="X104" i="32" s="1"/>
  <c r="W103" i="32"/>
  <c r="X103" i="32" s="1"/>
  <c r="W102" i="32"/>
  <c r="X102" i="32" s="1"/>
  <c r="W101" i="32"/>
  <c r="X101" i="32" s="1"/>
  <c r="W100" i="32"/>
  <c r="X100" i="32" s="1"/>
  <c r="W99" i="32"/>
  <c r="X99" i="32" s="1"/>
  <c r="W98" i="32"/>
  <c r="X98" i="32" s="1"/>
  <c r="W96" i="32"/>
  <c r="X96" i="32" s="1"/>
  <c r="W95" i="32"/>
  <c r="X95" i="32" s="1"/>
  <c r="W94" i="32"/>
  <c r="X94" i="32" s="1"/>
  <c r="W118" i="32"/>
  <c r="X118" i="32" s="1"/>
  <c r="W116" i="32"/>
  <c r="X116" i="32" s="1"/>
  <c r="W115" i="32"/>
  <c r="X115" i="32" s="1"/>
  <c r="W114" i="32"/>
  <c r="X114" i="32" s="1"/>
  <c r="W113" i="32"/>
  <c r="X113" i="32" s="1"/>
  <c r="W112" i="32"/>
  <c r="X112" i="32" s="1"/>
  <c r="W111" i="32"/>
  <c r="X111" i="32" s="1"/>
  <c r="W110" i="32"/>
  <c r="X110" i="32" s="1"/>
  <c r="W108" i="32"/>
  <c r="X108" i="32" s="1"/>
  <c r="W107" i="32"/>
  <c r="X107" i="32" s="1"/>
  <c r="W106" i="32"/>
  <c r="X106" i="32" s="1"/>
  <c r="W105" i="32"/>
  <c r="X105" i="32" s="1"/>
  <c r="W97" i="32"/>
  <c r="X97" i="32" s="1"/>
  <c r="W93" i="32"/>
  <c r="X93" i="32" s="1"/>
  <c r="W117" i="32"/>
  <c r="X117" i="32" s="1"/>
  <c r="W109" i="32"/>
  <c r="X109" i="32" s="1"/>
  <c r="W142" i="32"/>
  <c r="X142" i="32" s="1"/>
  <c r="W278" i="32"/>
  <c r="X278" i="32" s="1"/>
  <c r="W252" i="32"/>
  <c r="X252" i="32" s="1"/>
  <c r="W246" i="32"/>
  <c r="X246" i="32" s="1"/>
  <c r="W191" i="32"/>
  <c r="X191" i="32" s="1"/>
  <c r="W190" i="32"/>
  <c r="X190" i="32" s="1"/>
  <c r="W188" i="32"/>
  <c r="X188" i="32" s="1"/>
  <c r="W238" i="32"/>
  <c r="X238" i="32" s="1"/>
  <c r="W240" i="32"/>
  <c r="X240" i="32" s="1"/>
  <c r="W244" i="32"/>
  <c r="X244" i="32" s="1"/>
  <c r="W245" i="32"/>
  <c r="X245" i="32" s="1"/>
  <c r="W185" i="32"/>
  <c r="X185" i="32" s="1"/>
  <c r="W179" i="32"/>
  <c r="X179" i="32" s="1"/>
  <c r="W242" i="32"/>
  <c r="X242" i="32" s="1"/>
  <c r="W243" i="32"/>
  <c r="X243" i="32" s="1"/>
  <c r="W194" i="32"/>
  <c r="X194" i="32" s="1"/>
  <c r="W182" i="32"/>
  <c r="X182" i="32" s="1"/>
  <c r="W284" i="32"/>
  <c r="X284" i="32" s="1"/>
  <c r="W378" i="32"/>
  <c r="X378" i="32" s="1"/>
  <c r="W265" i="32"/>
  <c r="X265" i="32" s="1"/>
  <c r="W373" i="32"/>
  <c r="X373" i="32" s="1"/>
  <c r="W196" i="32"/>
  <c r="X196" i="32" s="1"/>
  <c r="W186" i="32"/>
  <c r="X186" i="32" s="1"/>
  <c r="W253" i="32"/>
  <c r="X253" i="32" s="1"/>
  <c r="W280" i="32"/>
  <c r="X280" i="32" s="1"/>
  <c r="W254" i="32"/>
  <c r="X254" i="32" s="1"/>
  <c r="W241" i="32"/>
  <c r="X241" i="32" s="1"/>
  <c r="W180" i="32"/>
  <c r="X180" i="32" s="1"/>
  <c r="W239" i="32"/>
  <c r="X239" i="32" s="1"/>
  <c r="W281" i="32"/>
  <c r="X281" i="32" s="1"/>
  <c r="W256" i="32"/>
  <c r="X256" i="32" s="1"/>
  <c r="W187" i="32"/>
  <c r="X187" i="32" s="1"/>
  <c r="W288" i="32"/>
  <c r="X288" i="32" s="1"/>
  <c r="W282" i="32"/>
  <c r="X282" i="32" s="1"/>
  <c r="W255" i="32"/>
  <c r="X255" i="32" s="1"/>
  <c r="W251" i="32"/>
  <c r="X251" i="32" s="1"/>
  <c r="W237" i="32"/>
  <c r="X237" i="32" s="1"/>
  <c r="W272" i="32"/>
  <c r="X272" i="32" s="1"/>
  <c r="W365" i="32"/>
  <c r="X365" i="32" s="1"/>
  <c r="W178" i="32"/>
  <c r="X178" i="32" s="1"/>
  <c r="W218" i="32"/>
  <c r="X218" i="32" s="1"/>
  <c r="W57" i="32"/>
  <c r="X57" i="32" s="1"/>
  <c r="W56" i="32"/>
  <c r="X56" i="32" s="1"/>
  <c r="W55" i="32"/>
  <c r="X55" i="32" s="1"/>
  <c r="W54" i="32"/>
  <c r="X54" i="32" s="1"/>
  <c r="W53" i="32"/>
  <c r="X53" i="32" s="1"/>
  <c r="W52" i="32"/>
  <c r="X52" i="32" s="1"/>
  <c r="W51" i="32"/>
  <c r="X51" i="32" s="1"/>
  <c r="W50" i="32"/>
  <c r="X50" i="32" s="1"/>
  <c r="W49" i="32"/>
  <c r="X49" i="32" s="1"/>
  <c r="W48" i="32"/>
  <c r="X48" i="32" s="1"/>
  <c r="W47" i="32"/>
  <c r="X47" i="32" s="1"/>
  <c r="W46" i="32"/>
  <c r="X46" i="32" s="1"/>
  <c r="W45" i="32"/>
  <c r="X45" i="32" s="1"/>
  <c r="W44" i="32"/>
  <c r="X44" i="32" s="1"/>
  <c r="W42" i="32"/>
  <c r="X42" i="32" s="1"/>
  <c r="W41" i="32"/>
  <c r="X41" i="32" s="1"/>
  <c r="W40" i="32"/>
  <c r="X40" i="32" s="1"/>
  <c r="W39" i="32"/>
  <c r="X39" i="32" s="1"/>
  <c r="W38" i="32"/>
  <c r="X38" i="32" s="1"/>
  <c r="W37" i="32"/>
  <c r="X37" i="32" s="1"/>
  <c r="W35" i="32"/>
  <c r="X35" i="32" s="1"/>
  <c r="W34" i="32"/>
  <c r="X34" i="32" s="1"/>
  <c r="W33" i="32"/>
  <c r="X33" i="32" s="1"/>
  <c r="W32" i="32"/>
  <c r="X32" i="32" s="1"/>
  <c r="W31" i="32"/>
  <c r="X31" i="32" s="1"/>
  <c r="W30" i="32"/>
  <c r="X30" i="32" s="1"/>
  <c r="W29" i="32"/>
  <c r="X29" i="32" s="1"/>
  <c r="W28" i="32"/>
  <c r="X28" i="32" s="1"/>
  <c r="W27" i="32"/>
  <c r="X27" i="32" s="1"/>
  <c r="W26" i="32"/>
  <c r="X26" i="32" s="1"/>
  <c r="W25" i="32"/>
  <c r="X25" i="32" s="1"/>
  <c r="W24" i="32"/>
  <c r="X24" i="32" s="1"/>
  <c r="W23" i="32"/>
  <c r="X23" i="32" s="1"/>
  <c r="W22" i="32"/>
  <c r="X22" i="32" s="1"/>
  <c r="W21" i="32"/>
  <c r="X21" i="32" s="1"/>
  <c r="W20" i="32"/>
  <c r="X20" i="32" s="1"/>
  <c r="W19" i="32"/>
  <c r="X19" i="32" s="1"/>
  <c r="W18" i="32"/>
  <c r="X18" i="32" s="1"/>
  <c r="W17" i="32"/>
  <c r="X17" i="32" s="1"/>
  <c r="W16" i="32"/>
  <c r="X16" i="32" s="1"/>
  <c r="W15" i="32"/>
  <c r="X15" i="32" s="1"/>
  <c r="W92" i="32"/>
  <c r="X92" i="32" s="1"/>
  <c r="W91" i="32"/>
  <c r="X91" i="32" s="1"/>
  <c r="W90" i="32"/>
  <c r="X90" i="32" s="1"/>
  <c r="W89" i="32"/>
  <c r="X89" i="32" s="1"/>
  <c r="W88" i="32"/>
  <c r="X88" i="32" s="1"/>
  <c r="W87" i="32"/>
  <c r="X87" i="32" s="1"/>
  <c r="W86" i="32"/>
  <c r="X86" i="32" s="1"/>
  <c r="W85" i="32"/>
  <c r="X85" i="32" s="1"/>
  <c r="W84" i="32"/>
  <c r="X84" i="32" s="1"/>
  <c r="W83" i="32"/>
  <c r="X83" i="32" s="1"/>
  <c r="W82" i="32"/>
  <c r="X82" i="32" s="1"/>
  <c r="W81" i="32"/>
  <c r="X81" i="32" s="1"/>
  <c r="W80" i="32"/>
  <c r="X80" i="32" s="1"/>
  <c r="W79" i="32"/>
  <c r="X79" i="32" s="1"/>
  <c r="W78" i="32"/>
  <c r="X78" i="32" s="1"/>
  <c r="W77" i="32"/>
  <c r="X77" i="32" s="1"/>
  <c r="W75" i="32"/>
  <c r="X75" i="32" s="1"/>
  <c r="W74" i="32"/>
  <c r="X74" i="32" s="1"/>
  <c r="W73" i="32"/>
  <c r="X73" i="32" s="1"/>
  <c r="W72" i="32"/>
  <c r="X72" i="32" s="1"/>
  <c r="W71" i="32"/>
  <c r="X71" i="32" s="1"/>
  <c r="W70" i="32"/>
  <c r="X70" i="32" s="1"/>
  <c r="W69" i="32"/>
  <c r="X69" i="32" s="1"/>
  <c r="W68" i="32"/>
  <c r="X68" i="32" s="1"/>
  <c r="W67" i="32"/>
  <c r="X67" i="32" s="1"/>
  <c r="W66" i="32"/>
  <c r="X66" i="32" s="1"/>
  <c r="W65" i="32"/>
  <c r="X65" i="32" s="1"/>
  <c r="W63" i="32"/>
  <c r="X63" i="32" s="1"/>
  <c r="W62" i="32"/>
  <c r="X62" i="32" s="1"/>
  <c r="W61" i="32"/>
  <c r="X61" i="32" s="1"/>
  <c r="W60" i="32"/>
  <c r="X60" i="32" s="1"/>
  <c r="W59" i="32"/>
  <c r="X59" i="32" s="1"/>
  <c r="W58" i="32"/>
  <c r="X58" i="32" s="1"/>
  <c r="W43" i="32"/>
  <c r="X43" i="32" s="1"/>
  <c r="W36" i="32"/>
  <c r="X36" i="32" s="1"/>
  <c r="W76" i="32"/>
  <c r="X76" i="32" s="1"/>
  <c r="W64" i="32"/>
  <c r="X64" i="32" s="1"/>
  <c r="W14" i="32"/>
  <c r="X14" i="32" s="1"/>
  <c r="W157" i="32"/>
  <c r="X157" i="32" s="1"/>
  <c r="W154" i="32"/>
  <c r="X154" i="32" s="1"/>
  <c r="W155" i="32"/>
  <c r="X155" i="32" s="1"/>
  <c r="W137" i="32"/>
  <c r="X137" i="32" s="1"/>
  <c r="W136" i="32"/>
  <c r="X136" i="32" s="1"/>
  <c r="W138" i="32"/>
  <c r="X138" i="32" s="1"/>
  <c r="W127" i="32"/>
  <c r="X127" i="32" s="1"/>
  <c r="W139" i="32"/>
  <c r="X139" i="32" s="1"/>
  <c r="W131" i="32"/>
  <c r="X131" i="32" s="1"/>
  <c r="W135" i="32"/>
  <c r="X135" i="32" s="1"/>
  <c r="W140" i="32"/>
  <c r="X140" i="32" s="1"/>
  <c r="W126" i="32"/>
  <c r="X126" i="32" s="1"/>
  <c r="W132" i="32"/>
  <c r="X132" i="32" s="1"/>
  <c r="W134" i="32"/>
  <c r="X134" i="32" s="1"/>
  <c r="W124" i="32"/>
  <c r="X124" i="32" s="1"/>
  <c r="W121" i="32"/>
  <c r="X121" i="32" s="1"/>
  <c r="W128" i="32"/>
  <c r="X128" i="32" s="1"/>
  <c r="W129" i="32"/>
  <c r="X129" i="32" s="1"/>
  <c r="W123" i="32"/>
  <c r="X123" i="32" s="1"/>
  <c r="W119" i="32"/>
  <c r="X119" i="32" s="1"/>
  <c r="W122" i="32"/>
  <c r="X122" i="32" s="1"/>
  <c r="W120" i="32"/>
  <c r="X120" i="32" s="1"/>
  <c r="W130" i="32"/>
  <c r="X130" i="32" s="1"/>
  <c r="W125" i="32"/>
  <c r="X125" i="32" s="1"/>
  <c r="W133" i="32"/>
  <c r="X133" i="32" s="1"/>
  <c r="W158" i="32"/>
  <c r="X158" i="32" s="1"/>
  <c r="W150" i="32"/>
  <c r="X150" i="32" s="1"/>
  <c r="W163" i="32"/>
  <c r="X163" i="32" s="1"/>
  <c r="W166" i="32"/>
  <c r="X166" i="32" s="1"/>
  <c r="W147" i="32"/>
  <c r="X147" i="32" s="1"/>
  <c r="W149" i="32"/>
  <c r="X149" i="32" s="1"/>
  <c r="W151" i="32"/>
  <c r="X151" i="32" s="1"/>
  <c r="W148" i="32"/>
  <c r="X148" i="32" s="1"/>
  <c r="W153" i="32"/>
  <c r="X153" i="32" s="1"/>
  <c r="W144" i="32"/>
  <c r="X144" i="32" s="1"/>
  <c r="W168" i="32"/>
  <c r="X168" i="32" s="1"/>
  <c r="W161" i="32"/>
  <c r="X161" i="32" s="1"/>
  <c r="W143" i="32"/>
  <c r="X143" i="32" s="1"/>
  <c r="W167" i="32"/>
  <c r="X167" i="32" s="1"/>
  <c r="W162" i="32"/>
  <c r="X162" i="32" s="1"/>
  <c r="W141" i="32"/>
  <c r="X141" i="32" s="1"/>
  <c r="W165" i="32"/>
  <c r="X165" i="32" s="1"/>
  <c r="W296" i="32"/>
  <c r="X296" i="32" s="1"/>
  <c r="W325" i="32"/>
  <c r="X325" i="32" s="1"/>
  <c r="W260" i="32"/>
  <c r="X260" i="32" s="1"/>
  <c r="W277" i="32"/>
  <c r="X277" i="32" s="1"/>
  <c r="W305" i="32"/>
  <c r="X305" i="32" s="1"/>
  <c r="W307" i="32"/>
  <c r="X307" i="32" s="1"/>
  <c r="W276" i="32"/>
  <c r="X276" i="32" s="1"/>
  <c r="W286" i="32"/>
  <c r="X286" i="32" s="1"/>
  <c r="W169" i="32"/>
  <c r="X169" i="32" s="1"/>
  <c r="W270" i="32"/>
  <c r="X270" i="32" s="1"/>
  <c r="W273" i="32"/>
  <c r="X273" i="32" s="1"/>
  <c r="W262" i="32"/>
  <c r="X262" i="32" s="1"/>
  <c r="W250" i="32"/>
  <c r="X250" i="32" s="1"/>
  <c r="W248" i="32"/>
  <c r="X248" i="32" s="1"/>
  <c r="W269" i="32"/>
  <c r="X269" i="32" s="1"/>
  <c r="W177" i="32"/>
  <c r="X177" i="32" s="1"/>
  <c r="W374" i="32"/>
  <c r="X374" i="32" s="1"/>
  <c r="W358" i="32"/>
  <c r="X358" i="32" s="1"/>
  <c r="W283" i="32"/>
  <c r="X283" i="32" s="1"/>
  <c r="W171" i="32"/>
  <c r="X171" i="32" s="1"/>
  <c r="W172" i="32"/>
  <c r="X172" i="32" s="1"/>
  <c r="W259" i="32"/>
  <c r="X259" i="32" s="1"/>
  <c r="W261" i="32"/>
  <c r="X261" i="32" s="1"/>
  <c r="W377" i="32"/>
  <c r="X377" i="32" s="1"/>
  <c r="W375" i="32"/>
  <c r="X375" i="32" s="1"/>
  <c r="W372" i="32"/>
  <c r="X372" i="32" s="1"/>
  <c r="W257" i="32"/>
  <c r="X257" i="32" s="1"/>
  <c r="W366" i="32"/>
  <c r="X366" i="32" s="1"/>
  <c r="W176" i="32"/>
  <c r="X176" i="32" s="1"/>
  <c r="W380" i="32"/>
  <c r="X380" i="32" s="1"/>
  <c r="W381" i="32"/>
  <c r="X381" i="32" s="1"/>
  <c r="W359" i="32"/>
  <c r="X359" i="32" s="1"/>
  <c r="W274" i="32"/>
  <c r="X274" i="32" s="1"/>
  <c r="W361" i="32"/>
  <c r="X361" i="32" s="1"/>
  <c r="W362" i="32"/>
  <c r="X362" i="32" s="1"/>
  <c r="W367" i="32"/>
  <c r="X367" i="32" s="1"/>
  <c r="W258" i="32"/>
  <c r="X258" i="32" s="1"/>
  <c r="W152" i="32"/>
  <c r="X152" i="32" s="1"/>
  <c r="W263" i="32"/>
  <c r="X263" i="32" s="1"/>
  <c r="W275" i="32"/>
  <c r="X275" i="32" s="1"/>
  <c r="W264" i="32"/>
  <c r="X264" i="32" s="1"/>
  <c r="W279" i="32"/>
  <c r="X279" i="32" s="1"/>
  <c r="W249" i="32"/>
  <c r="X249" i="32" s="1"/>
  <c r="W247" i="32"/>
  <c r="X247" i="32" s="1"/>
  <c r="W268" i="32"/>
  <c r="X268" i="32" s="1"/>
  <c r="W334" i="32"/>
  <c r="X334" i="32" s="1"/>
  <c r="W174" i="32"/>
  <c r="X174" i="32" s="1"/>
  <c r="W341" i="32"/>
  <c r="X341" i="32" s="1"/>
  <c r="W333" i="32"/>
  <c r="X333" i="32" s="1"/>
  <c r="W337" i="32"/>
  <c r="X337" i="32" s="1"/>
  <c r="W335" i="32"/>
  <c r="X335" i="32" s="1"/>
  <c r="W332" i="32"/>
  <c r="X332" i="32" s="1"/>
  <c r="W331" i="32"/>
  <c r="X331" i="32" s="1"/>
  <c r="W340" i="32"/>
  <c r="X340" i="32" s="1"/>
  <c r="W271" i="32"/>
  <c r="X271" i="32" s="1"/>
  <c r="W173" i="32"/>
  <c r="X173" i="32" s="1"/>
  <c r="W175" i="32"/>
  <c r="X175" i="32" s="1"/>
  <c r="W339" i="32"/>
  <c r="X339" i="32" s="1"/>
  <c r="W338" i="32"/>
  <c r="X338" i="32" s="1"/>
  <c r="W336" i="32"/>
  <c r="X336" i="32" s="1"/>
  <c r="W170" i="32"/>
  <c r="X170" i="32" s="1"/>
  <c r="W330" i="32"/>
  <c r="X330" i="32" s="1"/>
  <c r="W324" i="32"/>
  <c r="X324" i="32" s="1"/>
  <c r="W321" i="32"/>
  <c r="X321" i="32" s="1"/>
  <c r="W322" i="32"/>
  <c r="X322" i="32" s="1"/>
  <c r="W329" i="32"/>
  <c r="X329" i="32" s="1"/>
  <c r="W327" i="32"/>
  <c r="X327" i="32" s="1"/>
  <c r="W320" i="32"/>
  <c r="X320" i="32" s="1"/>
  <c r="W323" i="32"/>
  <c r="X323" i="32" s="1"/>
  <c r="W317" i="32"/>
  <c r="X317" i="32" s="1"/>
  <c r="W315" i="32"/>
  <c r="X315" i="32" s="1"/>
  <c r="W316" i="32"/>
  <c r="X316" i="32" s="1"/>
  <c r="W319" i="32"/>
  <c r="X319" i="32" s="1"/>
  <c r="W328" i="32"/>
  <c r="X328" i="32" s="1"/>
  <c r="W326" i="32"/>
  <c r="X326" i="32" s="1"/>
  <c r="W312" i="32"/>
  <c r="X312" i="32" s="1"/>
  <c r="W313" i="32"/>
  <c r="X313" i="32" s="1"/>
  <c r="W314" i="32"/>
  <c r="X314" i="32" s="1"/>
  <c r="W302" i="32"/>
  <c r="X302" i="32" s="1"/>
  <c r="W300" i="32"/>
  <c r="X300" i="32" s="1"/>
  <c r="W299" i="32"/>
  <c r="X299" i="32" s="1"/>
  <c r="W304" i="32"/>
  <c r="X304" i="32" s="1"/>
  <c r="W303" i="32"/>
  <c r="X303" i="32" s="1"/>
  <c r="W301" i="32"/>
  <c r="X301" i="32" s="1"/>
  <c r="W311" i="32"/>
  <c r="X311" i="32" s="1"/>
  <c r="W308" i="32"/>
  <c r="X308" i="32" s="1"/>
  <c r="W310" i="32"/>
  <c r="X310" i="32" s="1"/>
  <c r="W306" i="32"/>
  <c r="X306" i="32" s="1"/>
  <c r="W309" i="32"/>
  <c r="X309" i="32" s="1"/>
  <c r="W371" i="32"/>
  <c r="X371" i="32" s="1"/>
  <c r="W370" i="32"/>
  <c r="X370" i="32" s="1"/>
  <c r="W369" i="32"/>
  <c r="X369" i="32" s="1"/>
  <c r="W368" i="32"/>
  <c r="X368" i="32" s="1"/>
  <c r="W357" i="32"/>
  <c r="X357" i="32" s="1"/>
  <c r="W379" i="32"/>
  <c r="X379" i="32" s="1"/>
  <c r="W363" i="32"/>
  <c r="X363" i="32" s="1"/>
  <c r="W360" i="32"/>
  <c r="X360" i="32" s="1"/>
  <c r="W364" i="32"/>
  <c r="X364" i="32" s="1"/>
  <c r="W376" i="32"/>
  <c r="X376" i="32" s="1"/>
  <c r="W160" i="32"/>
  <c r="X160" i="32" s="1"/>
  <c r="W164" i="32"/>
  <c r="X164" i="32" s="1"/>
  <c r="W298" i="32"/>
  <c r="X298" i="32" s="1"/>
  <c r="W293" i="32"/>
  <c r="X293" i="32" s="1"/>
  <c r="W294" i="32"/>
  <c r="X294" i="32" s="1"/>
  <c r="W290" i="32"/>
  <c r="X290" i="32" s="1"/>
  <c r="W287" i="32"/>
  <c r="X287" i="32" s="1"/>
  <c r="W295" i="32"/>
  <c r="X295" i="32" s="1"/>
  <c r="W291" i="32"/>
  <c r="X291" i="32" s="1"/>
  <c r="W292" i="32"/>
  <c r="X292" i="32" s="1"/>
  <c r="W297" i="32"/>
  <c r="X297" i="32" s="1"/>
  <c r="W289" i="32"/>
  <c r="X289" i="32" s="1"/>
  <c r="T266" i="32"/>
  <c r="U266" i="32" s="1"/>
  <c r="T267" i="32"/>
  <c r="T285" i="32"/>
  <c r="U285" i="32" s="1"/>
  <c r="T219" i="32"/>
  <c r="U219" i="32" s="1"/>
  <c r="T318" i="32"/>
  <c r="U318" i="32" s="1"/>
  <c r="T223" i="32"/>
  <c r="T231" i="32"/>
  <c r="T230" i="32"/>
  <c r="T229" i="32"/>
  <c r="T228" i="32"/>
  <c r="T227" i="32"/>
  <c r="T226" i="32"/>
  <c r="T225" i="32"/>
  <c r="T224" i="32"/>
  <c r="T222" i="32"/>
  <c r="T193" i="32"/>
  <c r="T192" i="32"/>
  <c r="T159" i="32"/>
  <c r="T146" i="32"/>
  <c r="T145" i="32"/>
  <c r="T220" i="32"/>
  <c r="T208" i="32"/>
  <c r="T206" i="32"/>
  <c r="T205" i="32"/>
  <c r="T221" i="32"/>
  <c r="T204" i="32"/>
  <c r="T203" i="32"/>
  <c r="T202" i="32"/>
  <c r="T200" i="32"/>
  <c r="T199" i="32"/>
  <c r="T198" i="32"/>
  <c r="T197" i="32"/>
  <c r="T232" i="32"/>
  <c r="T195" i="32"/>
  <c r="T189" i="32"/>
  <c r="T236" i="32"/>
  <c r="T235" i="32"/>
  <c r="T234" i="32"/>
  <c r="T233" i="32"/>
  <c r="T201" i="32"/>
  <c r="T216" i="32"/>
  <c r="T211" i="32"/>
  <c r="T215" i="32"/>
  <c r="T210" i="32"/>
  <c r="T214" i="32"/>
  <c r="T212" i="32"/>
  <c r="T217" i="32"/>
  <c r="T181" i="32"/>
  <c r="T183" i="32"/>
  <c r="T184" i="32"/>
  <c r="T347" i="32"/>
  <c r="T346" i="32"/>
  <c r="T344" i="32"/>
  <c r="T343" i="32"/>
  <c r="T355" i="32"/>
  <c r="T354" i="32"/>
  <c r="T353" i="32"/>
  <c r="T352" i="32"/>
  <c r="T351" i="32"/>
  <c r="T350" i="32"/>
  <c r="T348" i="32"/>
  <c r="T345" i="32"/>
  <c r="T349" i="32"/>
  <c r="T342" i="32"/>
  <c r="T104" i="32"/>
  <c r="T103" i="32"/>
  <c r="T102" i="32"/>
  <c r="T101" i="32"/>
  <c r="T100" i="32"/>
  <c r="T99" i="32"/>
  <c r="T98" i="32"/>
  <c r="T96" i="32"/>
  <c r="T95" i="32"/>
  <c r="T94" i="32"/>
  <c r="T118" i="32"/>
  <c r="T116" i="32"/>
  <c r="T115" i="32"/>
  <c r="T114" i="32"/>
  <c r="T113" i="32"/>
  <c r="T112" i="32"/>
  <c r="T111" i="32"/>
  <c r="T110" i="32"/>
  <c r="T108" i="32"/>
  <c r="T107" i="32"/>
  <c r="T106" i="32"/>
  <c r="T105" i="32"/>
  <c r="T97" i="32"/>
  <c r="T93" i="32"/>
  <c r="T117" i="32"/>
  <c r="T109" i="32"/>
  <c r="T142" i="32"/>
  <c r="T278" i="32"/>
  <c r="T252" i="32"/>
  <c r="T246" i="32"/>
  <c r="T191" i="32"/>
  <c r="T190" i="32"/>
  <c r="T188" i="32"/>
  <c r="T238" i="32"/>
  <c r="T240" i="32"/>
  <c r="T244" i="32"/>
  <c r="T245" i="32"/>
  <c r="T185" i="32"/>
  <c r="T179" i="32"/>
  <c r="T242" i="32"/>
  <c r="T243" i="32"/>
  <c r="T194" i="32"/>
  <c r="T182" i="32"/>
  <c r="T284" i="32"/>
  <c r="T378" i="32"/>
  <c r="U378" i="32" s="1"/>
  <c r="T265" i="32"/>
  <c r="T373" i="32"/>
  <c r="U373" i="32" s="1"/>
  <c r="T196" i="32"/>
  <c r="T186" i="32"/>
  <c r="T253" i="32"/>
  <c r="T280" i="32"/>
  <c r="T254" i="32"/>
  <c r="T241" i="32"/>
  <c r="T180" i="32"/>
  <c r="T239" i="32"/>
  <c r="T281" i="32"/>
  <c r="T256" i="32"/>
  <c r="T187" i="32"/>
  <c r="T288" i="32"/>
  <c r="T282" i="32"/>
  <c r="T255" i="32"/>
  <c r="T251" i="32"/>
  <c r="T237" i="32"/>
  <c r="T272" i="32"/>
  <c r="T365" i="32"/>
  <c r="U365" i="32" s="1"/>
  <c r="T178" i="32"/>
  <c r="T218" i="32"/>
  <c r="T57" i="32"/>
  <c r="T56" i="32"/>
  <c r="T55" i="32"/>
  <c r="T54" i="32"/>
  <c r="T53" i="32"/>
  <c r="T52" i="32"/>
  <c r="T51" i="32"/>
  <c r="T50" i="32"/>
  <c r="T49" i="32"/>
  <c r="T48" i="32"/>
  <c r="T47" i="32"/>
  <c r="T46" i="32"/>
  <c r="T45" i="32"/>
  <c r="T44" i="32"/>
  <c r="T42" i="32"/>
  <c r="T41" i="32"/>
  <c r="T40" i="32"/>
  <c r="T39" i="32"/>
  <c r="T38" i="32"/>
  <c r="T37" i="32"/>
  <c r="T35" i="32"/>
  <c r="T34" i="32"/>
  <c r="T33" i="32"/>
  <c r="T32" i="32"/>
  <c r="T31" i="32"/>
  <c r="T30" i="32"/>
  <c r="T29" i="32"/>
  <c r="T28" i="32"/>
  <c r="T27" i="32"/>
  <c r="T26" i="32"/>
  <c r="T25" i="32"/>
  <c r="T24" i="32"/>
  <c r="T23" i="32"/>
  <c r="T22" i="32"/>
  <c r="T21" i="32"/>
  <c r="T20" i="32"/>
  <c r="T19" i="32"/>
  <c r="T18" i="32"/>
  <c r="T17" i="32"/>
  <c r="T16" i="32"/>
  <c r="T15" i="32"/>
  <c r="T92" i="32"/>
  <c r="T91" i="32"/>
  <c r="T90" i="32"/>
  <c r="T89" i="32"/>
  <c r="T88" i="32"/>
  <c r="T87" i="32"/>
  <c r="T86" i="32"/>
  <c r="T85" i="32"/>
  <c r="T84" i="32"/>
  <c r="T83" i="32"/>
  <c r="T82" i="32"/>
  <c r="T81" i="32"/>
  <c r="T80" i="32"/>
  <c r="T79" i="32"/>
  <c r="T78" i="32"/>
  <c r="T77" i="32"/>
  <c r="T75" i="32"/>
  <c r="T74" i="32"/>
  <c r="T73" i="32"/>
  <c r="T72" i="32"/>
  <c r="T71" i="32"/>
  <c r="T70" i="32"/>
  <c r="T69" i="32"/>
  <c r="T68" i="32"/>
  <c r="T67" i="32"/>
  <c r="T66" i="32"/>
  <c r="T65" i="32"/>
  <c r="T63" i="32"/>
  <c r="T62" i="32"/>
  <c r="T61" i="32"/>
  <c r="T60" i="32"/>
  <c r="T59" i="32"/>
  <c r="T58" i="32"/>
  <c r="T43" i="32"/>
  <c r="T36" i="32"/>
  <c r="T76" i="32"/>
  <c r="T64" i="32"/>
  <c r="T14" i="32"/>
  <c r="U14" i="32" s="1"/>
  <c r="T157" i="32"/>
  <c r="T154" i="32"/>
  <c r="T155" i="32"/>
  <c r="T137" i="32"/>
  <c r="T136" i="32"/>
  <c r="T138" i="32"/>
  <c r="T127" i="32"/>
  <c r="T139" i="32"/>
  <c r="T131" i="32"/>
  <c r="T135" i="32"/>
  <c r="T140" i="32"/>
  <c r="T126" i="32"/>
  <c r="T132" i="32"/>
  <c r="T134" i="32"/>
  <c r="T124" i="32"/>
  <c r="T121" i="32"/>
  <c r="T128" i="32"/>
  <c r="T129" i="32"/>
  <c r="T123" i="32"/>
  <c r="T119" i="32"/>
  <c r="T122" i="32"/>
  <c r="T120" i="32"/>
  <c r="T130" i="32"/>
  <c r="T125" i="32"/>
  <c r="T133" i="32"/>
  <c r="T158" i="32"/>
  <c r="T150" i="32"/>
  <c r="T163" i="32"/>
  <c r="T166" i="32"/>
  <c r="T147" i="32"/>
  <c r="T149" i="32"/>
  <c r="T151" i="32"/>
  <c r="T148" i="32"/>
  <c r="T153" i="32"/>
  <c r="T144" i="32"/>
  <c r="T168" i="32"/>
  <c r="T161" i="32"/>
  <c r="T143" i="32"/>
  <c r="T167" i="32"/>
  <c r="T162" i="32"/>
  <c r="T141" i="32"/>
  <c r="T165" i="32"/>
  <c r="T296" i="32"/>
  <c r="U296" i="32" s="1"/>
  <c r="T325" i="32"/>
  <c r="T260" i="32"/>
  <c r="T277" i="32"/>
  <c r="T305" i="32"/>
  <c r="T307" i="32"/>
  <c r="T276" i="32"/>
  <c r="T286" i="32"/>
  <c r="T169" i="32"/>
  <c r="T270" i="32"/>
  <c r="T273" i="32"/>
  <c r="T262" i="32"/>
  <c r="T250" i="32"/>
  <c r="T248" i="32"/>
  <c r="T269" i="32"/>
  <c r="U269" i="32" s="1"/>
  <c r="T177" i="32"/>
  <c r="T374" i="32"/>
  <c r="T358" i="32"/>
  <c r="T283" i="32"/>
  <c r="T171" i="32"/>
  <c r="T172" i="32"/>
  <c r="T259" i="32"/>
  <c r="T261" i="32"/>
  <c r="T377" i="32"/>
  <c r="U377" i="32" s="1"/>
  <c r="T375" i="32"/>
  <c r="T372" i="32"/>
  <c r="U372" i="32" s="1"/>
  <c r="T257" i="32"/>
  <c r="T366" i="32"/>
  <c r="U366" i="32" s="1"/>
  <c r="T176" i="32"/>
  <c r="T380" i="32"/>
  <c r="U380" i="32" s="1"/>
  <c r="T381" i="32"/>
  <c r="U381" i="32" s="1"/>
  <c r="T359" i="32"/>
  <c r="U359" i="32" s="1"/>
  <c r="T274" i="32"/>
  <c r="U274" i="32" s="1"/>
  <c r="T361" i="32"/>
  <c r="U361" i="32" s="1"/>
  <c r="T362" i="32"/>
  <c r="T367" i="32"/>
  <c r="U367" i="32" s="1"/>
  <c r="T258" i="32"/>
  <c r="T152" i="32"/>
  <c r="T263" i="32"/>
  <c r="T275" i="32"/>
  <c r="T264" i="32"/>
  <c r="T279" i="32"/>
  <c r="U279" i="32" s="1"/>
  <c r="T249" i="32"/>
  <c r="T247" i="32"/>
  <c r="T268" i="32"/>
  <c r="T334" i="32"/>
  <c r="T174" i="32"/>
  <c r="T341" i="32"/>
  <c r="U341" i="32" s="1"/>
  <c r="T333" i="32"/>
  <c r="U333" i="32" s="1"/>
  <c r="T337" i="32"/>
  <c r="U337" i="32" s="1"/>
  <c r="T335" i="32"/>
  <c r="U335" i="32" s="1"/>
  <c r="T332" i="32"/>
  <c r="U332" i="32" s="1"/>
  <c r="T331" i="32"/>
  <c r="T340" i="32"/>
  <c r="T271" i="32"/>
  <c r="U271" i="32" s="1"/>
  <c r="T173" i="32"/>
  <c r="T175" i="32"/>
  <c r="T339" i="32"/>
  <c r="T338" i="32"/>
  <c r="T336" i="32"/>
  <c r="T170" i="32"/>
  <c r="T330" i="32"/>
  <c r="U330" i="32" s="1"/>
  <c r="T324" i="32"/>
  <c r="T321" i="32"/>
  <c r="U321" i="32" s="1"/>
  <c r="T322" i="32"/>
  <c r="U322" i="32" s="1"/>
  <c r="T329" i="32"/>
  <c r="U329" i="32" s="1"/>
  <c r="T327" i="32"/>
  <c r="U327" i="32" s="1"/>
  <c r="T320" i="32"/>
  <c r="U320" i="32" s="1"/>
  <c r="T323" i="32"/>
  <c r="U323" i="32" s="1"/>
  <c r="T317" i="32"/>
  <c r="U317" i="32" s="1"/>
  <c r="T315" i="32"/>
  <c r="T316" i="32"/>
  <c r="T319" i="32"/>
  <c r="U319" i="32" s="1"/>
  <c r="T328" i="32"/>
  <c r="T326" i="32"/>
  <c r="T312" i="32"/>
  <c r="U312" i="32" s="1"/>
  <c r="T313" i="32"/>
  <c r="T314" i="32"/>
  <c r="T302" i="32"/>
  <c r="U302" i="32" s="1"/>
  <c r="T300" i="32"/>
  <c r="U300" i="32" s="1"/>
  <c r="T299" i="32"/>
  <c r="U299" i="32" s="1"/>
  <c r="T304" i="32"/>
  <c r="U304" i="32" s="1"/>
  <c r="T303" i="32"/>
  <c r="T301" i="32"/>
  <c r="U301" i="32" s="1"/>
  <c r="T311" i="32"/>
  <c r="T308" i="32"/>
  <c r="T310" i="32"/>
  <c r="T306" i="32"/>
  <c r="T309" i="32"/>
  <c r="U309" i="32" s="1"/>
  <c r="T371" i="32"/>
  <c r="T370" i="32"/>
  <c r="T369" i="32"/>
  <c r="T368" i="32"/>
  <c r="T357" i="32"/>
  <c r="T379" i="32"/>
  <c r="T363" i="32"/>
  <c r="T360" i="32"/>
  <c r="T364" i="32"/>
  <c r="T376" i="32"/>
  <c r="T160" i="32"/>
  <c r="U160" i="32" s="1"/>
  <c r="T164" i="32"/>
  <c r="U164" i="32" s="1"/>
  <c r="T298" i="32"/>
  <c r="T293" i="32"/>
  <c r="T294" i="32"/>
  <c r="T290" i="32"/>
  <c r="U290" i="32" s="1"/>
  <c r="T287" i="32"/>
  <c r="T295" i="32"/>
  <c r="U295" i="32" s="1"/>
  <c r="T291" i="32"/>
  <c r="U291" i="32" s="1"/>
  <c r="T292" i="32"/>
  <c r="U292" i="32" s="1"/>
  <c r="T297" i="32"/>
  <c r="U297" i="32" s="1"/>
  <c r="T289" i="32"/>
  <c r="U289" i="32" s="1"/>
  <c r="Q266" i="32"/>
  <c r="R266" i="32" s="1"/>
  <c r="Q267" i="32"/>
  <c r="R267" i="32" s="1"/>
  <c r="Q285" i="32"/>
  <c r="R285" i="32" s="1"/>
  <c r="Q219" i="32"/>
  <c r="R219" i="32" s="1"/>
  <c r="R318" i="32"/>
  <c r="Q223" i="32"/>
  <c r="R223" i="32" s="1"/>
  <c r="Q231" i="32"/>
  <c r="R231" i="32" s="1"/>
  <c r="Q230" i="32"/>
  <c r="R230" i="32" s="1"/>
  <c r="Q229" i="32"/>
  <c r="R229" i="32" s="1"/>
  <c r="Q228" i="32"/>
  <c r="R228" i="32" s="1"/>
  <c r="Q227" i="32"/>
  <c r="R227" i="32" s="1"/>
  <c r="Q226" i="32"/>
  <c r="R226" i="32" s="1"/>
  <c r="Q225" i="32"/>
  <c r="R225" i="32" s="1"/>
  <c r="Q224" i="32"/>
  <c r="R224" i="32" s="1"/>
  <c r="Q222" i="32"/>
  <c r="R222" i="32" s="1"/>
  <c r="Q193" i="32"/>
  <c r="R193" i="32" s="1"/>
  <c r="Q192" i="32"/>
  <c r="R192" i="32" s="1"/>
  <c r="Q159" i="32"/>
  <c r="R159" i="32" s="1"/>
  <c r="Q146" i="32"/>
  <c r="R146" i="32" s="1"/>
  <c r="Q145" i="32"/>
  <c r="R145" i="32" s="1"/>
  <c r="Q220" i="32"/>
  <c r="R220" i="32" s="1"/>
  <c r="Q208" i="32"/>
  <c r="R208" i="32" s="1"/>
  <c r="Q206" i="32"/>
  <c r="R206" i="32" s="1"/>
  <c r="Q205" i="32"/>
  <c r="R205" i="32" s="1"/>
  <c r="Q221" i="32"/>
  <c r="R221" i="32" s="1"/>
  <c r="Q204" i="32"/>
  <c r="R204" i="32" s="1"/>
  <c r="Q203" i="32"/>
  <c r="R203" i="32" s="1"/>
  <c r="Q202" i="32"/>
  <c r="R202" i="32" s="1"/>
  <c r="Q200" i="32"/>
  <c r="R200" i="32" s="1"/>
  <c r="Q199" i="32"/>
  <c r="R199" i="32" s="1"/>
  <c r="Q198" i="32"/>
  <c r="R198" i="32" s="1"/>
  <c r="R197" i="32"/>
  <c r="Q232" i="32"/>
  <c r="R232" i="32" s="1"/>
  <c r="Q195" i="32"/>
  <c r="R195" i="32" s="1"/>
  <c r="Q189" i="32"/>
  <c r="R189" i="32" s="1"/>
  <c r="Q236" i="32"/>
  <c r="R236" i="32" s="1"/>
  <c r="Q235" i="32"/>
  <c r="R235" i="32" s="1"/>
  <c r="Q234" i="32"/>
  <c r="R234" i="32" s="1"/>
  <c r="Q233" i="32"/>
  <c r="R233" i="32" s="1"/>
  <c r="Q201" i="32"/>
  <c r="R201" i="32" s="1"/>
  <c r="Q216" i="32"/>
  <c r="R216" i="32" s="1"/>
  <c r="Q211" i="32"/>
  <c r="R211" i="32" s="1"/>
  <c r="Q215" i="32"/>
  <c r="R215" i="32" s="1"/>
  <c r="Q210" i="32"/>
  <c r="R210" i="32" s="1"/>
  <c r="Q214" i="32"/>
  <c r="R214" i="32" s="1"/>
  <c r="Q212" i="32"/>
  <c r="R212" i="32" s="1"/>
  <c r="Q217" i="32"/>
  <c r="R217" i="32" s="1"/>
  <c r="Q181" i="32"/>
  <c r="R181" i="32" s="1"/>
  <c r="Q183" i="32"/>
  <c r="R183" i="32" s="1"/>
  <c r="Q184" i="32"/>
  <c r="R184" i="32" s="1"/>
  <c r="Q347" i="32"/>
  <c r="R347" i="32" s="1"/>
  <c r="Q346" i="32"/>
  <c r="R346" i="32" s="1"/>
  <c r="Q344" i="32"/>
  <c r="R344" i="32" s="1"/>
  <c r="Q343" i="32"/>
  <c r="R343" i="32" s="1"/>
  <c r="Q355" i="32"/>
  <c r="R355" i="32" s="1"/>
  <c r="Q354" i="32"/>
  <c r="R354" i="32" s="1"/>
  <c r="Q353" i="32"/>
  <c r="R353" i="32" s="1"/>
  <c r="Q352" i="32"/>
  <c r="R352" i="32" s="1"/>
  <c r="Q351" i="32"/>
  <c r="R351" i="32" s="1"/>
  <c r="Q350" i="32"/>
  <c r="R350" i="32" s="1"/>
  <c r="Q348" i="32"/>
  <c r="R348" i="32" s="1"/>
  <c r="Q345" i="32"/>
  <c r="R345" i="32" s="1"/>
  <c r="Q349" i="32"/>
  <c r="R349" i="32" s="1"/>
  <c r="Q342" i="32"/>
  <c r="R342" i="32" s="1"/>
  <c r="Q104" i="32"/>
  <c r="R104" i="32" s="1"/>
  <c r="Q103" i="32"/>
  <c r="R103" i="32" s="1"/>
  <c r="Q102" i="32"/>
  <c r="R102" i="32" s="1"/>
  <c r="Q101" i="32"/>
  <c r="R101" i="32" s="1"/>
  <c r="Q100" i="32"/>
  <c r="R100" i="32" s="1"/>
  <c r="Q99" i="32"/>
  <c r="R99" i="32" s="1"/>
  <c r="Q98" i="32"/>
  <c r="R98" i="32" s="1"/>
  <c r="Q96" i="32"/>
  <c r="R96" i="32" s="1"/>
  <c r="Q95" i="32"/>
  <c r="R95" i="32" s="1"/>
  <c r="Q94" i="32"/>
  <c r="R94" i="32" s="1"/>
  <c r="Q118" i="32"/>
  <c r="R118" i="32" s="1"/>
  <c r="Q116" i="32"/>
  <c r="R116" i="32" s="1"/>
  <c r="Q115" i="32"/>
  <c r="R115" i="32" s="1"/>
  <c r="Q114" i="32"/>
  <c r="R114" i="32" s="1"/>
  <c r="Q113" i="32"/>
  <c r="R113" i="32" s="1"/>
  <c r="Q112" i="32"/>
  <c r="R112" i="32" s="1"/>
  <c r="Q111" i="32"/>
  <c r="R111" i="32" s="1"/>
  <c r="Q110" i="32"/>
  <c r="R110" i="32" s="1"/>
  <c r="Q108" i="32"/>
  <c r="R108" i="32" s="1"/>
  <c r="Q107" i="32"/>
  <c r="R107" i="32" s="1"/>
  <c r="Q106" i="32"/>
  <c r="R106" i="32" s="1"/>
  <c r="Q105" i="32"/>
  <c r="R105" i="32" s="1"/>
  <c r="Q97" i="32"/>
  <c r="R97" i="32" s="1"/>
  <c r="Q93" i="32"/>
  <c r="R93" i="32" s="1"/>
  <c r="Q117" i="32"/>
  <c r="R117" i="32" s="1"/>
  <c r="Q109" i="32"/>
  <c r="R109" i="32" s="1"/>
  <c r="Q142" i="32"/>
  <c r="R142" i="32" s="1"/>
  <c r="Q278" i="32"/>
  <c r="R278" i="32" s="1"/>
  <c r="Q252" i="32"/>
  <c r="R252" i="32" s="1"/>
  <c r="Q246" i="32"/>
  <c r="R246" i="32" s="1"/>
  <c r="Q191" i="32"/>
  <c r="R191" i="32" s="1"/>
  <c r="Q190" i="32"/>
  <c r="R190" i="32" s="1"/>
  <c r="Q188" i="32"/>
  <c r="R188" i="32" s="1"/>
  <c r="Q238" i="32"/>
  <c r="R238" i="32" s="1"/>
  <c r="Q240" i="32"/>
  <c r="R240" i="32" s="1"/>
  <c r="Q244" i="32"/>
  <c r="R244" i="32" s="1"/>
  <c r="Q245" i="32"/>
  <c r="R245" i="32" s="1"/>
  <c r="Q185" i="32"/>
  <c r="R185" i="32" s="1"/>
  <c r="Q179" i="32"/>
  <c r="R179" i="32" s="1"/>
  <c r="Q242" i="32"/>
  <c r="R242" i="32" s="1"/>
  <c r="Q243" i="32"/>
  <c r="R243" i="32" s="1"/>
  <c r="Q194" i="32"/>
  <c r="R194" i="32" s="1"/>
  <c r="Q182" i="32"/>
  <c r="R182" i="32" s="1"/>
  <c r="Q284" i="32"/>
  <c r="R284" i="32" s="1"/>
  <c r="Q378" i="32"/>
  <c r="R378" i="32" s="1"/>
  <c r="Q265" i="32"/>
  <c r="R265" i="32" s="1"/>
  <c r="Q373" i="32"/>
  <c r="R373" i="32" s="1"/>
  <c r="Q196" i="32"/>
  <c r="R196" i="32" s="1"/>
  <c r="Q186" i="32"/>
  <c r="R186" i="32" s="1"/>
  <c r="Q253" i="32"/>
  <c r="R253" i="32" s="1"/>
  <c r="Q280" i="32"/>
  <c r="R280" i="32" s="1"/>
  <c r="Q254" i="32"/>
  <c r="R254" i="32" s="1"/>
  <c r="Q241" i="32"/>
  <c r="R241" i="32" s="1"/>
  <c r="Q180" i="32"/>
  <c r="R180" i="32" s="1"/>
  <c r="Q239" i="32"/>
  <c r="R239" i="32" s="1"/>
  <c r="Q281" i="32"/>
  <c r="R281" i="32" s="1"/>
  <c r="Q256" i="32"/>
  <c r="R256" i="32" s="1"/>
  <c r="Q187" i="32"/>
  <c r="R187" i="32" s="1"/>
  <c r="Q288" i="32"/>
  <c r="R288" i="32" s="1"/>
  <c r="Q282" i="32"/>
  <c r="R282" i="32" s="1"/>
  <c r="Q255" i="32"/>
  <c r="R255" i="32" s="1"/>
  <c r="Q251" i="32"/>
  <c r="R251" i="32" s="1"/>
  <c r="Q237" i="32"/>
  <c r="R237" i="32" s="1"/>
  <c r="Q272" i="32"/>
  <c r="R272" i="32" s="1"/>
  <c r="Q365" i="32"/>
  <c r="R365" i="32" s="1"/>
  <c r="Q178" i="32"/>
  <c r="R178" i="32" s="1"/>
  <c r="Q218" i="32"/>
  <c r="R218" i="32" s="1"/>
  <c r="Q57" i="32"/>
  <c r="R57" i="32" s="1"/>
  <c r="Q56" i="32"/>
  <c r="R56" i="32" s="1"/>
  <c r="Q55" i="32"/>
  <c r="R55" i="32" s="1"/>
  <c r="Q54" i="32"/>
  <c r="R54" i="32" s="1"/>
  <c r="Q53" i="32"/>
  <c r="R53" i="32" s="1"/>
  <c r="Q52" i="32"/>
  <c r="R52" i="32" s="1"/>
  <c r="Q51" i="32"/>
  <c r="R51" i="32" s="1"/>
  <c r="Q50" i="32"/>
  <c r="R50" i="32" s="1"/>
  <c r="Q49" i="32"/>
  <c r="R49" i="32" s="1"/>
  <c r="Q48" i="32"/>
  <c r="R48" i="32" s="1"/>
  <c r="Q47" i="32"/>
  <c r="R47" i="32" s="1"/>
  <c r="Q46" i="32"/>
  <c r="R46" i="32" s="1"/>
  <c r="Q45" i="32"/>
  <c r="R45" i="32" s="1"/>
  <c r="Q44" i="32"/>
  <c r="R44" i="32" s="1"/>
  <c r="Q42" i="32"/>
  <c r="R42" i="32" s="1"/>
  <c r="Q41" i="32"/>
  <c r="R41" i="32" s="1"/>
  <c r="Q40" i="32"/>
  <c r="R40" i="32" s="1"/>
  <c r="Q39" i="32"/>
  <c r="R39" i="32" s="1"/>
  <c r="Q38" i="32"/>
  <c r="R38" i="32" s="1"/>
  <c r="Q37" i="32"/>
  <c r="R37" i="32" s="1"/>
  <c r="Q35" i="32"/>
  <c r="R35" i="32" s="1"/>
  <c r="Q34" i="32"/>
  <c r="R34" i="32" s="1"/>
  <c r="Q33" i="32"/>
  <c r="R33" i="32" s="1"/>
  <c r="Q32" i="32"/>
  <c r="R32" i="32" s="1"/>
  <c r="Q31" i="32"/>
  <c r="R31" i="32" s="1"/>
  <c r="Q30" i="32"/>
  <c r="R30" i="32" s="1"/>
  <c r="Q29" i="32"/>
  <c r="R29" i="32" s="1"/>
  <c r="Q28" i="32"/>
  <c r="R28" i="32" s="1"/>
  <c r="Q27" i="32"/>
  <c r="R27" i="32" s="1"/>
  <c r="Q26" i="32"/>
  <c r="R26" i="32" s="1"/>
  <c r="Q25" i="32"/>
  <c r="R25" i="32" s="1"/>
  <c r="Q24" i="32"/>
  <c r="R24" i="32" s="1"/>
  <c r="Q23" i="32"/>
  <c r="R23" i="32" s="1"/>
  <c r="Q22" i="32"/>
  <c r="R22" i="32" s="1"/>
  <c r="Q21" i="32"/>
  <c r="R21" i="32" s="1"/>
  <c r="Q20" i="32"/>
  <c r="R20" i="32" s="1"/>
  <c r="Q19" i="32"/>
  <c r="R19" i="32" s="1"/>
  <c r="Q18" i="32"/>
  <c r="R18" i="32" s="1"/>
  <c r="Q17" i="32"/>
  <c r="R17" i="32" s="1"/>
  <c r="Q16" i="32"/>
  <c r="R16" i="32" s="1"/>
  <c r="Q15" i="32"/>
  <c r="R15" i="32" s="1"/>
  <c r="Q92" i="32"/>
  <c r="R92" i="32" s="1"/>
  <c r="Q91" i="32"/>
  <c r="R91" i="32" s="1"/>
  <c r="Q90" i="32"/>
  <c r="R90" i="32" s="1"/>
  <c r="Q89" i="32"/>
  <c r="R89" i="32" s="1"/>
  <c r="Q88" i="32"/>
  <c r="R88" i="32" s="1"/>
  <c r="Q87" i="32"/>
  <c r="R87" i="32" s="1"/>
  <c r="Q86" i="32"/>
  <c r="R86" i="32" s="1"/>
  <c r="Q85" i="32"/>
  <c r="R85" i="32" s="1"/>
  <c r="Q84" i="32"/>
  <c r="R84" i="32" s="1"/>
  <c r="Q83" i="32"/>
  <c r="R83" i="32" s="1"/>
  <c r="Q82" i="32"/>
  <c r="R82" i="32" s="1"/>
  <c r="Q81" i="32"/>
  <c r="R81" i="32" s="1"/>
  <c r="Q80" i="32"/>
  <c r="R80" i="32" s="1"/>
  <c r="Q79" i="32"/>
  <c r="R79" i="32" s="1"/>
  <c r="Q78" i="32"/>
  <c r="R78" i="32" s="1"/>
  <c r="Q77" i="32"/>
  <c r="R77" i="32" s="1"/>
  <c r="Q75" i="32"/>
  <c r="R75" i="32" s="1"/>
  <c r="Q74" i="32"/>
  <c r="R74" i="32" s="1"/>
  <c r="Q73" i="32"/>
  <c r="R73" i="32" s="1"/>
  <c r="Q72" i="32"/>
  <c r="R72" i="32" s="1"/>
  <c r="Q71" i="32"/>
  <c r="R71" i="32" s="1"/>
  <c r="Q70" i="32"/>
  <c r="R70" i="32" s="1"/>
  <c r="Q69" i="32"/>
  <c r="R69" i="32" s="1"/>
  <c r="Q68" i="32"/>
  <c r="R68" i="32" s="1"/>
  <c r="Q67" i="32"/>
  <c r="R67" i="32" s="1"/>
  <c r="Q66" i="32"/>
  <c r="R66" i="32" s="1"/>
  <c r="Q65" i="32"/>
  <c r="R65" i="32" s="1"/>
  <c r="Q63" i="32"/>
  <c r="R63" i="32" s="1"/>
  <c r="Q62" i="32"/>
  <c r="R62" i="32" s="1"/>
  <c r="Q61" i="32"/>
  <c r="R61" i="32" s="1"/>
  <c r="Q60" i="32"/>
  <c r="R60" i="32" s="1"/>
  <c r="Q59" i="32"/>
  <c r="R59" i="32" s="1"/>
  <c r="Q58" i="32"/>
  <c r="R58" i="32" s="1"/>
  <c r="Q43" i="32"/>
  <c r="R43" i="32" s="1"/>
  <c r="Q36" i="32"/>
  <c r="R36" i="32" s="1"/>
  <c r="Q76" i="32"/>
  <c r="R76" i="32" s="1"/>
  <c r="Q64" i="32"/>
  <c r="R64" i="32" s="1"/>
  <c r="Q14" i="32"/>
  <c r="R14" i="32" s="1"/>
  <c r="Q157" i="32"/>
  <c r="R157" i="32" s="1"/>
  <c r="Q154" i="32"/>
  <c r="R154" i="32" s="1"/>
  <c r="Q155" i="32"/>
  <c r="R155" i="32" s="1"/>
  <c r="Q137" i="32"/>
  <c r="R137" i="32" s="1"/>
  <c r="Q136" i="32"/>
  <c r="R136" i="32" s="1"/>
  <c r="Q138" i="32"/>
  <c r="R138" i="32" s="1"/>
  <c r="Q127" i="32"/>
  <c r="R127" i="32" s="1"/>
  <c r="Q139" i="32"/>
  <c r="R139" i="32" s="1"/>
  <c r="Q131" i="32"/>
  <c r="R131" i="32" s="1"/>
  <c r="Q135" i="32"/>
  <c r="R135" i="32" s="1"/>
  <c r="Q140" i="32"/>
  <c r="R140" i="32" s="1"/>
  <c r="Q126" i="32"/>
  <c r="R126" i="32" s="1"/>
  <c r="Q132" i="32"/>
  <c r="R132" i="32" s="1"/>
  <c r="Q134" i="32"/>
  <c r="R134" i="32" s="1"/>
  <c r="Q124" i="32"/>
  <c r="R124" i="32" s="1"/>
  <c r="Q121" i="32"/>
  <c r="R121" i="32" s="1"/>
  <c r="Q128" i="32"/>
  <c r="R128" i="32" s="1"/>
  <c r="Q129" i="32"/>
  <c r="R129" i="32" s="1"/>
  <c r="Q123" i="32"/>
  <c r="R123" i="32" s="1"/>
  <c r="Q119" i="32"/>
  <c r="R119" i="32" s="1"/>
  <c r="Q122" i="32"/>
  <c r="R122" i="32" s="1"/>
  <c r="Q120" i="32"/>
  <c r="R120" i="32" s="1"/>
  <c r="Q130" i="32"/>
  <c r="R130" i="32" s="1"/>
  <c r="Q125" i="32"/>
  <c r="R125" i="32" s="1"/>
  <c r="Q133" i="32"/>
  <c r="R133" i="32" s="1"/>
  <c r="Q158" i="32"/>
  <c r="R158" i="32" s="1"/>
  <c r="Q150" i="32"/>
  <c r="R150" i="32" s="1"/>
  <c r="Q163" i="32"/>
  <c r="R163" i="32" s="1"/>
  <c r="Q166" i="32"/>
  <c r="R166" i="32" s="1"/>
  <c r="Q147" i="32"/>
  <c r="R147" i="32" s="1"/>
  <c r="Q149" i="32"/>
  <c r="R149" i="32" s="1"/>
  <c r="Q151" i="32"/>
  <c r="R151" i="32" s="1"/>
  <c r="Q148" i="32"/>
  <c r="R148" i="32" s="1"/>
  <c r="Q153" i="32"/>
  <c r="R153" i="32" s="1"/>
  <c r="Q144" i="32"/>
  <c r="R144" i="32" s="1"/>
  <c r="Q168" i="32"/>
  <c r="R168" i="32" s="1"/>
  <c r="Q161" i="32"/>
  <c r="R161" i="32" s="1"/>
  <c r="Q143" i="32"/>
  <c r="R143" i="32" s="1"/>
  <c r="Q167" i="32"/>
  <c r="R167" i="32" s="1"/>
  <c r="Q162" i="32"/>
  <c r="R162" i="32" s="1"/>
  <c r="Q141" i="32"/>
  <c r="R141" i="32" s="1"/>
  <c r="Q165" i="32"/>
  <c r="R165" i="32" s="1"/>
  <c r="Q296" i="32"/>
  <c r="Q325" i="32"/>
  <c r="R325" i="32" s="1"/>
  <c r="Q260" i="32"/>
  <c r="R260" i="32" s="1"/>
  <c r="Q277" i="32"/>
  <c r="R277" i="32" s="1"/>
  <c r="Q305" i="32"/>
  <c r="R305" i="32" s="1"/>
  <c r="Q307" i="32"/>
  <c r="R307" i="32" s="1"/>
  <c r="Q276" i="32"/>
  <c r="R276" i="32" s="1"/>
  <c r="Q286" i="32"/>
  <c r="R286" i="32" s="1"/>
  <c r="Q169" i="32"/>
  <c r="R169" i="32" s="1"/>
  <c r="Q270" i="32"/>
  <c r="R270" i="32" s="1"/>
  <c r="Q273" i="32"/>
  <c r="R273" i="32" s="1"/>
  <c r="Q262" i="32"/>
  <c r="R262" i="32" s="1"/>
  <c r="Q250" i="32"/>
  <c r="R250" i="32" s="1"/>
  <c r="Q248" i="32"/>
  <c r="R248" i="32" s="1"/>
  <c r="Q269" i="32"/>
  <c r="Q177" i="32"/>
  <c r="R177" i="32" s="1"/>
  <c r="Q374" i="32"/>
  <c r="R374" i="32" s="1"/>
  <c r="Q358" i="32"/>
  <c r="R358" i="32" s="1"/>
  <c r="Q283" i="32"/>
  <c r="R283" i="32" s="1"/>
  <c r="Q171" i="32"/>
  <c r="R171" i="32" s="1"/>
  <c r="Q172" i="32"/>
  <c r="R172" i="32" s="1"/>
  <c r="Q259" i="32"/>
  <c r="R259" i="32" s="1"/>
  <c r="Q261" i="32"/>
  <c r="R261" i="32" s="1"/>
  <c r="Q377" i="32"/>
  <c r="R377" i="32" s="1"/>
  <c r="Q375" i="32"/>
  <c r="R375" i="32" s="1"/>
  <c r="Q372" i="32"/>
  <c r="R372" i="32" s="1"/>
  <c r="Q257" i="32"/>
  <c r="R257" i="32" s="1"/>
  <c r="Q366" i="32"/>
  <c r="R366" i="32" s="1"/>
  <c r="Q176" i="32"/>
  <c r="R176" i="32" s="1"/>
  <c r="Q380" i="32"/>
  <c r="R380" i="32" s="1"/>
  <c r="Q381" i="32"/>
  <c r="R381" i="32" s="1"/>
  <c r="Q359" i="32"/>
  <c r="R359" i="32" s="1"/>
  <c r="Q274" i="32"/>
  <c r="Q361" i="32"/>
  <c r="R361" i="32" s="1"/>
  <c r="Q362" i="32"/>
  <c r="R362" i="32" s="1"/>
  <c r="Q367" i="32"/>
  <c r="R367" i="32" s="1"/>
  <c r="Q258" i="32"/>
  <c r="R258" i="32" s="1"/>
  <c r="Q152" i="32"/>
  <c r="R152" i="32" s="1"/>
  <c r="Q263" i="32"/>
  <c r="R263" i="32" s="1"/>
  <c r="Q275" i="32"/>
  <c r="R275" i="32" s="1"/>
  <c r="Q264" i="32"/>
  <c r="R264" i="32" s="1"/>
  <c r="Q279" i="32"/>
  <c r="Q249" i="32"/>
  <c r="R249" i="32" s="1"/>
  <c r="Q247" i="32"/>
  <c r="R247" i="32" s="1"/>
  <c r="Q268" i="32"/>
  <c r="R268" i="32" s="1"/>
  <c r="Q334" i="32"/>
  <c r="R334" i="32" s="1"/>
  <c r="Q174" i="32"/>
  <c r="R174" i="32" s="1"/>
  <c r="Q341" i="32"/>
  <c r="Q333" i="32"/>
  <c r="Q337" i="32"/>
  <c r="Q335" i="32"/>
  <c r="Q332" i="32"/>
  <c r="Q331" i="32"/>
  <c r="R331" i="32" s="1"/>
  <c r="Q340" i="32"/>
  <c r="R340" i="32" s="1"/>
  <c r="Q271" i="32"/>
  <c r="Q173" i="32"/>
  <c r="R173" i="32" s="1"/>
  <c r="Q175" i="32"/>
  <c r="R175" i="32" s="1"/>
  <c r="Q339" i="32"/>
  <c r="R339" i="32" s="1"/>
  <c r="Q338" i="32"/>
  <c r="R338" i="32" s="1"/>
  <c r="Q336" i="32"/>
  <c r="R336" i="32" s="1"/>
  <c r="Q170" i="32"/>
  <c r="R170" i="32" s="1"/>
  <c r="Q330" i="32"/>
  <c r="Q324" i="32"/>
  <c r="R324" i="32" s="1"/>
  <c r="Q321" i="32"/>
  <c r="Q322" i="32"/>
  <c r="Q329" i="32"/>
  <c r="Q327" i="32"/>
  <c r="Q320" i="32"/>
  <c r="Q323" i="32"/>
  <c r="Q317" i="32"/>
  <c r="Q315" i="32"/>
  <c r="R315" i="32" s="1"/>
  <c r="Q316" i="32"/>
  <c r="R316" i="32" s="1"/>
  <c r="Q319" i="32"/>
  <c r="Q328" i="32"/>
  <c r="R328" i="32" s="1"/>
  <c r="Q326" i="32"/>
  <c r="R326" i="32" s="1"/>
  <c r="Q312" i="32"/>
  <c r="Q313" i="32"/>
  <c r="R313" i="32" s="1"/>
  <c r="Q314" i="32"/>
  <c r="R314" i="32" s="1"/>
  <c r="Q302" i="32"/>
  <c r="Q300" i="32"/>
  <c r="Q299" i="32"/>
  <c r="Q304" i="32"/>
  <c r="Q303" i="32"/>
  <c r="R303" i="32" s="1"/>
  <c r="Q301" i="32"/>
  <c r="Q311" i="32"/>
  <c r="R311" i="32" s="1"/>
  <c r="Q308" i="32"/>
  <c r="R308" i="32" s="1"/>
  <c r="Q310" i="32"/>
  <c r="R310" i="32" s="1"/>
  <c r="Q306" i="32"/>
  <c r="R306" i="32" s="1"/>
  <c r="Q309" i="32"/>
  <c r="Q371" i="32"/>
  <c r="R371" i="32" s="1"/>
  <c r="Q370" i="32"/>
  <c r="R370" i="32" s="1"/>
  <c r="Q369" i="32"/>
  <c r="R369" i="32" s="1"/>
  <c r="Q368" i="32"/>
  <c r="R368" i="32" s="1"/>
  <c r="Q357" i="32"/>
  <c r="R357" i="32" s="1"/>
  <c r="Q379" i="32"/>
  <c r="R379" i="32" s="1"/>
  <c r="Q363" i="32"/>
  <c r="R363" i="32" s="1"/>
  <c r="Q360" i="32"/>
  <c r="R360" i="32" s="1"/>
  <c r="Q364" i="32"/>
  <c r="R364" i="32" s="1"/>
  <c r="Q376" i="32"/>
  <c r="R376" i="32" s="1"/>
  <c r="Q160" i="32"/>
  <c r="Q164" i="32"/>
  <c r="Q298" i="32"/>
  <c r="R298" i="32" s="1"/>
  <c r="Q293" i="32"/>
  <c r="R293" i="32" s="1"/>
  <c r="Q294" i="32"/>
  <c r="R294" i="32" s="1"/>
  <c r="Q290" i="32"/>
  <c r="Q287" i="32"/>
  <c r="R287" i="32" s="1"/>
  <c r="Q295" i="32"/>
  <c r="Q291" i="32"/>
  <c r="Q292" i="32"/>
  <c r="Q297" i="32"/>
  <c r="Q289" i="32"/>
  <c r="CS266" i="32"/>
  <c r="CS267" i="32"/>
  <c r="CS285" i="32"/>
  <c r="CS219" i="32"/>
  <c r="CS318" i="32"/>
  <c r="CS223" i="32"/>
  <c r="CS231" i="32"/>
  <c r="CS230" i="32"/>
  <c r="CS229" i="32"/>
  <c r="CS228" i="32"/>
  <c r="CS227" i="32"/>
  <c r="CS226" i="32"/>
  <c r="CS225" i="32"/>
  <c r="CS224" i="32"/>
  <c r="CS222" i="32"/>
  <c r="CS193" i="32"/>
  <c r="CS192" i="32"/>
  <c r="CS159" i="32"/>
  <c r="CS146" i="32"/>
  <c r="CS145" i="32"/>
  <c r="CS220" i="32"/>
  <c r="CS208" i="32"/>
  <c r="CS206" i="32"/>
  <c r="CS205" i="32"/>
  <c r="CS221" i="32"/>
  <c r="CS204" i="32"/>
  <c r="CS203" i="32"/>
  <c r="CS202" i="32"/>
  <c r="CS200" i="32"/>
  <c r="CS199" i="32"/>
  <c r="CS198" i="32"/>
  <c r="CS197" i="32"/>
  <c r="CS232" i="32"/>
  <c r="CS195" i="32"/>
  <c r="CS189" i="32"/>
  <c r="CS236" i="32"/>
  <c r="CS235" i="32"/>
  <c r="CS234" i="32"/>
  <c r="CS233" i="32"/>
  <c r="CS201" i="32"/>
  <c r="CS216" i="32"/>
  <c r="CS211" i="32"/>
  <c r="CS215" i="32"/>
  <c r="CS210" i="32"/>
  <c r="CS214" i="32"/>
  <c r="CS212" i="32"/>
  <c r="CS217" i="32"/>
  <c r="CS181" i="32"/>
  <c r="CS183" i="32"/>
  <c r="CS184" i="32"/>
  <c r="CS347" i="32"/>
  <c r="CS346" i="32"/>
  <c r="CS344" i="32"/>
  <c r="CS343" i="32"/>
  <c r="CS355" i="32"/>
  <c r="CS354" i="32"/>
  <c r="CS353" i="32"/>
  <c r="CS352" i="32"/>
  <c r="CS351" i="32"/>
  <c r="CS350" i="32"/>
  <c r="CS348" i="32"/>
  <c r="CS345" i="32"/>
  <c r="CS349" i="32"/>
  <c r="CS342" i="32"/>
  <c r="CS104" i="32"/>
  <c r="CS103" i="32"/>
  <c r="CS102" i="32"/>
  <c r="CS101" i="32"/>
  <c r="CS100" i="32"/>
  <c r="CS99" i="32"/>
  <c r="CS98" i="32"/>
  <c r="CS96" i="32"/>
  <c r="CS95" i="32"/>
  <c r="CS94" i="32"/>
  <c r="CS118" i="32"/>
  <c r="CS116" i="32"/>
  <c r="CS115" i="32"/>
  <c r="CS114" i="32"/>
  <c r="CS113" i="32"/>
  <c r="CS112" i="32"/>
  <c r="CS111" i="32"/>
  <c r="CS110" i="32"/>
  <c r="CS108" i="32"/>
  <c r="CS107" i="32"/>
  <c r="CS106" i="32"/>
  <c r="CS105" i="32"/>
  <c r="CS97" i="32"/>
  <c r="CS93" i="32"/>
  <c r="CS117" i="32"/>
  <c r="CS109" i="32"/>
  <c r="CS142" i="32"/>
  <c r="CS278" i="32"/>
  <c r="CS252" i="32"/>
  <c r="CS246" i="32"/>
  <c r="CS191" i="32"/>
  <c r="CS190" i="32"/>
  <c r="CS188" i="32"/>
  <c r="CS238" i="32"/>
  <c r="CS240" i="32"/>
  <c r="CS244" i="32"/>
  <c r="CS245" i="32"/>
  <c r="CS185" i="32"/>
  <c r="CS179" i="32"/>
  <c r="CS242" i="32"/>
  <c r="CS243" i="32"/>
  <c r="CS194" i="32"/>
  <c r="CS182" i="32"/>
  <c r="CS284" i="32"/>
  <c r="CS378" i="32"/>
  <c r="CS265" i="32"/>
  <c r="CS373" i="32"/>
  <c r="CS196" i="32"/>
  <c r="CS186" i="32"/>
  <c r="CS253" i="32"/>
  <c r="CS280" i="32"/>
  <c r="CS254" i="32"/>
  <c r="CS241" i="32"/>
  <c r="CS180" i="32"/>
  <c r="CS239" i="32"/>
  <c r="CS281" i="32"/>
  <c r="CS256" i="32"/>
  <c r="CS187" i="32"/>
  <c r="CS288" i="32"/>
  <c r="CS282" i="32"/>
  <c r="CS255" i="32"/>
  <c r="CS251" i="32"/>
  <c r="CS237" i="32"/>
  <c r="CS272" i="32"/>
  <c r="CS365" i="32"/>
  <c r="CS178" i="32"/>
  <c r="CS218" i="32"/>
  <c r="CS57" i="32"/>
  <c r="CS56" i="32"/>
  <c r="CS55" i="32"/>
  <c r="CS54" i="32"/>
  <c r="CS53" i="32"/>
  <c r="CS52" i="32"/>
  <c r="CS51" i="32"/>
  <c r="CS50" i="32"/>
  <c r="CS49" i="32"/>
  <c r="CS48" i="32"/>
  <c r="CS47" i="32"/>
  <c r="CS46" i="32"/>
  <c r="CS45" i="32"/>
  <c r="CS44" i="32"/>
  <c r="CS42" i="32"/>
  <c r="CS41" i="32"/>
  <c r="CS40" i="32"/>
  <c r="CS39" i="32"/>
  <c r="CS38" i="32"/>
  <c r="CS37" i="32"/>
  <c r="CS35" i="32"/>
  <c r="CS34" i="32"/>
  <c r="CS33" i="32"/>
  <c r="CS32" i="32"/>
  <c r="CS31" i="32"/>
  <c r="CS30" i="32"/>
  <c r="CS29" i="32"/>
  <c r="CS28" i="32"/>
  <c r="CS27" i="32"/>
  <c r="CS26" i="32"/>
  <c r="CS25" i="32"/>
  <c r="CS24" i="32"/>
  <c r="CS23" i="32"/>
  <c r="CS22" i="32"/>
  <c r="CS21" i="32"/>
  <c r="CS20" i="32"/>
  <c r="CS19" i="32"/>
  <c r="CS18" i="32"/>
  <c r="CS17" i="32"/>
  <c r="CS16" i="32"/>
  <c r="CS15" i="32"/>
  <c r="CS92" i="32"/>
  <c r="CS91" i="32"/>
  <c r="CS90" i="32"/>
  <c r="CS89" i="32"/>
  <c r="CS88" i="32"/>
  <c r="CS87" i="32"/>
  <c r="CS86" i="32"/>
  <c r="CS85" i="32"/>
  <c r="CS84" i="32"/>
  <c r="CS83" i="32"/>
  <c r="CS82" i="32"/>
  <c r="CS81" i="32"/>
  <c r="CS80" i="32"/>
  <c r="CS79" i="32"/>
  <c r="CS78" i="32"/>
  <c r="CS77" i="32"/>
  <c r="CS75" i="32"/>
  <c r="CS74" i="32"/>
  <c r="CS73" i="32"/>
  <c r="CS72" i="32"/>
  <c r="CS71" i="32"/>
  <c r="CS70" i="32"/>
  <c r="CS69" i="32"/>
  <c r="CS68" i="32"/>
  <c r="CS67" i="32"/>
  <c r="CS66" i="32"/>
  <c r="CS65" i="32"/>
  <c r="CS63" i="32"/>
  <c r="CS62" i="32"/>
  <c r="CS61" i="32"/>
  <c r="CS60" i="32"/>
  <c r="CS59" i="32"/>
  <c r="CS58" i="32"/>
  <c r="CS43" i="32"/>
  <c r="CS36" i="32"/>
  <c r="CS76" i="32"/>
  <c r="CS64" i="32"/>
  <c r="CS14" i="32"/>
  <c r="CS157" i="32"/>
  <c r="CS154" i="32"/>
  <c r="CS155" i="32"/>
  <c r="CS137" i="32"/>
  <c r="CS136" i="32"/>
  <c r="CS138" i="32"/>
  <c r="CS127" i="32"/>
  <c r="CS139" i="32"/>
  <c r="CS131" i="32"/>
  <c r="CS135" i="32"/>
  <c r="CS140" i="32"/>
  <c r="CS126" i="32"/>
  <c r="CS132" i="32"/>
  <c r="CS134" i="32"/>
  <c r="CS124" i="32"/>
  <c r="CS121" i="32"/>
  <c r="CS128" i="32"/>
  <c r="CS129" i="32"/>
  <c r="CS123" i="32"/>
  <c r="CS119" i="32"/>
  <c r="CS122" i="32"/>
  <c r="CS120" i="32"/>
  <c r="CS130" i="32"/>
  <c r="CS125" i="32"/>
  <c r="CS133" i="32"/>
  <c r="CS158" i="32"/>
  <c r="CS150" i="32"/>
  <c r="CS163" i="32"/>
  <c r="CS166" i="32"/>
  <c r="CS147" i="32"/>
  <c r="CS149" i="32"/>
  <c r="CS151" i="32"/>
  <c r="CS148" i="32"/>
  <c r="CS153" i="32"/>
  <c r="CS144" i="32"/>
  <c r="CS168" i="32"/>
  <c r="CS161" i="32"/>
  <c r="CS143" i="32"/>
  <c r="CS167" i="32"/>
  <c r="CS162" i="32"/>
  <c r="CS141" i="32"/>
  <c r="CS165" i="32"/>
  <c r="CS296" i="32"/>
  <c r="CS325" i="32"/>
  <c r="CS260" i="32"/>
  <c r="CS277" i="32"/>
  <c r="CS305" i="32"/>
  <c r="CS307" i="32"/>
  <c r="CS276" i="32"/>
  <c r="CS286" i="32"/>
  <c r="CS169" i="32"/>
  <c r="CS270" i="32"/>
  <c r="CS273" i="32"/>
  <c r="CS262" i="32"/>
  <c r="CS250" i="32"/>
  <c r="CS248" i="32"/>
  <c r="CS269" i="32"/>
  <c r="CS177" i="32"/>
  <c r="CS374" i="32"/>
  <c r="CS358" i="32"/>
  <c r="CS283" i="32"/>
  <c r="CS171" i="32"/>
  <c r="CS172" i="32"/>
  <c r="CS259" i="32"/>
  <c r="CS261" i="32"/>
  <c r="CS377" i="32"/>
  <c r="CS375" i="32"/>
  <c r="CS372" i="32"/>
  <c r="CS257" i="32"/>
  <c r="CS366" i="32"/>
  <c r="CS176" i="32"/>
  <c r="CS380" i="32"/>
  <c r="CS381" i="32"/>
  <c r="CS359" i="32"/>
  <c r="CS274" i="32"/>
  <c r="CS361" i="32"/>
  <c r="CS362" i="32"/>
  <c r="CS367" i="32"/>
  <c r="CS258" i="32"/>
  <c r="CS152" i="32"/>
  <c r="CS263" i="32"/>
  <c r="CS275" i="32"/>
  <c r="CS264" i="32"/>
  <c r="CS279" i="32"/>
  <c r="CS249" i="32"/>
  <c r="CS247" i="32"/>
  <c r="CS268" i="32"/>
  <c r="CS334" i="32"/>
  <c r="CS174" i="32"/>
  <c r="CS341" i="32"/>
  <c r="CS333" i="32"/>
  <c r="CS337" i="32"/>
  <c r="CS335" i="32"/>
  <c r="CS332" i="32"/>
  <c r="CS331" i="32"/>
  <c r="CS340" i="32"/>
  <c r="CS271" i="32"/>
  <c r="CS173" i="32"/>
  <c r="CS175" i="32"/>
  <c r="CS339" i="32"/>
  <c r="CS338" i="32"/>
  <c r="CS336" i="32"/>
  <c r="CS170" i="32"/>
  <c r="CS330" i="32"/>
  <c r="CS324" i="32"/>
  <c r="CS321" i="32"/>
  <c r="CS322" i="32"/>
  <c r="CS329" i="32"/>
  <c r="CS327" i="32"/>
  <c r="CS320" i="32"/>
  <c r="CS323" i="32"/>
  <c r="CS317" i="32"/>
  <c r="CS315" i="32"/>
  <c r="CS316" i="32"/>
  <c r="CS319" i="32"/>
  <c r="CS328" i="32"/>
  <c r="CS326" i="32"/>
  <c r="CS312" i="32"/>
  <c r="CS313" i="32"/>
  <c r="CS314" i="32"/>
  <c r="CS302" i="32"/>
  <c r="CS300" i="32"/>
  <c r="CS299" i="32"/>
  <c r="CS304" i="32"/>
  <c r="CS303" i="32"/>
  <c r="CS301" i="32"/>
  <c r="CS311" i="32"/>
  <c r="CS308" i="32"/>
  <c r="CS310" i="32"/>
  <c r="CS306" i="32"/>
  <c r="CS309" i="32"/>
  <c r="CS371" i="32"/>
  <c r="CS370" i="32"/>
  <c r="CS369" i="32"/>
  <c r="CS368" i="32"/>
  <c r="CS357" i="32"/>
  <c r="CS379" i="32"/>
  <c r="CS363" i="32"/>
  <c r="CS360" i="32"/>
  <c r="CS364" i="32"/>
  <c r="CS376" i="32"/>
  <c r="CS160" i="32"/>
  <c r="CS164" i="32"/>
  <c r="CS298" i="32"/>
  <c r="CS293" i="32"/>
  <c r="CS294" i="32"/>
  <c r="CS290" i="32"/>
  <c r="CS287" i="32"/>
  <c r="CS295" i="32"/>
  <c r="CS291" i="32"/>
  <c r="CS292" i="32"/>
  <c r="CS297" i="32"/>
  <c r="CS289" i="32"/>
  <c r="CR266" i="32"/>
  <c r="CR267" i="32"/>
  <c r="CR285" i="32"/>
  <c r="CR219" i="32"/>
  <c r="CR318" i="32"/>
  <c r="CR223" i="32"/>
  <c r="CR231" i="32"/>
  <c r="CR230" i="32"/>
  <c r="CR229" i="32"/>
  <c r="CR228" i="32"/>
  <c r="CR227" i="32"/>
  <c r="CR226" i="32"/>
  <c r="CR225" i="32"/>
  <c r="CR224" i="32"/>
  <c r="CR222" i="32"/>
  <c r="CR193" i="32"/>
  <c r="CR192" i="32"/>
  <c r="CR159" i="32"/>
  <c r="CR146" i="32"/>
  <c r="CR145" i="32"/>
  <c r="CR220" i="32"/>
  <c r="CR208" i="32"/>
  <c r="CR206" i="32"/>
  <c r="CR205" i="32"/>
  <c r="CR221" i="32"/>
  <c r="CR204" i="32"/>
  <c r="CR203" i="32"/>
  <c r="CR202" i="32"/>
  <c r="CR200" i="32"/>
  <c r="CR199" i="32"/>
  <c r="CR198" i="32"/>
  <c r="CR197" i="32"/>
  <c r="CR232" i="32"/>
  <c r="CR195" i="32"/>
  <c r="CR189" i="32"/>
  <c r="CR236" i="32"/>
  <c r="CR235" i="32"/>
  <c r="CR234" i="32"/>
  <c r="CR233" i="32"/>
  <c r="CR201" i="32"/>
  <c r="CR216" i="32"/>
  <c r="CR211" i="32"/>
  <c r="CR215" i="32"/>
  <c r="CR210" i="32"/>
  <c r="CR214" i="32"/>
  <c r="CR212" i="32"/>
  <c r="CR217" i="32"/>
  <c r="CR181" i="32"/>
  <c r="CR183" i="32"/>
  <c r="CR184" i="32"/>
  <c r="CR347" i="32"/>
  <c r="CR346" i="32"/>
  <c r="CR344" i="32"/>
  <c r="CR343" i="32"/>
  <c r="CR355" i="32"/>
  <c r="CR354" i="32"/>
  <c r="CR353" i="32"/>
  <c r="CR352" i="32"/>
  <c r="CR351" i="32"/>
  <c r="CR350" i="32"/>
  <c r="CR348" i="32"/>
  <c r="CR345" i="32"/>
  <c r="CR349" i="32"/>
  <c r="CR342" i="32"/>
  <c r="CR104" i="32"/>
  <c r="CR103" i="32"/>
  <c r="CR102" i="32"/>
  <c r="CR101" i="32"/>
  <c r="CR100" i="32"/>
  <c r="CR99" i="32"/>
  <c r="CR98" i="32"/>
  <c r="CR96" i="32"/>
  <c r="CR95" i="32"/>
  <c r="CR94" i="32"/>
  <c r="CR118" i="32"/>
  <c r="CR116" i="32"/>
  <c r="CR115" i="32"/>
  <c r="CR114" i="32"/>
  <c r="CR113" i="32"/>
  <c r="CR112" i="32"/>
  <c r="CR111" i="32"/>
  <c r="CR110" i="32"/>
  <c r="CR108" i="32"/>
  <c r="CR107" i="32"/>
  <c r="CR106" i="32"/>
  <c r="CR105" i="32"/>
  <c r="CR97" i="32"/>
  <c r="CR93" i="32"/>
  <c r="CR117" i="32"/>
  <c r="CR109" i="32"/>
  <c r="CR142" i="32"/>
  <c r="CR278" i="32"/>
  <c r="CR252" i="32"/>
  <c r="CR246" i="32"/>
  <c r="CR191" i="32"/>
  <c r="CR190" i="32"/>
  <c r="CR188" i="32"/>
  <c r="CR238" i="32"/>
  <c r="CR240" i="32"/>
  <c r="CR244" i="32"/>
  <c r="CR245" i="32"/>
  <c r="CR185" i="32"/>
  <c r="CR179" i="32"/>
  <c r="CR242" i="32"/>
  <c r="CR243" i="32"/>
  <c r="CR194" i="32"/>
  <c r="CR182" i="32"/>
  <c r="CR284" i="32"/>
  <c r="CR378" i="32"/>
  <c r="CR265" i="32"/>
  <c r="CR373" i="32"/>
  <c r="CR196" i="32"/>
  <c r="CR186" i="32"/>
  <c r="CR253" i="32"/>
  <c r="CR280" i="32"/>
  <c r="CR254" i="32"/>
  <c r="CR241" i="32"/>
  <c r="CR180" i="32"/>
  <c r="CR239" i="32"/>
  <c r="CR281" i="32"/>
  <c r="CR256" i="32"/>
  <c r="CR187" i="32"/>
  <c r="CR288" i="32"/>
  <c r="CR282" i="32"/>
  <c r="CR255" i="32"/>
  <c r="CR251" i="32"/>
  <c r="CR237" i="32"/>
  <c r="CR272" i="32"/>
  <c r="CR365" i="32"/>
  <c r="CR178" i="32"/>
  <c r="CR218" i="32"/>
  <c r="CR57" i="32"/>
  <c r="CR56" i="32"/>
  <c r="CR55" i="32"/>
  <c r="CR54" i="32"/>
  <c r="CR53" i="32"/>
  <c r="CR52" i="32"/>
  <c r="CR51" i="32"/>
  <c r="CR50" i="32"/>
  <c r="CR49" i="32"/>
  <c r="CR48" i="32"/>
  <c r="CR47" i="32"/>
  <c r="CR46" i="32"/>
  <c r="CR45" i="32"/>
  <c r="CR44" i="32"/>
  <c r="CR42" i="32"/>
  <c r="CR41" i="32"/>
  <c r="CR40" i="32"/>
  <c r="CR39" i="32"/>
  <c r="CR38" i="32"/>
  <c r="CR37" i="32"/>
  <c r="CR35" i="32"/>
  <c r="CR34" i="32"/>
  <c r="CR33" i="32"/>
  <c r="CR32" i="32"/>
  <c r="CR31" i="32"/>
  <c r="CR30" i="32"/>
  <c r="CR29" i="32"/>
  <c r="CR28" i="32"/>
  <c r="CR27" i="32"/>
  <c r="CR26" i="32"/>
  <c r="CR25" i="32"/>
  <c r="CR24" i="32"/>
  <c r="CR23" i="32"/>
  <c r="CR22" i="32"/>
  <c r="CR21" i="32"/>
  <c r="CR20" i="32"/>
  <c r="CR19" i="32"/>
  <c r="CR18" i="32"/>
  <c r="CR17" i="32"/>
  <c r="CR16" i="32"/>
  <c r="CR15" i="32"/>
  <c r="CR92" i="32"/>
  <c r="CR91" i="32"/>
  <c r="CR90" i="32"/>
  <c r="CR89" i="32"/>
  <c r="CR88" i="32"/>
  <c r="CR87" i="32"/>
  <c r="CR86" i="32"/>
  <c r="CR85" i="32"/>
  <c r="CR84" i="32"/>
  <c r="CR83" i="32"/>
  <c r="CR82" i="32"/>
  <c r="CR81" i="32"/>
  <c r="CR80" i="32"/>
  <c r="CR79" i="32"/>
  <c r="CR78" i="32"/>
  <c r="CR77" i="32"/>
  <c r="CR75" i="32"/>
  <c r="CR74" i="32"/>
  <c r="CR73" i="32"/>
  <c r="CR72" i="32"/>
  <c r="CR71" i="32"/>
  <c r="CR70" i="32"/>
  <c r="CR69" i="32"/>
  <c r="CR68" i="32"/>
  <c r="CR67" i="32"/>
  <c r="CR66" i="32"/>
  <c r="CR65" i="32"/>
  <c r="CR63" i="32"/>
  <c r="CR62" i="32"/>
  <c r="CR61" i="32"/>
  <c r="CR60" i="32"/>
  <c r="CR59" i="32"/>
  <c r="CR58" i="32"/>
  <c r="CR43" i="32"/>
  <c r="CR36" i="32"/>
  <c r="CR76" i="32"/>
  <c r="CR64" i="32"/>
  <c r="CR14" i="32"/>
  <c r="CR157" i="32"/>
  <c r="CR154" i="32"/>
  <c r="CR155" i="32"/>
  <c r="CR137" i="32"/>
  <c r="CR136" i="32"/>
  <c r="CR138" i="32"/>
  <c r="CR127" i="32"/>
  <c r="CR139" i="32"/>
  <c r="CR131" i="32"/>
  <c r="CR135" i="32"/>
  <c r="CR140" i="32"/>
  <c r="CR126" i="32"/>
  <c r="CR132" i="32"/>
  <c r="CR134" i="32"/>
  <c r="CR124" i="32"/>
  <c r="CR121" i="32"/>
  <c r="CR128" i="32"/>
  <c r="CR129" i="32"/>
  <c r="CR123" i="32"/>
  <c r="CR119" i="32"/>
  <c r="CR122" i="32"/>
  <c r="CR120" i="32"/>
  <c r="CR130" i="32"/>
  <c r="CR125" i="32"/>
  <c r="CR133" i="32"/>
  <c r="CR158" i="32"/>
  <c r="CR150" i="32"/>
  <c r="CR163" i="32"/>
  <c r="CR166" i="32"/>
  <c r="CR147" i="32"/>
  <c r="CR149" i="32"/>
  <c r="CR151" i="32"/>
  <c r="CR148" i="32"/>
  <c r="CR153" i="32"/>
  <c r="CR144" i="32"/>
  <c r="CR168" i="32"/>
  <c r="CR161" i="32"/>
  <c r="CR143" i="32"/>
  <c r="CR167" i="32"/>
  <c r="CR162" i="32"/>
  <c r="CR141" i="32"/>
  <c r="CR165" i="32"/>
  <c r="CR296" i="32"/>
  <c r="CR325" i="32"/>
  <c r="CR260" i="32"/>
  <c r="CR277" i="32"/>
  <c r="CR305" i="32"/>
  <c r="CR307" i="32"/>
  <c r="CR276" i="32"/>
  <c r="CR286" i="32"/>
  <c r="CR169" i="32"/>
  <c r="CR270" i="32"/>
  <c r="CR273" i="32"/>
  <c r="CR262" i="32"/>
  <c r="CR250" i="32"/>
  <c r="CR248" i="32"/>
  <c r="CR269" i="32"/>
  <c r="CR177" i="32"/>
  <c r="CR374" i="32"/>
  <c r="CR358" i="32"/>
  <c r="CR283" i="32"/>
  <c r="CR171" i="32"/>
  <c r="CR172" i="32"/>
  <c r="CR259" i="32"/>
  <c r="CR261" i="32"/>
  <c r="CR377" i="32"/>
  <c r="CR375" i="32"/>
  <c r="CR372" i="32"/>
  <c r="CR257" i="32"/>
  <c r="CR366" i="32"/>
  <c r="CR176" i="32"/>
  <c r="CR380" i="32"/>
  <c r="CR381" i="32"/>
  <c r="CR359" i="32"/>
  <c r="CR274" i="32"/>
  <c r="CR361" i="32"/>
  <c r="CR362" i="32"/>
  <c r="CR367" i="32"/>
  <c r="CR258" i="32"/>
  <c r="CR152" i="32"/>
  <c r="CR263" i="32"/>
  <c r="CR275" i="32"/>
  <c r="CR264" i="32"/>
  <c r="CR279" i="32"/>
  <c r="CR249" i="32"/>
  <c r="CR247" i="32"/>
  <c r="CR268" i="32"/>
  <c r="CR334" i="32"/>
  <c r="CR174" i="32"/>
  <c r="CR341" i="32"/>
  <c r="CR333" i="32"/>
  <c r="CR337" i="32"/>
  <c r="CR335" i="32"/>
  <c r="CR332" i="32"/>
  <c r="CR331" i="32"/>
  <c r="CR340" i="32"/>
  <c r="CR271" i="32"/>
  <c r="CR173" i="32"/>
  <c r="CR175" i="32"/>
  <c r="CR339" i="32"/>
  <c r="CR338" i="32"/>
  <c r="CR336" i="32"/>
  <c r="CR170" i="32"/>
  <c r="CR330" i="32"/>
  <c r="CR324" i="32"/>
  <c r="CR321" i="32"/>
  <c r="CR322" i="32"/>
  <c r="CR329" i="32"/>
  <c r="CR327" i="32"/>
  <c r="CR320" i="32"/>
  <c r="CR323" i="32"/>
  <c r="CR317" i="32"/>
  <c r="CR315" i="32"/>
  <c r="CR316" i="32"/>
  <c r="CR319" i="32"/>
  <c r="CR328" i="32"/>
  <c r="CR326" i="32"/>
  <c r="CR312" i="32"/>
  <c r="CR313" i="32"/>
  <c r="CR314" i="32"/>
  <c r="CR302" i="32"/>
  <c r="CR300" i="32"/>
  <c r="CR299" i="32"/>
  <c r="CR304" i="32"/>
  <c r="CR303" i="32"/>
  <c r="CR301" i="32"/>
  <c r="CR311" i="32"/>
  <c r="CR308" i="32"/>
  <c r="CR310" i="32"/>
  <c r="CR306" i="32"/>
  <c r="CR309" i="32"/>
  <c r="CR371" i="32"/>
  <c r="CR370" i="32"/>
  <c r="CR369" i="32"/>
  <c r="CR368" i="32"/>
  <c r="CR357" i="32"/>
  <c r="CR379" i="32"/>
  <c r="CR363" i="32"/>
  <c r="CR360" i="32"/>
  <c r="CR364" i="32"/>
  <c r="CR376" i="32"/>
  <c r="CR160" i="32"/>
  <c r="CR164" i="32"/>
  <c r="CR298" i="32"/>
  <c r="CR293" i="32"/>
  <c r="CR294" i="32"/>
  <c r="CR290" i="32"/>
  <c r="CR287" i="32"/>
  <c r="CR295" i="32"/>
  <c r="CR291" i="32"/>
  <c r="CR292" i="32"/>
  <c r="CR297" i="32"/>
  <c r="CR289" i="32"/>
  <c r="BF266" i="32"/>
  <c r="BG266" i="32" s="1"/>
  <c r="BF267" i="32"/>
  <c r="BG267" i="32" s="1"/>
  <c r="BF285" i="32"/>
  <c r="BG285" i="32" s="1"/>
  <c r="BF219" i="32"/>
  <c r="BG219" i="32" s="1"/>
  <c r="BF318" i="32"/>
  <c r="BG318" i="32" s="1"/>
  <c r="BF223" i="32"/>
  <c r="BG223" i="32" s="1"/>
  <c r="BF231" i="32"/>
  <c r="BG231" i="32" s="1"/>
  <c r="BF230" i="32"/>
  <c r="BG230" i="32" s="1"/>
  <c r="BF229" i="32"/>
  <c r="BG229" i="32" s="1"/>
  <c r="BF228" i="32"/>
  <c r="BG228" i="32" s="1"/>
  <c r="BF227" i="32"/>
  <c r="BG227" i="32" s="1"/>
  <c r="BF226" i="32"/>
  <c r="BG226" i="32" s="1"/>
  <c r="BF225" i="32"/>
  <c r="BG225" i="32" s="1"/>
  <c r="BF224" i="32"/>
  <c r="BG224" i="32" s="1"/>
  <c r="BF222" i="32"/>
  <c r="BG222" i="32" s="1"/>
  <c r="BF193" i="32"/>
  <c r="BG193" i="32" s="1"/>
  <c r="BF192" i="32"/>
  <c r="BG192" i="32" s="1"/>
  <c r="BF159" i="32"/>
  <c r="BG159" i="32" s="1"/>
  <c r="BF146" i="32"/>
  <c r="BG146" i="32" s="1"/>
  <c r="BF145" i="32"/>
  <c r="BG145" i="32" s="1"/>
  <c r="BF220" i="32"/>
  <c r="BG220" i="32" s="1"/>
  <c r="BF208" i="32"/>
  <c r="BG208" i="32" s="1"/>
  <c r="BF206" i="32"/>
  <c r="BG206" i="32" s="1"/>
  <c r="BF205" i="32"/>
  <c r="BG205" i="32" s="1"/>
  <c r="BF221" i="32"/>
  <c r="BG221" i="32" s="1"/>
  <c r="BF204" i="32"/>
  <c r="BG204" i="32" s="1"/>
  <c r="BF203" i="32"/>
  <c r="BG203" i="32" s="1"/>
  <c r="BF202" i="32"/>
  <c r="BG202" i="32" s="1"/>
  <c r="BF200" i="32"/>
  <c r="BG200" i="32" s="1"/>
  <c r="BF199" i="32"/>
  <c r="BG199" i="32" s="1"/>
  <c r="BF198" i="32"/>
  <c r="BG198" i="32" s="1"/>
  <c r="BF197" i="32"/>
  <c r="BG197" i="32" s="1"/>
  <c r="BF232" i="32"/>
  <c r="BG232" i="32" s="1"/>
  <c r="BF195" i="32"/>
  <c r="BG195" i="32" s="1"/>
  <c r="BF189" i="32"/>
  <c r="BG189" i="32" s="1"/>
  <c r="BF236" i="32"/>
  <c r="BG236" i="32" s="1"/>
  <c r="BF235" i="32"/>
  <c r="BG235" i="32" s="1"/>
  <c r="BF234" i="32"/>
  <c r="BG234" i="32" s="1"/>
  <c r="BF233" i="32"/>
  <c r="BG233" i="32" s="1"/>
  <c r="BF201" i="32"/>
  <c r="BG201" i="32" s="1"/>
  <c r="BF216" i="32"/>
  <c r="BG216" i="32" s="1"/>
  <c r="BF211" i="32"/>
  <c r="BG211" i="32" s="1"/>
  <c r="BF215" i="32"/>
  <c r="BG215" i="32" s="1"/>
  <c r="BF210" i="32"/>
  <c r="BG210" i="32" s="1"/>
  <c r="BF214" i="32"/>
  <c r="BG214" i="32" s="1"/>
  <c r="BF212" i="32"/>
  <c r="BG212" i="32" s="1"/>
  <c r="BF217" i="32"/>
  <c r="BG217" i="32" s="1"/>
  <c r="BF181" i="32"/>
  <c r="BG181" i="32" s="1"/>
  <c r="BF183" i="32"/>
  <c r="BG183" i="32" s="1"/>
  <c r="BF184" i="32"/>
  <c r="BG184" i="32" s="1"/>
  <c r="BF347" i="32"/>
  <c r="BG347" i="32" s="1"/>
  <c r="BF346" i="32"/>
  <c r="BG346" i="32" s="1"/>
  <c r="BF344" i="32"/>
  <c r="BG344" i="32" s="1"/>
  <c r="BF343" i="32"/>
  <c r="BG343" i="32" s="1"/>
  <c r="BF355" i="32"/>
  <c r="BG355" i="32" s="1"/>
  <c r="BF354" i="32"/>
  <c r="BG354" i="32" s="1"/>
  <c r="BF353" i="32"/>
  <c r="BG353" i="32" s="1"/>
  <c r="BF352" i="32"/>
  <c r="BG352" i="32" s="1"/>
  <c r="BF351" i="32"/>
  <c r="BG351" i="32" s="1"/>
  <c r="BF350" i="32"/>
  <c r="BG350" i="32" s="1"/>
  <c r="BF348" i="32"/>
  <c r="BG348" i="32" s="1"/>
  <c r="BF345" i="32"/>
  <c r="BG345" i="32" s="1"/>
  <c r="BF349" i="32"/>
  <c r="BG349" i="32" s="1"/>
  <c r="BF342" i="32"/>
  <c r="BG342" i="32" s="1"/>
  <c r="BF104" i="32"/>
  <c r="BG104" i="32" s="1"/>
  <c r="BF103" i="32"/>
  <c r="BG103" i="32" s="1"/>
  <c r="BF102" i="32"/>
  <c r="BG102" i="32" s="1"/>
  <c r="BF101" i="32"/>
  <c r="BG101" i="32" s="1"/>
  <c r="BF100" i="32"/>
  <c r="BG100" i="32" s="1"/>
  <c r="BF99" i="32"/>
  <c r="BG99" i="32" s="1"/>
  <c r="BF98" i="32"/>
  <c r="BG98" i="32" s="1"/>
  <c r="BF96" i="32"/>
  <c r="BG96" i="32" s="1"/>
  <c r="BF95" i="32"/>
  <c r="BG95" i="32" s="1"/>
  <c r="BF94" i="32"/>
  <c r="BG94" i="32" s="1"/>
  <c r="BF118" i="32"/>
  <c r="BG118" i="32" s="1"/>
  <c r="BF116" i="32"/>
  <c r="BG116" i="32" s="1"/>
  <c r="BF115" i="32"/>
  <c r="BG115" i="32" s="1"/>
  <c r="BF114" i="32"/>
  <c r="BG114" i="32" s="1"/>
  <c r="BF113" i="32"/>
  <c r="BG113" i="32" s="1"/>
  <c r="BF112" i="32"/>
  <c r="BG112" i="32" s="1"/>
  <c r="BF111" i="32"/>
  <c r="BG111" i="32" s="1"/>
  <c r="BF110" i="32"/>
  <c r="BG110" i="32" s="1"/>
  <c r="BF108" i="32"/>
  <c r="BG108" i="32" s="1"/>
  <c r="BF107" i="32"/>
  <c r="BG107" i="32" s="1"/>
  <c r="BF106" i="32"/>
  <c r="BG106" i="32" s="1"/>
  <c r="BF105" i="32"/>
  <c r="BG105" i="32" s="1"/>
  <c r="BF97" i="32"/>
  <c r="BG97" i="32" s="1"/>
  <c r="BF93" i="32"/>
  <c r="BG93" i="32" s="1"/>
  <c r="BF117" i="32"/>
  <c r="BG117" i="32" s="1"/>
  <c r="BF109" i="32"/>
  <c r="BG109" i="32" s="1"/>
  <c r="BF142" i="32"/>
  <c r="BG142" i="32" s="1"/>
  <c r="BF278" i="32"/>
  <c r="BG278" i="32" s="1"/>
  <c r="BF252" i="32"/>
  <c r="BG252" i="32" s="1"/>
  <c r="BF246" i="32"/>
  <c r="BG246" i="32" s="1"/>
  <c r="BF191" i="32"/>
  <c r="BG191" i="32" s="1"/>
  <c r="BF190" i="32"/>
  <c r="BG190" i="32" s="1"/>
  <c r="BF188" i="32"/>
  <c r="BG188" i="32" s="1"/>
  <c r="BF238" i="32"/>
  <c r="BG238" i="32" s="1"/>
  <c r="BF240" i="32"/>
  <c r="BG240" i="32" s="1"/>
  <c r="BF244" i="32"/>
  <c r="BG244" i="32" s="1"/>
  <c r="BF245" i="32"/>
  <c r="BG245" i="32" s="1"/>
  <c r="BF185" i="32"/>
  <c r="BG185" i="32" s="1"/>
  <c r="BF179" i="32"/>
  <c r="BG179" i="32" s="1"/>
  <c r="BF242" i="32"/>
  <c r="BG242" i="32" s="1"/>
  <c r="BF243" i="32"/>
  <c r="BG243" i="32" s="1"/>
  <c r="BF194" i="32"/>
  <c r="BG194" i="32" s="1"/>
  <c r="BF182" i="32"/>
  <c r="BG182" i="32" s="1"/>
  <c r="BF284" i="32"/>
  <c r="BG284" i="32" s="1"/>
  <c r="BF378" i="32"/>
  <c r="BG378" i="32" s="1"/>
  <c r="BF265" i="32"/>
  <c r="BG265" i="32" s="1"/>
  <c r="BF373" i="32"/>
  <c r="BG373" i="32" s="1"/>
  <c r="BF196" i="32"/>
  <c r="BG196" i="32" s="1"/>
  <c r="BF186" i="32"/>
  <c r="BG186" i="32" s="1"/>
  <c r="BF253" i="32"/>
  <c r="BG253" i="32" s="1"/>
  <c r="BF280" i="32"/>
  <c r="BG280" i="32" s="1"/>
  <c r="BF254" i="32"/>
  <c r="BG254" i="32" s="1"/>
  <c r="BF241" i="32"/>
  <c r="BG241" i="32" s="1"/>
  <c r="BF180" i="32"/>
  <c r="BG180" i="32" s="1"/>
  <c r="BF239" i="32"/>
  <c r="BG239" i="32" s="1"/>
  <c r="BF281" i="32"/>
  <c r="BG281" i="32" s="1"/>
  <c r="BF256" i="32"/>
  <c r="BG256" i="32" s="1"/>
  <c r="BF187" i="32"/>
  <c r="BG187" i="32" s="1"/>
  <c r="BF288" i="32"/>
  <c r="BG288" i="32" s="1"/>
  <c r="BF282" i="32"/>
  <c r="BG282" i="32" s="1"/>
  <c r="BF255" i="32"/>
  <c r="BG255" i="32" s="1"/>
  <c r="BF251" i="32"/>
  <c r="BG251" i="32" s="1"/>
  <c r="BF237" i="32"/>
  <c r="BG237" i="32" s="1"/>
  <c r="BF272" i="32"/>
  <c r="BG272" i="32" s="1"/>
  <c r="BF365" i="32"/>
  <c r="BG365" i="32" s="1"/>
  <c r="BF178" i="32"/>
  <c r="BG178" i="32" s="1"/>
  <c r="BF218" i="32"/>
  <c r="BG218" i="32" s="1"/>
  <c r="BF57" i="32"/>
  <c r="BG57" i="32" s="1"/>
  <c r="BF56" i="32"/>
  <c r="BG56" i="32" s="1"/>
  <c r="BF55" i="32"/>
  <c r="BG55" i="32" s="1"/>
  <c r="BF54" i="32"/>
  <c r="BG54" i="32" s="1"/>
  <c r="BF53" i="32"/>
  <c r="BG53" i="32" s="1"/>
  <c r="BF52" i="32"/>
  <c r="BG52" i="32" s="1"/>
  <c r="BF51" i="32"/>
  <c r="BG51" i="32" s="1"/>
  <c r="BF50" i="32"/>
  <c r="BG50" i="32" s="1"/>
  <c r="BF49" i="32"/>
  <c r="BG49" i="32" s="1"/>
  <c r="BF48" i="32"/>
  <c r="BG48" i="32" s="1"/>
  <c r="BF47" i="32"/>
  <c r="BG47" i="32" s="1"/>
  <c r="BF46" i="32"/>
  <c r="BG46" i="32" s="1"/>
  <c r="BF45" i="32"/>
  <c r="BG45" i="32" s="1"/>
  <c r="BF44" i="32"/>
  <c r="BG44" i="32" s="1"/>
  <c r="BF42" i="32"/>
  <c r="BG42" i="32" s="1"/>
  <c r="BF41" i="32"/>
  <c r="BG41" i="32" s="1"/>
  <c r="BF40" i="32"/>
  <c r="BG40" i="32" s="1"/>
  <c r="BF39" i="32"/>
  <c r="BG39" i="32" s="1"/>
  <c r="BF38" i="32"/>
  <c r="BG38" i="32" s="1"/>
  <c r="BF37" i="32"/>
  <c r="BG37" i="32" s="1"/>
  <c r="BF35" i="32"/>
  <c r="BG35" i="32" s="1"/>
  <c r="BF34" i="32"/>
  <c r="BG34" i="32" s="1"/>
  <c r="BF33" i="32"/>
  <c r="BG33" i="32" s="1"/>
  <c r="BF32" i="32"/>
  <c r="BG32" i="32" s="1"/>
  <c r="BF31" i="32"/>
  <c r="BG31" i="32" s="1"/>
  <c r="BF30" i="32"/>
  <c r="BG30" i="32" s="1"/>
  <c r="BF29" i="32"/>
  <c r="BG29" i="32" s="1"/>
  <c r="BF28" i="32"/>
  <c r="BG28" i="32" s="1"/>
  <c r="BF27" i="32"/>
  <c r="BG27" i="32" s="1"/>
  <c r="BF26" i="32"/>
  <c r="BG26" i="32" s="1"/>
  <c r="BF25" i="32"/>
  <c r="BG25" i="32" s="1"/>
  <c r="BF24" i="32"/>
  <c r="BG24" i="32" s="1"/>
  <c r="BF23" i="32"/>
  <c r="BG23" i="32" s="1"/>
  <c r="BF22" i="32"/>
  <c r="BG22" i="32" s="1"/>
  <c r="BF21" i="32"/>
  <c r="BG21" i="32" s="1"/>
  <c r="BF20" i="32"/>
  <c r="BG20" i="32" s="1"/>
  <c r="BF19" i="32"/>
  <c r="BG19" i="32" s="1"/>
  <c r="BF18" i="32"/>
  <c r="BG18" i="32" s="1"/>
  <c r="BF17" i="32"/>
  <c r="BG17" i="32" s="1"/>
  <c r="BF16" i="32"/>
  <c r="BG16" i="32" s="1"/>
  <c r="BF15" i="32"/>
  <c r="BG15" i="32" s="1"/>
  <c r="BF92" i="32"/>
  <c r="BG92" i="32" s="1"/>
  <c r="BF91" i="32"/>
  <c r="BG91" i="32" s="1"/>
  <c r="BF90" i="32"/>
  <c r="BG90" i="32" s="1"/>
  <c r="BF89" i="32"/>
  <c r="BG89" i="32" s="1"/>
  <c r="BF88" i="32"/>
  <c r="BG88" i="32" s="1"/>
  <c r="BF87" i="32"/>
  <c r="BG87" i="32" s="1"/>
  <c r="BF86" i="32"/>
  <c r="BG86" i="32" s="1"/>
  <c r="BF85" i="32"/>
  <c r="BG85" i="32" s="1"/>
  <c r="BF84" i="32"/>
  <c r="BG84" i="32" s="1"/>
  <c r="BF83" i="32"/>
  <c r="BG83" i="32" s="1"/>
  <c r="BF82" i="32"/>
  <c r="BG82" i="32" s="1"/>
  <c r="BF81" i="32"/>
  <c r="BG81" i="32" s="1"/>
  <c r="BF80" i="32"/>
  <c r="BG80" i="32" s="1"/>
  <c r="BF79" i="32"/>
  <c r="BG79" i="32" s="1"/>
  <c r="BF78" i="32"/>
  <c r="BG78" i="32" s="1"/>
  <c r="BF77" i="32"/>
  <c r="BG77" i="32" s="1"/>
  <c r="BF75" i="32"/>
  <c r="BG75" i="32" s="1"/>
  <c r="BF74" i="32"/>
  <c r="BG74" i="32" s="1"/>
  <c r="BF73" i="32"/>
  <c r="BG73" i="32" s="1"/>
  <c r="BF72" i="32"/>
  <c r="BG72" i="32" s="1"/>
  <c r="BF71" i="32"/>
  <c r="BG71" i="32" s="1"/>
  <c r="BF70" i="32"/>
  <c r="BG70" i="32" s="1"/>
  <c r="BF69" i="32"/>
  <c r="BG69" i="32" s="1"/>
  <c r="BF68" i="32"/>
  <c r="BG68" i="32" s="1"/>
  <c r="BF67" i="32"/>
  <c r="BG67" i="32" s="1"/>
  <c r="BF66" i="32"/>
  <c r="BG66" i="32" s="1"/>
  <c r="BF65" i="32"/>
  <c r="BG65" i="32" s="1"/>
  <c r="BF63" i="32"/>
  <c r="BG63" i="32" s="1"/>
  <c r="BF62" i="32"/>
  <c r="BG62" i="32" s="1"/>
  <c r="BF61" i="32"/>
  <c r="BG61" i="32" s="1"/>
  <c r="BF60" i="32"/>
  <c r="BG60" i="32" s="1"/>
  <c r="BF59" i="32"/>
  <c r="BG59" i="32" s="1"/>
  <c r="BF58" i="32"/>
  <c r="BG58" i="32" s="1"/>
  <c r="BF43" i="32"/>
  <c r="BG43" i="32" s="1"/>
  <c r="BF36" i="32"/>
  <c r="BG36" i="32" s="1"/>
  <c r="BF76" i="32"/>
  <c r="BG76" i="32" s="1"/>
  <c r="BF64" i="32"/>
  <c r="BG64" i="32" s="1"/>
  <c r="BF14" i="32"/>
  <c r="BG14" i="32" s="1"/>
  <c r="BF157" i="32"/>
  <c r="BG157" i="32" s="1"/>
  <c r="BF154" i="32"/>
  <c r="BG154" i="32" s="1"/>
  <c r="BF155" i="32"/>
  <c r="BG155" i="32" s="1"/>
  <c r="BF137" i="32"/>
  <c r="BG137" i="32" s="1"/>
  <c r="BF136" i="32"/>
  <c r="BG136" i="32" s="1"/>
  <c r="BF138" i="32"/>
  <c r="BG138" i="32" s="1"/>
  <c r="BF127" i="32"/>
  <c r="BG127" i="32" s="1"/>
  <c r="BF139" i="32"/>
  <c r="BG139" i="32" s="1"/>
  <c r="BF131" i="32"/>
  <c r="BG131" i="32" s="1"/>
  <c r="BF135" i="32"/>
  <c r="BG135" i="32" s="1"/>
  <c r="BF140" i="32"/>
  <c r="BG140" i="32" s="1"/>
  <c r="BF126" i="32"/>
  <c r="BG126" i="32" s="1"/>
  <c r="BF132" i="32"/>
  <c r="BG132" i="32" s="1"/>
  <c r="BF134" i="32"/>
  <c r="BG134" i="32" s="1"/>
  <c r="BF124" i="32"/>
  <c r="BG124" i="32" s="1"/>
  <c r="BF121" i="32"/>
  <c r="BG121" i="32" s="1"/>
  <c r="BF128" i="32"/>
  <c r="BG128" i="32" s="1"/>
  <c r="BF129" i="32"/>
  <c r="BG129" i="32" s="1"/>
  <c r="BF123" i="32"/>
  <c r="BG123" i="32" s="1"/>
  <c r="BF119" i="32"/>
  <c r="BG119" i="32" s="1"/>
  <c r="BF122" i="32"/>
  <c r="BG122" i="32" s="1"/>
  <c r="BF120" i="32"/>
  <c r="BG120" i="32" s="1"/>
  <c r="BF130" i="32"/>
  <c r="BG130" i="32" s="1"/>
  <c r="BF125" i="32"/>
  <c r="BG125" i="32" s="1"/>
  <c r="BF133" i="32"/>
  <c r="BG133" i="32" s="1"/>
  <c r="BF158" i="32"/>
  <c r="BG158" i="32" s="1"/>
  <c r="BF150" i="32"/>
  <c r="BG150" i="32" s="1"/>
  <c r="BF163" i="32"/>
  <c r="BG163" i="32" s="1"/>
  <c r="BF166" i="32"/>
  <c r="BG166" i="32" s="1"/>
  <c r="BF147" i="32"/>
  <c r="BG147" i="32" s="1"/>
  <c r="BF149" i="32"/>
  <c r="BG149" i="32" s="1"/>
  <c r="BF151" i="32"/>
  <c r="BG151" i="32" s="1"/>
  <c r="BF148" i="32"/>
  <c r="BG148" i="32" s="1"/>
  <c r="BF153" i="32"/>
  <c r="BG153" i="32" s="1"/>
  <c r="BF144" i="32"/>
  <c r="BG144" i="32" s="1"/>
  <c r="BF168" i="32"/>
  <c r="BG168" i="32" s="1"/>
  <c r="BF161" i="32"/>
  <c r="BG161" i="32" s="1"/>
  <c r="BF143" i="32"/>
  <c r="BG143" i="32" s="1"/>
  <c r="BF167" i="32"/>
  <c r="BG167" i="32" s="1"/>
  <c r="BF162" i="32"/>
  <c r="BG162" i="32" s="1"/>
  <c r="BF141" i="32"/>
  <c r="BG141" i="32" s="1"/>
  <c r="BF165" i="32"/>
  <c r="BG165" i="32" s="1"/>
  <c r="BF296" i="32"/>
  <c r="BG296" i="32" s="1"/>
  <c r="BF325" i="32"/>
  <c r="BG325" i="32" s="1"/>
  <c r="BF260" i="32"/>
  <c r="BG260" i="32" s="1"/>
  <c r="BF277" i="32"/>
  <c r="BG277" i="32" s="1"/>
  <c r="BF305" i="32"/>
  <c r="BG305" i="32" s="1"/>
  <c r="BF307" i="32"/>
  <c r="BG307" i="32" s="1"/>
  <c r="BF276" i="32"/>
  <c r="BG276" i="32" s="1"/>
  <c r="BF286" i="32"/>
  <c r="BG286" i="32" s="1"/>
  <c r="BF169" i="32"/>
  <c r="BG169" i="32" s="1"/>
  <c r="BF270" i="32"/>
  <c r="BG270" i="32" s="1"/>
  <c r="BF273" i="32"/>
  <c r="BG273" i="32" s="1"/>
  <c r="BF262" i="32"/>
  <c r="BG262" i="32" s="1"/>
  <c r="BF250" i="32"/>
  <c r="BG250" i="32" s="1"/>
  <c r="BF248" i="32"/>
  <c r="BG248" i="32" s="1"/>
  <c r="BF269" i="32"/>
  <c r="BG269" i="32" s="1"/>
  <c r="BF177" i="32"/>
  <c r="BG177" i="32" s="1"/>
  <c r="BF374" i="32"/>
  <c r="BG374" i="32" s="1"/>
  <c r="BF358" i="32"/>
  <c r="BG358" i="32" s="1"/>
  <c r="BF283" i="32"/>
  <c r="BG283" i="32" s="1"/>
  <c r="BF171" i="32"/>
  <c r="BG171" i="32" s="1"/>
  <c r="BF172" i="32"/>
  <c r="BG172" i="32" s="1"/>
  <c r="BF259" i="32"/>
  <c r="BG259" i="32" s="1"/>
  <c r="BF261" i="32"/>
  <c r="BG261" i="32" s="1"/>
  <c r="BF377" i="32"/>
  <c r="BG377" i="32" s="1"/>
  <c r="BF375" i="32"/>
  <c r="BG375" i="32" s="1"/>
  <c r="BF372" i="32"/>
  <c r="BG372" i="32" s="1"/>
  <c r="BF257" i="32"/>
  <c r="BG257" i="32" s="1"/>
  <c r="BF366" i="32"/>
  <c r="BG366" i="32" s="1"/>
  <c r="BF176" i="32"/>
  <c r="BG176" i="32" s="1"/>
  <c r="BF380" i="32"/>
  <c r="BG380" i="32" s="1"/>
  <c r="BF381" i="32"/>
  <c r="BG381" i="32" s="1"/>
  <c r="BF359" i="32"/>
  <c r="BG359" i="32" s="1"/>
  <c r="BF274" i="32"/>
  <c r="BG274" i="32" s="1"/>
  <c r="BF361" i="32"/>
  <c r="BG361" i="32" s="1"/>
  <c r="BF362" i="32"/>
  <c r="BG362" i="32" s="1"/>
  <c r="BF367" i="32"/>
  <c r="BG367" i="32" s="1"/>
  <c r="BF258" i="32"/>
  <c r="BG258" i="32" s="1"/>
  <c r="BF152" i="32"/>
  <c r="BG152" i="32" s="1"/>
  <c r="BF263" i="32"/>
  <c r="BG263" i="32" s="1"/>
  <c r="BF275" i="32"/>
  <c r="BG275" i="32" s="1"/>
  <c r="BF264" i="32"/>
  <c r="BG264" i="32" s="1"/>
  <c r="BF279" i="32"/>
  <c r="BG279" i="32" s="1"/>
  <c r="BF249" i="32"/>
  <c r="BG249" i="32" s="1"/>
  <c r="BF247" i="32"/>
  <c r="BG247" i="32" s="1"/>
  <c r="BF268" i="32"/>
  <c r="BG268" i="32" s="1"/>
  <c r="BF334" i="32"/>
  <c r="BG334" i="32" s="1"/>
  <c r="BF174" i="32"/>
  <c r="BG174" i="32" s="1"/>
  <c r="BF341" i="32"/>
  <c r="BG341" i="32" s="1"/>
  <c r="BF333" i="32"/>
  <c r="BG333" i="32" s="1"/>
  <c r="BF337" i="32"/>
  <c r="BG337" i="32" s="1"/>
  <c r="BF335" i="32"/>
  <c r="BG335" i="32" s="1"/>
  <c r="BF332" i="32"/>
  <c r="BG332" i="32" s="1"/>
  <c r="BF331" i="32"/>
  <c r="BG331" i="32" s="1"/>
  <c r="BF340" i="32"/>
  <c r="BG340" i="32" s="1"/>
  <c r="BF271" i="32"/>
  <c r="BG271" i="32" s="1"/>
  <c r="BF173" i="32"/>
  <c r="BG173" i="32" s="1"/>
  <c r="BF175" i="32"/>
  <c r="BG175" i="32" s="1"/>
  <c r="BF339" i="32"/>
  <c r="BG339" i="32" s="1"/>
  <c r="BF338" i="32"/>
  <c r="BG338" i="32" s="1"/>
  <c r="BF336" i="32"/>
  <c r="BG336" i="32" s="1"/>
  <c r="BF170" i="32"/>
  <c r="BG170" i="32" s="1"/>
  <c r="BF330" i="32"/>
  <c r="BG330" i="32" s="1"/>
  <c r="BF324" i="32"/>
  <c r="BG324" i="32" s="1"/>
  <c r="BF321" i="32"/>
  <c r="BG321" i="32" s="1"/>
  <c r="BF322" i="32"/>
  <c r="BG322" i="32" s="1"/>
  <c r="BF329" i="32"/>
  <c r="BG329" i="32" s="1"/>
  <c r="BF327" i="32"/>
  <c r="BG327" i="32" s="1"/>
  <c r="BF320" i="32"/>
  <c r="BG320" i="32" s="1"/>
  <c r="BF323" i="32"/>
  <c r="BG323" i="32" s="1"/>
  <c r="BF317" i="32"/>
  <c r="BG317" i="32" s="1"/>
  <c r="BF315" i="32"/>
  <c r="BG315" i="32" s="1"/>
  <c r="BF316" i="32"/>
  <c r="BG316" i="32" s="1"/>
  <c r="BF319" i="32"/>
  <c r="BG319" i="32" s="1"/>
  <c r="BF328" i="32"/>
  <c r="BG328" i="32" s="1"/>
  <c r="BF326" i="32"/>
  <c r="BG326" i="32" s="1"/>
  <c r="BF312" i="32"/>
  <c r="BG312" i="32" s="1"/>
  <c r="BF313" i="32"/>
  <c r="BG313" i="32" s="1"/>
  <c r="BF314" i="32"/>
  <c r="BG314" i="32" s="1"/>
  <c r="BF302" i="32"/>
  <c r="BG302" i="32" s="1"/>
  <c r="BF300" i="32"/>
  <c r="BG300" i="32" s="1"/>
  <c r="BF299" i="32"/>
  <c r="BG299" i="32" s="1"/>
  <c r="BF304" i="32"/>
  <c r="BG304" i="32" s="1"/>
  <c r="BF303" i="32"/>
  <c r="BG303" i="32" s="1"/>
  <c r="BF301" i="32"/>
  <c r="BG301" i="32" s="1"/>
  <c r="BF311" i="32"/>
  <c r="BG311" i="32" s="1"/>
  <c r="BF308" i="32"/>
  <c r="BG308" i="32" s="1"/>
  <c r="BF310" i="32"/>
  <c r="BG310" i="32" s="1"/>
  <c r="BF306" i="32"/>
  <c r="BG306" i="32" s="1"/>
  <c r="BF309" i="32"/>
  <c r="BG309" i="32" s="1"/>
  <c r="BF371" i="32"/>
  <c r="BG371" i="32" s="1"/>
  <c r="BF370" i="32"/>
  <c r="BG370" i="32" s="1"/>
  <c r="BF369" i="32"/>
  <c r="BG369" i="32" s="1"/>
  <c r="BF368" i="32"/>
  <c r="BG368" i="32" s="1"/>
  <c r="BF357" i="32"/>
  <c r="BG357" i="32" s="1"/>
  <c r="BF379" i="32"/>
  <c r="BG379" i="32" s="1"/>
  <c r="BF363" i="32"/>
  <c r="BG363" i="32" s="1"/>
  <c r="BF360" i="32"/>
  <c r="BG360" i="32" s="1"/>
  <c r="BF364" i="32"/>
  <c r="BG364" i="32" s="1"/>
  <c r="BF376" i="32"/>
  <c r="BG376" i="32" s="1"/>
  <c r="BF160" i="32"/>
  <c r="BG160" i="32" s="1"/>
  <c r="BF164" i="32"/>
  <c r="BG164" i="32" s="1"/>
  <c r="BF298" i="32"/>
  <c r="BG298" i="32" s="1"/>
  <c r="BF293" i="32"/>
  <c r="BG293" i="32" s="1"/>
  <c r="BF294" i="32"/>
  <c r="BG294" i="32" s="1"/>
  <c r="BF290" i="32"/>
  <c r="BG290" i="32" s="1"/>
  <c r="BF287" i="32"/>
  <c r="BG287" i="32" s="1"/>
  <c r="BF295" i="32"/>
  <c r="BG295" i="32" s="1"/>
  <c r="BF291" i="32"/>
  <c r="BG291" i="32" s="1"/>
  <c r="BF292" i="32"/>
  <c r="BG292" i="32" s="1"/>
  <c r="BF297" i="32"/>
  <c r="BG297" i="32" s="1"/>
  <c r="BF289" i="32"/>
  <c r="BG289" i="32" s="1"/>
  <c r="BI266" i="32"/>
  <c r="BJ266" i="32" s="1"/>
  <c r="BI267" i="32"/>
  <c r="BJ267" i="32" s="1"/>
  <c r="BI285" i="32"/>
  <c r="BJ285" i="32" s="1"/>
  <c r="BI219" i="32"/>
  <c r="BJ219" i="32" s="1"/>
  <c r="BI318" i="32"/>
  <c r="BJ318" i="32" s="1"/>
  <c r="BI223" i="32"/>
  <c r="BJ223" i="32" s="1"/>
  <c r="BI231" i="32"/>
  <c r="BJ231" i="32" s="1"/>
  <c r="BI230" i="32"/>
  <c r="BJ230" i="32" s="1"/>
  <c r="BI229" i="32"/>
  <c r="BJ229" i="32" s="1"/>
  <c r="BI228" i="32"/>
  <c r="BJ228" i="32" s="1"/>
  <c r="BI227" i="32"/>
  <c r="BJ227" i="32" s="1"/>
  <c r="BI226" i="32"/>
  <c r="BJ226" i="32" s="1"/>
  <c r="BI225" i="32"/>
  <c r="BJ225" i="32" s="1"/>
  <c r="BI224" i="32"/>
  <c r="BJ224" i="32" s="1"/>
  <c r="BI222" i="32"/>
  <c r="BJ222" i="32" s="1"/>
  <c r="BI193" i="32"/>
  <c r="BJ193" i="32" s="1"/>
  <c r="BI192" i="32"/>
  <c r="BJ192" i="32" s="1"/>
  <c r="BI159" i="32"/>
  <c r="BJ159" i="32" s="1"/>
  <c r="BI146" i="32"/>
  <c r="BJ146" i="32" s="1"/>
  <c r="BI145" i="32"/>
  <c r="BJ145" i="32" s="1"/>
  <c r="BI220" i="32"/>
  <c r="BJ220" i="32" s="1"/>
  <c r="BI208" i="32"/>
  <c r="BJ208" i="32" s="1"/>
  <c r="BI206" i="32"/>
  <c r="BJ206" i="32" s="1"/>
  <c r="BI205" i="32"/>
  <c r="BJ205" i="32" s="1"/>
  <c r="BI221" i="32"/>
  <c r="BJ221" i="32" s="1"/>
  <c r="BI204" i="32"/>
  <c r="BJ204" i="32" s="1"/>
  <c r="BI203" i="32"/>
  <c r="BJ203" i="32" s="1"/>
  <c r="BI202" i="32"/>
  <c r="BJ202" i="32" s="1"/>
  <c r="BI200" i="32"/>
  <c r="BJ200" i="32" s="1"/>
  <c r="BI199" i="32"/>
  <c r="BJ199" i="32" s="1"/>
  <c r="BI198" i="32"/>
  <c r="BJ198" i="32" s="1"/>
  <c r="BI197" i="32"/>
  <c r="BJ197" i="32" s="1"/>
  <c r="BI232" i="32"/>
  <c r="BJ232" i="32" s="1"/>
  <c r="BI195" i="32"/>
  <c r="BJ195" i="32" s="1"/>
  <c r="BI189" i="32"/>
  <c r="BJ189" i="32" s="1"/>
  <c r="BI236" i="32"/>
  <c r="BJ236" i="32" s="1"/>
  <c r="BI235" i="32"/>
  <c r="BJ235" i="32" s="1"/>
  <c r="BI234" i="32"/>
  <c r="BJ234" i="32" s="1"/>
  <c r="BI233" i="32"/>
  <c r="BJ233" i="32" s="1"/>
  <c r="BI201" i="32"/>
  <c r="BJ201" i="32" s="1"/>
  <c r="BI216" i="32"/>
  <c r="BJ216" i="32" s="1"/>
  <c r="BI211" i="32"/>
  <c r="BJ211" i="32" s="1"/>
  <c r="BI215" i="32"/>
  <c r="BJ215" i="32" s="1"/>
  <c r="BI210" i="32"/>
  <c r="BJ210" i="32" s="1"/>
  <c r="BI214" i="32"/>
  <c r="BJ214" i="32" s="1"/>
  <c r="BI212" i="32"/>
  <c r="BJ212" i="32" s="1"/>
  <c r="BI217" i="32"/>
  <c r="BJ217" i="32" s="1"/>
  <c r="BI181" i="32"/>
  <c r="BJ181" i="32" s="1"/>
  <c r="BI183" i="32"/>
  <c r="BJ183" i="32" s="1"/>
  <c r="BI184" i="32"/>
  <c r="BJ184" i="32" s="1"/>
  <c r="BI347" i="32"/>
  <c r="BJ347" i="32" s="1"/>
  <c r="BI346" i="32"/>
  <c r="BJ346" i="32" s="1"/>
  <c r="BI344" i="32"/>
  <c r="BJ344" i="32" s="1"/>
  <c r="BI343" i="32"/>
  <c r="BJ343" i="32" s="1"/>
  <c r="BI355" i="32"/>
  <c r="BJ355" i="32" s="1"/>
  <c r="BI354" i="32"/>
  <c r="BJ354" i="32" s="1"/>
  <c r="BI353" i="32"/>
  <c r="BJ353" i="32" s="1"/>
  <c r="BI352" i="32"/>
  <c r="BJ352" i="32" s="1"/>
  <c r="BI351" i="32"/>
  <c r="BJ351" i="32" s="1"/>
  <c r="BI350" i="32"/>
  <c r="BJ350" i="32" s="1"/>
  <c r="BI348" i="32"/>
  <c r="BJ348" i="32" s="1"/>
  <c r="BI345" i="32"/>
  <c r="BJ345" i="32" s="1"/>
  <c r="BI349" i="32"/>
  <c r="BJ349" i="32" s="1"/>
  <c r="BI342" i="32"/>
  <c r="BJ342" i="32" s="1"/>
  <c r="BI104" i="32"/>
  <c r="BJ104" i="32" s="1"/>
  <c r="BI103" i="32"/>
  <c r="BJ103" i="32" s="1"/>
  <c r="BI102" i="32"/>
  <c r="BJ102" i="32" s="1"/>
  <c r="BI101" i="32"/>
  <c r="BJ101" i="32" s="1"/>
  <c r="BI100" i="32"/>
  <c r="BJ100" i="32" s="1"/>
  <c r="BI99" i="32"/>
  <c r="BJ99" i="32" s="1"/>
  <c r="BI98" i="32"/>
  <c r="BJ98" i="32" s="1"/>
  <c r="BI96" i="32"/>
  <c r="BJ96" i="32" s="1"/>
  <c r="BI95" i="32"/>
  <c r="BJ95" i="32" s="1"/>
  <c r="BI94" i="32"/>
  <c r="BJ94" i="32" s="1"/>
  <c r="BI118" i="32"/>
  <c r="BJ118" i="32" s="1"/>
  <c r="BI116" i="32"/>
  <c r="BJ116" i="32" s="1"/>
  <c r="BI115" i="32"/>
  <c r="BJ115" i="32" s="1"/>
  <c r="BI114" i="32"/>
  <c r="BJ114" i="32" s="1"/>
  <c r="BI113" i="32"/>
  <c r="BJ113" i="32" s="1"/>
  <c r="BI112" i="32"/>
  <c r="BJ112" i="32" s="1"/>
  <c r="BI111" i="32"/>
  <c r="BJ111" i="32" s="1"/>
  <c r="BI110" i="32"/>
  <c r="BJ110" i="32" s="1"/>
  <c r="BI108" i="32"/>
  <c r="BJ108" i="32" s="1"/>
  <c r="BI107" i="32"/>
  <c r="BJ107" i="32" s="1"/>
  <c r="BI106" i="32"/>
  <c r="BJ106" i="32" s="1"/>
  <c r="BI105" i="32"/>
  <c r="BJ105" i="32" s="1"/>
  <c r="BI97" i="32"/>
  <c r="BJ97" i="32" s="1"/>
  <c r="BI93" i="32"/>
  <c r="BJ93" i="32" s="1"/>
  <c r="BI117" i="32"/>
  <c r="BJ117" i="32" s="1"/>
  <c r="BI109" i="32"/>
  <c r="BJ109" i="32" s="1"/>
  <c r="BI142" i="32"/>
  <c r="BJ142" i="32" s="1"/>
  <c r="BI278" i="32"/>
  <c r="BJ278" i="32" s="1"/>
  <c r="BI252" i="32"/>
  <c r="BJ252" i="32" s="1"/>
  <c r="BI246" i="32"/>
  <c r="BJ246" i="32" s="1"/>
  <c r="BI191" i="32"/>
  <c r="BJ191" i="32" s="1"/>
  <c r="BI190" i="32"/>
  <c r="BJ190" i="32" s="1"/>
  <c r="BI188" i="32"/>
  <c r="BJ188" i="32" s="1"/>
  <c r="BI238" i="32"/>
  <c r="BJ238" i="32" s="1"/>
  <c r="BI240" i="32"/>
  <c r="BJ240" i="32" s="1"/>
  <c r="BI244" i="32"/>
  <c r="BJ244" i="32" s="1"/>
  <c r="BI245" i="32"/>
  <c r="BJ245" i="32" s="1"/>
  <c r="BI185" i="32"/>
  <c r="BJ185" i="32" s="1"/>
  <c r="BI179" i="32"/>
  <c r="BJ179" i="32" s="1"/>
  <c r="BI242" i="32"/>
  <c r="BJ242" i="32" s="1"/>
  <c r="BI243" i="32"/>
  <c r="BJ243" i="32" s="1"/>
  <c r="BI194" i="32"/>
  <c r="BJ194" i="32" s="1"/>
  <c r="BI182" i="32"/>
  <c r="BJ182" i="32" s="1"/>
  <c r="BI284" i="32"/>
  <c r="BJ284" i="32" s="1"/>
  <c r="BI378" i="32"/>
  <c r="BJ378" i="32" s="1"/>
  <c r="BI265" i="32"/>
  <c r="BJ265" i="32" s="1"/>
  <c r="BI373" i="32"/>
  <c r="BJ373" i="32" s="1"/>
  <c r="BI196" i="32"/>
  <c r="BJ196" i="32" s="1"/>
  <c r="BI186" i="32"/>
  <c r="BJ186" i="32" s="1"/>
  <c r="BI253" i="32"/>
  <c r="BJ253" i="32" s="1"/>
  <c r="BI280" i="32"/>
  <c r="BJ280" i="32" s="1"/>
  <c r="BI254" i="32"/>
  <c r="BJ254" i="32" s="1"/>
  <c r="BI241" i="32"/>
  <c r="BJ241" i="32" s="1"/>
  <c r="BI180" i="32"/>
  <c r="BJ180" i="32" s="1"/>
  <c r="BI239" i="32"/>
  <c r="BJ239" i="32" s="1"/>
  <c r="BI281" i="32"/>
  <c r="BJ281" i="32" s="1"/>
  <c r="BI256" i="32"/>
  <c r="BJ256" i="32" s="1"/>
  <c r="BI187" i="32"/>
  <c r="BJ187" i="32" s="1"/>
  <c r="BI288" i="32"/>
  <c r="BJ288" i="32" s="1"/>
  <c r="BI282" i="32"/>
  <c r="BJ282" i="32" s="1"/>
  <c r="BI255" i="32"/>
  <c r="BJ255" i="32" s="1"/>
  <c r="BI251" i="32"/>
  <c r="BJ251" i="32" s="1"/>
  <c r="BI237" i="32"/>
  <c r="BJ237" i="32" s="1"/>
  <c r="BI272" i="32"/>
  <c r="BJ272" i="32" s="1"/>
  <c r="BI365" i="32"/>
  <c r="BJ365" i="32" s="1"/>
  <c r="BI178" i="32"/>
  <c r="BJ178" i="32" s="1"/>
  <c r="BI218" i="32"/>
  <c r="BJ218" i="32" s="1"/>
  <c r="BI57" i="32"/>
  <c r="BJ57" i="32" s="1"/>
  <c r="BI56" i="32"/>
  <c r="BJ56" i="32" s="1"/>
  <c r="BI55" i="32"/>
  <c r="BJ55" i="32" s="1"/>
  <c r="BI54" i="32"/>
  <c r="BJ54" i="32" s="1"/>
  <c r="BI53" i="32"/>
  <c r="BJ53" i="32" s="1"/>
  <c r="BI52" i="32"/>
  <c r="BJ52" i="32" s="1"/>
  <c r="BI51" i="32"/>
  <c r="BJ51" i="32" s="1"/>
  <c r="BI50" i="32"/>
  <c r="BJ50" i="32" s="1"/>
  <c r="BI49" i="32"/>
  <c r="BJ49" i="32" s="1"/>
  <c r="BI48" i="32"/>
  <c r="BJ48" i="32" s="1"/>
  <c r="BI47" i="32"/>
  <c r="BJ47" i="32" s="1"/>
  <c r="BI46" i="32"/>
  <c r="BJ46" i="32" s="1"/>
  <c r="BI45" i="32"/>
  <c r="BJ45" i="32" s="1"/>
  <c r="BI44" i="32"/>
  <c r="BJ44" i="32" s="1"/>
  <c r="BI42" i="32"/>
  <c r="BJ42" i="32" s="1"/>
  <c r="BI41" i="32"/>
  <c r="BJ41" i="32" s="1"/>
  <c r="BI40" i="32"/>
  <c r="BJ40" i="32" s="1"/>
  <c r="BI39" i="32"/>
  <c r="BJ39" i="32" s="1"/>
  <c r="BI38" i="32"/>
  <c r="BJ38" i="32" s="1"/>
  <c r="BI37" i="32"/>
  <c r="BJ37" i="32" s="1"/>
  <c r="BI35" i="32"/>
  <c r="BJ35" i="32" s="1"/>
  <c r="BI34" i="32"/>
  <c r="BJ34" i="32" s="1"/>
  <c r="BI33" i="32"/>
  <c r="BJ33" i="32" s="1"/>
  <c r="BI32" i="32"/>
  <c r="BJ32" i="32" s="1"/>
  <c r="BI31" i="32"/>
  <c r="BJ31" i="32" s="1"/>
  <c r="BI30" i="32"/>
  <c r="BJ30" i="32" s="1"/>
  <c r="BI29" i="32"/>
  <c r="BJ29" i="32" s="1"/>
  <c r="BI28" i="32"/>
  <c r="BJ28" i="32" s="1"/>
  <c r="BI27" i="32"/>
  <c r="BJ27" i="32" s="1"/>
  <c r="BI26" i="32"/>
  <c r="BJ26" i="32" s="1"/>
  <c r="BI25" i="32"/>
  <c r="BJ25" i="32" s="1"/>
  <c r="BI24" i="32"/>
  <c r="BJ24" i="32" s="1"/>
  <c r="BI23" i="32"/>
  <c r="BJ23" i="32" s="1"/>
  <c r="BI22" i="32"/>
  <c r="BJ22" i="32" s="1"/>
  <c r="BI21" i="32"/>
  <c r="BJ21" i="32" s="1"/>
  <c r="BI20" i="32"/>
  <c r="BJ20" i="32" s="1"/>
  <c r="BI19" i="32"/>
  <c r="BJ19" i="32" s="1"/>
  <c r="BI18" i="32"/>
  <c r="BJ18" i="32" s="1"/>
  <c r="BI17" i="32"/>
  <c r="BJ17" i="32" s="1"/>
  <c r="BI16" i="32"/>
  <c r="BJ16" i="32" s="1"/>
  <c r="BI15" i="32"/>
  <c r="BJ15" i="32" s="1"/>
  <c r="BI92" i="32"/>
  <c r="BJ92" i="32" s="1"/>
  <c r="BI91" i="32"/>
  <c r="BJ91" i="32" s="1"/>
  <c r="BI90" i="32"/>
  <c r="BJ90" i="32" s="1"/>
  <c r="BI89" i="32"/>
  <c r="BJ89" i="32" s="1"/>
  <c r="BI88" i="32"/>
  <c r="BJ88" i="32" s="1"/>
  <c r="BI87" i="32"/>
  <c r="BJ87" i="32" s="1"/>
  <c r="BI86" i="32"/>
  <c r="BJ86" i="32" s="1"/>
  <c r="BI85" i="32"/>
  <c r="BJ85" i="32" s="1"/>
  <c r="BI84" i="32"/>
  <c r="BJ84" i="32" s="1"/>
  <c r="BI83" i="32"/>
  <c r="BJ83" i="32" s="1"/>
  <c r="BI82" i="32"/>
  <c r="BJ82" i="32" s="1"/>
  <c r="BI81" i="32"/>
  <c r="BJ81" i="32" s="1"/>
  <c r="BI80" i="32"/>
  <c r="BJ80" i="32" s="1"/>
  <c r="BI79" i="32"/>
  <c r="BJ79" i="32" s="1"/>
  <c r="BI78" i="32"/>
  <c r="BJ78" i="32" s="1"/>
  <c r="BI77" i="32"/>
  <c r="BJ77" i="32" s="1"/>
  <c r="BI75" i="32"/>
  <c r="BJ75" i="32" s="1"/>
  <c r="BI74" i="32"/>
  <c r="BJ74" i="32" s="1"/>
  <c r="BI73" i="32"/>
  <c r="BJ73" i="32" s="1"/>
  <c r="BI72" i="32"/>
  <c r="BJ72" i="32" s="1"/>
  <c r="BI71" i="32"/>
  <c r="BJ71" i="32" s="1"/>
  <c r="BI70" i="32"/>
  <c r="BJ70" i="32" s="1"/>
  <c r="BI69" i="32"/>
  <c r="BJ69" i="32" s="1"/>
  <c r="BI68" i="32"/>
  <c r="BJ68" i="32" s="1"/>
  <c r="BI67" i="32"/>
  <c r="BJ67" i="32" s="1"/>
  <c r="BI66" i="32"/>
  <c r="BJ66" i="32" s="1"/>
  <c r="BI65" i="32"/>
  <c r="BJ65" i="32" s="1"/>
  <c r="BI63" i="32"/>
  <c r="BJ63" i="32" s="1"/>
  <c r="BI62" i="32"/>
  <c r="BJ62" i="32" s="1"/>
  <c r="BI61" i="32"/>
  <c r="BJ61" i="32" s="1"/>
  <c r="BI60" i="32"/>
  <c r="BJ60" i="32" s="1"/>
  <c r="BI59" i="32"/>
  <c r="BJ59" i="32" s="1"/>
  <c r="BI58" i="32"/>
  <c r="BJ58" i="32" s="1"/>
  <c r="BI43" i="32"/>
  <c r="BJ43" i="32" s="1"/>
  <c r="BI36" i="32"/>
  <c r="BJ36" i="32" s="1"/>
  <c r="BI76" i="32"/>
  <c r="BJ76" i="32" s="1"/>
  <c r="BI64" i="32"/>
  <c r="BJ64" i="32" s="1"/>
  <c r="BI14" i="32"/>
  <c r="BJ14" i="32" s="1"/>
  <c r="BI157" i="32"/>
  <c r="BJ157" i="32" s="1"/>
  <c r="BI154" i="32"/>
  <c r="BJ154" i="32" s="1"/>
  <c r="BI155" i="32"/>
  <c r="BJ155" i="32" s="1"/>
  <c r="BI137" i="32"/>
  <c r="BJ137" i="32" s="1"/>
  <c r="BI136" i="32"/>
  <c r="BJ136" i="32" s="1"/>
  <c r="BI138" i="32"/>
  <c r="BJ138" i="32" s="1"/>
  <c r="BI127" i="32"/>
  <c r="BJ127" i="32" s="1"/>
  <c r="BI139" i="32"/>
  <c r="BJ139" i="32" s="1"/>
  <c r="BI131" i="32"/>
  <c r="BJ131" i="32" s="1"/>
  <c r="BI135" i="32"/>
  <c r="BJ135" i="32" s="1"/>
  <c r="BI140" i="32"/>
  <c r="BJ140" i="32" s="1"/>
  <c r="BI126" i="32"/>
  <c r="BJ126" i="32" s="1"/>
  <c r="BI132" i="32"/>
  <c r="BJ132" i="32" s="1"/>
  <c r="BI134" i="32"/>
  <c r="BJ134" i="32" s="1"/>
  <c r="BI124" i="32"/>
  <c r="BJ124" i="32" s="1"/>
  <c r="BI121" i="32"/>
  <c r="BJ121" i="32" s="1"/>
  <c r="BI128" i="32"/>
  <c r="BJ128" i="32" s="1"/>
  <c r="BI129" i="32"/>
  <c r="BJ129" i="32" s="1"/>
  <c r="BI123" i="32"/>
  <c r="BJ123" i="32" s="1"/>
  <c r="BI119" i="32"/>
  <c r="BJ119" i="32" s="1"/>
  <c r="BI122" i="32"/>
  <c r="BJ122" i="32" s="1"/>
  <c r="BI120" i="32"/>
  <c r="BJ120" i="32" s="1"/>
  <c r="BI130" i="32"/>
  <c r="BJ130" i="32" s="1"/>
  <c r="BI125" i="32"/>
  <c r="BJ125" i="32" s="1"/>
  <c r="BI133" i="32"/>
  <c r="BJ133" i="32" s="1"/>
  <c r="BI158" i="32"/>
  <c r="BJ158" i="32" s="1"/>
  <c r="BI150" i="32"/>
  <c r="BJ150" i="32" s="1"/>
  <c r="BI163" i="32"/>
  <c r="BJ163" i="32" s="1"/>
  <c r="BI166" i="32"/>
  <c r="BJ166" i="32" s="1"/>
  <c r="BI147" i="32"/>
  <c r="BJ147" i="32" s="1"/>
  <c r="BI149" i="32"/>
  <c r="BJ149" i="32" s="1"/>
  <c r="BI151" i="32"/>
  <c r="BJ151" i="32" s="1"/>
  <c r="BI148" i="32"/>
  <c r="BJ148" i="32" s="1"/>
  <c r="BI153" i="32"/>
  <c r="BJ153" i="32" s="1"/>
  <c r="BI144" i="32"/>
  <c r="BJ144" i="32" s="1"/>
  <c r="BI168" i="32"/>
  <c r="BJ168" i="32" s="1"/>
  <c r="BI161" i="32"/>
  <c r="BJ161" i="32" s="1"/>
  <c r="BI143" i="32"/>
  <c r="BJ143" i="32" s="1"/>
  <c r="BI167" i="32"/>
  <c r="BJ167" i="32" s="1"/>
  <c r="BI162" i="32"/>
  <c r="BJ162" i="32" s="1"/>
  <c r="BI141" i="32"/>
  <c r="BJ141" i="32" s="1"/>
  <c r="BI165" i="32"/>
  <c r="BJ165" i="32" s="1"/>
  <c r="BI296" i="32"/>
  <c r="BJ296" i="32" s="1"/>
  <c r="BI325" i="32"/>
  <c r="BJ325" i="32" s="1"/>
  <c r="BI260" i="32"/>
  <c r="BJ260" i="32" s="1"/>
  <c r="BI277" i="32"/>
  <c r="BJ277" i="32" s="1"/>
  <c r="BI305" i="32"/>
  <c r="BJ305" i="32" s="1"/>
  <c r="BI307" i="32"/>
  <c r="BJ307" i="32" s="1"/>
  <c r="BI276" i="32"/>
  <c r="BJ276" i="32" s="1"/>
  <c r="BI286" i="32"/>
  <c r="BJ286" i="32" s="1"/>
  <c r="BI169" i="32"/>
  <c r="BJ169" i="32" s="1"/>
  <c r="BI270" i="32"/>
  <c r="BJ270" i="32" s="1"/>
  <c r="BI273" i="32"/>
  <c r="BJ273" i="32" s="1"/>
  <c r="BI262" i="32"/>
  <c r="BJ262" i="32" s="1"/>
  <c r="BI250" i="32"/>
  <c r="BJ250" i="32" s="1"/>
  <c r="BI248" i="32"/>
  <c r="BJ248" i="32" s="1"/>
  <c r="BI269" i="32"/>
  <c r="BJ269" i="32" s="1"/>
  <c r="BI177" i="32"/>
  <c r="BJ177" i="32" s="1"/>
  <c r="BI374" i="32"/>
  <c r="BJ374" i="32" s="1"/>
  <c r="BI358" i="32"/>
  <c r="BJ358" i="32" s="1"/>
  <c r="BI283" i="32"/>
  <c r="BJ283" i="32" s="1"/>
  <c r="BI171" i="32"/>
  <c r="BJ171" i="32" s="1"/>
  <c r="BI172" i="32"/>
  <c r="BJ172" i="32" s="1"/>
  <c r="BI259" i="32"/>
  <c r="BJ259" i="32" s="1"/>
  <c r="BI261" i="32"/>
  <c r="BJ261" i="32" s="1"/>
  <c r="BI377" i="32"/>
  <c r="BJ377" i="32" s="1"/>
  <c r="BI375" i="32"/>
  <c r="BJ375" i="32" s="1"/>
  <c r="BI372" i="32"/>
  <c r="BJ372" i="32" s="1"/>
  <c r="BI257" i="32"/>
  <c r="BJ257" i="32" s="1"/>
  <c r="BI366" i="32"/>
  <c r="BJ366" i="32" s="1"/>
  <c r="BI176" i="32"/>
  <c r="BJ176" i="32" s="1"/>
  <c r="BI380" i="32"/>
  <c r="BJ380" i="32" s="1"/>
  <c r="BI381" i="32"/>
  <c r="BJ381" i="32" s="1"/>
  <c r="BI359" i="32"/>
  <c r="BJ359" i="32" s="1"/>
  <c r="BI274" i="32"/>
  <c r="BJ274" i="32" s="1"/>
  <c r="BI361" i="32"/>
  <c r="BJ361" i="32" s="1"/>
  <c r="BI362" i="32"/>
  <c r="BJ362" i="32" s="1"/>
  <c r="BI367" i="32"/>
  <c r="BJ367" i="32" s="1"/>
  <c r="BI258" i="32"/>
  <c r="BJ258" i="32" s="1"/>
  <c r="BI152" i="32"/>
  <c r="BJ152" i="32" s="1"/>
  <c r="BI263" i="32"/>
  <c r="BJ263" i="32" s="1"/>
  <c r="BI275" i="32"/>
  <c r="BJ275" i="32" s="1"/>
  <c r="BI264" i="32"/>
  <c r="BJ264" i="32" s="1"/>
  <c r="BI279" i="32"/>
  <c r="BJ279" i="32" s="1"/>
  <c r="BI249" i="32"/>
  <c r="BJ249" i="32" s="1"/>
  <c r="BI247" i="32"/>
  <c r="BJ247" i="32" s="1"/>
  <c r="BI268" i="32"/>
  <c r="BJ268" i="32" s="1"/>
  <c r="BI334" i="32"/>
  <c r="BJ334" i="32" s="1"/>
  <c r="BI174" i="32"/>
  <c r="BJ174" i="32" s="1"/>
  <c r="BI341" i="32"/>
  <c r="BJ341" i="32" s="1"/>
  <c r="BI333" i="32"/>
  <c r="BJ333" i="32" s="1"/>
  <c r="BI337" i="32"/>
  <c r="BJ337" i="32" s="1"/>
  <c r="BI335" i="32"/>
  <c r="BJ335" i="32" s="1"/>
  <c r="BI332" i="32"/>
  <c r="BJ332" i="32" s="1"/>
  <c r="BI331" i="32"/>
  <c r="BJ331" i="32" s="1"/>
  <c r="BI340" i="32"/>
  <c r="BJ340" i="32" s="1"/>
  <c r="BI271" i="32"/>
  <c r="BJ271" i="32" s="1"/>
  <c r="BI173" i="32"/>
  <c r="BJ173" i="32" s="1"/>
  <c r="BI175" i="32"/>
  <c r="BJ175" i="32" s="1"/>
  <c r="BI339" i="32"/>
  <c r="BJ339" i="32" s="1"/>
  <c r="BI338" i="32"/>
  <c r="BJ338" i="32" s="1"/>
  <c r="BI336" i="32"/>
  <c r="BJ336" i="32" s="1"/>
  <c r="BI170" i="32"/>
  <c r="BJ170" i="32" s="1"/>
  <c r="BI330" i="32"/>
  <c r="BJ330" i="32" s="1"/>
  <c r="BI324" i="32"/>
  <c r="BJ324" i="32" s="1"/>
  <c r="BI321" i="32"/>
  <c r="BJ321" i="32" s="1"/>
  <c r="BI322" i="32"/>
  <c r="BJ322" i="32" s="1"/>
  <c r="BI329" i="32"/>
  <c r="BJ329" i="32" s="1"/>
  <c r="BI327" i="32"/>
  <c r="BJ327" i="32" s="1"/>
  <c r="BI320" i="32"/>
  <c r="BJ320" i="32" s="1"/>
  <c r="BI323" i="32"/>
  <c r="BJ323" i="32" s="1"/>
  <c r="BI317" i="32"/>
  <c r="BJ317" i="32" s="1"/>
  <c r="BI315" i="32"/>
  <c r="BJ315" i="32" s="1"/>
  <c r="BI316" i="32"/>
  <c r="BJ316" i="32" s="1"/>
  <c r="BI319" i="32"/>
  <c r="BJ319" i="32" s="1"/>
  <c r="BI328" i="32"/>
  <c r="BJ328" i="32" s="1"/>
  <c r="BI326" i="32"/>
  <c r="BJ326" i="32" s="1"/>
  <c r="BI312" i="32"/>
  <c r="BJ312" i="32" s="1"/>
  <c r="BI313" i="32"/>
  <c r="BJ313" i="32" s="1"/>
  <c r="BI314" i="32"/>
  <c r="BJ314" i="32" s="1"/>
  <c r="BI302" i="32"/>
  <c r="BJ302" i="32" s="1"/>
  <c r="BI300" i="32"/>
  <c r="BJ300" i="32" s="1"/>
  <c r="BI299" i="32"/>
  <c r="BJ299" i="32" s="1"/>
  <c r="BI304" i="32"/>
  <c r="BJ304" i="32" s="1"/>
  <c r="BI303" i="32"/>
  <c r="BJ303" i="32" s="1"/>
  <c r="BI301" i="32"/>
  <c r="BJ301" i="32" s="1"/>
  <c r="BI311" i="32"/>
  <c r="BJ311" i="32" s="1"/>
  <c r="BI308" i="32"/>
  <c r="BJ308" i="32" s="1"/>
  <c r="BI310" i="32"/>
  <c r="BJ310" i="32" s="1"/>
  <c r="BI306" i="32"/>
  <c r="BJ306" i="32" s="1"/>
  <c r="BI309" i="32"/>
  <c r="BJ309" i="32" s="1"/>
  <c r="BI371" i="32"/>
  <c r="BJ371" i="32" s="1"/>
  <c r="BI370" i="32"/>
  <c r="BJ370" i="32" s="1"/>
  <c r="BI369" i="32"/>
  <c r="BJ369" i="32" s="1"/>
  <c r="BI368" i="32"/>
  <c r="BJ368" i="32" s="1"/>
  <c r="BI357" i="32"/>
  <c r="BJ357" i="32" s="1"/>
  <c r="BI379" i="32"/>
  <c r="BJ379" i="32" s="1"/>
  <c r="BI363" i="32"/>
  <c r="BJ363" i="32" s="1"/>
  <c r="BI360" i="32"/>
  <c r="BJ360" i="32" s="1"/>
  <c r="BI364" i="32"/>
  <c r="BJ364" i="32" s="1"/>
  <c r="BI376" i="32"/>
  <c r="BJ376" i="32" s="1"/>
  <c r="BI160" i="32"/>
  <c r="BJ160" i="32" s="1"/>
  <c r="BI164" i="32"/>
  <c r="BJ164" i="32" s="1"/>
  <c r="BI298" i="32"/>
  <c r="BJ298" i="32" s="1"/>
  <c r="BI293" i="32"/>
  <c r="BJ293" i="32" s="1"/>
  <c r="BI294" i="32"/>
  <c r="BJ294" i="32" s="1"/>
  <c r="BI290" i="32"/>
  <c r="BJ290" i="32" s="1"/>
  <c r="BI287" i="32"/>
  <c r="BJ287" i="32" s="1"/>
  <c r="BI295" i="32"/>
  <c r="BJ295" i="32" s="1"/>
  <c r="BI291" i="32"/>
  <c r="BJ291" i="32" s="1"/>
  <c r="BI292" i="32"/>
  <c r="BJ292" i="32" s="1"/>
  <c r="BI297" i="32"/>
  <c r="BJ297" i="32" s="1"/>
  <c r="BI289" i="32"/>
  <c r="BJ289" i="32" s="1"/>
  <c r="K266" i="32"/>
  <c r="CX266" i="32" s="1"/>
  <c r="K267" i="32"/>
  <c r="CX267" i="32" s="1"/>
  <c r="K285" i="32"/>
  <c r="CX285" i="32" s="1"/>
  <c r="K219" i="32"/>
  <c r="CX219" i="32" s="1"/>
  <c r="K318" i="32"/>
  <c r="CX318" i="32" s="1"/>
  <c r="K223" i="32"/>
  <c r="K231" i="32"/>
  <c r="K230" i="32"/>
  <c r="K229" i="32"/>
  <c r="K228" i="32"/>
  <c r="K227" i="32"/>
  <c r="K226" i="32"/>
  <c r="K225" i="32"/>
  <c r="K224" i="32"/>
  <c r="K222" i="32"/>
  <c r="K193" i="32"/>
  <c r="CX193" i="32" s="1"/>
  <c r="K192" i="32"/>
  <c r="K159" i="32"/>
  <c r="K146" i="32"/>
  <c r="K145" i="32"/>
  <c r="CX145" i="32" s="1"/>
  <c r="K220" i="32"/>
  <c r="K296" i="50" s="1"/>
  <c r="K208" i="32"/>
  <c r="K206" i="32"/>
  <c r="K291" i="50" s="1"/>
  <c r="K205" i="32"/>
  <c r="K221" i="32"/>
  <c r="K204" i="32"/>
  <c r="K203" i="32"/>
  <c r="K202" i="32"/>
  <c r="K200" i="32"/>
  <c r="K199" i="32"/>
  <c r="K198" i="32"/>
  <c r="K197" i="32"/>
  <c r="K232" i="32"/>
  <c r="K195" i="32"/>
  <c r="K189" i="32"/>
  <c r="K236" i="32"/>
  <c r="K235" i="32"/>
  <c r="K234" i="32"/>
  <c r="K233" i="32"/>
  <c r="K271" i="50" s="1"/>
  <c r="K201" i="32"/>
  <c r="K216" i="32"/>
  <c r="K211" i="32"/>
  <c r="K215" i="32"/>
  <c r="K210" i="32"/>
  <c r="K214" i="32"/>
  <c r="K212" i="32"/>
  <c r="K217" i="32"/>
  <c r="K181" i="32"/>
  <c r="K183" i="32"/>
  <c r="K184" i="32"/>
  <c r="K278" i="32"/>
  <c r="K252" i="32"/>
  <c r="K246" i="32"/>
  <c r="K191" i="32"/>
  <c r="K190" i="32"/>
  <c r="K188" i="32"/>
  <c r="K238" i="32"/>
  <c r="K240" i="32"/>
  <c r="K244" i="32"/>
  <c r="K245" i="32"/>
  <c r="K185" i="32"/>
  <c r="K179" i="32"/>
  <c r="K242" i="32"/>
  <c r="K243" i="32"/>
  <c r="K194" i="32"/>
  <c r="K182" i="32"/>
  <c r="K284" i="32"/>
  <c r="K378" i="32"/>
  <c r="K265" i="32"/>
  <c r="K373" i="32"/>
  <c r="K196" i="32"/>
  <c r="K186" i="32"/>
  <c r="K253" i="32"/>
  <c r="K280" i="32"/>
  <c r="K254" i="32"/>
  <c r="K241" i="32"/>
  <c r="K180" i="32"/>
  <c r="K239" i="32"/>
  <c r="K281" i="32"/>
  <c r="K256" i="32"/>
  <c r="K187" i="32"/>
  <c r="K288" i="32"/>
  <c r="K282" i="32"/>
  <c r="K255" i="32"/>
  <c r="K251" i="32"/>
  <c r="K237" i="32"/>
  <c r="K272" i="32"/>
  <c r="K365" i="32"/>
  <c r="K178" i="32"/>
  <c r="K218" i="32"/>
  <c r="K57" i="32"/>
  <c r="K56" i="32"/>
  <c r="K55" i="32"/>
  <c r="K54" i="32"/>
  <c r="K53" i="32"/>
  <c r="K52" i="32"/>
  <c r="K51" i="32"/>
  <c r="K50" i="32"/>
  <c r="K49" i="32"/>
  <c r="K48" i="32"/>
  <c r="K47" i="32"/>
  <c r="K46" i="32"/>
  <c r="K45" i="32"/>
  <c r="K44" i="32"/>
  <c r="K42" i="32"/>
  <c r="K41" i="32"/>
  <c r="K40" i="32"/>
  <c r="K39" i="32"/>
  <c r="K38" i="32"/>
  <c r="K37" i="32"/>
  <c r="K35" i="32"/>
  <c r="K34" i="32"/>
  <c r="K33" i="32"/>
  <c r="K32" i="32"/>
  <c r="K31" i="32"/>
  <c r="K30" i="32"/>
  <c r="K29" i="32"/>
  <c r="K28" i="32"/>
  <c r="K27" i="32"/>
  <c r="K26" i="32"/>
  <c r="K25" i="32"/>
  <c r="K24" i="32"/>
  <c r="K23" i="32"/>
  <c r="K22" i="32"/>
  <c r="K21" i="32"/>
  <c r="K20" i="32"/>
  <c r="K19" i="32"/>
  <c r="K18" i="32"/>
  <c r="K17" i="32"/>
  <c r="K16" i="32"/>
  <c r="K15" i="32"/>
  <c r="K92" i="32"/>
  <c r="K91" i="32"/>
  <c r="K90" i="32"/>
  <c r="K89" i="32"/>
  <c r="K88" i="32"/>
  <c r="K87" i="32"/>
  <c r="K86" i="32"/>
  <c r="K85" i="32"/>
  <c r="K84" i="32"/>
  <c r="K83" i="32"/>
  <c r="K82" i="32"/>
  <c r="K81" i="32"/>
  <c r="K80" i="32"/>
  <c r="K79" i="32"/>
  <c r="K78" i="32"/>
  <c r="K77" i="32"/>
  <c r="K75" i="32"/>
  <c r="K74" i="32"/>
  <c r="K73" i="32"/>
  <c r="K72" i="32"/>
  <c r="K71" i="32"/>
  <c r="K70" i="32"/>
  <c r="K69" i="32"/>
  <c r="K68" i="32"/>
  <c r="K67" i="32"/>
  <c r="K66" i="32"/>
  <c r="K65" i="32"/>
  <c r="K63" i="32"/>
  <c r="K62" i="32"/>
  <c r="K61" i="32"/>
  <c r="K60" i="32"/>
  <c r="K59" i="32"/>
  <c r="K58" i="32"/>
  <c r="K43" i="32"/>
  <c r="K36" i="32"/>
  <c r="K76" i="32"/>
  <c r="K64" i="32"/>
  <c r="K14" i="32"/>
  <c r="K157" i="32"/>
  <c r="K154" i="32"/>
  <c r="K155" i="32"/>
  <c r="K137" i="32"/>
  <c r="K136" i="32"/>
  <c r="K138" i="32"/>
  <c r="K127" i="32"/>
  <c r="K139" i="32"/>
  <c r="K131" i="32"/>
  <c r="K135" i="32"/>
  <c r="K140" i="32"/>
  <c r="K126" i="32"/>
  <c r="K132" i="32"/>
  <c r="K134" i="32"/>
  <c r="K124" i="32"/>
  <c r="K121" i="32"/>
  <c r="K128" i="32"/>
  <c r="K129" i="32"/>
  <c r="K123" i="32"/>
  <c r="K119" i="32"/>
  <c r="K122" i="32"/>
  <c r="K120" i="32"/>
  <c r="K130" i="32"/>
  <c r="K125" i="32"/>
  <c r="K133" i="32"/>
  <c r="K158" i="32"/>
  <c r="K150" i="32"/>
  <c r="K163" i="32"/>
  <c r="K166" i="32"/>
  <c r="K147" i="32"/>
  <c r="K149" i="32"/>
  <c r="K151" i="32"/>
  <c r="K148" i="32"/>
  <c r="K153" i="32"/>
  <c r="K144" i="32"/>
  <c r="K168" i="32"/>
  <c r="K161" i="32"/>
  <c r="K143" i="32"/>
  <c r="K167" i="32"/>
  <c r="K162" i="32"/>
  <c r="K141" i="32"/>
  <c r="K165" i="32"/>
  <c r="K296" i="32"/>
  <c r="K325" i="32"/>
  <c r="K260" i="32"/>
  <c r="K277" i="32"/>
  <c r="K305" i="32"/>
  <c r="K307" i="32"/>
  <c r="K276" i="32"/>
  <c r="K286" i="32"/>
  <c r="K169" i="32"/>
  <c r="CX169" i="32" s="1"/>
  <c r="K270" i="32"/>
  <c r="K273" i="32"/>
  <c r="K262" i="32"/>
  <c r="K250" i="32"/>
  <c r="K248" i="32"/>
  <c r="K269" i="32"/>
  <c r="K177" i="32"/>
  <c r="K374" i="32"/>
  <c r="K358" i="32"/>
  <c r="K283" i="32"/>
  <c r="K171" i="32"/>
  <c r="K172" i="32"/>
  <c r="K259" i="32"/>
  <c r="K261" i="32"/>
  <c r="K377" i="32"/>
  <c r="K375" i="32"/>
  <c r="K372" i="32"/>
  <c r="K257" i="32"/>
  <c r="K366" i="32"/>
  <c r="K176" i="32"/>
  <c r="CX176" i="32" s="1"/>
  <c r="K380" i="32"/>
  <c r="K381" i="32"/>
  <c r="K359" i="32"/>
  <c r="K274" i="32"/>
  <c r="K361" i="32"/>
  <c r="K362" i="32"/>
  <c r="K367" i="32"/>
  <c r="K258" i="32"/>
  <c r="K152" i="32"/>
  <c r="K263" i="32"/>
  <c r="K275" i="32"/>
  <c r="K264" i="32"/>
  <c r="K279" i="32"/>
  <c r="K249" i="32"/>
  <c r="K247" i="32"/>
  <c r="K268" i="32"/>
  <c r="K334" i="32"/>
  <c r="K174" i="32"/>
  <c r="K341" i="32"/>
  <c r="K333" i="32"/>
  <c r="K337" i="32"/>
  <c r="K335" i="32"/>
  <c r="K332" i="32"/>
  <c r="K331" i="32"/>
  <c r="K340" i="32"/>
  <c r="K271" i="32"/>
  <c r="K173" i="32"/>
  <c r="K175" i="32"/>
  <c r="K339" i="32"/>
  <c r="K338" i="32"/>
  <c r="K336" i="32"/>
  <c r="K170" i="32"/>
  <c r="K330" i="32"/>
  <c r="CX330" i="32" s="1"/>
  <c r="K324" i="32"/>
  <c r="CX324" i="32" s="1"/>
  <c r="K321" i="32"/>
  <c r="CX321" i="32" s="1"/>
  <c r="K322" i="32"/>
  <c r="CX322" i="32" s="1"/>
  <c r="K329" i="32"/>
  <c r="K327" i="32"/>
  <c r="K323" i="32"/>
  <c r="K317" i="32"/>
  <c r="K315" i="32"/>
  <c r="K316" i="32"/>
  <c r="K319" i="32"/>
  <c r="K328" i="32"/>
  <c r="K326" i="32"/>
  <c r="K312" i="32"/>
  <c r="K313" i="32"/>
  <c r="K314" i="32"/>
  <c r="K302" i="32"/>
  <c r="K300" i="32"/>
  <c r="K299" i="32"/>
  <c r="K304" i="32"/>
  <c r="K303" i="32"/>
  <c r="K301" i="32"/>
  <c r="K311" i="32"/>
  <c r="K308" i="32"/>
  <c r="K310" i="32"/>
  <c r="K306" i="32"/>
  <c r="K309" i="32"/>
  <c r="K371" i="32"/>
  <c r="CX371" i="32" s="1"/>
  <c r="K370" i="32"/>
  <c r="CX370" i="32" s="1"/>
  <c r="K369" i="32"/>
  <c r="CX369" i="32" s="1"/>
  <c r="K368" i="32"/>
  <c r="CX368" i="32" s="1"/>
  <c r="K357" i="32"/>
  <c r="K379" i="32"/>
  <c r="K363" i="32"/>
  <c r="K360" i="32"/>
  <c r="K364" i="32"/>
  <c r="K376" i="32"/>
  <c r="K160" i="32"/>
  <c r="CX160" i="32" s="1"/>
  <c r="K164" i="32"/>
  <c r="K293" i="32"/>
  <c r="K294" i="32"/>
  <c r="K290" i="32"/>
  <c r="K287" i="32"/>
  <c r="K295" i="32"/>
  <c r="K291" i="32"/>
  <c r="K292" i="32"/>
  <c r="K297" i="32"/>
  <c r="K289" i="32"/>
  <c r="BL266" i="32"/>
  <c r="BM266" i="32" s="1"/>
  <c r="BL267" i="32"/>
  <c r="BM267" i="32" s="1"/>
  <c r="BL285" i="32"/>
  <c r="BM285" i="32" s="1"/>
  <c r="BL219" i="32"/>
  <c r="BM219" i="32" s="1"/>
  <c r="BL318" i="32"/>
  <c r="BM318" i="32" s="1"/>
  <c r="BL223" i="32"/>
  <c r="BM223" i="32" s="1"/>
  <c r="BL231" i="32"/>
  <c r="BM231" i="32" s="1"/>
  <c r="BL230" i="32"/>
  <c r="BM230" i="32" s="1"/>
  <c r="BL229" i="32"/>
  <c r="BM229" i="32" s="1"/>
  <c r="BL228" i="32"/>
  <c r="BM228" i="32" s="1"/>
  <c r="BL227" i="32"/>
  <c r="BM227" i="32" s="1"/>
  <c r="BL226" i="32"/>
  <c r="BM226" i="32" s="1"/>
  <c r="BL225" i="32"/>
  <c r="BM225" i="32" s="1"/>
  <c r="BL224" i="32"/>
  <c r="BM224" i="32" s="1"/>
  <c r="BL222" i="32"/>
  <c r="BM222" i="32" s="1"/>
  <c r="BL193" i="32"/>
  <c r="BM193" i="32" s="1"/>
  <c r="BL192" i="32"/>
  <c r="BM192" i="32" s="1"/>
  <c r="BL159" i="32"/>
  <c r="BM159" i="32" s="1"/>
  <c r="BL146" i="32"/>
  <c r="BM146" i="32" s="1"/>
  <c r="BL145" i="32"/>
  <c r="BM145" i="32" s="1"/>
  <c r="BL220" i="32"/>
  <c r="BM220" i="32" s="1"/>
  <c r="BL208" i="32"/>
  <c r="BM208" i="32" s="1"/>
  <c r="BL206" i="32"/>
  <c r="BM206" i="32" s="1"/>
  <c r="BL205" i="32"/>
  <c r="BM205" i="32" s="1"/>
  <c r="BL221" i="32"/>
  <c r="BM221" i="32" s="1"/>
  <c r="BL204" i="32"/>
  <c r="BM204" i="32" s="1"/>
  <c r="BL203" i="32"/>
  <c r="BM203" i="32" s="1"/>
  <c r="BL202" i="32"/>
  <c r="BM202" i="32" s="1"/>
  <c r="BL200" i="32"/>
  <c r="BM200" i="32" s="1"/>
  <c r="BL199" i="32"/>
  <c r="BM199" i="32" s="1"/>
  <c r="BL198" i="32"/>
  <c r="BM198" i="32" s="1"/>
  <c r="BL197" i="32"/>
  <c r="BM197" i="32" s="1"/>
  <c r="BL232" i="32"/>
  <c r="BM232" i="32" s="1"/>
  <c r="BL195" i="32"/>
  <c r="BM195" i="32" s="1"/>
  <c r="BL189" i="32"/>
  <c r="BM189" i="32" s="1"/>
  <c r="BL236" i="32"/>
  <c r="BM236" i="32" s="1"/>
  <c r="BL235" i="32"/>
  <c r="BM235" i="32" s="1"/>
  <c r="BL234" i="32"/>
  <c r="BM234" i="32" s="1"/>
  <c r="BL233" i="32"/>
  <c r="BM233" i="32" s="1"/>
  <c r="BL201" i="32"/>
  <c r="BM201" i="32" s="1"/>
  <c r="BL216" i="32"/>
  <c r="BM216" i="32" s="1"/>
  <c r="BL211" i="32"/>
  <c r="BM211" i="32" s="1"/>
  <c r="BL215" i="32"/>
  <c r="BM215" i="32" s="1"/>
  <c r="BL210" i="32"/>
  <c r="BM210" i="32" s="1"/>
  <c r="BL214" i="32"/>
  <c r="BM214" i="32" s="1"/>
  <c r="BL212" i="32"/>
  <c r="BM212" i="32" s="1"/>
  <c r="BL217" i="32"/>
  <c r="BM217" i="32" s="1"/>
  <c r="BL181" i="32"/>
  <c r="BM181" i="32" s="1"/>
  <c r="BL183" i="32"/>
  <c r="BM183" i="32" s="1"/>
  <c r="BL184" i="32"/>
  <c r="BM184" i="32" s="1"/>
  <c r="BL347" i="32"/>
  <c r="BM347" i="32" s="1"/>
  <c r="BL346" i="32"/>
  <c r="BM346" i="32" s="1"/>
  <c r="BL344" i="32"/>
  <c r="BM344" i="32" s="1"/>
  <c r="BL343" i="32"/>
  <c r="BM343" i="32" s="1"/>
  <c r="BL355" i="32"/>
  <c r="BM355" i="32" s="1"/>
  <c r="BL354" i="32"/>
  <c r="BM354" i="32" s="1"/>
  <c r="BL353" i="32"/>
  <c r="BM353" i="32" s="1"/>
  <c r="BL352" i="32"/>
  <c r="BM352" i="32" s="1"/>
  <c r="BL351" i="32"/>
  <c r="BM351" i="32" s="1"/>
  <c r="BL350" i="32"/>
  <c r="BM350" i="32" s="1"/>
  <c r="BL348" i="32"/>
  <c r="BM348" i="32" s="1"/>
  <c r="BL345" i="32"/>
  <c r="BM345" i="32" s="1"/>
  <c r="BL349" i="32"/>
  <c r="BM349" i="32" s="1"/>
  <c r="BL342" i="32"/>
  <c r="BM342" i="32" s="1"/>
  <c r="BL104" i="32"/>
  <c r="BM104" i="32" s="1"/>
  <c r="BL103" i="32"/>
  <c r="BM103" i="32" s="1"/>
  <c r="BL102" i="32"/>
  <c r="BM102" i="32" s="1"/>
  <c r="BL101" i="32"/>
  <c r="BM101" i="32" s="1"/>
  <c r="BL100" i="32"/>
  <c r="BM100" i="32" s="1"/>
  <c r="BL99" i="32"/>
  <c r="BM99" i="32" s="1"/>
  <c r="BL98" i="32"/>
  <c r="BM98" i="32" s="1"/>
  <c r="BL96" i="32"/>
  <c r="BM96" i="32" s="1"/>
  <c r="BL95" i="32"/>
  <c r="BM95" i="32" s="1"/>
  <c r="BL94" i="32"/>
  <c r="BM94" i="32" s="1"/>
  <c r="BL118" i="32"/>
  <c r="BM118" i="32" s="1"/>
  <c r="BL116" i="32"/>
  <c r="BM116" i="32" s="1"/>
  <c r="BL115" i="32"/>
  <c r="BM115" i="32" s="1"/>
  <c r="BL114" i="32"/>
  <c r="BM114" i="32" s="1"/>
  <c r="BL113" i="32"/>
  <c r="BM113" i="32" s="1"/>
  <c r="BL112" i="32"/>
  <c r="BM112" i="32" s="1"/>
  <c r="BL111" i="32"/>
  <c r="BM111" i="32" s="1"/>
  <c r="BL110" i="32"/>
  <c r="BM110" i="32" s="1"/>
  <c r="BL108" i="32"/>
  <c r="BM108" i="32" s="1"/>
  <c r="BL107" i="32"/>
  <c r="BM107" i="32" s="1"/>
  <c r="BL106" i="32"/>
  <c r="BM106" i="32" s="1"/>
  <c r="BL105" i="32"/>
  <c r="BM105" i="32" s="1"/>
  <c r="BL97" i="32"/>
  <c r="BM97" i="32" s="1"/>
  <c r="BL93" i="32"/>
  <c r="BM93" i="32" s="1"/>
  <c r="BL117" i="32"/>
  <c r="BM117" i="32" s="1"/>
  <c r="BL109" i="32"/>
  <c r="BM109" i="32" s="1"/>
  <c r="BL142" i="32"/>
  <c r="BM142" i="32" s="1"/>
  <c r="BL278" i="32"/>
  <c r="BM278" i="32" s="1"/>
  <c r="BL252" i="32"/>
  <c r="BM252" i="32" s="1"/>
  <c r="BL246" i="32"/>
  <c r="BM246" i="32" s="1"/>
  <c r="BL191" i="32"/>
  <c r="BM191" i="32" s="1"/>
  <c r="BL190" i="32"/>
  <c r="BM190" i="32" s="1"/>
  <c r="BL188" i="32"/>
  <c r="BM188" i="32" s="1"/>
  <c r="BL238" i="32"/>
  <c r="BM238" i="32" s="1"/>
  <c r="BL240" i="32"/>
  <c r="BM240" i="32" s="1"/>
  <c r="BL244" i="32"/>
  <c r="BM244" i="32" s="1"/>
  <c r="BL245" i="32"/>
  <c r="BM245" i="32" s="1"/>
  <c r="BL185" i="32"/>
  <c r="BM185" i="32" s="1"/>
  <c r="BL179" i="32"/>
  <c r="BM179" i="32" s="1"/>
  <c r="BL242" i="32"/>
  <c r="BM242" i="32" s="1"/>
  <c r="BL243" i="32"/>
  <c r="BM243" i="32" s="1"/>
  <c r="BL194" i="32"/>
  <c r="BM194" i="32" s="1"/>
  <c r="BL182" i="32"/>
  <c r="BM182" i="32" s="1"/>
  <c r="BL284" i="32"/>
  <c r="BM284" i="32" s="1"/>
  <c r="BL378" i="32"/>
  <c r="BM378" i="32" s="1"/>
  <c r="BL265" i="32"/>
  <c r="BM265" i="32" s="1"/>
  <c r="BL373" i="32"/>
  <c r="BM373" i="32" s="1"/>
  <c r="BL196" i="32"/>
  <c r="BM196" i="32" s="1"/>
  <c r="BL186" i="32"/>
  <c r="BM186" i="32" s="1"/>
  <c r="BL253" i="32"/>
  <c r="BM253" i="32" s="1"/>
  <c r="BL280" i="32"/>
  <c r="BM280" i="32" s="1"/>
  <c r="BL254" i="32"/>
  <c r="BM254" i="32" s="1"/>
  <c r="BL241" i="32"/>
  <c r="BM241" i="32" s="1"/>
  <c r="BL180" i="32"/>
  <c r="BM180" i="32" s="1"/>
  <c r="BL239" i="32"/>
  <c r="BM239" i="32" s="1"/>
  <c r="BL281" i="32"/>
  <c r="BM281" i="32" s="1"/>
  <c r="BL256" i="32"/>
  <c r="BM256" i="32" s="1"/>
  <c r="BL187" i="32"/>
  <c r="BM187" i="32" s="1"/>
  <c r="BL288" i="32"/>
  <c r="BM288" i="32" s="1"/>
  <c r="BL282" i="32"/>
  <c r="BM282" i="32" s="1"/>
  <c r="BL255" i="32"/>
  <c r="BM255" i="32" s="1"/>
  <c r="BL251" i="32"/>
  <c r="BM251" i="32" s="1"/>
  <c r="BL237" i="32"/>
  <c r="BM237" i="32" s="1"/>
  <c r="BL272" i="32"/>
  <c r="BM272" i="32" s="1"/>
  <c r="BL365" i="32"/>
  <c r="BM365" i="32" s="1"/>
  <c r="BL178" i="32"/>
  <c r="BM178" i="32" s="1"/>
  <c r="BL218" i="32"/>
  <c r="BM218" i="32" s="1"/>
  <c r="BL57" i="32"/>
  <c r="BM57" i="32" s="1"/>
  <c r="BL56" i="32"/>
  <c r="BM56" i="32" s="1"/>
  <c r="BL55" i="32"/>
  <c r="BM55" i="32" s="1"/>
  <c r="BL54" i="32"/>
  <c r="BM54" i="32" s="1"/>
  <c r="BL53" i="32"/>
  <c r="BM53" i="32" s="1"/>
  <c r="BL52" i="32"/>
  <c r="BM52" i="32" s="1"/>
  <c r="BL51" i="32"/>
  <c r="BM51" i="32" s="1"/>
  <c r="BL50" i="32"/>
  <c r="BM50" i="32" s="1"/>
  <c r="BL49" i="32"/>
  <c r="BM49" i="32" s="1"/>
  <c r="BL48" i="32"/>
  <c r="BM48" i="32" s="1"/>
  <c r="BL47" i="32"/>
  <c r="BM47" i="32" s="1"/>
  <c r="BL46" i="32"/>
  <c r="BM46" i="32" s="1"/>
  <c r="BL45" i="32"/>
  <c r="BM45" i="32" s="1"/>
  <c r="BL44" i="32"/>
  <c r="BM44" i="32" s="1"/>
  <c r="BL42" i="32"/>
  <c r="BM42" i="32" s="1"/>
  <c r="BL41" i="32"/>
  <c r="BM41" i="32" s="1"/>
  <c r="BL40" i="32"/>
  <c r="BM40" i="32" s="1"/>
  <c r="BL39" i="32"/>
  <c r="BM39" i="32" s="1"/>
  <c r="BL38" i="32"/>
  <c r="BM38" i="32" s="1"/>
  <c r="BL37" i="32"/>
  <c r="BM37" i="32" s="1"/>
  <c r="BL35" i="32"/>
  <c r="BM35" i="32" s="1"/>
  <c r="BL34" i="32"/>
  <c r="BM34" i="32" s="1"/>
  <c r="BL33" i="32"/>
  <c r="BM33" i="32" s="1"/>
  <c r="BL32" i="32"/>
  <c r="BM32" i="32" s="1"/>
  <c r="BL31" i="32"/>
  <c r="BM31" i="32" s="1"/>
  <c r="BL30" i="32"/>
  <c r="BM30" i="32" s="1"/>
  <c r="BL29" i="32"/>
  <c r="BM29" i="32" s="1"/>
  <c r="BL28" i="32"/>
  <c r="BM28" i="32" s="1"/>
  <c r="BL27" i="32"/>
  <c r="BM27" i="32" s="1"/>
  <c r="BL26" i="32"/>
  <c r="BM26" i="32" s="1"/>
  <c r="BL25" i="32"/>
  <c r="BM25" i="32" s="1"/>
  <c r="BL24" i="32"/>
  <c r="BM24" i="32" s="1"/>
  <c r="BL23" i="32"/>
  <c r="BM23" i="32" s="1"/>
  <c r="BL22" i="32"/>
  <c r="BM22" i="32" s="1"/>
  <c r="BL21" i="32"/>
  <c r="BM21" i="32" s="1"/>
  <c r="BL20" i="32"/>
  <c r="BM20" i="32" s="1"/>
  <c r="BL19" i="32"/>
  <c r="BM19" i="32" s="1"/>
  <c r="BL18" i="32"/>
  <c r="BM18" i="32" s="1"/>
  <c r="BL17" i="32"/>
  <c r="BM17" i="32" s="1"/>
  <c r="BL16" i="32"/>
  <c r="BM16" i="32" s="1"/>
  <c r="BL15" i="32"/>
  <c r="BM15" i="32" s="1"/>
  <c r="BL92" i="32"/>
  <c r="BM92" i="32" s="1"/>
  <c r="BL91" i="32"/>
  <c r="BM91" i="32" s="1"/>
  <c r="BL90" i="32"/>
  <c r="BM90" i="32" s="1"/>
  <c r="BL89" i="32"/>
  <c r="BM89" i="32" s="1"/>
  <c r="BL88" i="32"/>
  <c r="BM88" i="32" s="1"/>
  <c r="BL87" i="32"/>
  <c r="BM87" i="32" s="1"/>
  <c r="BL86" i="32"/>
  <c r="BM86" i="32" s="1"/>
  <c r="BL85" i="32"/>
  <c r="BM85" i="32" s="1"/>
  <c r="BL84" i="32"/>
  <c r="BM84" i="32" s="1"/>
  <c r="BL83" i="32"/>
  <c r="BM83" i="32" s="1"/>
  <c r="BL82" i="32"/>
  <c r="BM82" i="32" s="1"/>
  <c r="BL81" i="32"/>
  <c r="BM81" i="32" s="1"/>
  <c r="BL80" i="32"/>
  <c r="BM80" i="32" s="1"/>
  <c r="BL79" i="32"/>
  <c r="BM79" i="32" s="1"/>
  <c r="BL78" i="32"/>
  <c r="BM78" i="32" s="1"/>
  <c r="BL77" i="32"/>
  <c r="BM77" i="32" s="1"/>
  <c r="BL75" i="32"/>
  <c r="BM75" i="32" s="1"/>
  <c r="BL74" i="32"/>
  <c r="BM74" i="32" s="1"/>
  <c r="BL73" i="32"/>
  <c r="BM73" i="32" s="1"/>
  <c r="BL72" i="32"/>
  <c r="BM72" i="32" s="1"/>
  <c r="BL71" i="32"/>
  <c r="BM71" i="32" s="1"/>
  <c r="BL70" i="32"/>
  <c r="BM70" i="32" s="1"/>
  <c r="BL69" i="32"/>
  <c r="BM69" i="32" s="1"/>
  <c r="BL68" i="32"/>
  <c r="BM68" i="32" s="1"/>
  <c r="BL67" i="32"/>
  <c r="BM67" i="32" s="1"/>
  <c r="BL66" i="32"/>
  <c r="BM66" i="32" s="1"/>
  <c r="BL65" i="32"/>
  <c r="BM65" i="32" s="1"/>
  <c r="BL63" i="32"/>
  <c r="BM63" i="32" s="1"/>
  <c r="BL62" i="32"/>
  <c r="BM62" i="32" s="1"/>
  <c r="BL61" i="32"/>
  <c r="BM61" i="32" s="1"/>
  <c r="BL60" i="32"/>
  <c r="BM60" i="32" s="1"/>
  <c r="BL59" i="32"/>
  <c r="BM59" i="32" s="1"/>
  <c r="BL58" i="32"/>
  <c r="BM58" i="32" s="1"/>
  <c r="BL43" i="32"/>
  <c r="BM43" i="32" s="1"/>
  <c r="BL36" i="32"/>
  <c r="BM36" i="32" s="1"/>
  <c r="BL76" i="32"/>
  <c r="BM76" i="32" s="1"/>
  <c r="BL64" i="32"/>
  <c r="BM64" i="32" s="1"/>
  <c r="BL14" i="32"/>
  <c r="BM14" i="32" s="1"/>
  <c r="BL157" i="32"/>
  <c r="BM157" i="32" s="1"/>
  <c r="BL154" i="32"/>
  <c r="BM154" i="32" s="1"/>
  <c r="BL155" i="32"/>
  <c r="BM155" i="32" s="1"/>
  <c r="BL137" i="32"/>
  <c r="BM137" i="32" s="1"/>
  <c r="BL136" i="32"/>
  <c r="BM136" i="32" s="1"/>
  <c r="BL138" i="32"/>
  <c r="BM138" i="32" s="1"/>
  <c r="BL127" i="32"/>
  <c r="BM127" i="32" s="1"/>
  <c r="BL139" i="32"/>
  <c r="BM139" i="32" s="1"/>
  <c r="BL131" i="32"/>
  <c r="BM131" i="32" s="1"/>
  <c r="BL135" i="32"/>
  <c r="BM135" i="32" s="1"/>
  <c r="BL140" i="32"/>
  <c r="BM140" i="32" s="1"/>
  <c r="BL126" i="32"/>
  <c r="BM126" i="32" s="1"/>
  <c r="BL132" i="32"/>
  <c r="BM132" i="32" s="1"/>
  <c r="BL134" i="32"/>
  <c r="BM134" i="32" s="1"/>
  <c r="BL124" i="32"/>
  <c r="BM124" i="32" s="1"/>
  <c r="BL121" i="32"/>
  <c r="BM121" i="32" s="1"/>
  <c r="BL128" i="32"/>
  <c r="BM128" i="32" s="1"/>
  <c r="BL129" i="32"/>
  <c r="BM129" i="32" s="1"/>
  <c r="BL123" i="32"/>
  <c r="BM123" i="32" s="1"/>
  <c r="BL119" i="32"/>
  <c r="BM119" i="32" s="1"/>
  <c r="BL122" i="32"/>
  <c r="BM122" i="32" s="1"/>
  <c r="BL120" i="32"/>
  <c r="BM120" i="32" s="1"/>
  <c r="BL130" i="32"/>
  <c r="BM130" i="32" s="1"/>
  <c r="BL125" i="32"/>
  <c r="BM125" i="32" s="1"/>
  <c r="BL133" i="32"/>
  <c r="BM133" i="32" s="1"/>
  <c r="BL158" i="32"/>
  <c r="BM158" i="32" s="1"/>
  <c r="BL150" i="32"/>
  <c r="BM150" i="32" s="1"/>
  <c r="BL163" i="32"/>
  <c r="BM163" i="32" s="1"/>
  <c r="BL166" i="32"/>
  <c r="BM166" i="32" s="1"/>
  <c r="BL147" i="32"/>
  <c r="BM147" i="32" s="1"/>
  <c r="BL149" i="32"/>
  <c r="BM149" i="32" s="1"/>
  <c r="BL151" i="32"/>
  <c r="BM151" i="32" s="1"/>
  <c r="BL148" i="32"/>
  <c r="BM148" i="32" s="1"/>
  <c r="BL153" i="32"/>
  <c r="BM153" i="32" s="1"/>
  <c r="BL144" i="32"/>
  <c r="BM144" i="32" s="1"/>
  <c r="BL168" i="32"/>
  <c r="BM168" i="32" s="1"/>
  <c r="BL161" i="32"/>
  <c r="BM161" i="32" s="1"/>
  <c r="BL143" i="32"/>
  <c r="BM143" i="32" s="1"/>
  <c r="BL167" i="32"/>
  <c r="BM167" i="32" s="1"/>
  <c r="BL162" i="32"/>
  <c r="BM162" i="32" s="1"/>
  <c r="BL141" i="32"/>
  <c r="BM141" i="32" s="1"/>
  <c r="BL165" i="32"/>
  <c r="BM165" i="32" s="1"/>
  <c r="BL296" i="32"/>
  <c r="BM296" i="32" s="1"/>
  <c r="BL325" i="32"/>
  <c r="BM325" i="32" s="1"/>
  <c r="BL260" i="32"/>
  <c r="BM260" i="32" s="1"/>
  <c r="BL277" i="32"/>
  <c r="BM277" i="32" s="1"/>
  <c r="BL305" i="32"/>
  <c r="BM305" i="32" s="1"/>
  <c r="BL307" i="32"/>
  <c r="BM307" i="32" s="1"/>
  <c r="BL276" i="32"/>
  <c r="BM276" i="32" s="1"/>
  <c r="BL286" i="32"/>
  <c r="BM286" i="32" s="1"/>
  <c r="BL169" i="32"/>
  <c r="BM169" i="32" s="1"/>
  <c r="BL270" i="32"/>
  <c r="BM270" i="32" s="1"/>
  <c r="BL273" i="32"/>
  <c r="BM273" i="32" s="1"/>
  <c r="BL262" i="32"/>
  <c r="BM262" i="32" s="1"/>
  <c r="BL250" i="32"/>
  <c r="BM250" i="32" s="1"/>
  <c r="BL248" i="32"/>
  <c r="BM248" i="32" s="1"/>
  <c r="BL269" i="32"/>
  <c r="BM269" i="32" s="1"/>
  <c r="BL177" i="32"/>
  <c r="BM177" i="32" s="1"/>
  <c r="BL374" i="32"/>
  <c r="BM374" i="32" s="1"/>
  <c r="BL358" i="32"/>
  <c r="BM358" i="32" s="1"/>
  <c r="BL283" i="32"/>
  <c r="BM283" i="32" s="1"/>
  <c r="BL171" i="32"/>
  <c r="BM171" i="32" s="1"/>
  <c r="BL172" i="32"/>
  <c r="BM172" i="32" s="1"/>
  <c r="BL259" i="32"/>
  <c r="BM259" i="32" s="1"/>
  <c r="BL261" i="32"/>
  <c r="BM261" i="32" s="1"/>
  <c r="BL377" i="32"/>
  <c r="BM377" i="32" s="1"/>
  <c r="BL375" i="32"/>
  <c r="BM375" i="32" s="1"/>
  <c r="BL372" i="32"/>
  <c r="BM372" i="32" s="1"/>
  <c r="BL257" i="32"/>
  <c r="BM257" i="32" s="1"/>
  <c r="BL366" i="32"/>
  <c r="BM366" i="32" s="1"/>
  <c r="BL176" i="32"/>
  <c r="BM176" i="32" s="1"/>
  <c r="BL380" i="32"/>
  <c r="BM380" i="32" s="1"/>
  <c r="BL381" i="32"/>
  <c r="BM381" i="32" s="1"/>
  <c r="BL359" i="32"/>
  <c r="BM359" i="32" s="1"/>
  <c r="BL274" i="32"/>
  <c r="BM274" i="32" s="1"/>
  <c r="BL361" i="32"/>
  <c r="BM361" i="32" s="1"/>
  <c r="BL362" i="32"/>
  <c r="BM362" i="32" s="1"/>
  <c r="BL367" i="32"/>
  <c r="BM367" i="32" s="1"/>
  <c r="BL258" i="32"/>
  <c r="BM258" i="32" s="1"/>
  <c r="BL152" i="32"/>
  <c r="BM152" i="32" s="1"/>
  <c r="BL263" i="32"/>
  <c r="BM263" i="32" s="1"/>
  <c r="BL275" i="32"/>
  <c r="BM275" i="32" s="1"/>
  <c r="BL264" i="32"/>
  <c r="BM264" i="32" s="1"/>
  <c r="BL279" i="32"/>
  <c r="BM279" i="32" s="1"/>
  <c r="BL249" i="32"/>
  <c r="BM249" i="32" s="1"/>
  <c r="BL247" i="32"/>
  <c r="BM247" i="32" s="1"/>
  <c r="BL268" i="32"/>
  <c r="BM268" i="32" s="1"/>
  <c r="BL334" i="32"/>
  <c r="BM334" i="32" s="1"/>
  <c r="BL174" i="32"/>
  <c r="BM174" i="32" s="1"/>
  <c r="BL341" i="32"/>
  <c r="BM341" i="32" s="1"/>
  <c r="BL333" i="32"/>
  <c r="BM333" i="32" s="1"/>
  <c r="BL337" i="32"/>
  <c r="BM337" i="32" s="1"/>
  <c r="BL335" i="32"/>
  <c r="BM335" i="32" s="1"/>
  <c r="BL332" i="32"/>
  <c r="BM332" i="32" s="1"/>
  <c r="BL331" i="32"/>
  <c r="BM331" i="32" s="1"/>
  <c r="BL340" i="32"/>
  <c r="BM340" i="32" s="1"/>
  <c r="BL271" i="32"/>
  <c r="BM271" i="32" s="1"/>
  <c r="BL173" i="32"/>
  <c r="BM173" i="32" s="1"/>
  <c r="BL175" i="32"/>
  <c r="BM175" i="32" s="1"/>
  <c r="BL339" i="32"/>
  <c r="BM339" i="32" s="1"/>
  <c r="BL338" i="32"/>
  <c r="BM338" i="32" s="1"/>
  <c r="BL336" i="32"/>
  <c r="BM336" i="32" s="1"/>
  <c r="BL170" i="32"/>
  <c r="BM170" i="32" s="1"/>
  <c r="BL330" i="32"/>
  <c r="BM330" i="32" s="1"/>
  <c r="BL324" i="32"/>
  <c r="BM324" i="32" s="1"/>
  <c r="BL321" i="32"/>
  <c r="BM321" i="32" s="1"/>
  <c r="BL322" i="32"/>
  <c r="BM322" i="32" s="1"/>
  <c r="BL329" i="32"/>
  <c r="BM329" i="32" s="1"/>
  <c r="BL327" i="32"/>
  <c r="BM327" i="32" s="1"/>
  <c r="BL320" i="32"/>
  <c r="BM320" i="32" s="1"/>
  <c r="BL323" i="32"/>
  <c r="BM323" i="32" s="1"/>
  <c r="BL317" i="32"/>
  <c r="BM317" i="32" s="1"/>
  <c r="BL315" i="32"/>
  <c r="BM315" i="32" s="1"/>
  <c r="BL316" i="32"/>
  <c r="BM316" i="32" s="1"/>
  <c r="BL319" i="32"/>
  <c r="BM319" i="32" s="1"/>
  <c r="BL328" i="32"/>
  <c r="BM328" i="32" s="1"/>
  <c r="BL326" i="32"/>
  <c r="BM326" i="32" s="1"/>
  <c r="BL312" i="32"/>
  <c r="BM312" i="32" s="1"/>
  <c r="BL313" i="32"/>
  <c r="BM313" i="32" s="1"/>
  <c r="BL314" i="32"/>
  <c r="BM314" i="32" s="1"/>
  <c r="BL302" i="32"/>
  <c r="BM302" i="32" s="1"/>
  <c r="BL300" i="32"/>
  <c r="BM300" i="32" s="1"/>
  <c r="BL299" i="32"/>
  <c r="BM299" i="32" s="1"/>
  <c r="BL304" i="32"/>
  <c r="BM304" i="32" s="1"/>
  <c r="BL303" i="32"/>
  <c r="BM303" i="32" s="1"/>
  <c r="BL301" i="32"/>
  <c r="BM301" i="32" s="1"/>
  <c r="BL311" i="32"/>
  <c r="BM311" i="32" s="1"/>
  <c r="BL308" i="32"/>
  <c r="BM308" i="32" s="1"/>
  <c r="BL310" i="32"/>
  <c r="BM310" i="32" s="1"/>
  <c r="BL306" i="32"/>
  <c r="BM306" i="32" s="1"/>
  <c r="BL309" i="32"/>
  <c r="BM309" i="32" s="1"/>
  <c r="BL371" i="32"/>
  <c r="BM371" i="32" s="1"/>
  <c r="BL370" i="32"/>
  <c r="BM370" i="32" s="1"/>
  <c r="BL369" i="32"/>
  <c r="BM369" i="32" s="1"/>
  <c r="BL368" i="32"/>
  <c r="BM368" i="32" s="1"/>
  <c r="BL357" i="32"/>
  <c r="BM357" i="32" s="1"/>
  <c r="BL379" i="32"/>
  <c r="BM379" i="32" s="1"/>
  <c r="BL363" i="32"/>
  <c r="BM363" i="32" s="1"/>
  <c r="BL360" i="32"/>
  <c r="BM360" i="32" s="1"/>
  <c r="BL364" i="32"/>
  <c r="BM364" i="32" s="1"/>
  <c r="BL376" i="32"/>
  <c r="BM376" i="32" s="1"/>
  <c r="BL160" i="32"/>
  <c r="BM160" i="32" s="1"/>
  <c r="BL164" i="32"/>
  <c r="BM164" i="32" s="1"/>
  <c r="BL298" i="32"/>
  <c r="BM298" i="32" s="1"/>
  <c r="BL293" i="32"/>
  <c r="BM293" i="32" s="1"/>
  <c r="BL294" i="32"/>
  <c r="BM294" i="32" s="1"/>
  <c r="BL290" i="32"/>
  <c r="BM290" i="32" s="1"/>
  <c r="BL287" i="32"/>
  <c r="BM287" i="32" s="1"/>
  <c r="BL295" i="32"/>
  <c r="BM295" i="32" s="1"/>
  <c r="BL291" i="32"/>
  <c r="BM291" i="32" s="1"/>
  <c r="BL292" i="32"/>
  <c r="BM292" i="32" s="1"/>
  <c r="BL297" i="32"/>
  <c r="BM297" i="32" s="1"/>
  <c r="BL289" i="32"/>
  <c r="BM289" i="32" s="1"/>
  <c r="BC266" i="32"/>
  <c r="BD266" i="32" s="1"/>
  <c r="BC267" i="32"/>
  <c r="BD267" i="32" s="1"/>
  <c r="BC285" i="32"/>
  <c r="BD285" i="32" s="1"/>
  <c r="BC219" i="32"/>
  <c r="BD219" i="32" s="1"/>
  <c r="BC318" i="32"/>
  <c r="BD318" i="32" s="1"/>
  <c r="BC223" i="32"/>
  <c r="BD223" i="32" s="1"/>
  <c r="BC231" i="32"/>
  <c r="BD231" i="32" s="1"/>
  <c r="BC230" i="32"/>
  <c r="BD230" i="32" s="1"/>
  <c r="BC229" i="32"/>
  <c r="BD229" i="32" s="1"/>
  <c r="BC228" i="32"/>
  <c r="BD228" i="32" s="1"/>
  <c r="BC227" i="32"/>
  <c r="BD227" i="32" s="1"/>
  <c r="BC226" i="32"/>
  <c r="BD226" i="32" s="1"/>
  <c r="BC225" i="32"/>
  <c r="BD225" i="32" s="1"/>
  <c r="BC224" i="32"/>
  <c r="BD224" i="32" s="1"/>
  <c r="BC222" i="32"/>
  <c r="BD222" i="32" s="1"/>
  <c r="BC193" i="32"/>
  <c r="BD193" i="32" s="1"/>
  <c r="BC192" i="32"/>
  <c r="BD192" i="32" s="1"/>
  <c r="BC159" i="32"/>
  <c r="BD159" i="32" s="1"/>
  <c r="BC146" i="32"/>
  <c r="BD146" i="32" s="1"/>
  <c r="BC145" i="32"/>
  <c r="BD145" i="32" s="1"/>
  <c r="BC220" i="32"/>
  <c r="BD220" i="32" s="1"/>
  <c r="BC208" i="32"/>
  <c r="BD208" i="32" s="1"/>
  <c r="BC206" i="32"/>
  <c r="BD206" i="32" s="1"/>
  <c r="BC205" i="32"/>
  <c r="BD205" i="32" s="1"/>
  <c r="BC221" i="32"/>
  <c r="BD221" i="32" s="1"/>
  <c r="BC204" i="32"/>
  <c r="BD204" i="32" s="1"/>
  <c r="BC203" i="32"/>
  <c r="BD203" i="32" s="1"/>
  <c r="BC202" i="32"/>
  <c r="BD202" i="32" s="1"/>
  <c r="BC200" i="32"/>
  <c r="BD200" i="32" s="1"/>
  <c r="BC199" i="32"/>
  <c r="BD199" i="32" s="1"/>
  <c r="BC198" i="32"/>
  <c r="BD198" i="32" s="1"/>
  <c r="BC197" i="32"/>
  <c r="BD197" i="32" s="1"/>
  <c r="BC232" i="32"/>
  <c r="BD232" i="32" s="1"/>
  <c r="BC195" i="32"/>
  <c r="BD195" i="32" s="1"/>
  <c r="BC189" i="32"/>
  <c r="BD189" i="32" s="1"/>
  <c r="BC236" i="32"/>
  <c r="BD236" i="32" s="1"/>
  <c r="BC235" i="32"/>
  <c r="BD235" i="32" s="1"/>
  <c r="BC234" i="32"/>
  <c r="BD234" i="32" s="1"/>
  <c r="BC233" i="32"/>
  <c r="BD233" i="32" s="1"/>
  <c r="BC201" i="32"/>
  <c r="BD201" i="32" s="1"/>
  <c r="BC216" i="32"/>
  <c r="BD216" i="32" s="1"/>
  <c r="BC211" i="32"/>
  <c r="BD211" i="32" s="1"/>
  <c r="BC215" i="32"/>
  <c r="BD215" i="32" s="1"/>
  <c r="BC210" i="32"/>
  <c r="BD210" i="32" s="1"/>
  <c r="BC214" i="32"/>
  <c r="BD214" i="32" s="1"/>
  <c r="BC212" i="32"/>
  <c r="BD212" i="32" s="1"/>
  <c r="BC217" i="32"/>
  <c r="BD217" i="32" s="1"/>
  <c r="BC181" i="32"/>
  <c r="BD181" i="32" s="1"/>
  <c r="BC183" i="32"/>
  <c r="BD183" i="32" s="1"/>
  <c r="BC184" i="32"/>
  <c r="BD184" i="32" s="1"/>
  <c r="BC347" i="32"/>
  <c r="BD347" i="32" s="1"/>
  <c r="BC346" i="32"/>
  <c r="BD346" i="32" s="1"/>
  <c r="BC344" i="32"/>
  <c r="BD344" i="32" s="1"/>
  <c r="BC343" i="32"/>
  <c r="BD343" i="32" s="1"/>
  <c r="BC355" i="32"/>
  <c r="BD355" i="32" s="1"/>
  <c r="BC354" i="32"/>
  <c r="BD354" i="32" s="1"/>
  <c r="BC353" i="32"/>
  <c r="BD353" i="32" s="1"/>
  <c r="BC352" i="32"/>
  <c r="BD352" i="32" s="1"/>
  <c r="BC351" i="32"/>
  <c r="BD351" i="32" s="1"/>
  <c r="BC350" i="32"/>
  <c r="BD350" i="32" s="1"/>
  <c r="BC348" i="32"/>
  <c r="BD348" i="32" s="1"/>
  <c r="BC345" i="32"/>
  <c r="BD345" i="32" s="1"/>
  <c r="BC349" i="32"/>
  <c r="BD349" i="32" s="1"/>
  <c r="BC342" i="32"/>
  <c r="BD342" i="32" s="1"/>
  <c r="BC104" i="32"/>
  <c r="BD104" i="32" s="1"/>
  <c r="BC103" i="32"/>
  <c r="BD103" i="32" s="1"/>
  <c r="BC102" i="32"/>
  <c r="BD102" i="32" s="1"/>
  <c r="BC101" i="32"/>
  <c r="BD101" i="32" s="1"/>
  <c r="BC100" i="32"/>
  <c r="BD100" i="32" s="1"/>
  <c r="BC99" i="32"/>
  <c r="BD99" i="32" s="1"/>
  <c r="BC98" i="32"/>
  <c r="BD98" i="32" s="1"/>
  <c r="BC96" i="32"/>
  <c r="BD96" i="32" s="1"/>
  <c r="BC95" i="32"/>
  <c r="BD95" i="32" s="1"/>
  <c r="BC94" i="32"/>
  <c r="BD94" i="32" s="1"/>
  <c r="BC118" i="32"/>
  <c r="BD118" i="32" s="1"/>
  <c r="BC116" i="32"/>
  <c r="BD116" i="32" s="1"/>
  <c r="BC115" i="32"/>
  <c r="BD115" i="32" s="1"/>
  <c r="BC114" i="32"/>
  <c r="BD114" i="32" s="1"/>
  <c r="BC113" i="32"/>
  <c r="BD113" i="32" s="1"/>
  <c r="BC112" i="32"/>
  <c r="BD112" i="32" s="1"/>
  <c r="BC111" i="32"/>
  <c r="BD111" i="32" s="1"/>
  <c r="BC110" i="32"/>
  <c r="BD110" i="32" s="1"/>
  <c r="BC108" i="32"/>
  <c r="BD108" i="32" s="1"/>
  <c r="BC107" i="32"/>
  <c r="BD107" i="32" s="1"/>
  <c r="BC106" i="32"/>
  <c r="BD106" i="32" s="1"/>
  <c r="BC105" i="32"/>
  <c r="BD105" i="32" s="1"/>
  <c r="BC97" i="32"/>
  <c r="BD97" i="32" s="1"/>
  <c r="BC93" i="32"/>
  <c r="BD93" i="32" s="1"/>
  <c r="BC117" i="32"/>
  <c r="BD117" i="32" s="1"/>
  <c r="BC109" i="32"/>
  <c r="BD109" i="32" s="1"/>
  <c r="BC142" i="32"/>
  <c r="BD142" i="32" s="1"/>
  <c r="BC278" i="32"/>
  <c r="BD278" i="32" s="1"/>
  <c r="BC252" i="32"/>
  <c r="BD252" i="32" s="1"/>
  <c r="BC246" i="32"/>
  <c r="BD246" i="32" s="1"/>
  <c r="BC191" i="32"/>
  <c r="BD191" i="32" s="1"/>
  <c r="BC190" i="32"/>
  <c r="BD190" i="32" s="1"/>
  <c r="BC188" i="32"/>
  <c r="BD188" i="32" s="1"/>
  <c r="BC238" i="32"/>
  <c r="BD238" i="32" s="1"/>
  <c r="BC240" i="32"/>
  <c r="BD240" i="32" s="1"/>
  <c r="BC244" i="32"/>
  <c r="BD244" i="32" s="1"/>
  <c r="BC245" i="32"/>
  <c r="BD245" i="32" s="1"/>
  <c r="BC185" i="32"/>
  <c r="BD185" i="32" s="1"/>
  <c r="BC179" i="32"/>
  <c r="BD179" i="32" s="1"/>
  <c r="BC242" i="32"/>
  <c r="BD242" i="32" s="1"/>
  <c r="BC243" i="32"/>
  <c r="BD243" i="32" s="1"/>
  <c r="BC194" i="32"/>
  <c r="BD194" i="32" s="1"/>
  <c r="BC182" i="32"/>
  <c r="BD182" i="32" s="1"/>
  <c r="BC284" i="32"/>
  <c r="BD284" i="32" s="1"/>
  <c r="BC378" i="32"/>
  <c r="BD378" i="32" s="1"/>
  <c r="BC265" i="32"/>
  <c r="BD265" i="32" s="1"/>
  <c r="BC373" i="32"/>
  <c r="BD373" i="32" s="1"/>
  <c r="BC196" i="32"/>
  <c r="BD196" i="32" s="1"/>
  <c r="BC186" i="32"/>
  <c r="BD186" i="32" s="1"/>
  <c r="BC253" i="32"/>
  <c r="BD253" i="32" s="1"/>
  <c r="BC280" i="32"/>
  <c r="BD280" i="32" s="1"/>
  <c r="BC254" i="32"/>
  <c r="BD254" i="32" s="1"/>
  <c r="BC241" i="32"/>
  <c r="BD241" i="32" s="1"/>
  <c r="BC180" i="32"/>
  <c r="BD180" i="32" s="1"/>
  <c r="BC239" i="32"/>
  <c r="BD239" i="32" s="1"/>
  <c r="BC281" i="32"/>
  <c r="BD281" i="32" s="1"/>
  <c r="BC256" i="32"/>
  <c r="BD256" i="32" s="1"/>
  <c r="BC187" i="32"/>
  <c r="BD187" i="32" s="1"/>
  <c r="BC288" i="32"/>
  <c r="BD288" i="32" s="1"/>
  <c r="BC282" i="32"/>
  <c r="BD282" i="32" s="1"/>
  <c r="BC255" i="32"/>
  <c r="BD255" i="32" s="1"/>
  <c r="BC251" i="32"/>
  <c r="BD251" i="32" s="1"/>
  <c r="BC237" i="32"/>
  <c r="BD237" i="32" s="1"/>
  <c r="BC272" i="32"/>
  <c r="BD272" i="32" s="1"/>
  <c r="BC365" i="32"/>
  <c r="BD365" i="32" s="1"/>
  <c r="BC178" i="32"/>
  <c r="BD178" i="32" s="1"/>
  <c r="BC218" i="32"/>
  <c r="BD218" i="32" s="1"/>
  <c r="BC57" i="32"/>
  <c r="BD57" i="32" s="1"/>
  <c r="BC56" i="32"/>
  <c r="BD56" i="32" s="1"/>
  <c r="BC55" i="32"/>
  <c r="BD55" i="32" s="1"/>
  <c r="BC54" i="32"/>
  <c r="BD54" i="32" s="1"/>
  <c r="BC53" i="32"/>
  <c r="BD53" i="32" s="1"/>
  <c r="BC52" i="32"/>
  <c r="BD52" i="32" s="1"/>
  <c r="BC51" i="32"/>
  <c r="BD51" i="32" s="1"/>
  <c r="BC50" i="32"/>
  <c r="BD50" i="32" s="1"/>
  <c r="BC49" i="32"/>
  <c r="BD49" i="32" s="1"/>
  <c r="BC48" i="32"/>
  <c r="BD48" i="32" s="1"/>
  <c r="BC47" i="32"/>
  <c r="BD47" i="32" s="1"/>
  <c r="BC46" i="32"/>
  <c r="BD46" i="32" s="1"/>
  <c r="BC45" i="32"/>
  <c r="BD45" i="32" s="1"/>
  <c r="BC44" i="32"/>
  <c r="BD44" i="32" s="1"/>
  <c r="BC42" i="32"/>
  <c r="BD42" i="32" s="1"/>
  <c r="BC41" i="32"/>
  <c r="BD41" i="32" s="1"/>
  <c r="BC40" i="32"/>
  <c r="BD40" i="32" s="1"/>
  <c r="BC39" i="32"/>
  <c r="BD39" i="32" s="1"/>
  <c r="BC38" i="32"/>
  <c r="BD38" i="32" s="1"/>
  <c r="BC37" i="32"/>
  <c r="BD37" i="32" s="1"/>
  <c r="BC35" i="32"/>
  <c r="BD35" i="32" s="1"/>
  <c r="BC34" i="32"/>
  <c r="BD34" i="32" s="1"/>
  <c r="BC33" i="32"/>
  <c r="BD33" i="32" s="1"/>
  <c r="BC32" i="32"/>
  <c r="BD32" i="32" s="1"/>
  <c r="BC31" i="32"/>
  <c r="BD31" i="32" s="1"/>
  <c r="BC30" i="32"/>
  <c r="BD30" i="32" s="1"/>
  <c r="BC29" i="32"/>
  <c r="BD29" i="32" s="1"/>
  <c r="BC28" i="32"/>
  <c r="BD28" i="32" s="1"/>
  <c r="BC27" i="32"/>
  <c r="BD27" i="32" s="1"/>
  <c r="BC26" i="32"/>
  <c r="BD26" i="32" s="1"/>
  <c r="BC25" i="32"/>
  <c r="BD25" i="32" s="1"/>
  <c r="BC24" i="32"/>
  <c r="BD24" i="32" s="1"/>
  <c r="BC23" i="32"/>
  <c r="BD23" i="32" s="1"/>
  <c r="BC22" i="32"/>
  <c r="BD22" i="32" s="1"/>
  <c r="BC21" i="32"/>
  <c r="BD21" i="32" s="1"/>
  <c r="BC20" i="32"/>
  <c r="BD20" i="32" s="1"/>
  <c r="BC19" i="32"/>
  <c r="BD19" i="32" s="1"/>
  <c r="BC18" i="32"/>
  <c r="BD18" i="32" s="1"/>
  <c r="BC17" i="32"/>
  <c r="BD17" i="32" s="1"/>
  <c r="BC16" i="32"/>
  <c r="BD16" i="32" s="1"/>
  <c r="BC15" i="32"/>
  <c r="BD15" i="32" s="1"/>
  <c r="BC92" i="32"/>
  <c r="BD92" i="32" s="1"/>
  <c r="BC91" i="32"/>
  <c r="BD91" i="32" s="1"/>
  <c r="BC90" i="32"/>
  <c r="BD90" i="32" s="1"/>
  <c r="BC89" i="32"/>
  <c r="BD89" i="32" s="1"/>
  <c r="BC88" i="32"/>
  <c r="BD88" i="32" s="1"/>
  <c r="BC87" i="32"/>
  <c r="BD87" i="32" s="1"/>
  <c r="BC86" i="32"/>
  <c r="BD86" i="32" s="1"/>
  <c r="BC85" i="32"/>
  <c r="BD85" i="32" s="1"/>
  <c r="BC84" i="32"/>
  <c r="BD84" i="32" s="1"/>
  <c r="BC83" i="32"/>
  <c r="BD83" i="32" s="1"/>
  <c r="BC82" i="32"/>
  <c r="BD82" i="32" s="1"/>
  <c r="BC81" i="32"/>
  <c r="BD81" i="32" s="1"/>
  <c r="BC80" i="32"/>
  <c r="BD80" i="32" s="1"/>
  <c r="BC79" i="32"/>
  <c r="BD79" i="32" s="1"/>
  <c r="BC78" i="32"/>
  <c r="BD78" i="32" s="1"/>
  <c r="BC77" i="32"/>
  <c r="BD77" i="32" s="1"/>
  <c r="BC75" i="32"/>
  <c r="BD75" i="32" s="1"/>
  <c r="BC74" i="32"/>
  <c r="BD74" i="32" s="1"/>
  <c r="BC73" i="32"/>
  <c r="BD73" i="32" s="1"/>
  <c r="BC72" i="32"/>
  <c r="BD72" i="32" s="1"/>
  <c r="BC71" i="32"/>
  <c r="BD71" i="32" s="1"/>
  <c r="BC70" i="32"/>
  <c r="BD70" i="32" s="1"/>
  <c r="BC69" i="32"/>
  <c r="BD69" i="32" s="1"/>
  <c r="BC68" i="32"/>
  <c r="BD68" i="32" s="1"/>
  <c r="BC67" i="32"/>
  <c r="BD67" i="32" s="1"/>
  <c r="BC66" i="32"/>
  <c r="BD66" i="32" s="1"/>
  <c r="BC65" i="32"/>
  <c r="BD65" i="32" s="1"/>
  <c r="BC63" i="32"/>
  <c r="BD63" i="32" s="1"/>
  <c r="BC62" i="32"/>
  <c r="BD62" i="32" s="1"/>
  <c r="BC61" i="32"/>
  <c r="BD61" i="32" s="1"/>
  <c r="BC60" i="32"/>
  <c r="BD60" i="32" s="1"/>
  <c r="BC59" i="32"/>
  <c r="BD59" i="32" s="1"/>
  <c r="BC58" i="32"/>
  <c r="BD58" i="32" s="1"/>
  <c r="BC43" i="32"/>
  <c r="BD43" i="32" s="1"/>
  <c r="BC36" i="32"/>
  <c r="BD36" i="32" s="1"/>
  <c r="BC76" i="32"/>
  <c r="BD76" i="32" s="1"/>
  <c r="BC64" i="32"/>
  <c r="BD64" i="32" s="1"/>
  <c r="BC14" i="32"/>
  <c r="BD14" i="32" s="1"/>
  <c r="BC157" i="32"/>
  <c r="BD157" i="32" s="1"/>
  <c r="BC154" i="32"/>
  <c r="BD154" i="32" s="1"/>
  <c r="BC155" i="32"/>
  <c r="BD155" i="32" s="1"/>
  <c r="BC137" i="32"/>
  <c r="BD137" i="32" s="1"/>
  <c r="BC136" i="32"/>
  <c r="BD136" i="32" s="1"/>
  <c r="BC138" i="32"/>
  <c r="BD138" i="32" s="1"/>
  <c r="BC127" i="32"/>
  <c r="BD127" i="32" s="1"/>
  <c r="BC139" i="32"/>
  <c r="BD139" i="32" s="1"/>
  <c r="BC131" i="32"/>
  <c r="BD131" i="32" s="1"/>
  <c r="BC135" i="32"/>
  <c r="BD135" i="32" s="1"/>
  <c r="BC140" i="32"/>
  <c r="BD140" i="32" s="1"/>
  <c r="BC126" i="32"/>
  <c r="BD126" i="32" s="1"/>
  <c r="BC132" i="32"/>
  <c r="BD132" i="32" s="1"/>
  <c r="BC134" i="32"/>
  <c r="BD134" i="32" s="1"/>
  <c r="BC124" i="32"/>
  <c r="BD124" i="32" s="1"/>
  <c r="BC121" i="32"/>
  <c r="BD121" i="32" s="1"/>
  <c r="BC128" i="32"/>
  <c r="BD128" i="32" s="1"/>
  <c r="BC129" i="32"/>
  <c r="BD129" i="32" s="1"/>
  <c r="BC123" i="32"/>
  <c r="BD123" i="32" s="1"/>
  <c r="BC119" i="32"/>
  <c r="BD119" i="32" s="1"/>
  <c r="BC122" i="32"/>
  <c r="BD122" i="32" s="1"/>
  <c r="BC120" i="32"/>
  <c r="BD120" i="32" s="1"/>
  <c r="BC130" i="32"/>
  <c r="BD130" i="32" s="1"/>
  <c r="BC125" i="32"/>
  <c r="BD125" i="32" s="1"/>
  <c r="BC133" i="32"/>
  <c r="BD133" i="32" s="1"/>
  <c r="BC158" i="32"/>
  <c r="BD158" i="32" s="1"/>
  <c r="BC150" i="32"/>
  <c r="BD150" i="32" s="1"/>
  <c r="BC163" i="32"/>
  <c r="BD163" i="32" s="1"/>
  <c r="BC166" i="32"/>
  <c r="BD166" i="32" s="1"/>
  <c r="BC147" i="32"/>
  <c r="BD147" i="32" s="1"/>
  <c r="BC149" i="32"/>
  <c r="BD149" i="32" s="1"/>
  <c r="BC151" i="32"/>
  <c r="BD151" i="32" s="1"/>
  <c r="BC148" i="32"/>
  <c r="BD148" i="32" s="1"/>
  <c r="BC153" i="32"/>
  <c r="BD153" i="32" s="1"/>
  <c r="BC144" i="32"/>
  <c r="BD144" i="32" s="1"/>
  <c r="BC168" i="32"/>
  <c r="BD168" i="32" s="1"/>
  <c r="BC161" i="32"/>
  <c r="BD161" i="32" s="1"/>
  <c r="BC143" i="32"/>
  <c r="BD143" i="32" s="1"/>
  <c r="BC167" i="32"/>
  <c r="BD167" i="32" s="1"/>
  <c r="BC162" i="32"/>
  <c r="BD162" i="32" s="1"/>
  <c r="BC141" i="32"/>
  <c r="BD141" i="32" s="1"/>
  <c r="BC165" i="32"/>
  <c r="BD165" i="32" s="1"/>
  <c r="BC296" i="32"/>
  <c r="BD296" i="32" s="1"/>
  <c r="BC325" i="32"/>
  <c r="BD325" i="32" s="1"/>
  <c r="BC260" i="32"/>
  <c r="BD260" i="32" s="1"/>
  <c r="BC277" i="32"/>
  <c r="BD277" i="32" s="1"/>
  <c r="BC305" i="32"/>
  <c r="BD305" i="32" s="1"/>
  <c r="BC307" i="32"/>
  <c r="BD307" i="32" s="1"/>
  <c r="BC276" i="32"/>
  <c r="BD276" i="32" s="1"/>
  <c r="BC286" i="32"/>
  <c r="BD286" i="32" s="1"/>
  <c r="BC169" i="32"/>
  <c r="BD169" i="32" s="1"/>
  <c r="BC270" i="32"/>
  <c r="BD270" i="32" s="1"/>
  <c r="BC273" i="32"/>
  <c r="BD273" i="32" s="1"/>
  <c r="BC262" i="32"/>
  <c r="BD262" i="32" s="1"/>
  <c r="BC250" i="32"/>
  <c r="BD250" i="32" s="1"/>
  <c r="BC248" i="32"/>
  <c r="BD248" i="32" s="1"/>
  <c r="BC269" i="32"/>
  <c r="BD269" i="32" s="1"/>
  <c r="BC177" i="32"/>
  <c r="BD177" i="32" s="1"/>
  <c r="BC374" i="32"/>
  <c r="BD374" i="32" s="1"/>
  <c r="BC358" i="32"/>
  <c r="BD358" i="32" s="1"/>
  <c r="BC283" i="32"/>
  <c r="BD283" i="32" s="1"/>
  <c r="BC171" i="32"/>
  <c r="BD171" i="32" s="1"/>
  <c r="BC172" i="32"/>
  <c r="BD172" i="32" s="1"/>
  <c r="BC259" i="32"/>
  <c r="BD259" i="32" s="1"/>
  <c r="BC261" i="32"/>
  <c r="BD261" i="32" s="1"/>
  <c r="BC377" i="32"/>
  <c r="BD377" i="32" s="1"/>
  <c r="BC375" i="32"/>
  <c r="BD375" i="32" s="1"/>
  <c r="BC372" i="32"/>
  <c r="BD372" i="32" s="1"/>
  <c r="BC257" i="32"/>
  <c r="BD257" i="32" s="1"/>
  <c r="BC366" i="32"/>
  <c r="BD366" i="32" s="1"/>
  <c r="BC176" i="32"/>
  <c r="BD176" i="32" s="1"/>
  <c r="BC380" i="32"/>
  <c r="BD380" i="32" s="1"/>
  <c r="BC381" i="32"/>
  <c r="BD381" i="32" s="1"/>
  <c r="BC359" i="32"/>
  <c r="BD359" i="32" s="1"/>
  <c r="BC274" i="32"/>
  <c r="BD274" i="32" s="1"/>
  <c r="BC361" i="32"/>
  <c r="BD361" i="32" s="1"/>
  <c r="BC362" i="32"/>
  <c r="BD362" i="32" s="1"/>
  <c r="BC367" i="32"/>
  <c r="BD367" i="32" s="1"/>
  <c r="BC258" i="32"/>
  <c r="BD258" i="32" s="1"/>
  <c r="BC152" i="32"/>
  <c r="BD152" i="32" s="1"/>
  <c r="BC263" i="32"/>
  <c r="BD263" i="32" s="1"/>
  <c r="BC275" i="32"/>
  <c r="BD275" i="32" s="1"/>
  <c r="BC264" i="32"/>
  <c r="BD264" i="32" s="1"/>
  <c r="BC279" i="32"/>
  <c r="BD279" i="32" s="1"/>
  <c r="BC249" i="32"/>
  <c r="BD249" i="32" s="1"/>
  <c r="BC247" i="32"/>
  <c r="BD247" i="32" s="1"/>
  <c r="BC268" i="32"/>
  <c r="BD268" i="32" s="1"/>
  <c r="BC334" i="32"/>
  <c r="BD334" i="32" s="1"/>
  <c r="BC174" i="32"/>
  <c r="BD174" i="32" s="1"/>
  <c r="BC341" i="32"/>
  <c r="BD341" i="32" s="1"/>
  <c r="BC333" i="32"/>
  <c r="BD333" i="32" s="1"/>
  <c r="BC337" i="32"/>
  <c r="BD337" i="32" s="1"/>
  <c r="BC335" i="32"/>
  <c r="BD335" i="32" s="1"/>
  <c r="BC332" i="32"/>
  <c r="BD332" i="32" s="1"/>
  <c r="BC331" i="32"/>
  <c r="BD331" i="32" s="1"/>
  <c r="BC340" i="32"/>
  <c r="BD340" i="32" s="1"/>
  <c r="BC271" i="32"/>
  <c r="BD271" i="32" s="1"/>
  <c r="BC173" i="32"/>
  <c r="BD173" i="32" s="1"/>
  <c r="BC175" i="32"/>
  <c r="BD175" i="32" s="1"/>
  <c r="BC339" i="32"/>
  <c r="BD339" i="32" s="1"/>
  <c r="BC338" i="32"/>
  <c r="BD338" i="32" s="1"/>
  <c r="BC336" i="32"/>
  <c r="BD336" i="32" s="1"/>
  <c r="BC170" i="32"/>
  <c r="BD170" i="32" s="1"/>
  <c r="BC330" i="32"/>
  <c r="BD330" i="32" s="1"/>
  <c r="BC324" i="32"/>
  <c r="BD324" i="32" s="1"/>
  <c r="BC321" i="32"/>
  <c r="BD321" i="32" s="1"/>
  <c r="BC322" i="32"/>
  <c r="BD322" i="32" s="1"/>
  <c r="BC329" i="32"/>
  <c r="BD329" i="32" s="1"/>
  <c r="BC327" i="32"/>
  <c r="BD327" i="32" s="1"/>
  <c r="BC320" i="32"/>
  <c r="BD320" i="32" s="1"/>
  <c r="BC323" i="32"/>
  <c r="BD323" i="32" s="1"/>
  <c r="BC317" i="32"/>
  <c r="BD317" i="32" s="1"/>
  <c r="BC315" i="32"/>
  <c r="BD315" i="32" s="1"/>
  <c r="BC316" i="32"/>
  <c r="BD316" i="32" s="1"/>
  <c r="BC319" i="32"/>
  <c r="BD319" i="32" s="1"/>
  <c r="BC328" i="32"/>
  <c r="BD328" i="32" s="1"/>
  <c r="BC326" i="32"/>
  <c r="BD326" i="32" s="1"/>
  <c r="BC312" i="32"/>
  <c r="BD312" i="32" s="1"/>
  <c r="BC313" i="32"/>
  <c r="BD313" i="32" s="1"/>
  <c r="BC314" i="32"/>
  <c r="BD314" i="32" s="1"/>
  <c r="BC302" i="32"/>
  <c r="BD302" i="32" s="1"/>
  <c r="BC300" i="32"/>
  <c r="BD300" i="32" s="1"/>
  <c r="BC299" i="32"/>
  <c r="BD299" i="32" s="1"/>
  <c r="BC304" i="32"/>
  <c r="BD304" i="32" s="1"/>
  <c r="BC303" i="32"/>
  <c r="BD303" i="32" s="1"/>
  <c r="BC301" i="32"/>
  <c r="BD301" i="32" s="1"/>
  <c r="BC311" i="32"/>
  <c r="BD311" i="32" s="1"/>
  <c r="BC308" i="32"/>
  <c r="BD308" i="32" s="1"/>
  <c r="BC310" i="32"/>
  <c r="BD310" i="32" s="1"/>
  <c r="BC306" i="32"/>
  <c r="BD306" i="32" s="1"/>
  <c r="BC309" i="32"/>
  <c r="BD309" i="32" s="1"/>
  <c r="BC371" i="32"/>
  <c r="BD371" i="32" s="1"/>
  <c r="BC370" i="32"/>
  <c r="BD370" i="32" s="1"/>
  <c r="BC369" i="32"/>
  <c r="BD369" i="32" s="1"/>
  <c r="BC368" i="32"/>
  <c r="BD368" i="32" s="1"/>
  <c r="BC357" i="32"/>
  <c r="BD357" i="32" s="1"/>
  <c r="BC379" i="32"/>
  <c r="BD379" i="32" s="1"/>
  <c r="BC363" i="32"/>
  <c r="BD363" i="32" s="1"/>
  <c r="BC360" i="32"/>
  <c r="BD360" i="32" s="1"/>
  <c r="BC364" i="32"/>
  <c r="BD364" i="32" s="1"/>
  <c r="BC376" i="32"/>
  <c r="BD376" i="32" s="1"/>
  <c r="BC160" i="32"/>
  <c r="BD160" i="32" s="1"/>
  <c r="BC164" i="32"/>
  <c r="BD164" i="32" s="1"/>
  <c r="BC298" i="32"/>
  <c r="BD298" i="32" s="1"/>
  <c r="BC293" i="32"/>
  <c r="BD293" i="32" s="1"/>
  <c r="BC294" i="32"/>
  <c r="BD294" i="32" s="1"/>
  <c r="BC290" i="32"/>
  <c r="BD290" i="32" s="1"/>
  <c r="BC287" i="32"/>
  <c r="BD287" i="32" s="1"/>
  <c r="BC295" i="32"/>
  <c r="BD295" i="32" s="1"/>
  <c r="BC291" i="32"/>
  <c r="BD291" i="32" s="1"/>
  <c r="BC292" i="32"/>
  <c r="BD292" i="32" s="1"/>
  <c r="BC297" i="32"/>
  <c r="BD297" i="32" s="1"/>
  <c r="BC289" i="32"/>
  <c r="BD289" i="32" s="1"/>
  <c r="AZ289" i="32"/>
  <c r="BA289" i="32" s="1"/>
  <c r="CY289" i="32" s="1"/>
  <c r="AZ266" i="32"/>
  <c r="BA266" i="32" s="1"/>
  <c r="AZ267" i="32"/>
  <c r="BA267" i="32" s="1"/>
  <c r="AZ285" i="32"/>
  <c r="BA285" i="32" s="1"/>
  <c r="AZ219" i="32"/>
  <c r="BA219" i="32" s="1"/>
  <c r="AZ318" i="32"/>
  <c r="BA318" i="32" s="1"/>
  <c r="AZ223" i="32"/>
  <c r="BA223" i="32" s="1"/>
  <c r="AZ231" i="32"/>
  <c r="BA231" i="32" s="1"/>
  <c r="AZ230" i="32"/>
  <c r="BA230" i="32" s="1"/>
  <c r="AZ229" i="32"/>
  <c r="BA229" i="32" s="1"/>
  <c r="AZ228" i="32"/>
  <c r="BA228" i="32" s="1"/>
  <c r="AZ227" i="32"/>
  <c r="BA227" i="32" s="1"/>
  <c r="AZ226" i="32"/>
  <c r="BA226" i="32" s="1"/>
  <c r="AZ225" i="32"/>
  <c r="BA225" i="32" s="1"/>
  <c r="AZ224" i="32"/>
  <c r="BA224" i="32" s="1"/>
  <c r="AZ222" i="32"/>
  <c r="BA222" i="32" s="1"/>
  <c r="AZ193" i="32"/>
  <c r="BA193" i="32" s="1"/>
  <c r="AZ192" i="32"/>
  <c r="BA192" i="32" s="1"/>
  <c r="AZ159" i="32"/>
  <c r="BA159" i="32" s="1"/>
  <c r="AZ146" i="32"/>
  <c r="BA146" i="32" s="1"/>
  <c r="AZ145" i="32"/>
  <c r="BA145" i="32" s="1"/>
  <c r="AZ220" i="32"/>
  <c r="BA220" i="32" s="1"/>
  <c r="AZ208" i="32"/>
  <c r="BA208" i="32" s="1"/>
  <c r="AZ206" i="32"/>
  <c r="BA206" i="32" s="1"/>
  <c r="AZ205" i="32"/>
  <c r="BA205" i="32" s="1"/>
  <c r="AZ221" i="32"/>
  <c r="BA221" i="32" s="1"/>
  <c r="AZ204" i="32"/>
  <c r="BA204" i="32" s="1"/>
  <c r="AZ203" i="32"/>
  <c r="BA203" i="32" s="1"/>
  <c r="AZ202" i="32"/>
  <c r="BA202" i="32" s="1"/>
  <c r="AZ200" i="32"/>
  <c r="BA200" i="32" s="1"/>
  <c r="AZ199" i="32"/>
  <c r="BA199" i="32" s="1"/>
  <c r="AZ198" i="32"/>
  <c r="BA198" i="32" s="1"/>
  <c r="AZ197" i="32"/>
  <c r="BA197" i="32" s="1"/>
  <c r="AZ232" i="32"/>
  <c r="BA232" i="32" s="1"/>
  <c r="AZ195" i="32"/>
  <c r="BA195" i="32" s="1"/>
  <c r="AZ189" i="32"/>
  <c r="BA189" i="32" s="1"/>
  <c r="AZ236" i="32"/>
  <c r="BA236" i="32" s="1"/>
  <c r="AZ235" i="32"/>
  <c r="BA235" i="32" s="1"/>
  <c r="AZ234" i="32"/>
  <c r="BA234" i="32" s="1"/>
  <c r="AZ233" i="32"/>
  <c r="BA233" i="32" s="1"/>
  <c r="AZ201" i="32"/>
  <c r="BA201" i="32" s="1"/>
  <c r="AZ216" i="32"/>
  <c r="BA216" i="32" s="1"/>
  <c r="AZ211" i="32"/>
  <c r="BA211" i="32" s="1"/>
  <c r="AZ215" i="32"/>
  <c r="BA215" i="32" s="1"/>
  <c r="AZ210" i="32"/>
  <c r="BA210" i="32" s="1"/>
  <c r="AZ214" i="32"/>
  <c r="BA214" i="32" s="1"/>
  <c r="AZ212" i="32"/>
  <c r="BA212" i="32" s="1"/>
  <c r="AZ217" i="32"/>
  <c r="BA217" i="32" s="1"/>
  <c r="AZ181" i="32"/>
  <c r="BA181" i="32" s="1"/>
  <c r="AZ183" i="32"/>
  <c r="BA183" i="32" s="1"/>
  <c r="AZ184" i="32"/>
  <c r="BA184" i="32" s="1"/>
  <c r="AZ347" i="32"/>
  <c r="BA347" i="32" s="1"/>
  <c r="AZ346" i="32"/>
  <c r="BA346" i="32" s="1"/>
  <c r="AZ344" i="32"/>
  <c r="BA344" i="32" s="1"/>
  <c r="AZ343" i="32"/>
  <c r="BA343" i="32" s="1"/>
  <c r="AZ355" i="32"/>
  <c r="BA355" i="32" s="1"/>
  <c r="AZ354" i="32"/>
  <c r="BA354" i="32" s="1"/>
  <c r="AZ353" i="32"/>
  <c r="BA353" i="32" s="1"/>
  <c r="AZ352" i="32"/>
  <c r="BA352" i="32" s="1"/>
  <c r="AZ351" i="32"/>
  <c r="BA351" i="32" s="1"/>
  <c r="AZ350" i="32"/>
  <c r="BA350" i="32" s="1"/>
  <c r="AZ348" i="32"/>
  <c r="BA348" i="32" s="1"/>
  <c r="AZ345" i="32"/>
  <c r="BA345" i="32" s="1"/>
  <c r="AZ349" i="32"/>
  <c r="BA349" i="32" s="1"/>
  <c r="AZ342" i="32"/>
  <c r="BA342" i="32" s="1"/>
  <c r="AZ104" i="32"/>
  <c r="BA104" i="32" s="1"/>
  <c r="AZ103" i="32"/>
  <c r="BA103" i="32" s="1"/>
  <c r="AZ102" i="32"/>
  <c r="BA102" i="32" s="1"/>
  <c r="AZ101" i="32"/>
  <c r="BA101" i="32" s="1"/>
  <c r="AZ100" i="32"/>
  <c r="BA100" i="32" s="1"/>
  <c r="AZ99" i="32"/>
  <c r="BA99" i="32" s="1"/>
  <c r="AZ98" i="32"/>
  <c r="BA98" i="32" s="1"/>
  <c r="AZ96" i="32"/>
  <c r="BA96" i="32" s="1"/>
  <c r="AZ95" i="32"/>
  <c r="BA95" i="32" s="1"/>
  <c r="AZ94" i="32"/>
  <c r="BA94" i="32" s="1"/>
  <c r="AZ118" i="32"/>
  <c r="BA118" i="32" s="1"/>
  <c r="AZ116" i="32"/>
  <c r="BA116" i="32" s="1"/>
  <c r="AZ115" i="32"/>
  <c r="BA115" i="32" s="1"/>
  <c r="AZ114" i="32"/>
  <c r="BA114" i="32" s="1"/>
  <c r="AZ113" i="32"/>
  <c r="BA113" i="32" s="1"/>
  <c r="AZ112" i="32"/>
  <c r="BA112" i="32" s="1"/>
  <c r="AZ111" i="32"/>
  <c r="BA111" i="32" s="1"/>
  <c r="AZ110" i="32"/>
  <c r="BA110" i="32" s="1"/>
  <c r="AZ108" i="32"/>
  <c r="BA108" i="32" s="1"/>
  <c r="AZ107" i="32"/>
  <c r="BA107" i="32" s="1"/>
  <c r="AZ106" i="32"/>
  <c r="BA106" i="32" s="1"/>
  <c r="AZ105" i="32"/>
  <c r="BA105" i="32" s="1"/>
  <c r="AZ97" i="32"/>
  <c r="BA97" i="32" s="1"/>
  <c r="AZ93" i="32"/>
  <c r="BA93" i="32" s="1"/>
  <c r="AZ117" i="32"/>
  <c r="BA117" i="32" s="1"/>
  <c r="AZ109" i="32"/>
  <c r="BA109" i="32" s="1"/>
  <c r="AZ142" i="32"/>
  <c r="BA142" i="32" s="1"/>
  <c r="AZ278" i="32"/>
  <c r="BA278" i="32" s="1"/>
  <c r="AZ252" i="32"/>
  <c r="BA252" i="32" s="1"/>
  <c r="AZ246" i="32"/>
  <c r="BA246" i="32" s="1"/>
  <c r="AZ191" i="32"/>
  <c r="BA191" i="32" s="1"/>
  <c r="AZ190" i="32"/>
  <c r="BA190" i="32" s="1"/>
  <c r="AZ188" i="32"/>
  <c r="BA188" i="32" s="1"/>
  <c r="AZ238" i="32"/>
  <c r="BA238" i="32" s="1"/>
  <c r="AZ240" i="32"/>
  <c r="BA240" i="32" s="1"/>
  <c r="AZ244" i="32"/>
  <c r="BA244" i="32" s="1"/>
  <c r="AZ245" i="32"/>
  <c r="BA245" i="32" s="1"/>
  <c r="AZ185" i="32"/>
  <c r="BA185" i="32" s="1"/>
  <c r="AZ179" i="32"/>
  <c r="BA179" i="32" s="1"/>
  <c r="AZ242" i="32"/>
  <c r="BA242" i="32" s="1"/>
  <c r="AZ243" i="32"/>
  <c r="BA243" i="32" s="1"/>
  <c r="AZ194" i="32"/>
  <c r="BA194" i="32" s="1"/>
  <c r="AZ182" i="32"/>
  <c r="BA182" i="32" s="1"/>
  <c r="AZ284" i="32"/>
  <c r="BA284" i="32" s="1"/>
  <c r="AZ378" i="32"/>
  <c r="BA378" i="32" s="1"/>
  <c r="AZ265" i="32"/>
  <c r="BA265" i="32" s="1"/>
  <c r="AZ373" i="32"/>
  <c r="BA373" i="32" s="1"/>
  <c r="AZ196" i="32"/>
  <c r="BA196" i="32" s="1"/>
  <c r="AZ186" i="32"/>
  <c r="BA186" i="32" s="1"/>
  <c r="AZ253" i="32"/>
  <c r="BA253" i="32" s="1"/>
  <c r="AZ280" i="32"/>
  <c r="BA280" i="32" s="1"/>
  <c r="AZ254" i="32"/>
  <c r="BA254" i="32" s="1"/>
  <c r="AZ241" i="32"/>
  <c r="BA241" i="32" s="1"/>
  <c r="AZ180" i="32"/>
  <c r="BA180" i="32" s="1"/>
  <c r="AZ239" i="32"/>
  <c r="BA239" i="32" s="1"/>
  <c r="AZ281" i="32"/>
  <c r="BA281" i="32" s="1"/>
  <c r="AZ256" i="32"/>
  <c r="BA256" i="32" s="1"/>
  <c r="AZ187" i="32"/>
  <c r="BA187" i="32" s="1"/>
  <c r="AZ288" i="32"/>
  <c r="BA288" i="32" s="1"/>
  <c r="AZ282" i="32"/>
  <c r="BA282" i="32" s="1"/>
  <c r="AZ255" i="32"/>
  <c r="BA255" i="32" s="1"/>
  <c r="AZ251" i="32"/>
  <c r="BA251" i="32" s="1"/>
  <c r="AZ237" i="32"/>
  <c r="BA237" i="32" s="1"/>
  <c r="AZ272" i="32"/>
  <c r="BA272" i="32" s="1"/>
  <c r="AZ365" i="32"/>
  <c r="BA365" i="32" s="1"/>
  <c r="AZ178" i="32"/>
  <c r="BA178" i="32" s="1"/>
  <c r="AZ218" i="32"/>
  <c r="BA218" i="32" s="1"/>
  <c r="AZ57" i="32"/>
  <c r="BA57" i="32" s="1"/>
  <c r="AZ56" i="32"/>
  <c r="BA56" i="32" s="1"/>
  <c r="AZ55" i="32"/>
  <c r="BA55" i="32" s="1"/>
  <c r="AZ54" i="32"/>
  <c r="BA54" i="32" s="1"/>
  <c r="AZ53" i="32"/>
  <c r="BA53" i="32" s="1"/>
  <c r="AZ52" i="32"/>
  <c r="BA52" i="32" s="1"/>
  <c r="AZ51" i="32"/>
  <c r="BA51" i="32" s="1"/>
  <c r="AZ50" i="32"/>
  <c r="BA50" i="32" s="1"/>
  <c r="AZ49" i="32"/>
  <c r="BA49" i="32" s="1"/>
  <c r="AZ48" i="32"/>
  <c r="BA48" i="32" s="1"/>
  <c r="AZ47" i="32"/>
  <c r="BA47" i="32" s="1"/>
  <c r="AZ46" i="32"/>
  <c r="BA46" i="32" s="1"/>
  <c r="AZ45" i="32"/>
  <c r="BA45" i="32" s="1"/>
  <c r="AZ44" i="32"/>
  <c r="BA44" i="32" s="1"/>
  <c r="AZ42" i="32"/>
  <c r="BA42" i="32" s="1"/>
  <c r="AZ41" i="32"/>
  <c r="BA41" i="32" s="1"/>
  <c r="AZ40" i="32"/>
  <c r="BA40" i="32" s="1"/>
  <c r="AZ39" i="32"/>
  <c r="BA39" i="32" s="1"/>
  <c r="AZ38" i="32"/>
  <c r="BA38" i="32" s="1"/>
  <c r="AZ37" i="32"/>
  <c r="BA37" i="32" s="1"/>
  <c r="AZ35" i="32"/>
  <c r="BA35" i="32" s="1"/>
  <c r="AZ34" i="32"/>
  <c r="BA34" i="32" s="1"/>
  <c r="AZ33" i="32"/>
  <c r="BA33" i="32" s="1"/>
  <c r="AZ32" i="32"/>
  <c r="BA32" i="32" s="1"/>
  <c r="AZ31" i="32"/>
  <c r="BA31" i="32" s="1"/>
  <c r="AZ30" i="32"/>
  <c r="BA30" i="32" s="1"/>
  <c r="AZ29" i="32"/>
  <c r="BA29" i="32" s="1"/>
  <c r="AZ28" i="32"/>
  <c r="BA28" i="32" s="1"/>
  <c r="AZ27" i="32"/>
  <c r="BA27" i="32" s="1"/>
  <c r="AZ26" i="32"/>
  <c r="BA26" i="32" s="1"/>
  <c r="AZ25" i="32"/>
  <c r="BA25" i="32" s="1"/>
  <c r="AZ24" i="32"/>
  <c r="BA24" i="32" s="1"/>
  <c r="AZ23" i="32"/>
  <c r="BA23" i="32" s="1"/>
  <c r="AZ22" i="32"/>
  <c r="BA22" i="32" s="1"/>
  <c r="AZ21" i="32"/>
  <c r="BA21" i="32" s="1"/>
  <c r="AZ20" i="32"/>
  <c r="BA20" i="32" s="1"/>
  <c r="AZ19" i="32"/>
  <c r="BA19" i="32" s="1"/>
  <c r="AZ18" i="32"/>
  <c r="BA18" i="32" s="1"/>
  <c r="AZ17" i="32"/>
  <c r="BA17" i="32" s="1"/>
  <c r="AZ16" i="32"/>
  <c r="BA16" i="32" s="1"/>
  <c r="AZ15" i="32"/>
  <c r="BA15" i="32" s="1"/>
  <c r="AZ92" i="32"/>
  <c r="BA92" i="32" s="1"/>
  <c r="AZ91" i="32"/>
  <c r="BA91" i="32" s="1"/>
  <c r="AZ90" i="32"/>
  <c r="BA90" i="32" s="1"/>
  <c r="AZ89" i="32"/>
  <c r="BA89" i="32" s="1"/>
  <c r="AZ88" i="32"/>
  <c r="BA88" i="32" s="1"/>
  <c r="AZ87" i="32"/>
  <c r="BA87" i="32" s="1"/>
  <c r="AZ86" i="32"/>
  <c r="BA86" i="32" s="1"/>
  <c r="AZ85" i="32"/>
  <c r="BA85" i="32" s="1"/>
  <c r="AZ84" i="32"/>
  <c r="BA84" i="32" s="1"/>
  <c r="AZ83" i="32"/>
  <c r="BA83" i="32" s="1"/>
  <c r="AZ82" i="32"/>
  <c r="BA82" i="32" s="1"/>
  <c r="AZ81" i="32"/>
  <c r="BA81" i="32" s="1"/>
  <c r="AZ80" i="32"/>
  <c r="BA80" i="32" s="1"/>
  <c r="AZ79" i="32"/>
  <c r="BA79" i="32" s="1"/>
  <c r="AZ78" i="32"/>
  <c r="BA78" i="32" s="1"/>
  <c r="AZ77" i="32"/>
  <c r="BA77" i="32" s="1"/>
  <c r="AZ75" i="32"/>
  <c r="BA75" i="32" s="1"/>
  <c r="AZ74" i="32"/>
  <c r="BA74" i="32" s="1"/>
  <c r="AZ73" i="32"/>
  <c r="BA73" i="32" s="1"/>
  <c r="AZ72" i="32"/>
  <c r="BA72" i="32" s="1"/>
  <c r="AZ71" i="32"/>
  <c r="BA71" i="32" s="1"/>
  <c r="AZ70" i="32"/>
  <c r="BA70" i="32" s="1"/>
  <c r="AZ69" i="32"/>
  <c r="BA69" i="32" s="1"/>
  <c r="AZ68" i="32"/>
  <c r="BA68" i="32" s="1"/>
  <c r="AZ67" i="32"/>
  <c r="BA67" i="32" s="1"/>
  <c r="AZ66" i="32"/>
  <c r="BA66" i="32" s="1"/>
  <c r="AZ65" i="32"/>
  <c r="BA65" i="32" s="1"/>
  <c r="AZ63" i="32"/>
  <c r="BA63" i="32" s="1"/>
  <c r="AZ62" i="32"/>
  <c r="BA62" i="32" s="1"/>
  <c r="AZ61" i="32"/>
  <c r="BA61" i="32" s="1"/>
  <c r="AZ60" i="32"/>
  <c r="BA60" i="32" s="1"/>
  <c r="AZ59" i="32"/>
  <c r="BA59" i="32" s="1"/>
  <c r="AZ58" i="32"/>
  <c r="BA58" i="32" s="1"/>
  <c r="AZ43" i="32"/>
  <c r="BA43" i="32" s="1"/>
  <c r="AZ36" i="32"/>
  <c r="BA36" i="32" s="1"/>
  <c r="AZ76" i="32"/>
  <c r="BA76" i="32" s="1"/>
  <c r="AZ64" i="32"/>
  <c r="BA64" i="32" s="1"/>
  <c r="AZ14" i="32"/>
  <c r="BA14" i="32" s="1"/>
  <c r="AZ157" i="32"/>
  <c r="BA157" i="32" s="1"/>
  <c r="AZ154" i="32"/>
  <c r="BA154" i="32" s="1"/>
  <c r="AZ155" i="32"/>
  <c r="BA155" i="32" s="1"/>
  <c r="AZ137" i="32"/>
  <c r="BA137" i="32" s="1"/>
  <c r="AZ136" i="32"/>
  <c r="BA136" i="32" s="1"/>
  <c r="AZ138" i="32"/>
  <c r="BA138" i="32" s="1"/>
  <c r="AZ127" i="32"/>
  <c r="BA127" i="32" s="1"/>
  <c r="AZ139" i="32"/>
  <c r="BA139" i="32" s="1"/>
  <c r="AZ131" i="32"/>
  <c r="BA131" i="32" s="1"/>
  <c r="AZ135" i="32"/>
  <c r="BA135" i="32" s="1"/>
  <c r="AZ140" i="32"/>
  <c r="BA140" i="32" s="1"/>
  <c r="AZ126" i="32"/>
  <c r="BA126" i="32" s="1"/>
  <c r="AZ132" i="32"/>
  <c r="BA132" i="32" s="1"/>
  <c r="AZ134" i="32"/>
  <c r="BA134" i="32" s="1"/>
  <c r="AZ124" i="32"/>
  <c r="BA124" i="32" s="1"/>
  <c r="AZ121" i="32"/>
  <c r="BA121" i="32" s="1"/>
  <c r="AZ128" i="32"/>
  <c r="BA128" i="32" s="1"/>
  <c r="AZ129" i="32"/>
  <c r="BA129" i="32" s="1"/>
  <c r="AZ123" i="32"/>
  <c r="BA123" i="32" s="1"/>
  <c r="AZ119" i="32"/>
  <c r="BA119" i="32" s="1"/>
  <c r="AZ122" i="32"/>
  <c r="BA122" i="32" s="1"/>
  <c r="AZ120" i="32"/>
  <c r="BA120" i="32" s="1"/>
  <c r="AZ130" i="32"/>
  <c r="BA130" i="32" s="1"/>
  <c r="AZ125" i="32"/>
  <c r="BA125" i="32" s="1"/>
  <c r="AZ133" i="32"/>
  <c r="BA133" i="32" s="1"/>
  <c r="AZ158" i="32"/>
  <c r="BA158" i="32" s="1"/>
  <c r="AZ150" i="32"/>
  <c r="BA150" i="32" s="1"/>
  <c r="AZ163" i="32"/>
  <c r="BA163" i="32" s="1"/>
  <c r="AZ166" i="32"/>
  <c r="BA166" i="32" s="1"/>
  <c r="AZ147" i="32"/>
  <c r="BA147" i="32" s="1"/>
  <c r="AZ149" i="32"/>
  <c r="BA149" i="32" s="1"/>
  <c r="AZ151" i="32"/>
  <c r="BA151" i="32" s="1"/>
  <c r="AZ148" i="32"/>
  <c r="BA148" i="32" s="1"/>
  <c r="AZ153" i="32"/>
  <c r="BA153" i="32" s="1"/>
  <c r="AZ144" i="32"/>
  <c r="BA144" i="32" s="1"/>
  <c r="AZ168" i="32"/>
  <c r="BA168" i="32" s="1"/>
  <c r="AZ161" i="32"/>
  <c r="BA161" i="32" s="1"/>
  <c r="AZ143" i="32"/>
  <c r="BA143" i="32" s="1"/>
  <c r="AZ167" i="32"/>
  <c r="BA167" i="32" s="1"/>
  <c r="AZ162" i="32"/>
  <c r="BA162" i="32" s="1"/>
  <c r="AZ141" i="32"/>
  <c r="BA141" i="32" s="1"/>
  <c r="AZ165" i="32"/>
  <c r="BA165" i="32" s="1"/>
  <c r="AZ296" i="32"/>
  <c r="BA296" i="32" s="1"/>
  <c r="CY296" i="32" s="1"/>
  <c r="AZ325" i="32"/>
  <c r="BA325" i="32" s="1"/>
  <c r="AZ260" i="32"/>
  <c r="BA260" i="32" s="1"/>
  <c r="AZ277" i="32"/>
  <c r="BA277" i="32" s="1"/>
  <c r="AZ305" i="32"/>
  <c r="BA305" i="32" s="1"/>
  <c r="AZ307" i="32"/>
  <c r="BA307" i="32" s="1"/>
  <c r="AZ276" i="32"/>
  <c r="BA276" i="32" s="1"/>
  <c r="AZ286" i="32"/>
  <c r="BA286" i="32" s="1"/>
  <c r="AZ169" i="32"/>
  <c r="BA169" i="32" s="1"/>
  <c r="AZ270" i="32"/>
  <c r="BA270" i="32" s="1"/>
  <c r="AZ273" i="32"/>
  <c r="BA273" i="32" s="1"/>
  <c r="AZ262" i="32"/>
  <c r="BA262" i="32" s="1"/>
  <c r="AZ250" i="32"/>
  <c r="BA250" i="32" s="1"/>
  <c r="AZ248" i="32"/>
  <c r="BA248" i="32" s="1"/>
  <c r="AZ269" i="32"/>
  <c r="BA269" i="32" s="1"/>
  <c r="CY269" i="32" s="1"/>
  <c r="AZ177" i="32"/>
  <c r="BA177" i="32" s="1"/>
  <c r="AZ374" i="32"/>
  <c r="BA374" i="32" s="1"/>
  <c r="AZ358" i="32"/>
  <c r="BA358" i="32" s="1"/>
  <c r="AZ283" i="32"/>
  <c r="BA283" i="32" s="1"/>
  <c r="AZ171" i="32"/>
  <c r="BA171" i="32" s="1"/>
  <c r="AZ172" i="32"/>
  <c r="BA172" i="32" s="1"/>
  <c r="AZ259" i="32"/>
  <c r="BA259" i="32" s="1"/>
  <c r="AZ261" i="32"/>
  <c r="BA261" i="32" s="1"/>
  <c r="AZ377" i="32"/>
  <c r="BA377" i="32" s="1"/>
  <c r="AZ375" i="32"/>
  <c r="BA375" i="32" s="1"/>
  <c r="AZ372" i="32"/>
  <c r="BA372" i="32" s="1"/>
  <c r="AZ257" i="32"/>
  <c r="BA257" i="32" s="1"/>
  <c r="AZ366" i="32"/>
  <c r="BA366" i="32" s="1"/>
  <c r="AZ176" i="32"/>
  <c r="BA176" i="32" s="1"/>
  <c r="AZ380" i="32"/>
  <c r="BA380" i="32" s="1"/>
  <c r="AZ381" i="32"/>
  <c r="BA381" i="32" s="1"/>
  <c r="AZ359" i="32"/>
  <c r="BA359" i="32" s="1"/>
  <c r="AZ274" i="32"/>
  <c r="BA274" i="32" s="1"/>
  <c r="CY274" i="32" s="1"/>
  <c r="AZ361" i="32"/>
  <c r="BA361" i="32" s="1"/>
  <c r="AZ362" i="32"/>
  <c r="BA362" i="32" s="1"/>
  <c r="AZ367" i="32"/>
  <c r="BA367" i="32" s="1"/>
  <c r="AZ258" i="32"/>
  <c r="BA258" i="32" s="1"/>
  <c r="AZ152" i="32"/>
  <c r="BA152" i="32" s="1"/>
  <c r="AZ263" i="32"/>
  <c r="BA263" i="32" s="1"/>
  <c r="AZ275" i="32"/>
  <c r="BA275" i="32" s="1"/>
  <c r="AZ264" i="32"/>
  <c r="BA264" i="32" s="1"/>
  <c r="AZ279" i="32"/>
  <c r="BA279" i="32" s="1"/>
  <c r="AZ249" i="32"/>
  <c r="BA249" i="32" s="1"/>
  <c r="AZ247" i="32"/>
  <c r="BA247" i="32" s="1"/>
  <c r="AZ268" i="32"/>
  <c r="BA268" i="32" s="1"/>
  <c r="AZ334" i="32"/>
  <c r="BA334" i="32" s="1"/>
  <c r="AZ174" i="32"/>
  <c r="BA174" i="32" s="1"/>
  <c r="AZ341" i="32"/>
  <c r="BA341" i="32" s="1"/>
  <c r="AZ333" i="32"/>
  <c r="BA333" i="32" s="1"/>
  <c r="AZ337" i="32"/>
  <c r="BA337" i="32" s="1"/>
  <c r="AZ335" i="32"/>
  <c r="BA335" i="32" s="1"/>
  <c r="AZ332" i="32"/>
  <c r="BA332" i="32" s="1"/>
  <c r="AZ331" i="32"/>
  <c r="BA331" i="32" s="1"/>
  <c r="AZ340" i="32"/>
  <c r="BA340" i="32" s="1"/>
  <c r="AZ271" i="32"/>
  <c r="BA271" i="32" s="1"/>
  <c r="AZ173" i="32"/>
  <c r="BA173" i="32" s="1"/>
  <c r="AZ175" i="32"/>
  <c r="BA175" i="32" s="1"/>
  <c r="AZ339" i="32"/>
  <c r="BA339" i="32" s="1"/>
  <c r="AZ338" i="32"/>
  <c r="BA338" i="32" s="1"/>
  <c r="AZ336" i="32"/>
  <c r="BA336" i="32" s="1"/>
  <c r="AZ170" i="32"/>
  <c r="BA170" i="32" s="1"/>
  <c r="AZ330" i="32"/>
  <c r="BA330" i="32" s="1"/>
  <c r="CY330" i="32" s="1"/>
  <c r="AZ324" i="32"/>
  <c r="BA324" i="32" s="1"/>
  <c r="AZ321" i="32"/>
  <c r="BA321" i="32" s="1"/>
  <c r="CY321" i="32" s="1"/>
  <c r="AZ322" i="32"/>
  <c r="BA322" i="32" s="1"/>
  <c r="CY322" i="32" s="1"/>
  <c r="AZ329" i="32"/>
  <c r="BA329" i="32" s="1"/>
  <c r="CY329" i="32" s="1"/>
  <c r="AZ327" i="32"/>
  <c r="BA327" i="32" s="1"/>
  <c r="CY327" i="32" s="1"/>
  <c r="AZ320" i="32"/>
  <c r="BA320" i="32" s="1"/>
  <c r="CY320" i="32" s="1"/>
  <c r="AZ323" i="32"/>
  <c r="BA323" i="32" s="1"/>
  <c r="CY323" i="32" s="1"/>
  <c r="AZ317" i="32"/>
  <c r="BA317" i="32" s="1"/>
  <c r="CY317" i="32" s="1"/>
  <c r="AZ315" i="32"/>
  <c r="BA315" i="32" s="1"/>
  <c r="CY315" i="32" s="1"/>
  <c r="AZ316" i="32"/>
  <c r="BA316" i="32" s="1"/>
  <c r="AZ319" i="32"/>
  <c r="BA319" i="32" s="1"/>
  <c r="CY319" i="32" s="1"/>
  <c r="AZ328" i="32"/>
  <c r="BA328" i="32" s="1"/>
  <c r="AZ326" i="32"/>
  <c r="BA326" i="32" s="1"/>
  <c r="AZ312" i="32"/>
  <c r="BA312" i="32" s="1"/>
  <c r="AZ313" i="32"/>
  <c r="BA313" i="32" s="1"/>
  <c r="AZ314" i="32"/>
  <c r="BA314" i="32" s="1"/>
  <c r="AZ302" i="32"/>
  <c r="BA302" i="32" s="1"/>
  <c r="CY302" i="32" s="1"/>
  <c r="AZ300" i="32"/>
  <c r="BA300" i="32" s="1"/>
  <c r="CY300" i="32" s="1"/>
  <c r="AZ299" i="32"/>
  <c r="BA299" i="32" s="1"/>
  <c r="CY299" i="32" s="1"/>
  <c r="AZ304" i="32"/>
  <c r="BA304" i="32" s="1"/>
  <c r="CY304" i="32" s="1"/>
  <c r="AZ303" i="32"/>
  <c r="BA303" i="32" s="1"/>
  <c r="AZ301" i="32"/>
  <c r="BA301" i="32" s="1"/>
  <c r="CY301" i="32" s="1"/>
  <c r="AZ311" i="32"/>
  <c r="BA311" i="32" s="1"/>
  <c r="AZ308" i="32"/>
  <c r="BA308" i="32" s="1"/>
  <c r="AZ310" i="32"/>
  <c r="BA310" i="32" s="1"/>
  <c r="AZ306" i="32"/>
  <c r="BA306" i="32" s="1"/>
  <c r="AZ309" i="32"/>
  <c r="BA309" i="32" s="1"/>
  <c r="CY309" i="32" s="1"/>
  <c r="AZ371" i="32"/>
  <c r="BA371" i="32" s="1"/>
  <c r="AZ370" i="32"/>
  <c r="BA370" i="32" s="1"/>
  <c r="AZ369" i="32"/>
  <c r="BA369" i="32" s="1"/>
  <c r="AZ368" i="32"/>
  <c r="BA368" i="32" s="1"/>
  <c r="AZ357" i="32"/>
  <c r="BA357" i="32" s="1"/>
  <c r="AZ379" i="32"/>
  <c r="BA379" i="32" s="1"/>
  <c r="AZ363" i="32"/>
  <c r="BA363" i="32" s="1"/>
  <c r="AZ360" i="32"/>
  <c r="BA360" i="32" s="1"/>
  <c r="AZ364" i="32"/>
  <c r="BA364" i="32" s="1"/>
  <c r="AZ376" i="32"/>
  <c r="BA376" i="32" s="1"/>
  <c r="AZ164" i="32"/>
  <c r="BA164" i="32" s="1"/>
  <c r="CY164" i="32" s="1"/>
  <c r="AZ298" i="32"/>
  <c r="BA298" i="32" s="1"/>
  <c r="AZ293" i="32"/>
  <c r="BA293" i="32" s="1"/>
  <c r="AZ294" i="32"/>
  <c r="BA294" i="32" s="1"/>
  <c r="AZ290" i="32"/>
  <c r="BA290" i="32" s="1"/>
  <c r="CY290" i="32" s="1"/>
  <c r="AZ287" i="32"/>
  <c r="BA287" i="32" s="1"/>
  <c r="AZ295" i="32"/>
  <c r="BA295" i="32" s="1"/>
  <c r="CY295" i="32" s="1"/>
  <c r="AZ291" i="32"/>
  <c r="BA291" i="32" s="1"/>
  <c r="CY291" i="32" s="1"/>
  <c r="AZ292" i="32"/>
  <c r="BA292" i="32" s="1"/>
  <c r="CY292" i="32" s="1"/>
  <c r="AZ297" i="32"/>
  <c r="BA297" i="32" s="1"/>
  <c r="CY297" i="32" s="1"/>
  <c r="AZ160" i="32"/>
  <c r="BA160" i="32" s="1"/>
  <c r="CY160" i="32" s="1"/>
  <c r="B2" i="47"/>
  <c r="L248" i="32"/>
  <c r="U328" i="32" l="1"/>
  <c r="J328" i="32" s="1"/>
  <c r="U336" i="32"/>
  <c r="J336" i="32" s="1"/>
  <c r="U247" i="32"/>
  <c r="J247" i="32" s="1"/>
  <c r="U275" i="32"/>
  <c r="J275" i="32" s="1"/>
  <c r="U358" i="32"/>
  <c r="J358" i="32" s="1"/>
  <c r="U270" i="32"/>
  <c r="J270" i="32" s="1"/>
  <c r="U307" i="32"/>
  <c r="J307" i="32" s="1"/>
  <c r="U162" i="32"/>
  <c r="J162" i="32" s="1"/>
  <c r="U151" i="32"/>
  <c r="J151" i="32" s="1"/>
  <c r="U163" i="32"/>
  <c r="J163" i="32" s="1"/>
  <c r="U125" i="32"/>
  <c r="J125" i="32" s="1"/>
  <c r="U119" i="32"/>
  <c r="J119" i="32" s="1"/>
  <c r="U126" i="32"/>
  <c r="J126" i="32" s="1"/>
  <c r="U139" i="32"/>
  <c r="CW139" i="32" s="1"/>
  <c r="U137" i="32"/>
  <c r="J137" i="32" s="1"/>
  <c r="U43" i="32"/>
  <c r="J43" i="32" s="1"/>
  <c r="U61" i="32"/>
  <c r="J61" i="32" s="1"/>
  <c r="U66" i="32"/>
  <c r="J66" i="32" s="1"/>
  <c r="U70" i="32"/>
  <c r="J70" i="32" s="1"/>
  <c r="U74" i="32"/>
  <c r="J74" i="32" s="1"/>
  <c r="U79" i="32"/>
  <c r="J79" i="32" s="1"/>
  <c r="U83" i="32"/>
  <c r="CW83" i="32" s="1"/>
  <c r="U87" i="32"/>
  <c r="J87" i="32" s="1"/>
  <c r="U91" i="32"/>
  <c r="J91" i="32" s="1"/>
  <c r="U17" i="32"/>
  <c r="J17" i="32" s="1"/>
  <c r="U21" i="32"/>
  <c r="J21" i="32" s="1"/>
  <c r="U25" i="32"/>
  <c r="J25" i="32" s="1"/>
  <c r="U29" i="32"/>
  <c r="J29" i="32" s="1"/>
  <c r="U33" i="32"/>
  <c r="J33" i="32" s="1"/>
  <c r="U38" i="32"/>
  <c r="CW38" i="32" s="1"/>
  <c r="U42" i="32"/>
  <c r="J42" i="32" s="1"/>
  <c r="U47" i="32"/>
  <c r="J47" i="32" s="1"/>
  <c r="U51" i="32"/>
  <c r="J51" i="32" s="1"/>
  <c r="U55" i="32"/>
  <c r="J55" i="32" s="1"/>
  <c r="U178" i="32"/>
  <c r="J178" i="32" s="1"/>
  <c r="U251" i="32"/>
  <c r="J251" i="32" s="1"/>
  <c r="U187" i="32"/>
  <c r="J187" i="32" s="1"/>
  <c r="U180" i="32"/>
  <c r="CW180" i="32" s="1"/>
  <c r="U253" i="32"/>
  <c r="J253" i="32" s="1"/>
  <c r="U265" i="32"/>
  <c r="J265" i="32" s="1"/>
  <c r="U194" i="32"/>
  <c r="J194" i="32" s="1"/>
  <c r="U185" i="32"/>
  <c r="J185" i="32" s="1"/>
  <c r="U238" i="32"/>
  <c r="J238" i="32" s="1"/>
  <c r="U246" i="32"/>
  <c r="J246" i="32" s="1"/>
  <c r="U109" i="32"/>
  <c r="J109" i="32" s="1"/>
  <c r="U105" i="32"/>
  <c r="CW105" i="32" s="1"/>
  <c r="U110" i="32"/>
  <c r="J110" i="32" s="1"/>
  <c r="U114" i="32"/>
  <c r="J114" i="32" s="1"/>
  <c r="U94" i="32"/>
  <c r="J94" i="32" s="1"/>
  <c r="U99" i="32"/>
  <c r="J99" i="32" s="1"/>
  <c r="U103" i="32"/>
  <c r="J103" i="32" s="1"/>
  <c r="U345" i="32"/>
  <c r="J345" i="32" s="1"/>
  <c r="U352" i="32"/>
  <c r="J352" i="32" s="1"/>
  <c r="U343" i="32"/>
  <c r="CW343" i="32" s="1"/>
  <c r="U184" i="32"/>
  <c r="J184" i="32" s="1"/>
  <c r="U212" i="32"/>
  <c r="J212" i="32" s="1"/>
  <c r="U211" i="32"/>
  <c r="J211" i="32" s="1"/>
  <c r="U234" i="32"/>
  <c r="J234" i="32" s="1"/>
  <c r="U195" i="32"/>
  <c r="J195" i="32" s="1"/>
  <c r="U199" i="32"/>
  <c r="J199" i="32" s="1"/>
  <c r="U204" i="32"/>
  <c r="J204" i="32" s="1"/>
  <c r="U208" i="32"/>
  <c r="CW208" i="32" s="1"/>
  <c r="U159" i="32"/>
  <c r="J159" i="32" s="1"/>
  <c r="U224" i="32"/>
  <c r="J224" i="32" s="1"/>
  <c r="U228" i="32"/>
  <c r="J228" i="32" s="1"/>
  <c r="U223" i="32"/>
  <c r="J223" i="32" s="1"/>
  <c r="U371" i="32"/>
  <c r="CW371" i="32" s="1"/>
  <c r="U310" i="32"/>
  <c r="J310" i="32" s="1"/>
  <c r="U338" i="32"/>
  <c r="CW338" i="32" s="1"/>
  <c r="U174" i="32"/>
  <c r="J174" i="32" s="1"/>
  <c r="U263" i="32"/>
  <c r="J263" i="32" s="1"/>
  <c r="U305" i="32"/>
  <c r="CW305" i="32" s="1"/>
  <c r="U167" i="32"/>
  <c r="J167" i="32" s="1"/>
  <c r="U144" i="32"/>
  <c r="J144" i="32" s="1"/>
  <c r="U149" i="32"/>
  <c r="J149" i="32" s="1"/>
  <c r="U150" i="32"/>
  <c r="J150" i="32" s="1"/>
  <c r="U130" i="32"/>
  <c r="J130" i="32" s="1"/>
  <c r="U123" i="32"/>
  <c r="J123" i="32" s="1"/>
  <c r="U124" i="32"/>
  <c r="J124" i="32" s="1"/>
  <c r="U140" i="32"/>
  <c r="J140" i="32" s="1"/>
  <c r="U127" i="32"/>
  <c r="J127" i="32" s="1"/>
  <c r="U155" i="32"/>
  <c r="J155" i="32" s="1"/>
  <c r="U64" i="32"/>
  <c r="J64" i="32" s="1"/>
  <c r="U58" i="32"/>
  <c r="J58" i="32" s="1"/>
  <c r="U62" i="32"/>
  <c r="J62" i="32" s="1"/>
  <c r="U67" i="32"/>
  <c r="J67" i="32" s="1"/>
  <c r="U71" i="32"/>
  <c r="J71" i="32" s="1"/>
  <c r="U75" i="32"/>
  <c r="J75" i="32" s="1"/>
  <c r="U80" i="32"/>
  <c r="J80" i="32" s="1"/>
  <c r="U84" i="32"/>
  <c r="J84" i="32" s="1"/>
  <c r="U88" i="32"/>
  <c r="J88" i="32" s="1"/>
  <c r="U92" i="32"/>
  <c r="J92" i="32" s="1"/>
  <c r="U18" i="32"/>
  <c r="J18" i="32" s="1"/>
  <c r="U22" i="32"/>
  <c r="J22" i="32" s="1"/>
  <c r="U26" i="32"/>
  <c r="J26" i="32" s="1"/>
  <c r="U30" i="32"/>
  <c r="CW30" i="32" s="1"/>
  <c r="U34" i="32"/>
  <c r="J34" i="32" s="1"/>
  <c r="U39" i="32"/>
  <c r="J39" i="32" s="1"/>
  <c r="U44" i="32"/>
  <c r="J44" i="32" s="1"/>
  <c r="U48" i="32"/>
  <c r="J48" i="32" s="1"/>
  <c r="U52" i="32"/>
  <c r="J52" i="32" s="1"/>
  <c r="U56" i="32"/>
  <c r="J56" i="32" s="1"/>
  <c r="U255" i="32"/>
  <c r="J255" i="32" s="1"/>
  <c r="U256" i="32"/>
  <c r="J256" i="32" s="1"/>
  <c r="U241" i="32"/>
  <c r="J241" i="32" s="1"/>
  <c r="U186" i="32"/>
  <c r="J186" i="32" s="1"/>
  <c r="U243" i="32"/>
  <c r="J243" i="32" s="1"/>
  <c r="U245" i="32"/>
  <c r="J245" i="32" s="1"/>
  <c r="U188" i="32"/>
  <c r="J188" i="32" s="1"/>
  <c r="U252" i="32"/>
  <c r="J252" i="32" s="1"/>
  <c r="U117" i="32"/>
  <c r="J117" i="32" s="1"/>
  <c r="U106" i="32"/>
  <c r="CW106" i="32" s="1"/>
  <c r="U111" i="32"/>
  <c r="J111" i="32" s="1"/>
  <c r="U115" i="32"/>
  <c r="J115" i="32" s="1"/>
  <c r="U95" i="32"/>
  <c r="J95" i="32" s="1"/>
  <c r="U100" i="32"/>
  <c r="J100" i="32" s="1"/>
  <c r="U104" i="32"/>
  <c r="J104" i="32" s="1"/>
  <c r="U348" i="32"/>
  <c r="J348" i="32" s="1"/>
  <c r="U353" i="32"/>
  <c r="J353" i="32" s="1"/>
  <c r="U344" i="32"/>
  <c r="CW344" i="32" s="1"/>
  <c r="U183" i="32"/>
  <c r="J183" i="32" s="1"/>
  <c r="U214" i="32"/>
  <c r="J214" i="32" s="1"/>
  <c r="U216" i="32"/>
  <c r="J216" i="32" s="1"/>
  <c r="U235" i="32"/>
  <c r="J235" i="32" s="1"/>
  <c r="U232" i="32"/>
  <c r="J232" i="32" s="1"/>
  <c r="U200" i="32"/>
  <c r="J200" i="32" s="1"/>
  <c r="U221" i="32"/>
  <c r="J221" i="32" s="1"/>
  <c r="U220" i="32"/>
  <c r="CW220" i="32" s="1"/>
  <c r="U192" i="32"/>
  <c r="J192" i="32" s="1"/>
  <c r="U225" i="32"/>
  <c r="J225" i="32" s="1"/>
  <c r="U229" i="32"/>
  <c r="J229" i="32" s="1"/>
  <c r="U267" i="32"/>
  <c r="J267" i="32" s="1"/>
  <c r="U370" i="32"/>
  <c r="J370" i="32" s="1"/>
  <c r="U173" i="32"/>
  <c r="J173" i="32" s="1"/>
  <c r="U259" i="32"/>
  <c r="J259" i="32" s="1"/>
  <c r="U248" i="32"/>
  <c r="J248" i="32" s="1"/>
  <c r="U325" i="32"/>
  <c r="J325" i="32" s="1"/>
  <c r="U168" i="32"/>
  <c r="J168" i="32" s="1"/>
  <c r="U121" i="32"/>
  <c r="J121" i="32" s="1"/>
  <c r="U298" i="32"/>
  <c r="CW298" i="32" s="1"/>
  <c r="U368" i="32"/>
  <c r="J368" i="32" s="1"/>
  <c r="U308" i="32"/>
  <c r="CW308" i="32" s="1"/>
  <c r="U314" i="32"/>
  <c r="CW314" i="32" s="1"/>
  <c r="U316" i="32"/>
  <c r="J316" i="32" s="1"/>
  <c r="U339" i="32"/>
  <c r="CW339" i="32" s="1"/>
  <c r="U340" i="32"/>
  <c r="J340" i="32" s="1"/>
  <c r="U334" i="32"/>
  <c r="CW334" i="32" s="1"/>
  <c r="U171" i="32"/>
  <c r="J171" i="32" s="1"/>
  <c r="U177" i="32"/>
  <c r="CW177" i="32" s="1"/>
  <c r="U262" i="32"/>
  <c r="J262" i="32" s="1"/>
  <c r="U286" i="32"/>
  <c r="J286" i="32" s="1"/>
  <c r="U277" i="32"/>
  <c r="J277" i="32" s="1"/>
  <c r="U165" i="32"/>
  <c r="J165" i="32" s="1"/>
  <c r="U143" i="32"/>
  <c r="J143" i="32" s="1"/>
  <c r="U153" i="32"/>
  <c r="J153" i="32" s="1"/>
  <c r="U147" i="32"/>
  <c r="J147" i="32" s="1"/>
  <c r="U158" i="32"/>
  <c r="J158" i="32" s="1"/>
  <c r="U120" i="32"/>
  <c r="J120" i="32" s="1"/>
  <c r="U129" i="32"/>
  <c r="J129" i="32" s="1"/>
  <c r="U134" i="32"/>
  <c r="J134" i="32" s="1"/>
  <c r="U135" i="32"/>
  <c r="J135" i="32" s="1"/>
  <c r="U138" i="32"/>
  <c r="J138" i="32" s="1"/>
  <c r="U154" i="32"/>
  <c r="CW154" i="32" s="1"/>
  <c r="U76" i="32"/>
  <c r="J76" i="32" s="1"/>
  <c r="U59" i="32"/>
  <c r="CW59" i="32" s="1"/>
  <c r="U63" i="32"/>
  <c r="J63" i="32" s="1"/>
  <c r="U68" i="32"/>
  <c r="J68" i="32" s="1"/>
  <c r="U72" i="32"/>
  <c r="J72" i="32" s="1"/>
  <c r="U77" i="32"/>
  <c r="J77" i="32" s="1"/>
  <c r="U81" i="32"/>
  <c r="J81" i="32" s="1"/>
  <c r="U85" i="32"/>
  <c r="CW85" i="32" s="1"/>
  <c r="U89" i="32"/>
  <c r="J89" i="32" s="1"/>
  <c r="U15" i="32"/>
  <c r="J15" i="32" s="1"/>
  <c r="U19" i="32"/>
  <c r="J19" i="32" s="1"/>
  <c r="U23" i="32"/>
  <c r="J23" i="32" s="1"/>
  <c r="U27" i="32"/>
  <c r="J27" i="32" s="1"/>
  <c r="U31" i="32"/>
  <c r="J31" i="32" s="1"/>
  <c r="U35" i="32"/>
  <c r="J35" i="32" s="1"/>
  <c r="U40" i="32"/>
  <c r="CW40" i="32" s="1"/>
  <c r="U45" i="32"/>
  <c r="J45" i="32" s="1"/>
  <c r="U49" i="32"/>
  <c r="J49" i="32" s="1"/>
  <c r="U53" i="32"/>
  <c r="J53" i="32" s="1"/>
  <c r="U57" i="32"/>
  <c r="J57" i="32" s="1"/>
  <c r="U272" i="32"/>
  <c r="J272" i="32" s="1"/>
  <c r="U282" i="32"/>
  <c r="J282" i="32" s="1"/>
  <c r="U281" i="32"/>
  <c r="J281" i="32" s="1"/>
  <c r="U254" i="32"/>
  <c r="CW254" i="32" s="1"/>
  <c r="U196" i="32"/>
  <c r="J196" i="32" s="1"/>
  <c r="U284" i="32"/>
  <c r="J284" i="32" s="1"/>
  <c r="U242" i="32"/>
  <c r="J242" i="32" s="1"/>
  <c r="U244" i="32"/>
  <c r="J244" i="32" s="1"/>
  <c r="U190" i="32"/>
  <c r="J190" i="32" s="1"/>
  <c r="U278" i="32"/>
  <c r="J278" i="32" s="1"/>
  <c r="U93" i="32"/>
  <c r="J93" i="32" s="1"/>
  <c r="U107" i="32"/>
  <c r="CW107" i="32" s="1"/>
  <c r="U112" i="32"/>
  <c r="J112" i="32" s="1"/>
  <c r="U116" i="32"/>
  <c r="J116" i="32" s="1"/>
  <c r="U96" i="32"/>
  <c r="J96" i="32" s="1"/>
  <c r="U101" i="32"/>
  <c r="J101" i="32" s="1"/>
  <c r="U342" i="32"/>
  <c r="J342" i="32" s="1"/>
  <c r="U350" i="32"/>
  <c r="J350" i="32" s="1"/>
  <c r="U354" i="32"/>
  <c r="J354" i="32" s="1"/>
  <c r="U346" i="32"/>
  <c r="CW346" i="32" s="1"/>
  <c r="U181" i="32"/>
  <c r="J181" i="32" s="1"/>
  <c r="U210" i="32"/>
  <c r="J210" i="32" s="1"/>
  <c r="U201" i="32"/>
  <c r="J201" i="32" s="1"/>
  <c r="U236" i="32"/>
  <c r="J236" i="32" s="1"/>
  <c r="U197" i="32"/>
  <c r="J197" i="32" s="1"/>
  <c r="U202" i="32"/>
  <c r="J202" i="32" s="1"/>
  <c r="U205" i="32"/>
  <c r="J205" i="32" s="1"/>
  <c r="U145" i="32"/>
  <c r="CW145" i="32" s="1"/>
  <c r="U193" i="32"/>
  <c r="J193" i="32" s="1"/>
  <c r="U226" i="32"/>
  <c r="J226" i="32" s="1"/>
  <c r="U230" i="32"/>
  <c r="J230" i="32" s="1"/>
  <c r="U369" i="32"/>
  <c r="J369" i="32" s="1"/>
  <c r="U311" i="32"/>
  <c r="CW311" i="32" s="1"/>
  <c r="U313" i="32"/>
  <c r="J313" i="32" s="1"/>
  <c r="U326" i="32"/>
  <c r="J326" i="32" s="1"/>
  <c r="U315" i="32"/>
  <c r="J315" i="32" s="1"/>
  <c r="U324" i="32"/>
  <c r="J324" i="32" s="1"/>
  <c r="U170" i="32"/>
  <c r="J170" i="32" s="1"/>
  <c r="U175" i="32"/>
  <c r="J175" i="32" s="1"/>
  <c r="U331" i="32"/>
  <c r="J331" i="32" s="1"/>
  <c r="U268" i="32"/>
  <c r="CW268" i="32" s="1"/>
  <c r="U264" i="32"/>
  <c r="J264" i="32" s="1"/>
  <c r="U152" i="32"/>
  <c r="CW152" i="32" s="1"/>
  <c r="U257" i="32"/>
  <c r="J257" i="32" s="1"/>
  <c r="U261" i="32"/>
  <c r="J261" i="32" s="1"/>
  <c r="U283" i="32"/>
  <c r="J283" i="32" s="1"/>
  <c r="U273" i="32"/>
  <c r="CW273" i="32" s="1"/>
  <c r="U276" i="32"/>
  <c r="J276" i="32" s="1"/>
  <c r="U260" i="32"/>
  <c r="J260" i="32" s="1"/>
  <c r="U141" i="32"/>
  <c r="J141" i="32" s="1"/>
  <c r="U161" i="32"/>
  <c r="J161" i="32" s="1"/>
  <c r="U148" i="32"/>
  <c r="J148" i="32" s="1"/>
  <c r="U166" i="32"/>
  <c r="J166" i="32" s="1"/>
  <c r="U133" i="32"/>
  <c r="J133" i="32" s="1"/>
  <c r="U122" i="32"/>
  <c r="J122" i="32" s="1"/>
  <c r="U128" i="32"/>
  <c r="J128" i="32" s="1"/>
  <c r="U132" i="32"/>
  <c r="CW132" i="32" s="1"/>
  <c r="U131" i="32"/>
  <c r="J131" i="32" s="1"/>
  <c r="U136" i="32"/>
  <c r="J136" i="32" s="1"/>
  <c r="U157" i="32"/>
  <c r="J157" i="32" s="1"/>
  <c r="U36" i="32"/>
  <c r="J36" i="32" s="1"/>
  <c r="U60" i="32"/>
  <c r="J60" i="32" s="1"/>
  <c r="U65" i="32"/>
  <c r="J65" i="32" s="1"/>
  <c r="U69" i="32"/>
  <c r="J69" i="32" s="1"/>
  <c r="U73" i="32"/>
  <c r="CW73" i="32" s="1"/>
  <c r="U78" i="32"/>
  <c r="J78" i="32" s="1"/>
  <c r="U82" i="32"/>
  <c r="J82" i="32" s="1"/>
  <c r="U86" i="32"/>
  <c r="J86" i="32" s="1"/>
  <c r="U90" i="32"/>
  <c r="J90" i="32" s="1"/>
  <c r="U16" i="32"/>
  <c r="J16" i="32" s="1"/>
  <c r="U20" i="32"/>
  <c r="J20" i="32" s="1"/>
  <c r="U24" i="32"/>
  <c r="J24" i="32" s="1"/>
  <c r="U28" i="32"/>
  <c r="J28" i="32" s="1"/>
  <c r="U32" i="32"/>
  <c r="J32" i="32" s="1"/>
  <c r="U37" i="32"/>
  <c r="J37" i="32" s="1"/>
  <c r="U41" i="32"/>
  <c r="J41" i="32" s="1"/>
  <c r="U46" i="32"/>
  <c r="J46" i="32" s="1"/>
  <c r="U50" i="32"/>
  <c r="J50" i="32" s="1"/>
  <c r="U54" i="32"/>
  <c r="J54" i="32" s="1"/>
  <c r="U218" i="32"/>
  <c r="J218" i="32" s="1"/>
  <c r="U237" i="32"/>
  <c r="J237" i="32" s="1"/>
  <c r="U288" i="32"/>
  <c r="J288" i="32" s="1"/>
  <c r="U239" i="32"/>
  <c r="J239" i="32" s="1"/>
  <c r="U280" i="32"/>
  <c r="J280" i="32" s="1"/>
  <c r="U182" i="32"/>
  <c r="CW182" i="32" s="1"/>
  <c r="U179" i="32"/>
  <c r="J179" i="32" s="1"/>
  <c r="U240" i="32"/>
  <c r="J240" i="32" s="1"/>
  <c r="U191" i="32"/>
  <c r="J191" i="32" s="1"/>
  <c r="U142" i="32"/>
  <c r="J142" i="32" s="1"/>
  <c r="U97" i="32"/>
  <c r="J97" i="32" s="1"/>
  <c r="U108" i="32"/>
  <c r="J108" i="32" s="1"/>
  <c r="U113" i="32"/>
  <c r="J113" i="32" s="1"/>
  <c r="U118" i="32"/>
  <c r="J118" i="32" s="1"/>
  <c r="U98" i="32"/>
  <c r="J98" i="32" s="1"/>
  <c r="U102" i="32"/>
  <c r="J102" i="32" s="1"/>
  <c r="U349" i="32"/>
  <c r="J349" i="32" s="1"/>
  <c r="U351" i="32"/>
  <c r="J351" i="32" s="1"/>
  <c r="U355" i="32"/>
  <c r="J355" i="32" s="1"/>
  <c r="U347" i="32"/>
  <c r="J347" i="32" s="1"/>
  <c r="U217" i="32"/>
  <c r="J217" i="32" s="1"/>
  <c r="U215" i="32"/>
  <c r="J215" i="32" s="1"/>
  <c r="U233" i="32"/>
  <c r="J233" i="32" s="1"/>
  <c r="U189" i="32"/>
  <c r="J189" i="32" s="1"/>
  <c r="U198" i="32"/>
  <c r="J198" i="32" s="1"/>
  <c r="U203" i="32"/>
  <c r="J203" i="32" s="1"/>
  <c r="U206" i="32"/>
  <c r="J206" i="32" s="1"/>
  <c r="U146" i="32"/>
  <c r="J146" i="32" s="1"/>
  <c r="U222" i="32"/>
  <c r="J222" i="32" s="1"/>
  <c r="U227" i="32"/>
  <c r="J227" i="32" s="1"/>
  <c r="U231" i="32"/>
  <c r="J231" i="32" s="1"/>
  <c r="CU368" i="32"/>
  <c r="I191" i="50"/>
  <c r="I884" i="50"/>
  <c r="CU298" i="32"/>
  <c r="K955" i="50"/>
  <c r="K861" i="50"/>
  <c r="K1002" i="50"/>
  <c r="K957" i="50"/>
  <c r="AH957" i="50" s="1"/>
  <c r="K868" i="50"/>
  <c r="K844" i="50"/>
  <c r="K871" i="50"/>
  <c r="K853" i="50"/>
  <c r="K1003" i="50"/>
  <c r="K842" i="50"/>
  <c r="AH842" i="50" s="1"/>
  <c r="K826" i="50"/>
  <c r="AH826" i="50" s="1"/>
  <c r="K827" i="50"/>
  <c r="K818" i="50"/>
  <c r="K950" i="50"/>
  <c r="K825" i="50"/>
  <c r="AH825" i="50" s="1"/>
  <c r="K817" i="50"/>
  <c r="AH817" i="50" s="1"/>
  <c r="K164" i="50"/>
  <c r="K852" i="50"/>
  <c r="K843" i="50"/>
  <c r="K824" i="50"/>
  <c r="AH824" i="50" s="1"/>
  <c r="K816" i="50"/>
  <c r="AH816" i="50" s="1"/>
  <c r="K823" i="50"/>
  <c r="AH823" i="50" s="1"/>
  <c r="K176" i="50"/>
  <c r="CX334" i="32"/>
  <c r="K653" i="50"/>
  <c r="K119" i="50"/>
  <c r="CX361" i="32"/>
  <c r="K629" i="50"/>
  <c r="K52" i="50"/>
  <c r="K86" i="50"/>
  <c r="K628" i="50"/>
  <c r="K630" i="50"/>
  <c r="K53" i="50"/>
  <c r="K627" i="50"/>
  <c r="K631" i="50"/>
  <c r="K54" i="50"/>
  <c r="K85" i="50"/>
  <c r="CX358" i="32"/>
  <c r="K47" i="50"/>
  <c r="K969" i="50"/>
  <c r="K682" i="50"/>
  <c r="K736" i="50"/>
  <c r="K956" i="50"/>
  <c r="AH956" i="50" s="1"/>
  <c r="K968" i="50"/>
  <c r="K681" i="50"/>
  <c r="K966" i="50"/>
  <c r="AH966" i="50" s="1"/>
  <c r="K679" i="50"/>
  <c r="K680" i="50"/>
  <c r="K687" i="50"/>
  <c r="AH687" i="50" s="1"/>
  <c r="K967" i="50"/>
  <c r="AH967" i="50" s="1"/>
  <c r="K948" i="50"/>
  <c r="K670" i="50"/>
  <c r="AH670" i="50" s="1"/>
  <c r="K686" i="50"/>
  <c r="K1026" i="50"/>
  <c r="K671" i="50"/>
  <c r="K669" i="50"/>
  <c r="K1010" i="50"/>
  <c r="K1025" i="50"/>
  <c r="K1009" i="50"/>
  <c r="K734" i="50"/>
  <c r="K688" i="50"/>
  <c r="K672" i="50"/>
  <c r="AH672" i="50" s="1"/>
  <c r="CX163" i="32"/>
  <c r="K357" i="50"/>
  <c r="CX121" i="32"/>
  <c r="K320" i="50"/>
  <c r="CX137" i="32"/>
  <c r="K336" i="50"/>
  <c r="CX61" i="32"/>
  <c r="K478" i="50"/>
  <c r="CX74" i="32"/>
  <c r="K491" i="50"/>
  <c r="CX87" i="32"/>
  <c r="K504" i="50"/>
  <c r="K557" i="50"/>
  <c r="K617" i="50"/>
  <c r="CX21" i="32"/>
  <c r="K544" i="50"/>
  <c r="K529" i="50"/>
  <c r="AH529" i="50" s="1"/>
  <c r="K585" i="50"/>
  <c r="K438" i="50"/>
  <c r="K513" i="50"/>
  <c r="CX33" i="32"/>
  <c r="K550" i="50"/>
  <c r="K450" i="50"/>
  <c r="K595" i="50"/>
  <c r="CX47" i="32"/>
  <c r="K464" i="50"/>
  <c r="CX251" i="32"/>
  <c r="K212" i="50"/>
  <c r="CX253" i="32"/>
  <c r="K213" i="50"/>
  <c r="CX185" i="32"/>
  <c r="K284" i="50"/>
  <c r="CX183" i="32"/>
  <c r="K243" i="50"/>
  <c r="CX235" i="32"/>
  <c r="K273" i="50"/>
  <c r="AH525" i="50"/>
  <c r="AM525" i="50"/>
  <c r="AI525" i="50"/>
  <c r="AM518" i="50"/>
  <c r="AI518" i="50"/>
  <c r="AH518" i="50"/>
  <c r="K718" i="50"/>
  <c r="K717" i="50"/>
  <c r="K733" i="50"/>
  <c r="K707" i="50"/>
  <c r="AH707" i="50" s="1"/>
  <c r="K699" i="50"/>
  <c r="K691" i="50"/>
  <c r="K689" i="50"/>
  <c r="K952" i="50"/>
  <c r="K946" i="50"/>
  <c r="K727" i="50"/>
  <c r="K706" i="50"/>
  <c r="AH706" i="50" s="1"/>
  <c r="K698" i="50"/>
  <c r="AH698" i="50" s="1"/>
  <c r="K704" i="50"/>
  <c r="AH704" i="50" s="1"/>
  <c r="K709" i="50"/>
  <c r="K700" i="50"/>
  <c r="K708" i="50"/>
  <c r="AH708" i="50" s="1"/>
  <c r="K735" i="50"/>
  <c r="K1056" i="50"/>
  <c r="K664" i="50"/>
  <c r="K133" i="50"/>
  <c r="K705" i="50"/>
  <c r="AH705" i="50" s="1"/>
  <c r="K674" i="50"/>
  <c r="K673" i="50"/>
  <c r="AH673" i="50" s="1"/>
  <c r="K1032" i="50"/>
  <c r="K690" i="50"/>
  <c r="AH690" i="50" s="1"/>
  <c r="K663" i="50"/>
  <c r="K954" i="50"/>
  <c r="K138" i="50"/>
  <c r="K712" i="50"/>
  <c r="AH712" i="50" s="1"/>
  <c r="K697" i="50"/>
  <c r="K695" i="50"/>
  <c r="K719" i="50"/>
  <c r="K711" i="50"/>
  <c r="AH711" i="50" s="1"/>
  <c r="K714" i="50"/>
  <c r="K703" i="50"/>
  <c r="K731" i="50"/>
  <c r="K713" i="50"/>
  <c r="AH713" i="50" s="1"/>
  <c r="K701" i="50"/>
  <c r="AH701" i="50" s="1"/>
  <c r="K678" i="50"/>
  <c r="AH678" i="50" s="1"/>
  <c r="K1013" i="50"/>
  <c r="K677" i="50"/>
  <c r="AH677" i="50" s="1"/>
  <c r="K675" i="50"/>
  <c r="AH675" i="50" s="1"/>
  <c r="K710" i="50"/>
  <c r="AH710" i="50" s="1"/>
  <c r="K696" i="50"/>
  <c r="AH696" i="50" s="1"/>
  <c r="K676" i="50"/>
  <c r="AH676" i="50" s="1"/>
  <c r="K137" i="50"/>
  <c r="K1030" i="50"/>
  <c r="K702" i="50"/>
  <c r="K732" i="50"/>
  <c r="K1014" i="50"/>
  <c r="K1029" i="50"/>
  <c r="K720" i="50"/>
  <c r="CX339" i="32"/>
  <c r="K124" i="50"/>
  <c r="K658" i="50"/>
  <c r="CX337" i="32"/>
  <c r="K122" i="50"/>
  <c r="K656" i="50"/>
  <c r="K903" i="50"/>
  <c r="K907" i="50"/>
  <c r="K232" i="50"/>
  <c r="K912" i="50"/>
  <c r="K942" i="50"/>
  <c r="K233" i="50"/>
  <c r="K961" i="50"/>
  <c r="AH961" i="50" s="1"/>
  <c r="K904" i="50"/>
  <c r="K880" i="50"/>
  <c r="K1044" i="50"/>
  <c r="K1068" i="50"/>
  <c r="K881" i="50"/>
  <c r="CX152" i="32"/>
  <c r="K425" i="50"/>
  <c r="CX372" i="32"/>
  <c r="K623" i="50"/>
  <c r="K49" i="50"/>
  <c r="K626" i="50"/>
  <c r="K63" i="50"/>
  <c r="K51" i="50"/>
  <c r="K50" i="50"/>
  <c r="K625" i="50"/>
  <c r="K624" i="50"/>
  <c r="CX259" i="32"/>
  <c r="K888" i="50"/>
  <c r="K197" i="50"/>
  <c r="K195" i="50"/>
  <c r="K886" i="50"/>
  <c r="K196" i="50"/>
  <c r="K887" i="50"/>
  <c r="CX248" i="32"/>
  <c r="K191" i="50"/>
  <c r="K884" i="50"/>
  <c r="CX270" i="32"/>
  <c r="K1008" i="50"/>
  <c r="CX307" i="32"/>
  <c r="K1059" i="50"/>
  <c r="K740" i="50"/>
  <c r="K739" i="50"/>
  <c r="K1035" i="50"/>
  <c r="CX162" i="32"/>
  <c r="K354" i="50"/>
  <c r="K369" i="50"/>
  <c r="K408" i="50"/>
  <c r="K421" i="50"/>
  <c r="K392" i="50"/>
  <c r="AH392" i="50" s="1"/>
  <c r="CX168" i="32"/>
  <c r="K388" i="50"/>
  <c r="K372" i="50"/>
  <c r="K361" i="50"/>
  <c r="K412" i="50"/>
  <c r="K424" i="50"/>
  <c r="K385" i="50"/>
  <c r="K317" i="50"/>
  <c r="CX125" i="32"/>
  <c r="K324" i="50"/>
  <c r="CX119" i="32"/>
  <c r="K318" i="50"/>
  <c r="CX126" i="32"/>
  <c r="K325" i="50"/>
  <c r="CX139" i="32"/>
  <c r="K338" i="50"/>
  <c r="K376" i="50"/>
  <c r="CX14" i="32"/>
  <c r="K431" i="50"/>
  <c r="CX43" i="32"/>
  <c r="K533" i="50"/>
  <c r="AH533" i="50" s="1"/>
  <c r="K460" i="50"/>
  <c r="K552" i="50"/>
  <c r="K598" i="50"/>
  <c r="K519" i="50"/>
  <c r="CX66" i="32"/>
  <c r="K483" i="50"/>
  <c r="CX70" i="32"/>
  <c r="K487" i="50"/>
  <c r="CX79" i="32"/>
  <c r="K496" i="50"/>
  <c r="CX83" i="32"/>
  <c r="K500" i="50"/>
  <c r="CX91" i="32"/>
  <c r="K508" i="50"/>
  <c r="K559" i="50"/>
  <c r="K430" i="50"/>
  <c r="K619" i="50"/>
  <c r="CX17" i="32"/>
  <c r="K434" i="50"/>
  <c r="CX25" i="32"/>
  <c r="K442" i="50"/>
  <c r="CX29" i="32"/>
  <c r="K547" i="50"/>
  <c r="K590" i="50"/>
  <c r="K446" i="50"/>
  <c r="CX38" i="32"/>
  <c r="K455" i="50"/>
  <c r="CX42" i="32"/>
  <c r="K459" i="50"/>
  <c r="CX51" i="32"/>
  <c r="K468" i="50"/>
  <c r="CX55" i="32"/>
  <c r="K472" i="50"/>
  <c r="CX178" i="32"/>
  <c r="K275" i="50"/>
  <c r="CX187" i="32"/>
  <c r="K286" i="50"/>
  <c r="CX180" i="32"/>
  <c r="K282" i="50"/>
  <c r="CX265" i="32"/>
  <c r="K217" i="50"/>
  <c r="CX194" i="32"/>
  <c r="K287" i="50"/>
  <c r="CX238" i="32"/>
  <c r="K235" i="50"/>
  <c r="K910" i="50"/>
  <c r="K944" i="50"/>
  <c r="K905" i="50"/>
  <c r="K959" i="50"/>
  <c r="AH959" i="50" s="1"/>
  <c r="CX214" i="32"/>
  <c r="K266" i="50"/>
  <c r="CX216" i="32"/>
  <c r="K268" i="50"/>
  <c r="CX232" i="32"/>
  <c r="K270" i="50"/>
  <c r="K280" i="50"/>
  <c r="AH280" i="50" s="1"/>
  <c r="CX200" i="32"/>
  <c r="K259" i="50"/>
  <c r="CX221" i="32"/>
  <c r="K297" i="50"/>
  <c r="CX192" i="32"/>
  <c r="K277" i="50"/>
  <c r="CX225" i="32"/>
  <c r="K1086" i="50"/>
  <c r="K1052" i="50"/>
  <c r="K247" i="50"/>
  <c r="K1076" i="50"/>
  <c r="K1022" i="50"/>
  <c r="K993" i="50"/>
  <c r="AM515" i="50"/>
  <c r="AH515" i="50"/>
  <c r="AI515" i="50"/>
  <c r="AH599" i="50"/>
  <c r="AM599" i="50"/>
  <c r="AI599" i="50"/>
  <c r="AM606" i="50"/>
  <c r="AH606" i="50"/>
  <c r="AI606" i="50"/>
  <c r="AM587" i="50"/>
  <c r="AH587" i="50"/>
  <c r="AI587" i="50"/>
  <c r="AH521" i="50"/>
  <c r="AI521" i="50"/>
  <c r="AM521" i="50"/>
  <c r="AH591" i="50"/>
  <c r="AM591" i="50"/>
  <c r="AI591" i="50"/>
  <c r="K174" i="50"/>
  <c r="K996" i="50"/>
  <c r="K977" i="50"/>
  <c r="K784" i="50"/>
  <c r="K975" i="50"/>
  <c r="AH975" i="50" s="1"/>
  <c r="K782" i="50"/>
  <c r="K859" i="50"/>
  <c r="K848" i="50"/>
  <c r="K835" i="50"/>
  <c r="K976" i="50"/>
  <c r="K172" i="50"/>
  <c r="K810" i="50"/>
  <c r="AH810" i="50" s="1"/>
  <c r="K774" i="50"/>
  <c r="K163" i="50"/>
  <c r="K162" i="50"/>
  <c r="K155" i="50"/>
  <c r="K781" i="50"/>
  <c r="K834" i="50"/>
  <c r="K171" i="50"/>
  <c r="K809" i="50"/>
  <c r="AH809" i="50" s="1"/>
  <c r="K795" i="50"/>
  <c r="K793" i="50"/>
  <c r="K161" i="50"/>
  <c r="K158" i="50"/>
  <c r="K974" i="50"/>
  <c r="AH974" i="50" s="1"/>
  <c r="K849" i="50"/>
  <c r="K997" i="50"/>
  <c r="K833" i="50"/>
  <c r="AH833" i="50" s="1"/>
  <c r="K159" i="50"/>
  <c r="K775" i="50"/>
  <c r="K157" i="50"/>
  <c r="K783" i="50"/>
  <c r="K811" i="50"/>
  <c r="K1037" i="50"/>
  <c r="K160" i="50"/>
  <c r="K758" i="50"/>
  <c r="K767" i="50"/>
  <c r="K766" i="50"/>
  <c r="K808" i="50"/>
  <c r="AH808" i="50" s="1"/>
  <c r="K1061" i="50"/>
  <c r="K759" i="50"/>
  <c r="K794" i="50"/>
  <c r="AH794" i="50" s="1"/>
  <c r="K156" i="50"/>
  <c r="CX328" i="32"/>
  <c r="K730" i="50"/>
  <c r="K136" i="50"/>
  <c r="CX317" i="32"/>
  <c r="K723" i="50"/>
  <c r="K129" i="50"/>
  <c r="CX170" i="32"/>
  <c r="K305" i="50"/>
  <c r="K922" i="50"/>
  <c r="CX331" i="32"/>
  <c r="K116" i="50"/>
  <c r="K650" i="50"/>
  <c r="CX268" i="32"/>
  <c r="K900" i="50"/>
  <c r="K229" i="50"/>
  <c r="CX258" i="32"/>
  <c r="K226" i="50"/>
  <c r="CX274" i="32"/>
  <c r="K219" i="50"/>
  <c r="K205" i="50"/>
  <c r="K204" i="50"/>
  <c r="CX375" i="32"/>
  <c r="K634" i="50"/>
  <c r="K65" i="50"/>
  <c r="K635" i="50"/>
  <c r="CX296" i="32"/>
  <c r="K771" i="50"/>
  <c r="K770" i="50"/>
  <c r="CX144" i="32"/>
  <c r="K342" i="50"/>
  <c r="K363" i="50"/>
  <c r="K401" i="50"/>
  <c r="K416" i="50"/>
  <c r="K378" i="50"/>
  <c r="K310" i="50"/>
  <c r="CX149" i="32"/>
  <c r="K345" i="50"/>
  <c r="K366" i="50"/>
  <c r="K311" i="50"/>
  <c r="CX130" i="32"/>
  <c r="K329" i="50"/>
  <c r="CX124" i="32"/>
  <c r="K323" i="50"/>
  <c r="CX127" i="32"/>
  <c r="K326" i="50"/>
  <c r="CX64" i="32"/>
  <c r="K481" i="50"/>
  <c r="CX62" i="32"/>
  <c r="K479" i="50"/>
  <c r="CX71" i="32"/>
  <c r="K488" i="50"/>
  <c r="K554" i="50"/>
  <c r="K523" i="50"/>
  <c r="K608" i="50"/>
  <c r="K536" i="50"/>
  <c r="AH536" i="50" s="1"/>
  <c r="CX80" i="32"/>
  <c r="K497" i="50"/>
  <c r="K429" i="50"/>
  <c r="CX92" i="32"/>
  <c r="K509" i="50"/>
  <c r="CX22" i="32"/>
  <c r="K439" i="50"/>
  <c r="CX30" i="32"/>
  <c r="K447" i="50"/>
  <c r="CX39" i="32"/>
  <c r="K456" i="50"/>
  <c r="CX48" i="32"/>
  <c r="K465" i="50"/>
  <c r="K568" i="50"/>
  <c r="CX56" i="32"/>
  <c r="K473" i="50"/>
  <c r="CX365" i="32"/>
  <c r="K57" i="50"/>
  <c r="CX256" i="32"/>
  <c r="K216" i="50"/>
  <c r="CX186" i="32"/>
  <c r="K285" i="50"/>
  <c r="CX243" i="32"/>
  <c r="K240" i="50"/>
  <c r="K915" i="50"/>
  <c r="K918" i="50"/>
  <c r="K939" i="50"/>
  <c r="CX181" i="32"/>
  <c r="K278" i="50"/>
  <c r="AH278" i="50" s="1"/>
  <c r="CX236" i="32"/>
  <c r="K274" i="50"/>
  <c r="CX202" i="32"/>
  <c r="K260" i="50"/>
  <c r="AM592" i="50"/>
  <c r="AH592" i="50"/>
  <c r="AI592" i="50"/>
  <c r="AM522" i="50"/>
  <c r="AH522" i="50"/>
  <c r="AI522" i="50"/>
  <c r="AP428" i="50"/>
  <c r="AH428" i="50"/>
  <c r="AI428" i="50"/>
  <c r="AM428" i="50"/>
  <c r="AH414" i="50"/>
  <c r="AL414" i="50"/>
  <c r="AI414" i="50"/>
  <c r="AM597" i="50"/>
  <c r="AI597" i="50"/>
  <c r="AH597" i="50"/>
  <c r="AM611" i="50"/>
  <c r="AH611" i="50"/>
  <c r="AI611" i="50"/>
  <c r="AM600" i="50"/>
  <c r="AH600" i="50"/>
  <c r="AI600" i="50"/>
  <c r="AM607" i="50"/>
  <c r="AH607" i="50"/>
  <c r="AI607" i="50"/>
  <c r="K182" i="50"/>
  <c r="AH182" i="50" s="1"/>
  <c r="K186" i="50"/>
  <c r="AH186" i="50" s="1"/>
  <c r="K188" i="50"/>
  <c r="K181" i="50"/>
  <c r="K857" i="50"/>
  <c r="K856" i="50"/>
  <c r="K1001" i="50"/>
  <c r="K847" i="50"/>
  <c r="K185" i="50"/>
  <c r="AH185" i="50" s="1"/>
  <c r="K866" i="50"/>
  <c r="K845" i="50"/>
  <c r="AH845" i="50" s="1"/>
  <c r="K953" i="50"/>
  <c r="K187" i="50"/>
  <c r="AH187" i="50" s="1"/>
  <c r="K1000" i="50"/>
  <c r="K846" i="50"/>
  <c r="K830" i="50"/>
  <c r="AH830" i="50" s="1"/>
  <c r="K819" i="50"/>
  <c r="AH819" i="50" s="1"/>
  <c r="K814" i="50"/>
  <c r="AH814" i="50" s="1"/>
  <c r="K806" i="50"/>
  <c r="AH806" i="50" s="1"/>
  <c r="K776" i="50"/>
  <c r="K168" i="50"/>
  <c r="K958" i="50"/>
  <c r="AH958" i="50" s="1"/>
  <c r="K949" i="50"/>
  <c r="K873" i="50"/>
  <c r="K184" i="50"/>
  <c r="AH184" i="50" s="1"/>
  <c r="K829" i="50"/>
  <c r="AH829" i="50" s="1"/>
  <c r="K813" i="50"/>
  <c r="AH813" i="50" s="1"/>
  <c r="K1006" i="50"/>
  <c r="K169" i="50"/>
  <c r="K183" i="50"/>
  <c r="AH183" i="50" s="1"/>
  <c r="K815" i="50"/>
  <c r="K821" i="50"/>
  <c r="K812" i="50"/>
  <c r="AH812" i="50" s="1"/>
  <c r="K807" i="50"/>
  <c r="K1007" i="50"/>
  <c r="K167" i="50"/>
  <c r="K870" i="50"/>
  <c r="K1062" i="50"/>
  <c r="K763" i="50"/>
  <c r="K831" i="50"/>
  <c r="AH831" i="50" s="1"/>
  <c r="K820" i="50"/>
  <c r="AH820" i="50" s="1"/>
  <c r="K773" i="50"/>
  <c r="K772" i="50"/>
  <c r="K828" i="50"/>
  <c r="AH828" i="50" s="1"/>
  <c r="K832" i="50"/>
  <c r="K805" i="50"/>
  <c r="K166" i="50"/>
  <c r="K762" i="50"/>
  <c r="K1038" i="50"/>
  <c r="CX164" i="32"/>
  <c r="K370" i="50"/>
  <c r="K422" i="50"/>
  <c r="CX309" i="32"/>
  <c r="K149" i="50"/>
  <c r="K752" i="50"/>
  <c r="K751" i="50"/>
  <c r="K741" i="50"/>
  <c r="K148" i="50"/>
  <c r="CX319" i="32"/>
  <c r="K716" i="50"/>
  <c r="K724" i="50"/>
  <c r="K1028" i="50"/>
  <c r="K715" i="50"/>
  <c r="K1012" i="50"/>
  <c r="K1027" i="50"/>
  <c r="K668" i="50"/>
  <c r="AH668" i="50" s="1"/>
  <c r="K1011" i="50"/>
  <c r="K667" i="50"/>
  <c r="K665" i="50"/>
  <c r="K661" i="50"/>
  <c r="K130" i="50"/>
  <c r="K666" i="50"/>
  <c r="AH666" i="50" s="1"/>
  <c r="K1033" i="50"/>
  <c r="K662" i="50"/>
  <c r="K1057" i="50"/>
  <c r="CX323" i="32"/>
  <c r="K726" i="50"/>
  <c r="K132" i="50"/>
  <c r="CX336" i="32"/>
  <c r="K121" i="50"/>
  <c r="K655" i="50"/>
  <c r="CX173" i="32"/>
  <c r="K306" i="50"/>
  <c r="K923" i="50"/>
  <c r="CX332" i="32"/>
  <c r="K117" i="50"/>
  <c r="K651" i="50"/>
  <c r="CX341" i="32"/>
  <c r="K126" i="50"/>
  <c r="K660" i="50"/>
  <c r="CX247" i="32"/>
  <c r="K897" i="50"/>
  <c r="K225" i="50"/>
  <c r="K190" i="50"/>
  <c r="K203" i="50"/>
  <c r="K202" i="50"/>
  <c r="CX275" i="32"/>
  <c r="K231" i="50"/>
  <c r="K902" i="50"/>
  <c r="CX367" i="32"/>
  <c r="K87" i="50"/>
  <c r="K633" i="50"/>
  <c r="K61" i="50"/>
  <c r="K60" i="50"/>
  <c r="K88" i="50"/>
  <c r="K62" i="50"/>
  <c r="CX359" i="32"/>
  <c r="K622" i="50"/>
  <c r="K48" i="50"/>
  <c r="CX366" i="32"/>
  <c r="K59" i="50"/>
  <c r="K58" i="50"/>
  <c r="CX377" i="32"/>
  <c r="K92" i="50"/>
  <c r="K639" i="50"/>
  <c r="K79" i="50"/>
  <c r="K78" i="50"/>
  <c r="CX171" i="32"/>
  <c r="K302" i="50"/>
  <c r="K299" i="50"/>
  <c r="K300" i="50"/>
  <c r="K921" i="50"/>
  <c r="K301" i="50"/>
  <c r="CX177" i="32"/>
  <c r="K304" i="50"/>
  <c r="CX262" i="32"/>
  <c r="K198" i="50"/>
  <c r="CX286" i="32"/>
  <c r="K1060" i="50"/>
  <c r="K765" i="50"/>
  <c r="K1036" i="50"/>
  <c r="K764" i="50"/>
  <c r="CX277" i="32"/>
  <c r="K1065" i="50"/>
  <c r="K883" i="50"/>
  <c r="K882" i="50"/>
  <c r="K1041" i="50"/>
  <c r="CX165" i="32"/>
  <c r="K358" i="50"/>
  <c r="K397" i="50"/>
  <c r="CX143" i="32"/>
  <c r="K362" i="50"/>
  <c r="K400" i="50"/>
  <c r="K386" i="50"/>
  <c r="K415" i="50"/>
  <c r="K341" i="50"/>
  <c r="K389" i="50"/>
  <c r="AH389" i="50" s="1"/>
  <c r="K377" i="50"/>
  <c r="CX153" i="32"/>
  <c r="K348" i="50"/>
  <c r="K390" i="50"/>
  <c r="AH390" i="50" s="1"/>
  <c r="K382" i="50"/>
  <c r="K405" i="50"/>
  <c r="K367" i="50"/>
  <c r="K312" i="50"/>
  <c r="K419" i="50"/>
  <c r="CX147" i="32"/>
  <c r="K343" i="50"/>
  <c r="K379" i="50"/>
  <c r="K410" i="50"/>
  <c r="K402" i="50"/>
  <c r="K394" i="50"/>
  <c r="K417" i="50"/>
  <c r="K364" i="50"/>
  <c r="CX158" i="32"/>
  <c r="K352" i="50"/>
  <c r="CX120" i="32"/>
  <c r="K319" i="50"/>
  <c r="CX129" i="32"/>
  <c r="K328" i="50"/>
  <c r="CX134" i="32"/>
  <c r="K333" i="50"/>
  <c r="CX135" i="32"/>
  <c r="K334" i="50"/>
  <c r="K375" i="50"/>
  <c r="CX138" i="32"/>
  <c r="K337" i="50"/>
  <c r="CX154" i="32"/>
  <c r="K349" i="50"/>
  <c r="CX76" i="32"/>
  <c r="K493" i="50"/>
  <c r="CX59" i="32"/>
  <c r="K476" i="50"/>
  <c r="CX63" i="32"/>
  <c r="K427" i="50"/>
  <c r="K480" i="50"/>
  <c r="K553" i="50"/>
  <c r="K604" i="50"/>
  <c r="CX68" i="32"/>
  <c r="K485" i="50"/>
  <c r="CX72" i="32"/>
  <c r="K489" i="50"/>
  <c r="CX77" i="32"/>
  <c r="K494" i="50"/>
  <c r="CX81" i="32"/>
  <c r="K498" i="50"/>
  <c r="CX85" i="32"/>
  <c r="K502" i="50"/>
  <c r="CX89" i="32"/>
  <c r="K506" i="50"/>
  <c r="CX15" i="32"/>
  <c r="K432" i="50"/>
  <c r="CX19" i="32"/>
  <c r="K436" i="50"/>
  <c r="CX23" i="32"/>
  <c r="K440" i="50"/>
  <c r="K545" i="50"/>
  <c r="K586" i="50"/>
  <c r="K514" i="50"/>
  <c r="K530" i="50"/>
  <c r="AH530" i="50" s="1"/>
  <c r="CX27" i="32"/>
  <c r="K444" i="50"/>
  <c r="CX31" i="32"/>
  <c r="K448" i="50"/>
  <c r="K548" i="50"/>
  <c r="K593" i="50"/>
  <c r="CX35" i="32"/>
  <c r="K452" i="50"/>
  <c r="CX40" i="32"/>
  <c r="K457" i="50"/>
  <c r="CX45" i="32"/>
  <c r="K462" i="50"/>
  <c r="CX49" i="32"/>
  <c r="K466" i="50"/>
  <c r="CX53" i="32"/>
  <c r="K470" i="50"/>
  <c r="CX57" i="32"/>
  <c r="K474" i="50"/>
  <c r="CX272" i="32"/>
  <c r="K218" i="50"/>
  <c r="CX282" i="32"/>
  <c r="K222" i="50"/>
  <c r="CX281" i="32"/>
  <c r="K221" i="50"/>
  <c r="CX254" i="32"/>
  <c r="K214" i="50"/>
  <c r="CX196" i="32"/>
  <c r="K288" i="50"/>
  <c r="CX284" i="32"/>
  <c r="K224" i="50"/>
  <c r="CX242" i="32"/>
  <c r="K239" i="50"/>
  <c r="CX244" i="32"/>
  <c r="K241" i="50"/>
  <c r="K964" i="50"/>
  <c r="AH964" i="50" s="1"/>
  <c r="K941" i="50"/>
  <c r="K919" i="50"/>
  <c r="K916" i="50"/>
  <c r="K908" i="50"/>
  <c r="K913" i="50"/>
  <c r="K962" i="50"/>
  <c r="AH962" i="50" s="1"/>
  <c r="K947" i="50"/>
  <c r="CX217" i="32"/>
  <c r="K269" i="50"/>
  <c r="CX215" i="32"/>
  <c r="K267" i="50"/>
  <c r="AH271" i="50"/>
  <c r="AI271" i="50"/>
  <c r="CX189" i="32"/>
  <c r="K254" i="50"/>
  <c r="CX198" i="32"/>
  <c r="K257" i="50"/>
  <c r="CX203" i="32"/>
  <c r="K261" i="50"/>
  <c r="AH291" i="50"/>
  <c r="AI291" i="50"/>
  <c r="CX146" i="32"/>
  <c r="K404" i="50"/>
  <c r="CX222" i="32"/>
  <c r="K1078" i="50"/>
  <c r="K1024" i="50"/>
  <c r="K1088" i="50"/>
  <c r="K1054" i="50"/>
  <c r="K244" i="50"/>
  <c r="K995" i="50"/>
  <c r="CX227" i="32"/>
  <c r="K1074" i="50"/>
  <c r="K1020" i="50"/>
  <c r="K1050" i="50"/>
  <c r="K249" i="50"/>
  <c r="K1084" i="50"/>
  <c r="K991" i="50"/>
  <c r="CX231" i="32"/>
  <c r="K1070" i="50"/>
  <c r="K1016" i="50"/>
  <c r="K1080" i="50"/>
  <c r="K253" i="50"/>
  <c r="K987" i="50"/>
  <c r="K1046" i="50"/>
  <c r="AH589" i="50"/>
  <c r="AM589" i="50"/>
  <c r="AI589" i="50"/>
  <c r="AM613" i="50"/>
  <c r="AI613" i="50"/>
  <c r="AH613" i="50"/>
  <c r="CX315" i="32"/>
  <c r="K721" i="50"/>
  <c r="K684" i="50"/>
  <c r="AH684" i="50" s="1"/>
  <c r="K683" i="50"/>
  <c r="K127" i="50"/>
  <c r="K685" i="50"/>
  <c r="CX340" i="32"/>
  <c r="K125" i="50"/>
  <c r="K659" i="50"/>
  <c r="CX380" i="32"/>
  <c r="K80" i="50"/>
  <c r="K640" i="50"/>
  <c r="K83" i="50"/>
  <c r="K81" i="50"/>
  <c r="K94" i="50"/>
  <c r="K82" i="50"/>
  <c r="CX151" i="32"/>
  <c r="K347" i="50"/>
  <c r="K381" i="50"/>
  <c r="AI296" i="50"/>
  <c r="AH296" i="50"/>
  <c r="CX229" i="32"/>
  <c r="K1082" i="50"/>
  <c r="K1048" i="50"/>
  <c r="K251" i="50"/>
  <c r="K1018" i="50"/>
  <c r="K1072" i="50"/>
  <c r="K989" i="50"/>
  <c r="AP426" i="50"/>
  <c r="AI426" i="50"/>
  <c r="AM426" i="50"/>
  <c r="AH426" i="50"/>
  <c r="AM609" i="50"/>
  <c r="AH609" i="50"/>
  <c r="AI609" i="50"/>
  <c r="K869" i="50"/>
  <c r="K865" i="50"/>
  <c r="K872" i="50"/>
  <c r="K803" i="50"/>
  <c r="AH803" i="50" s="1"/>
  <c r="K951" i="50"/>
  <c r="K802" i="50"/>
  <c r="K760" i="50"/>
  <c r="K1039" i="50"/>
  <c r="K180" i="50"/>
  <c r="K804" i="50"/>
  <c r="K761" i="50"/>
  <c r="K1063" i="50"/>
  <c r="CX175" i="32"/>
  <c r="K308" i="50"/>
  <c r="K925" i="50"/>
  <c r="CX333" i="32"/>
  <c r="K118" i="50"/>
  <c r="K652" i="50"/>
  <c r="CX264" i="32"/>
  <c r="K228" i="50"/>
  <c r="K899" i="50"/>
  <c r="CX172" i="32"/>
  <c r="K303" i="50"/>
  <c r="CX374" i="32"/>
  <c r="K64" i="50"/>
  <c r="CX250" i="32"/>
  <c r="K193" i="50"/>
  <c r="K885" i="50"/>
  <c r="CX305" i="32"/>
  <c r="K738" i="50"/>
  <c r="K1034" i="50"/>
  <c r="K1058" i="50"/>
  <c r="K737" i="50"/>
  <c r="CX167" i="32"/>
  <c r="K360" i="50"/>
  <c r="K384" i="50"/>
  <c r="K409" i="50"/>
  <c r="K371" i="50"/>
  <c r="K387" i="50"/>
  <c r="K423" i="50"/>
  <c r="K316" i="50"/>
  <c r="CX150" i="32"/>
  <c r="K346" i="50"/>
  <c r="CX123" i="32"/>
  <c r="K322" i="50"/>
  <c r="CX140" i="32"/>
  <c r="K339" i="50"/>
  <c r="CX155" i="32"/>
  <c r="K350" i="50"/>
  <c r="CX58" i="32"/>
  <c r="K475" i="50"/>
  <c r="CX67" i="32"/>
  <c r="K484" i="50"/>
  <c r="CX75" i="32"/>
  <c r="K492" i="50"/>
  <c r="K555" i="50"/>
  <c r="K614" i="50"/>
  <c r="CX84" i="32"/>
  <c r="K501" i="50"/>
  <c r="CX88" i="32"/>
  <c r="K505" i="50"/>
  <c r="K618" i="50"/>
  <c r="K558" i="50"/>
  <c r="CX18" i="32"/>
  <c r="K435" i="50"/>
  <c r="K542" i="50"/>
  <c r="K527" i="50"/>
  <c r="AH527" i="50" s="1"/>
  <c r="K583" i="50"/>
  <c r="K511" i="50"/>
  <c r="CX26" i="32"/>
  <c r="K443" i="50"/>
  <c r="CX34" i="32"/>
  <c r="K451" i="50"/>
  <c r="K551" i="50"/>
  <c r="K596" i="50"/>
  <c r="CX44" i="32"/>
  <c r="K461" i="50"/>
  <c r="CX52" i="32"/>
  <c r="K469" i="50"/>
  <c r="CX255" i="32"/>
  <c r="K215" i="50"/>
  <c r="CX241" i="32"/>
  <c r="K238" i="50"/>
  <c r="CX378" i="32"/>
  <c r="K93" i="50"/>
  <c r="CX245" i="32"/>
  <c r="K242" i="50"/>
  <c r="K960" i="50"/>
  <c r="AH960" i="50" s="1"/>
  <c r="K906" i="50"/>
  <c r="K945" i="50"/>
  <c r="K911" i="50"/>
  <c r="CX210" i="32"/>
  <c r="K263" i="50"/>
  <c r="CX201" i="32"/>
  <c r="K289" i="50"/>
  <c r="K298" i="50"/>
  <c r="CX197" i="32"/>
  <c r="K256" i="50"/>
  <c r="CX205" i="32"/>
  <c r="K290" i="50"/>
  <c r="CX226" i="32"/>
  <c r="K1075" i="50"/>
  <c r="K1021" i="50"/>
  <c r="K1085" i="50"/>
  <c r="K248" i="50"/>
  <c r="K1051" i="50"/>
  <c r="K992" i="50"/>
  <c r="CX230" i="32"/>
  <c r="K1071" i="50"/>
  <c r="K1017" i="50"/>
  <c r="K1047" i="50"/>
  <c r="K1081" i="50"/>
  <c r="K252" i="50"/>
  <c r="K988" i="50"/>
  <c r="AH524" i="50"/>
  <c r="AM524" i="50"/>
  <c r="AI524" i="50"/>
  <c r="AM605" i="50"/>
  <c r="AH605" i="50"/>
  <c r="AI605" i="50"/>
  <c r="K780" i="50"/>
  <c r="K862" i="50"/>
  <c r="K1005" i="50"/>
  <c r="K840" i="50"/>
  <c r="K973" i="50"/>
  <c r="K971" i="50"/>
  <c r="AH971" i="50" s="1"/>
  <c r="K778" i="50"/>
  <c r="K854" i="50"/>
  <c r="K970" i="50"/>
  <c r="AH970" i="50" s="1"/>
  <c r="K779" i="50"/>
  <c r="K855" i="50"/>
  <c r="K1004" i="50"/>
  <c r="K839" i="50"/>
  <c r="AH839" i="50" s="1"/>
  <c r="K801" i="50"/>
  <c r="K799" i="50"/>
  <c r="K800" i="50"/>
  <c r="AH800" i="50" s="1"/>
  <c r="K777" i="50"/>
  <c r="K841" i="50"/>
  <c r="K177" i="50"/>
  <c r="K972" i="50"/>
  <c r="K165" i="50"/>
  <c r="K860" i="50"/>
  <c r="K998" i="50"/>
  <c r="K836" i="50"/>
  <c r="AH836" i="50" s="1"/>
  <c r="K979" i="50"/>
  <c r="AH979" i="50" s="1"/>
  <c r="K786" i="50"/>
  <c r="K851" i="50"/>
  <c r="K837" i="50"/>
  <c r="K981" i="50"/>
  <c r="K787" i="50"/>
  <c r="K850" i="50"/>
  <c r="K822" i="50"/>
  <c r="K980" i="50"/>
  <c r="K797" i="50"/>
  <c r="AH797" i="50" s="1"/>
  <c r="K798" i="50"/>
  <c r="K769" i="50"/>
  <c r="K768" i="50"/>
  <c r="K788" i="50"/>
  <c r="K978" i="50"/>
  <c r="AH978" i="50" s="1"/>
  <c r="K999" i="50"/>
  <c r="K796" i="50"/>
  <c r="K785" i="50"/>
  <c r="K175" i="50"/>
  <c r="K838" i="50"/>
  <c r="CX316" i="32"/>
  <c r="K722" i="50"/>
  <c r="K128" i="50"/>
  <c r="CX327" i="32"/>
  <c r="K728" i="50"/>
  <c r="K135" i="50"/>
  <c r="K729" i="50"/>
  <c r="K134" i="50"/>
  <c r="K694" i="50"/>
  <c r="K692" i="50"/>
  <c r="K693" i="50"/>
  <c r="AH693" i="50" s="1"/>
  <c r="CX338" i="32"/>
  <c r="K123" i="50"/>
  <c r="K657" i="50"/>
  <c r="CX271" i="32"/>
  <c r="K230" i="50"/>
  <c r="K211" i="50"/>
  <c r="K901" i="50"/>
  <c r="K223" i="50"/>
  <c r="CX335" i="32"/>
  <c r="K120" i="50"/>
  <c r="K654" i="50"/>
  <c r="CX174" i="32"/>
  <c r="K924" i="50"/>
  <c r="K307" i="50"/>
  <c r="CX249" i="32"/>
  <c r="K192" i="50"/>
  <c r="CX263" i="32"/>
  <c r="K227" i="50"/>
  <c r="K898" i="50"/>
  <c r="CX362" i="32"/>
  <c r="K56" i="50"/>
  <c r="K55" i="50"/>
  <c r="K632" i="50"/>
  <c r="CX381" i="32"/>
  <c r="K84" i="50"/>
  <c r="K641" i="50"/>
  <c r="K914" i="50"/>
  <c r="K963" i="50"/>
  <c r="AH963" i="50" s="1"/>
  <c r="K940" i="50"/>
  <c r="K194" i="50"/>
  <c r="K909" i="50"/>
  <c r="K895" i="50"/>
  <c r="K1043" i="50"/>
  <c r="K875" i="50"/>
  <c r="K874" i="50"/>
  <c r="K1067" i="50"/>
  <c r="CX261" i="32"/>
  <c r="K892" i="50"/>
  <c r="K207" i="50"/>
  <c r="K891" i="50"/>
  <c r="K206" i="50"/>
  <c r="CX283" i="32"/>
  <c r="K210" i="50"/>
  <c r="K894" i="50"/>
  <c r="CX269" i="32"/>
  <c r="K890" i="50"/>
  <c r="K200" i="50"/>
  <c r="K896" i="50"/>
  <c r="K889" i="50"/>
  <c r="K199" i="50"/>
  <c r="CX273" i="32"/>
  <c r="K201" i="50"/>
  <c r="K893" i="50"/>
  <c r="K208" i="50"/>
  <c r="K209" i="50"/>
  <c r="CX276" i="32"/>
  <c r="K1042" i="50"/>
  <c r="K1066" i="50"/>
  <c r="K879" i="50"/>
  <c r="K878" i="50"/>
  <c r="CX260" i="32"/>
  <c r="K1040" i="50"/>
  <c r="K877" i="50"/>
  <c r="K876" i="50"/>
  <c r="K1064" i="50"/>
  <c r="CX141" i="32"/>
  <c r="K340" i="50"/>
  <c r="K398" i="50"/>
  <c r="K413" i="50"/>
  <c r="CX161" i="32"/>
  <c r="K353" i="50"/>
  <c r="K383" i="50"/>
  <c r="K411" i="50"/>
  <c r="K407" i="50"/>
  <c r="K396" i="50"/>
  <c r="K391" i="50"/>
  <c r="AH391" i="50" s="1"/>
  <c r="K314" i="50"/>
  <c r="K420" i="50"/>
  <c r="K368" i="50"/>
  <c r="CX148" i="32"/>
  <c r="K344" i="50"/>
  <c r="K365" i="50"/>
  <c r="K403" i="50"/>
  <c r="K418" i="50"/>
  <c r="K380" i="50"/>
  <c r="CX166" i="32"/>
  <c r="K359" i="50"/>
  <c r="K393" i="50"/>
  <c r="AH393" i="50" s="1"/>
  <c r="K315" i="50"/>
  <c r="CX133" i="32"/>
  <c r="K332" i="50"/>
  <c r="K309" i="50"/>
  <c r="K374" i="50"/>
  <c r="CX122" i="32"/>
  <c r="K321" i="50"/>
  <c r="CX128" i="32"/>
  <c r="K327" i="50"/>
  <c r="CX132" i="32"/>
  <c r="K331" i="50"/>
  <c r="K373" i="50"/>
  <c r="CX131" i="32"/>
  <c r="K330" i="50"/>
  <c r="CX136" i="32"/>
  <c r="K335" i="50"/>
  <c r="CX157" i="32"/>
  <c r="K351" i="50"/>
  <c r="CX36" i="32"/>
  <c r="K453" i="50"/>
  <c r="CX60" i="32"/>
  <c r="K477" i="50"/>
  <c r="CX65" i="32"/>
  <c r="K482" i="50"/>
  <c r="CX69" i="32"/>
  <c r="K486" i="50"/>
  <c r="CX73" i="32"/>
  <c r="K490" i="50"/>
  <c r="CX78" i="32"/>
  <c r="K495" i="50"/>
  <c r="CX82" i="32"/>
  <c r="K499" i="50"/>
  <c r="K556" i="50"/>
  <c r="CX86" i="32"/>
  <c r="K503" i="50"/>
  <c r="CX90" i="32"/>
  <c r="K507" i="50"/>
  <c r="CX16" i="32"/>
  <c r="K433" i="50"/>
  <c r="K526" i="50"/>
  <c r="AH526" i="50" s="1"/>
  <c r="K541" i="50"/>
  <c r="K510" i="50"/>
  <c r="K581" i="50"/>
  <c r="CX20" i="32"/>
  <c r="K437" i="50"/>
  <c r="K543" i="50"/>
  <c r="K584" i="50"/>
  <c r="K528" i="50"/>
  <c r="AH528" i="50" s="1"/>
  <c r="K512" i="50"/>
  <c r="AH512" i="50" s="1"/>
  <c r="CX24" i="32"/>
  <c r="K441" i="50"/>
  <c r="CX28" i="32"/>
  <c r="K445" i="50"/>
  <c r="K546" i="50"/>
  <c r="K588" i="50"/>
  <c r="K516" i="50"/>
  <c r="AH516" i="50" s="1"/>
  <c r="K531" i="50"/>
  <c r="AH531" i="50" s="1"/>
  <c r="CX32" i="32"/>
  <c r="K449" i="50"/>
  <c r="K549" i="50"/>
  <c r="K532" i="50"/>
  <c r="AH532" i="50" s="1"/>
  <c r="K594" i="50"/>
  <c r="K517" i="50"/>
  <c r="CX37" i="32"/>
  <c r="K454" i="50"/>
  <c r="CX41" i="32"/>
  <c r="K458" i="50"/>
  <c r="CX46" i="32"/>
  <c r="K463" i="50"/>
  <c r="CX50" i="32"/>
  <c r="K467" i="50"/>
  <c r="CX54" i="32"/>
  <c r="K471" i="50"/>
  <c r="CX218" i="32"/>
  <c r="K276" i="50"/>
  <c r="CX237" i="32"/>
  <c r="K234" i="50"/>
  <c r="CX288" i="32"/>
  <c r="K170" i="50"/>
  <c r="CX239" i="32"/>
  <c r="K236" i="50"/>
  <c r="CX280" i="32"/>
  <c r="K220" i="50"/>
  <c r="CX373" i="32"/>
  <c r="K89" i="50"/>
  <c r="CX182" i="32"/>
  <c r="K283" i="50"/>
  <c r="CX179" i="32"/>
  <c r="K281" i="50"/>
  <c r="CX240" i="32"/>
  <c r="K237" i="50"/>
  <c r="K917" i="50"/>
  <c r="K965" i="50"/>
  <c r="AH965" i="50" s="1"/>
  <c r="K920" i="50"/>
  <c r="K943" i="50"/>
  <c r="CX184" i="32"/>
  <c r="K279" i="50"/>
  <c r="AH279" i="50" s="1"/>
  <c r="CX212" i="32"/>
  <c r="K265" i="50"/>
  <c r="CX211" i="32"/>
  <c r="K264" i="50"/>
  <c r="CX234" i="32"/>
  <c r="K272" i="50"/>
  <c r="CX195" i="32"/>
  <c r="K255" i="50"/>
  <c r="CX199" i="32"/>
  <c r="K258" i="50"/>
  <c r="CX204" i="32"/>
  <c r="K262" i="50"/>
  <c r="CX208" i="32"/>
  <c r="K293" i="50"/>
  <c r="CX159" i="32"/>
  <c r="K406" i="50"/>
  <c r="K395" i="50"/>
  <c r="CX224" i="32"/>
  <c r="K1087" i="50"/>
  <c r="K1053" i="50"/>
  <c r="K246" i="50"/>
  <c r="K1023" i="50"/>
  <c r="K1077" i="50"/>
  <c r="K994" i="50"/>
  <c r="CX228" i="32"/>
  <c r="K1083" i="50"/>
  <c r="K1049" i="50"/>
  <c r="K250" i="50"/>
  <c r="K1073" i="50"/>
  <c r="K1019" i="50"/>
  <c r="K990" i="50"/>
  <c r="CX223" i="32"/>
  <c r="K1079" i="50"/>
  <c r="K1045" i="50"/>
  <c r="K245" i="50"/>
  <c r="K1015" i="50"/>
  <c r="K986" i="50"/>
  <c r="K1069" i="50"/>
  <c r="AH601" i="50"/>
  <c r="AM601" i="50"/>
  <c r="AI601" i="50"/>
  <c r="AH615" i="50"/>
  <c r="AM615" i="50"/>
  <c r="AI615" i="50"/>
  <c r="AH610" i="50"/>
  <c r="AM610" i="50"/>
  <c r="AI610" i="50"/>
  <c r="AM603" i="50"/>
  <c r="AH603" i="50"/>
  <c r="AI603" i="50"/>
  <c r="AM520" i="50"/>
  <c r="AI520" i="50"/>
  <c r="AH520" i="50"/>
  <c r="AM612" i="50"/>
  <c r="AH612" i="50"/>
  <c r="AI612" i="50"/>
  <c r="AM616" i="50"/>
  <c r="AH616" i="50"/>
  <c r="AI616" i="50"/>
  <c r="AH580" i="50"/>
  <c r="AI580" i="50"/>
  <c r="AM580" i="50"/>
  <c r="AH582" i="50"/>
  <c r="AI582" i="50"/>
  <c r="AM582" i="50"/>
  <c r="AM602" i="50"/>
  <c r="AH602" i="50"/>
  <c r="AI602" i="50"/>
  <c r="CX287" i="32"/>
  <c r="K858" i="50"/>
  <c r="K173" i="50"/>
  <c r="CX311" i="32"/>
  <c r="K754" i="50"/>
  <c r="K151" i="50"/>
  <c r="CX299" i="32"/>
  <c r="K139" i="50"/>
  <c r="K742" i="50"/>
  <c r="CX363" i="32"/>
  <c r="K97" i="50"/>
  <c r="K66" i="50"/>
  <c r="K646" i="50"/>
  <c r="K68" i="50"/>
  <c r="K67" i="50"/>
  <c r="CX306" i="32"/>
  <c r="K146" i="50"/>
  <c r="K749" i="50"/>
  <c r="CX301" i="32"/>
  <c r="K141" i="50"/>
  <c r="K744" i="50"/>
  <c r="CX300" i="32"/>
  <c r="K743" i="50"/>
  <c r="K140" i="50"/>
  <c r="CX312" i="32"/>
  <c r="K755" i="50"/>
  <c r="K152" i="50"/>
  <c r="CX294" i="32"/>
  <c r="K179" i="50"/>
  <c r="K864" i="50"/>
  <c r="CX376" i="32"/>
  <c r="K648" i="50"/>
  <c r="K99" i="50"/>
  <c r="CX379" i="32"/>
  <c r="K649" i="50"/>
  <c r="K643" i="50"/>
  <c r="K100" i="50"/>
  <c r="CX310" i="32"/>
  <c r="K753" i="50"/>
  <c r="K150" i="50"/>
  <c r="CX303" i="32"/>
  <c r="K747" i="50"/>
  <c r="K746" i="50"/>
  <c r="K144" i="50"/>
  <c r="K143" i="50"/>
  <c r="CX302" i="32"/>
  <c r="K142" i="50"/>
  <c r="K745" i="50"/>
  <c r="CX360" i="32"/>
  <c r="K645" i="50"/>
  <c r="K96" i="50"/>
  <c r="K1055" i="50"/>
  <c r="K1031" i="50"/>
  <c r="K621" i="50"/>
  <c r="K620" i="50"/>
  <c r="CX313" i="32"/>
  <c r="K756" i="50"/>
  <c r="K153" i="50"/>
  <c r="CX293" i="32"/>
  <c r="K863" i="50"/>
  <c r="K178" i="50"/>
  <c r="CX364" i="32"/>
  <c r="K98" i="50"/>
  <c r="K91" i="50"/>
  <c r="K636" i="50"/>
  <c r="K75" i="50"/>
  <c r="K71" i="50"/>
  <c r="K77" i="50"/>
  <c r="K69" i="50"/>
  <c r="K73" i="50"/>
  <c r="K642" i="50"/>
  <c r="K637" i="50"/>
  <c r="K76" i="50"/>
  <c r="K72" i="50"/>
  <c r="K647" i="50"/>
  <c r="K638" i="50"/>
  <c r="K74" i="50"/>
  <c r="K90" i="50"/>
  <c r="K70" i="50"/>
  <c r="CX357" i="32"/>
  <c r="K95" i="50"/>
  <c r="K644" i="50"/>
  <c r="CX308" i="32"/>
  <c r="K147" i="50"/>
  <c r="K750" i="50"/>
  <c r="CX304" i="32"/>
  <c r="K145" i="50"/>
  <c r="K748" i="50"/>
  <c r="CX314" i="32"/>
  <c r="K154" i="50"/>
  <c r="K757" i="50"/>
  <c r="CX233" i="32"/>
  <c r="CX206" i="32"/>
  <c r="CX292" i="32"/>
  <c r="CX290" i="32"/>
  <c r="CX220" i="32"/>
  <c r="CX289" i="32"/>
  <c r="AN318" i="32"/>
  <c r="AN267" i="32"/>
  <c r="CX252" i="32"/>
  <c r="CU165" i="32"/>
  <c r="AN219" i="32"/>
  <c r="AN266" i="32"/>
  <c r="CU266" i="32" s="1"/>
  <c r="CX297" i="32"/>
  <c r="CX190" i="32"/>
  <c r="CX278" i="32"/>
  <c r="CX257" i="32"/>
  <c r="CX191" i="32"/>
  <c r="AN285" i="32"/>
  <c r="CX295" i="32"/>
  <c r="CX188" i="32"/>
  <c r="CX291" i="32"/>
  <c r="CX326" i="32"/>
  <c r="CX329" i="32"/>
  <c r="CX279" i="32"/>
  <c r="CX325" i="32"/>
  <c r="CX246" i="32"/>
  <c r="CW336" i="32"/>
  <c r="CW173" i="32"/>
  <c r="CU369" i="32"/>
  <c r="CU276" i="32"/>
  <c r="CU370" i="32"/>
  <c r="CU372" i="32"/>
  <c r="CU358" i="32"/>
  <c r="CU270" i="32"/>
  <c r="CW368" i="32"/>
  <c r="R292" i="32"/>
  <c r="CW292" i="32" s="1"/>
  <c r="R290" i="32"/>
  <c r="CW290" i="32" s="1"/>
  <c r="R164" i="32"/>
  <c r="CW164" i="32" s="1"/>
  <c r="R309" i="32"/>
  <c r="CW309" i="32" s="1"/>
  <c r="R299" i="32"/>
  <c r="CW299" i="32" s="1"/>
  <c r="R327" i="32"/>
  <c r="CW327" i="32" s="1"/>
  <c r="R333" i="32"/>
  <c r="CW333" i="32" s="1"/>
  <c r="R269" i="32"/>
  <c r="CW269" i="32" s="1"/>
  <c r="CY364" i="32"/>
  <c r="CY357" i="32"/>
  <c r="CY369" i="32"/>
  <c r="CY311" i="32"/>
  <c r="CY313" i="32"/>
  <c r="CY326" i="32"/>
  <c r="CY324" i="32"/>
  <c r="CY170" i="32"/>
  <c r="CY175" i="32"/>
  <c r="CY331" i="32"/>
  <c r="CY333" i="32"/>
  <c r="CY268" i="32"/>
  <c r="CY264" i="32"/>
  <c r="CY152" i="32"/>
  <c r="CY362" i="32"/>
  <c r="CY381" i="32"/>
  <c r="CY257" i="32"/>
  <c r="CY261" i="32"/>
  <c r="CY283" i="32"/>
  <c r="CY273" i="32"/>
  <c r="CY276" i="32"/>
  <c r="CY260" i="32"/>
  <c r="CY141" i="32"/>
  <c r="CY161" i="32"/>
  <c r="CY148" i="32"/>
  <c r="CY166" i="32"/>
  <c r="CY133" i="32"/>
  <c r="CY122" i="32"/>
  <c r="CY128" i="32"/>
  <c r="CY132" i="32"/>
  <c r="CY131" i="32"/>
  <c r="CY136" i="32"/>
  <c r="CY157" i="32"/>
  <c r="CY36" i="32"/>
  <c r="CY60" i="32"/>
  <c r="CY65" i="32"/>
  <c r="CY69" i="32"/>
  <c r="CY73" i="32"/>
  <c r="CY78" i="32"/>
  <c r="CY82" i="32"/>
  <c r="CY86" i="32"/>
  <c r="CY90" i="32"/>
  <c r="CY16" i="32"/>
  <c r="CY20" i="32"/>
  <c r="CY24" i="32"/>
  <c r="CY28" i="32"/>
  <c r="CY32" i="32"/>
  <c r="CY37" i="32"/>
  <c r="CY41" i="32"/>
  <c r="CY46" i="32"/>
  <c r="CY50" i="32"/>
  <c r="CY54" i="32"/>
  <c r="CY218" i="32"/>
  <c r="CY237" i="32"/>
  <c r="CY288" i="32"/>
  <c r="CY239" i="32"/>
  <c r="CY280" i="32"/>
  <c r="CY373" i="32"/>
  <c r="CY182" i="32"/>
  <c r="CY179" i="32"/>
  <c r="CY240" i="32"/>
  <c r="CY191" i="32"/>
  <c r="CY142" i="32"/>
  <c r="CY97" i="32"/>
  <c r="CY108" i="32"/>
  <c r="CY113" i="32"/>
  <c r="CY118" i="32"/>
  <c r="CY98" i="32"/>
  <c r="CY102" i="32"/>
  <c r="CY349" i="32"/>
  <c r="CY351" i="32"/>
  <c r="CY355" i="32"/>
  <c r="CY347" i="32"/>
  <c r="CY217" i="32"/>
  <c r="CY215" i="32"/>
  <c r="CY233" i="32"/>
  <c r="CY189" i="32"/>
  <c r="CY198" i="32"/>
  <c r="CY203" i="32"/>
  <c r="CY206" i="32"/>
  <c r="CY146" i="32"/>
  <c r="CY222" i="32"/>
  <c r="CY227" i="32"/>
  <c r="CY231" i="32"/>
  <c r="CY285" i="32"/>
  <c r="U293" i="32"/>
  <c r="CW293" i="32" s="1"/>
  <c r="U364" i="32"/>
  <c r="CW364" i="32" s="1"/>
  <c r="U357" i="32"/>
  <c r="CW357" i="32" s="1"/>
  <c r="U258" i="32"/>
  <c r="CW258" i="32" s="1"/>
  <c r="R291" i="32"/>
  <c r="CW291" i="32" s="1"/>
  <c r="R160" i="32"/>
  <c r="CW160" i="32" s="1"/>
  <c r="R301" i="32"/>
  <c r="CW301" i="32" s="1"/>
  <c r="R300" i="32"/>
  <c r="CW300" i="32" s="1"/>
  <c r="R312" i="32"/>
  <c r="CW312" i="32" s="1"/>
  <c r="R317" i="32"/>
  <c r="CW317" i="32" s="1"/>
  <c r="R329" i="32"/>
  <c r="CW329" i="32" s="1"/>
  <c r="R330" i="32"/>
  <c r="CW330" i="32" s="1"/>
  <c r="R332" i="32"/>
  <c r="CW332" i="32" s="1"/>
  <c r="R341" i="32"/>
  <c r="CW341" i="32" s="1"/>
  <c r="U287" i="32"/>
  <c r="CW287" i="32" s="1"/>
  <c r="U360" i="32"/>
  <c r="CW360" i="32" s="1"/>
  <c r="U303" i="32"/>
  <c r="CW303" i="32" s="1"/>
  <c r="U176" i="32"/>
  <c r="CW176" i="32" s="1"/>
  <c r="U375" i="32"/>
  <c r="CW375" i="32" s="1"/>
  <c r="U172" i="32"/>
  <c r="CW172" i="32" s="1"/>
  <c r="U374" i="32"/>
  <c r="CW374" i="32" s="1"/>
  <c r="U250" i="32"/>
  <c r="CW250" i="32" s="1"/>
  <c r="U169" i="32"/>
  <c r="CW169" i="32" s="1"/>
  <c r="U363" i="32"/>
  <c r="CW363" i="32" s="1"/>
  <c r="U306" i="32"/>
  <c r="CW306" i="32" s="1"/>
  <c r="U249" i="32"/>
  <c r="CW249" i="32" s="1"/>
  <c r="R289" i="32"/>
  <c r="CW289" i="32" s="1"/>
  <c r="R295" i="32"/>
  <c r="CW295" i="32" s="1"/>
  <c r="R302" i="32"/>
  <c r="CW302" i="32" s="1"/>
  <c r="R319" i="32"/>
  <c r="CW319" i="32" s="1"/>
  <c r="R323" i="32"/>
  <c r="CW323" i="32" s="1"/>
  <c r="R322" i="32"/>
  <c r="CW322" i="32" s="1"/>
  <c r="R271" i="32"/>
  <c r="CW271" i="32" s="1"/>
  <c r="R335" i="32"/>
  <c r="CW335" i="32" s="1"/>
  <c r="R274" i="32"/>
  <c r="CW274" i="32" s="1"/>
  <c r="R296" i="32"/>
  <c r="CW296" i="32" s="1"/>
  <c r="R297" i="32"/>
  <c r="CW297" i="32" s="1"/>
  <c r="R304" i="32"/>
  <c r="CW304" i="32" s="1"/>
  <c r="R320" i="32"/>
  <c r="CW320" i="32" s="1"/>
  <c r="R321" i="32"/>
  <c r="CW321" i="32" s="1"/>
  <c r="R337" i="32"/>
  <c r="CW337" i="32" s="1"/>
  <c r="R279" i="32"/>
  <c r="CW279" i="32" s="1"/>
  <c r="U294" i="32"/>
  <c r="CW294" i="32" s="1"/>
  <c r="U376" i="32"/>
  <c r="CW376" i="32" s="1"/>
  <c r="U379" i="32"/>
  <c r="CW379" i="32" s="1"/>
  <c r="U362" i="32"/>
  <c r="CW362" i="32" s="1"/>
  <c r="CU371" i="32"/>
  <c r="CY294" i="32"/>
  <c r="CY360" i="32"/>
  <c r="CY370" i="32"/>
  <c r="CY306" i="32"/>
  <c r="CY312" i="32"/>
  <c r="CY328" i="32"/>
  <c r="CY336" i="32"/>
  <c r="CY173" i="32"/>
  <c r="CY332" i="32"/>
  <c r="CY341" i="32"/>
  <c r="CY247" i="32"/>
  <c r="CY275" i="32"/>
  <c r="CY258" i="32"/>
  <c r="CY361" i="32"/>
  <c r="CY380" i="32"/>
  <c r="CY372" i="32"/>
  <c r="CY259" i="32"/>
  <c r="CY358" i="32"/>
  <c r="CY248" i="32"/>
  <c r="CY270" i="32"/>
  <c r="CY307" i="32"/>
  <c r="CY325" i="32"/>
  <c r="CY162" i="32"/>
  <c r="CY168" i="32"/>
  <c r="CY151" i="32"/>
  <c r="CY163" i="32"/>
  <c r="CY125" i="32"/>
  <c r="CY119" i="32"/>
  <c r="CY121" i="32"/>
  <c r="CY126" i="32"/>
  <c r="CY139" i="32"/>
  <c r="CY137" i="32"/>
  <c r="CY14" i="32"/>
  <c r="CY43" i="32"/>
  <c r="CY61" i="32"/>
  <c r="CY66" i="32"/>
  <c r="CY70" i="32"/>
  <c r="CY74" i="32"/>
  <c r="CY79" i="32"/>
  <c r="CY83" i="32"/>
  <c r="CY87" i="32"/>
  <c r="CY91" i="32"/>
  <c r="CY17" i="32"/>
  <c r="CY21" i="32"/>
  <c r="CY25" i="32"/>
  <c r="CY29" i="32"/>
  <c r="CY33" i="32"/>
  <c r="CY38" i="32"/>
  <c r="CY42" i="32"/>
  <c r="CY47" i="32"/>
  <c r="CY51" i="32"/>
  <c r="CY55" i="32"/>
  <c r="CY178" i="32"/>
  <c r="CY251" i="32"/>
  <c r="CY187" i="32"/>
  <c r="CY180" i="32"/>
  <c r="CY253" i="32"/>
  <c r="CY265" i="32"/>
  <c r="CY194" i="32"/>
  <c r="CY185" i="32"/>
  <c r="CW361" i="32"/>
  <c r="CW381" i="32"/>
  <c r="CW367" i="32"/>
  <c r="CW380" i="32"/>
  <c r="CW372" i="32"/>
  <c r="CW270" i="32"/>
  <c r="CW123" i="32"/>
  <c r="CW128" i="32"/>
  <c r="CW155" i="32"/>
  <c r="CW36" i="32"/>
  <c r="CW54" i="32"/>
  <c r="CW365" i="32"/>
  <c r="CW373" i="32"/>
  <c r="CW378" i="32"/>
  <c r="CY238" i="32"/>
  <c r="CY246" i="32"/>
  <c r="CY109" i="32"/>
  <c r="CY105" i="32"/>
  <c r="CY110" i="32"/>
  <c r="CY114" i="32"/>
  <c r="CY94" i="32"/>
  <c r="CY99" i="32"/>
  <c r="CY103" i="32"/>
  <c r="CY345" i="32"/>
  <c r="CY352" i="32"/>
  <c r="CY343" i="32"/>
  <c r="CY184" i="32"/>
  <c r="CY212" i="32"/>
  <c r="CY211" i="32"/>
  <c r="CY234" i="32"/>
  <c r="CY195" i="32"/>
  <c r="CY199" i="32"/>
  <c r="CY204" i="32"/>
  <c r="CY208" i="32"/>
  <c r="CY159" i="32"/>
  <c r="CY224" i="32"/>
  <c r="CY228" i="32"/>
  <c r="CY223" i="32"/>
  <c r="CW359" i="32"/>
  <c r="CW366" i="32"/>
  <c r="CW377" i="32"/>
  <c r="CW163" i="32"/>
  <c r="CW14" i="32"/>
  <c r="CW66" i="32"/>
  <c r="CW68" i="32"/>
  <c r="CW185" i="32"/>
  <c r="CW114" i="32"/>
  <c r="CW181" i="32"/>
  <c r="CW223" i="32"/>
  <c r="CW219" i="32"/>
  <c r="CW266" i="32"/>
  <c r="CW240" i="32"/>
  <c r="CW115" i="32"/>
  <c r="CW203" i="32"/>
  <c r="CW318" i="32"/>
  <c r="CW285" i="32"/>
  <c r="AK291" i="32"/>
  <c r="CU291" i="32" s="1"/>
  <c r="AK294" i="32"/>
  <c r="CU294" i="32" s="1"/>
  <c r="AK160" i="32"/>
  <c r="CU160" i="32" s="1"/>
  <c r="AK360" i="32"/>
  <c r="CU360" i="32" s="1"/>
  <c r="AK306" i="32"/>
  <c r="CU306" i="32" s="1"/>
  <c r="AK301" i="32"/>
  <c r="CU301" i="32" s="1"/>
  <c r="AK299" i="32"/>
  <c r="CU299" i="32" s="1"/>
  <c r="AK313" i="32"/>
  <c r="AK316" i="32"/>
  <c r="CU316" i="32" s="1"/>
  <c r="AK320" i="32"/>
  <c r="CU320" i="32" s="1"/>
  <c r="AK321" i="32"/>
  <c r="CU321" i="32" s="1"/>
  <c r="AK338" i="32"/>
  <c r="CU338" i="32" s="1"/>
  <c r="AK271" i="32"/>
  <c r="CU271" i="32" s="1"/>
  <c r="AK335" i="32"/>
  <c r="CU335" i="32" s="1"/>
  <c r="AK174" i="32"/>
  <c r="CU174" i="32" s="1"/>
  <c r="AK263" i="32"/>
  <c r="CU263" i="32" s="1"/>
  <c r="AK296" i="32"/>
  <c r="CU296" i="32" s="1"/>
  <c r="AN176" i="32"/>
  <c r="CU176" i="32" s="1"/>
  <c r="AN259" i="32"/>
  <c r="CU259" i="32" s="1"/>
  <c r="AN273" i="32"/>
  <c r="CU273" i="32" s="1"/>
  <c r="AN286" i="32"/>
  <c r="CU286" i="32" s="1"/>
  <c r="CY293" i="32"/>
  <c r="CY363" i="32"/>
  <c r="CY371" i="32"/>
  <c r="CY310" i="32"/>
  <c r="CY303" i="32"/>
  <c r="CY338" i="32"/>
  <c r="CY271" i="32"/>
  <c r="CY335" i="32"/>
  <c r="CY174" i="32"/>
  <c r="CY249" i="32"/>
  <c r="CY263" i="32"/>
  <c r="CY176" i="32"/>
  <c r="CY375" i="32"/>
  <c r="CY172" i="32"/>
  <c r="CY374" i="32"/>
  <c r="CY250" i="32"/>
  <c r="CY169" i="32"/>
  <c r="CY305" i="32"/>
  <c r="CY167" i="32"/>
  <c r="CY144" i="32"/>
  <c r="CY149" i="32"/>
  <c r="CY150" i="32"/>
  <c r="CY130" i="32"/>
  <c r="CY123" i="32"/>
  <c r="CY124" i="32"/>
  <c r="CY140" i="32"/>
  <c r="CY127" i="32"/>
  <c r="CY155" i="32"/>
  <c r="CY64" i="32"/>
  <c r="CY58" i="32"/>
  <c r="CY62" i="32"/>
  <c r="CY67" i="32"/>
  <c r="CY71" i="32"/>
  <c r="CY75" i="32"/>
  <c r="CY80" i="32"/>
  <c r="CY84" i="32"/>
  <c r="CY88" i="32"/>
  <c r="CY92" i="32"/>
  <c r="CY18" i="32"/>
  <c r="CY22" i="32"/>
  <c r="CY26" i="32"/>
  <c r="CY30" i="32"/>
  <c r="CY34" i="32"/>
  <c r="CY39" i="32"/>
  <c r="CY44" i="32"/>
  <c r="CY48" i="32"/>
  <c r="CY52" i="32"/>
  <c r="CY56" i="32"/>
  <c r="CY365" i="32"/>
  <c r="CY255" i="32"/>
  <c r="CY256" i="32"/>
  <c r="CY241" i="32"/>
  <c r="CY186" i="32"/>
  <c r="CY378" i="32"/>
  <c r="CY243" i="32"/>
  <c r="CY245" i="32"/>
  <c r="CY188" i="32"/>
  <c r="CY252" i="32"/>
  <c r="CY117" i="32"/>
  <c r="CY106" i="32"/>
  <c r="CY111" i="32"/>
  <c r="CY115" i="32"/>
  <c r="CY95" i="32"/>
  <c r="CY100" i="32"/>
  <c r="CY104" i="32"/>
  <c r="CY348" i="32"/>
  <c r="CY353" i="32"/>
  <c r="CY344" i="32"/>
  <c r="CY183" i="32"/>
  <c r="CY214" i="32"/>
  <c r="CY216" i="32"/>
  <c r="CY235" i="32"/>
  <c r="CY232" i="32"/>
  <c r="CY200" i="32"/>
  <c r="CY221" i="32"/>
  <c r="CY220" i="32"/>
  <c r="CY192" i="32"/>
  <c r="CY225" i="32"/>
  <c r="CY229" i="32"/>
  <c r="CY318" i="32"/>
  <c r="CY267" i="32"/>
  <c r="AK289" i="32"/>
  <c r="AK295" i="32"/>
  <c r="CU295" i="32" s="1"/>
  <c r="AK293" i="32"/>
  <c r="AK363" i="32"/>
  <c r="CU363" i="32" s="1"/>
  <c r="AK310" i="32"/>
  <c r="CU310" i="32" s="1"/>
  <c r="AK303" i="32"/>
  <c r="CU303" i="32" s="1"/>
  <c r="AK300" i="32"/>
  <c r="CU300" i="32" s="1"/>
  <c r="AK326" i="32"/>
  <c r="CU326" i="32" s="1"/>
  <c r="AK315" i="32"/>
  <c r="CU315" i="32" s="1"/>
  <c r="AK327" i="32"/>
  <c r="CU327" i="32" s="1"/>
  <c r="AK339" i="32"/>
  <c r="CU339" i="32" s="1"/>
  <c r="AK340" i="32"/>
  <c r="CU340" i="32" s="1"/>
  <c r="AK337" i="32"/>
  <c r="CU337" i="32" s="1"/>
  <c r="AK334" i="32"/>
  <c r="CU334" i="32" s="1"/>
  <c r="AK279" i="32"/>
  <c r="CU279" i="32" s="1"/>
  <c r="AK274" i="32"/>
  <c r="CU274" i="32" s="1"/>
  <c r="AN367" i="32"/>
  <c r="CU367" i="32" s="1"/>
  <c r="AN366" i="32"/>
  <c r="CU366" i="32" s="1"/>
  <c r="AN248" i="32"/>
  <c r="CU248" i="32" s="1"/>
  <c r="CY287" i="32"/>
  <c r="CY298" i="32"/>
  <c r="CY376" i="32"/>
  <c r="CY379" i="32"/>
  <c r="CY368" i="32"/>
  <c r="CY308" i="32"/>
  <c r="CY314" i="32"/>
  <c r="CY316" i="32"/>
  <c r="CY339" i="32"/>
  <c r="CY340" i="32"/>
  <c r="CY337" i="32"/>
  <c r="CY334" i="32"/>
  <c r="CY279" i="32"/>
  <c r="CY367" i="32"/>
  <c r="CY359" i="32"/>
  <c r="CY366" i="32"/>
  <c r="CY377" i="32"/>
  <c r="CY171" i="32"/>
  <c r="CY177" i="32"/>
  <c r="CY262" i="32"/>
  <c r="CY286" i="32"/>
  <c r="CY277" i="32"/>
  <c r="CY165" i="32"/>
  <c r="CY143" i="32"/>
  <c r="CY153" i="32"/>
  <c r="CY147" i="32"/>
  <c r="CY158" i="32"/>
  <c r="CY120" i="32"/>
  <c r="CY129" i="32"/>
  <c r="CY134" i="32"/>
  <c r="CY135" i="32"/>
  <c r="CY138" i="32"/>
  <c r="CY154" i="32"/>
  <c r="CY76" i="32"/>
  <c r="CY59" i="32"/>
  <c r="CY63" i="32"/>
  <c r="CY68" i="32"/>
  <c r="CY72" i="32"/>
  <c r="CY77" i="32"/>
  <c r="CY81" i="32"/>
  <c r="CY85" i="32"/>
  <c r="CY89" i="32"/>
  <c r="CY15" i="32"/>
  <c r="CY19" i="32"/>
  <c r="CY23" i="32"/>
  <c r="CY27" i="32"/>
  <c r="CY31" i="32"/>
  <c r="CY35" i="32"/>
  <c r="CY40" i="32"/>
  <c r="CY45" i="32"/>
  <c r="CY49" i="32"/>
  <c r="CY53" i="32"/>
  <c r="CY57" i="32"/>
  <c r="CY272" i="32"/>
  <c r="CY282" i="32"/>
  <c r="CY281" i="32"/>
  <c r="CY254" i="32"/>
  <c r="CY196" i="32"/>
  <c r="CY284" i="32"/>
  <c r="CY242" i="32"/>
  <c r="CY244" i="32"/>
  <c r="CY190" i="32"/>
  <c r="CY278" i="32"/>
  <c r="CY93" i="32"/>
  <c r="CY107" i="32"/>
  <c r="CY112" i="32"/>
  <c r="CY116" i="32"/>
  <c r="CY96" i="32"/>
  <c r="CY101" i="32"/>
  <c r="CY342" i="32"/>
  <c r="CY350" i="32"/>
  <c r="CY354" i="32"/>
  <c r="CY346" i="32"/>
  <c r="CY181" i="32"/>
  <c r="CY210" i="32"/>
  <c r="CY201" i="32"/>
  <c r="CY236" i="32"/>
  <c r="CY197" i="32"/>
  <c r="CY202" i="32"/>
  <c r="CY205" i="32"/>
  <c r="CY145" i="32"/>
  <c r="CY193" i="32"/>
  <c r="CY226" i="32"/>
  <c r="CY230" i="32"/>
  <c r="CY219" i="32"/>
  <c r="CY266" i="32"/>
  <c r="AK297" i="32"/>
  <c r="CU297" i="32" s="1"/>
  <c r="AK287" i="32"/>
  <c r="CU287" i="32" s="1"/>
  <c r="AK376" i="32"/>
  <c r="CU376" i="32" s="1"/>
  <c r="AK379" i="32"/>
  <c r="CU379" i="32" s="1"/>
  <c r="AK308" i="32"/>
  <c r="CU308" i="32" s="1"/>
  <c r="AK302" i="32"/>
  <c r="CU302" i="32" s="1"/>
  <c r="AK328" i="32"/>
  <c r="CU328" i="32" s="1"/>
  <c r="AK317" i="32"/>
  <c r="CU317" i="32" s="1"/>
  <c r="AK329" i="32"/>
  <c r="CU329" i="32" s="1"/>
  <c r="AK330" i="32"/>
  <c r="CU330" i="32" s="1"/>
  <c r="AK170" i="32"/>
  <c r="CU170" i="32" s="1"/>
  <c r="AK175" i="32"/>
  <c r="AK331" i="32"/>
  <c r="CU331" i="32" s="1"/>
  <c r="AK333" i="32"/>
  <c r="CU333" i="32" s="1"/>
  <c r="AK268" i="32"/>
  <c r="CU268" i="32" s="1"/>
  <c r="AK264" i="32"/>
  <c r="AN152" i="32"/>
  <c r="CU152" i="32" s="1"/>
  <c r="AN381" i="32"/>
  <c r="CU381" i="32" s="1"/>
  <c r="AN257" i="32"/>
  <c r="CU257" i="32" s="1"/>
  <c r="AN377" i="32"/>
  <c r="CU377" i="32" s="1"/>
  <c r="AN171" i="32"/>
  <c r="CU171" i="32" s="1"/>
  <c r="AK292" i="32"/>
  <c r="CU292" i="32" s="1"/>
  <c r="AK290" i="32"/>
  <c r="CU290" i="32" s="1"/>
  <c r="AK164" i="32"/>
  <c r="CU164" i="32" s="1"/>
  <c r="AK364" i="32"/>
  <c r="CU364" i="32" s="1"/>
  <c r="AK357" i="32"/>
  <c r="CU357" i="32" s="1"/>
  <c r="AK309" i="32"/>
  <c r="CU309" i="32" s="1"/>
  <c r="AK311" i="32"/>
  <c r="CU311" i="32" s="1"/>
  <c r="AK314" i="32"/>
  <c r="CU314" i="32" s="1"/>
  <c r="AK319" i="32"/>
  <c r="CU319" i="32" s="1"/>
  <c r="AK323" i="32"/>
  <c r="AK322" i="32"/>
  <c r="CU322" i="32" s="1"/>
  <c r="AK336" i="32"/>
  <c r="CU336" i="32" s="1"/>
  <c r="AK173" i="32"/>
  <c r="CU173" i="32" s="1"/>
  <c r="AK332" i="32"/>
  <c r="CU332" i="32" s="1"/>
  <c r="AK341" i="32"/>
  <c r="CU341" i="32" s="1"/>
  <c r="AK247" i="32"/>
  <c r="CU247" i="32" s="1"/>
  <c r="AK275" i="32"/>
  <c r="CU275" i="32" s="1"/>
  <c r="AK269" i="32"/>
  <c r="CU269" i="32" s="1"/>
  <c r="AN258" i="32"/>
  <c r="CU258" i="32" s="1"/>
  <c r="AN361" i="32"/>
  <c r="CU374" i="32"/>
  <c r="CU250" i="32"/>
  <c r="CU249" i="32"/>
  <c r="CU362" i="32"/>
  <c r="CU359" i="32"/>
  <c r="CU375" i="32"/>
  <c r="CU172" i="32"/>
  <c r="CU305" i="32"/>
  <c r="CU260" i="32"/>
  <c r="CU141" i="32"/>
  <c r="CU167" i="32"/>
  <c r="CU161" i="32"/>
  <c r="CU144" i="32"/>
  <c r="CU148" i="32"/>
  <c r="CU149" i="32"/>
  <c r="CU166" i="32"/>
  <c r="CU150" i="32"/>
  <c r="CU133" i="32"/>
  <c r="CU130" i="32"/>
  <c r="CU122" i="32"/>
  <c r="CU123" i="32"/>
  <c r="CU128" i="32"/>
  <c r="CU124" i="32"/>
  <c r="CU132" i="32"/>
  <c r="CU140" i="32"/>
  <c r="CU131" i="32"/>
  <c r="CU127" i="32"/>
  <c r="CU136" i="32"/>
  <c r="CU155" i="32"/>
  <c r="CU157" i="32"/>
  <c r="CU64" i="32"/>
  <c r="CU36" i="32"/>
  <c r="CU58" i="32"/>
  <c r="CU60" i="32"/>
  <c r="CU62" i="32"/>
  <c r="CU65" i="32"/>
  <c r="CU67" i="32"/>
  <c r="CU69" i="32"/>
  <c r="CU71" i="32"/>
  <c r="CU73" i="32"/>
  <c r="CU75" i="32"/>
  <c r="CU78" i="32"/>
  <c r="CU80" i="32"/>
  <c r="CU82" i="32"/>
  <c r="CU84" i="32"/>
  <c r="CU86" i="32"/>
  <c r="CU88" i="32"/>
  <c r="CU90" i="32"/>
  <c r="CU92" i="32"/>
  <c r="CU16" i="32"/>
  <c r="CU18" i="32"/>
  <c r="CU20" i="32"/>
  <c r="CU22" i="32"/>
  <c r="CU24" i="32"/>
  <c r="CU26" i="32"/>
  <c r="CU28" i="32"/>
  <c r="CU30" i="32"/>
  <c r="CU32" i="32"/>
  <c r="CU34" i="32"/>
  <c r="CU37" i="32"/>
  <c r="CU39" i="32"/>
  <c r="CU41" i="32"/>
  <c r="CU44" i="32"/>
  <c r="CU46" i="32"/>
  <c r="CU48" i="32"/>
  <c r="CU50" i="32"/>
  <c r="CU52" i="32"/>
  <c r="CU54" i="32"/>
  <c r="CU56" i="32"/>
  <c r="CU218" i="32"/>
  <c r="CU365" i="32"/>
  <c r="CU237" i="32"/>
  <c r="CU255" i="32"/>
  <c r="CU288" i="32"/>
  <c r="CU256" i="32"/>
  <c r="CU239" i="32"/>
  <c r="CU241" i="32"/>
  <c r="CU280" i="32"/>
  <c r="CU373" i="32"/>
  <c r="CU182" i="32"/>
  <c r="CU179" i="32"/>
  <c r="CU240" i="32"/>
  <c r="CU191" i="32"/>
  <c r="CU142" i="32"/>
  <c r="CU97" i="32"/>
  <c r="CU108" i="32"/>
  <c r="CU113" i="32"/>
  <c r="CU118" i="32"/>
  <c r="CU98" i="32"/>
  <c r="CU102" i="32"/>
  <c r="CU349" i="32"/>
  <c r="CU351" i="32"/>
  <c r="CU355" i="32"/>
  <c r="CU347" i="32"/>
  <c r="CU217" i="32"/>
  <c r="CU215" i="32"/>
  <c r="CU233" i="32"/>
  <c r="CU189" i="32"/>
  <c r="CU198" i="32"/>
  <c r="CU203" i="32"/>
  <c r="CU206" i="32"/>
  <c r="CU146" i="32"/>
  <c r="CU222" i="32"/>
  <c r="CU227" i="32"/>
  <c r="CU231" i="32"/>
  <c r="CU324" i="32"/>
  <c r="CU380" i="32"/>
  <c r="CU261" i="32"/>
  <c r="CU283" i="32"/>
  <c r="CU177" i="32"/>
  <c r="CU262" i="32"/>
  <c r="CU169" i="32"/>
  <c r="CU307" i="32"/>
  <c r="CU277" i="32"/>
  <c r="CU325" i="32"/>
  <c r="CU162" i="32"/>
  <c r="CU143" i="32"/>
  <c r="CU168" i="32"/>
  <c r="CU153" i="32"/>
  <c r="CU151" i="32"/>
  <c r="CU147" i="32"/>
  <c r="CU163" i="32"/>
  <c r="CU158" i="32"/>
  <c r="CU125" i="32"/>
  <c r="CU120" i="32"/>
  <c r="CU119" i="32"/>
  <c r="CU129" i="32"/>
  <c r="CU121" i="32"/>
  <c r="CU134" i="32"/>
  <c r="CU126" i="32"/>
  <c r="CU135" i="32"/>
  <c r="CU139" i="32"/>
  <c r="CU138" i="32"/>
  <c r="CU137" i="32"/>
  <c r="CU154" i="32"/>
  <c r="CU14" i="32"/>
  <c r="CU76" i="32"/>
  <c r="CU43" i="32"/>
  <c r="CU59" i="32"/>
  <c r="CU61" i="32"/>
  <c r="CU63" i="32"/>
  <c r="CU66" i="32"/>
  <c r="CU68" i="32"/>
  <c r="CU70" i="32"/>
  <c r="CU72" i="32"/>
  <c r="CU74" i="32"/>
  <c r="CU77" i="32"/>
  <c r="CU79" i="32"/>
  <c r="CU81" i="32"/>
  <c r="CU83" i="32"/>
  <c r="CU85" i="32"/>
  <c r="CU87" i="32"/>
  <c r="CU89" i="32"/>
  <c r="CU91" i="32"/>
  <c r="CU15" i="32"/>
  <c r="CU17" i="32"/>
  <c r="CU19" i="32"/>
  <c r="CU21" i="32"/>
  <c r="CU23" i="32"/>
  <c r="CU25" i="32"/>
  <c r="CU27" i="32"/>
  <c r="CU29" i="32"/>
  <c r="CU31" i="32"/>
  <c r="CU33" i="32"/>
  <c r="CU35" i="32"/>
  <c r="CU38" i="32"/>
  <c r="CU40" i="32"/>
  <c r="CU42" i="32"/>
  <c r="CU45" i="32"/>
  <c r="CU47" i="32"/>
  <c r="CU49" i="32"/>
  <c r="CU51" i="32"/>
  <c r="CU53" i="32"/>
  <c r="CU55" i="32"/>
  <c r="CU57" i="32"/>
  <c r="CU178" i="32"/>
  <c r="CU272" i="32"/>
  <c r="CU251" i="32"/>
  <c r="CU282" i="32"/>
  <c r="CU187" i="32"/>
  <c r="CU281" i="32"/>
  <c r="CU180" i="32"/>
  <c r="CU254" i="32"/>
  <c r="CU253" i="32"/>
  <c r="CU196" i="32"/>
  <c r="CU265" i="32"/>
  <c r="CU284" i="32"/>
  <c r="CU194" i="32"/>
  <c r="CU242" i="32"/>
  <c r="CU185" i="32"/>
  <c r="CU244" i="32"/>
  <c r="CU238" i="32"/>
  <c r="CU190" i="32"/>
  <c r="CU246" i="32"/>
  <c r="CU278" i="32"/>
  <c r="CU109" i="32"/>
  <c r="CU93" i="32"/>
  <c r="CU105" i="32"/>
  <c r="CU107" i="32"/>
  <c r="CU110" i="32"/>
  <c r="CU112" i="32"/>
  <c r="CU114" i="32"/>
  <c r="CU116" i="32"/>
  <c r="CU94" i="32"/>
  <c r="CU96" i="32"/>
  <c r="CU99" i="32"/>
  <c r="CU101" i="32"/>
  <c r="CU103" i="32"/>
  <c r="CU342" i="32"/>
  <c r="CU345" i="32"/>
  <c r="CU350" i="32"/>
  <c r="CU352" i="32"/>
  <c r="CU354" i="32"/>
  <c r="CU343" i="32"/>
  <c r="CU346" i="32"/>
  <c r="CU184" i="32"/>
  <c r="CU181" i="32"/>
  <c r="CU212" i="32"/>
  <c r="CU210" i="32"/>
  <c r="CU211" i="32"/>
  <c r="CU201" i="32"/>
  <c r="CU234" i="32"/>
  <c r="CU236" i="32"/>
  <c r="CU195" i="32"/>
  <c r="CU197" i="32"/>
  <c r="CU199" i="32"/>
  <c r="CU202" i="32"/>
  <c r="CU204" i="32"/>
  <c r="CU205" i="32"/>
  <c r="CU208" i="32"/>
  <c r="CU145" i="32"/>
  <c r="CU159" i="32"/>
  <c r="CU193" i="32"/>
  <c r="CU224" i="32"/>
  <c r="CU226" i="32"/>
  <c r="CU228" i="32"/>
  <c r="CU230" i="32"/>
  <c r="CU223" i="32"/>
  <c r="CU186" i="32"/>
  <c r="CU378" i="32"/>
  <c r="CU243" i="32"/>
  <c r="CU245" i="32"/>
  <c r="CU188" i="32"/>
  <c r="CU252" i="32"/>
  <c r="CU117" i="32"/>
  <c r="CU106" i="32"/>
  <c r="CU111" i="32"/>
  <c r="CU115" i="32"/>
  <c r="CU95" i="32"/>
  <c r="CU100" i="32"/>
  <c r="CU104" i="32"/>
  <c r="CU348" i="32"/>
  <c r="CU353" i="32"/>
  <c r="CU344" i="32"/>
  <c r="CU183" i="32"/>
  <c r="CU214" i="32"/>
  <c r="CU216" i="32"/>
  <c r="CU235" i="32"/>
  <c r="CU232" i="32"/>
  <c r="CU200" i="32"/>
  <c r="CU221" i="32"/>
  <c r="CU220" i="32"/>
  <c r="CU192" i="32"/>
  <c r="CU225" i="32"/>
  <c r="CU229" i="32"/>
  <c r="CW325" i="32" l="1"/>
  <c r="CW183" i="32"/>
  <c r="CW288" i="32"/>
  <c r="CW248" i="32"/>
  <c r="CW233" i="32"/>
  <c r="CW231" i="32"/>
  <c r="CW165" i="32"/>
  <c r="CW256" i="32"/>
  <c r="CW212" i="32"/>
  <c r="CW23" i="32"/>
  <c r="CW76" i="32"/>
  <c r="CW276" i="32"/>
  <c r="J59" i="32"/>
  <c r="J105" i="32"/>
  <c r="CW224" i="32"/>
  <c r="CW147" i="32"/>
  <c r="CW92" i="32"/>
  <c r="CW91" i="32"/>
  <c r="CW217" i="32"/>
  <c r="CW47" i="32"/>
  <c r="CW120" i="32"/>
  <c r="CW39" i="32"/>
  <c r="CW69" i="32"/>
  <c r="CW136" i="32"/>
  <c r="CW161" i="32"/>
  <c r="CW261" i="32"/>
  <c r="J152" i="32"/>
  <c r="J107" i="32"/>
  <c r="J371" i="32"/>
  <c r="J83" i="32"/>
  <c r="CW226" i="32"/>
  <c r="CW116" i="32"/>
  <c r="CW265" i="32"/>
  <c r="CW129" i="32"/>
  <c r="CW153" i="32"/>
  <c r="CW75" i="32"/>
  <c r="CW264" i="32"/>
  <c r="CW95" i="32"/>
  <c r="CW93" i="32"/>
  <c r="CW324" i="32"/>
  <c r="CW37" i="32"/>
  <c r="CW58" i="32"/>
  <c r="CW140" i="32"/>
  <c r="CW260" i="32"/>
  <c r="J30" i="32"/>
  <c r="CW235" i="32"/>
  <c r="CW50" i="32"/>
  <c r="CW331" i="32"/>
  <c r="CW225" i="32"/>
  <c r="CW102" i="32"/>
  <c r="CW113" i="32"/>
  <c r="CW236" i="32"/>
  <c r="CW101" i="32"/>
  <c r="CW112" i="32"/>
  <c r="CW55" i="32"/>
  <c r="CW138" i="32"/>
  <c r="CW280" i="32"/>
  <c r="CW237" i="32"/>
  <c r="CW283" i="32"/>
  <c r="CW315" i="32"/>
  <c r="J139" i="32"/>
  <c r="CW221" i="32"/>
  <c r="CW216" i="32"/>
  <c r="CW100" i="32"/>
  <c r="CW111" i="32"/>
  <c r="CW234" i="32"/>
  <c r="CW99" i="32"/>
  <c r="CW49" i="32"/>
  <c r="CW89" i="32"/>
  <c r="CW43" i="32"/>
  <c r="CW126" i="32"/>
  <c r="CW286" i="32"/>
  <c r="CW241" i="32"/>
  <c r="CW326" i="32"/>
  <c r="J182" i="32"/>
  <c r="J154" i="32"/>
  <c r="J220" i="32"/>
  <c r="J208" i="32"/>
  <c r="CW267" i="32"/>
  <c r="J258" i="32"/>
  <c r="CW222" i="32"/>
  <c r="CW189" i="32"/>
  <c r="CW215" i="32"/>
  <c r="CW351" i="32"/>
  <c r="CW98" i="32"/>
  <c r="CW193" i="32"/>
  <c r="CW244" i="32"/>
  <c r="CW57" i="32"/>
  <c r="CW45" i="32"/>
  <c r="CW137" i="32"/>
  <c r="CW162" i="32"/>
  <c r="CW171" i="32"/>
  <c r="CW48" i="32"/>
  <c r="CW67" i="32"/>
  <c r="CW340" i="32"/>
  <c r="J145" i="32"/>
  <c r="J40" i="32"/>
  <c r="J334" i="32"/>
  <c r="J298" i="32"/>
  <c r="J180" i="32"/>
  <c r="CW196" i="32"/>
  <c r="CW21" i="32"/>
  <c r="CW24" i="32"/>
  <c r="CW192" i="32"/>
  <c r="CW214" i="32"/>
  <c r="CW104" i="32"/>
  <c r="CW117" i="32"/>
  <c r="CW205" i="32"/>
  <c r="CW35" i="32"/>
  <c r="CW245" i="32"/>
  <c r="CW82" i="32"/>
  <c r="CW131" i="32"/>
  <c r="CW150" i="32"/>
  <c r="CW369" i="32"/>
  <c r="J73" i="32"/>
  <c r="J311" i="32"/>
  <c r="J177" i="32"/>
  <c r="J106" i="32"/>
  <c r="J38" i="32"/>
  <c r="CW118" i="32"/>
  <c r="CW78" i="32"/>
  <c r="CW141" i="32"/>
  <c r="CW313" i="32"/>
  <c r="CW232" i="32"/>
  <c r="CW354" i="32"/>
  <c r="CW281" i="32"/>
  <c r="CW81" i="32"/>
  <c r="CW316" i="32"/>
  <c r="CW310" i="32"/>
  <c r="CW229" i="32"/>
  <c r="CW353" i="32"/>
  <c r="CW142" i="32"/>
  <c r="CW210" i="32"/>
  <c r="CW284" i="32"/>
  <c r="CW15" i="32"/>
  <c r="CW158" i="32"/>
  <c r="CW143" i="32"/>
  <c r="CW186" i="32"/>
  <c r="CW90" i="32"/>
  <c r="CW166" i="32"/>
  <c r="CW358" i="32"/>
  <c r="J346" i="32"/>
  <c r="J254" i="32"/>
  <c r="J85" i="32"/>
  <c r="J308" i="32"/>
  <c r="J344" i="32"/>
  <c r="J305" i="32"/>
  <c r="J338" i="32"/>
  <c r="J343" i="32"/>
  <c r="CW227" i="32"/>
  <c r="CW188" i="32"/>
  <c r="CW134" i="32"/>
  <c r="CW262" i="32"/>
  <c r="CW179" i="32"/>
  <c r="CW255" i="32"/>
  <c r="CW28" i="32"/>
  <c r="CW84" i="32"/>
  <c r="CW144" i="32"/>
  <c r="J132" i="32"/>
  <c r="J268" i="32"/>
  <c r="CW146" i="32"/>
  <c r="CW108" i="32"/>
  <c r="CW202" i="32"/>
  <c r="CW282" i="32"/>
  <c r="CW174" i="32"/>
  <c r="CW218" i="32"/>
  <c r="CW32" i="32"/>
  <c r="CW65" i="32"/>
  <c r="CW157" i="32"/>
  <c r="CW122" i="32"/>
  <c r="CW148" i="32"/>
  <c r="J294" i="32"/>
  <c r="CW200" i="32"/>
  <c r="CW348" i="32"/>
  <c r="CW252" i="32"/>
  <c r="CW230" i="32"/>
  <c r="CW199" i="32"/>
  <c r="CW201" i="32"/>
  <c r="CW345" i="32"/>
  <c r="CW96" i="32"/>
  <c r="CW246" i="32"/>
  <c r="CW242" i="32"/>
  <c r="CW251" i="32"/>
  <c r="CW53" i="32"/>
  <c r="CW29" i="32"/>
  <c r="CW19" i="32"/>
  <c r="CW74" i="32"/>
  <c r="CW63" i="32"/>
  <c r="CW277" i="32"/>
  <c r="CW175" i="32"/>
  <c r="CW56" i="32"/>
  <c r="CW41" i="32"/>
  <c r="CW16" i="32"/>
  <c r="CW60" i="32"/>
  <c r="CW133" i="32"/>
  <c r="J314" i="32"/>
  <c r="J172" i="32"/>
  <c r="CW347" i="32"/>
  <c r="CW350" i="32"/>
  <c r="CW278" i="32"/>
  <c r="CW31" i="32"/>
  <c r="CW77" i="32"/>
  <c r="CW168" i="32"/>
  <c r="CW22" i="32"/>
  <c r="CW86" i="32"/>
  <c r="CW206" i="32"/>
  <c r="CW198" i="32"/>
  <c r="CW355" i="32"/>
  <c r="CW349" i="32"/>
  <c r="CW97" i="32"/>
  <c r="CW191" i="32"/>
  <c r="CW197" i="32"/>
  <c r="CW342" i="32"/>
  <c r="CW190" i="32"/>
  <c r="CW272" i="32"/>
  <c r="CW27" i="32"/>
  <c r="CW72" i="32"/>
  <c r="CW135" i="32"/>
  <c r="CW119" i="32"/>
  <c r="CW170" i="32"/>
  <c r="CW239" i="32"/>
  <c r="CW328" i="32"/>
  <c r="CW257" i="32"/>
  <c r="CW370" i="32"/>
  <c r="CW275" i="32"/>
  <c r="J273" i="32"/>
  <c r="J357" i="32"/>
  <c r="J339" i="32"/>
  <c r="CW243" i="32"/>
  <c r="CW52" i="32"/>
  <c r="CW44" i="32"/>
  <c r="CW34" i="32"/>
  <c r="CW26" i="32"/>
  <c r="CW18" i="32"/>
  <c r="CW88" i="32"/>
  <c r="CW80" i="32"/>
  <c r="CW71" i="32"/>
  <c r="CW62" i="32"/>
  <c r="CW64" i="32"/>
  <c r="CW127" i="32"/>
  <c r="CW124" i="32"/>
  <c r="CW130" i="32"/>
  <c r="CW149" i="32"/>
  <c r="CW167" i="32"/>
  <c r="CW259" i="32"/>
  <c r="J379" i="32"/>
  <c r="J287" i="32"/>
  <c r="J176" i="32"/>
  <c r="J303" i="32"/>
  <c r="CW46" i="32"/>
  <c r="CW20" i="32"/>
  <c r="J364" i="32"/>
  <c r="J249" i="32"/>
  <c r="CW228" i="32"/>
  <c r="CW159" i="32"/>
  <c r="CW204" i="32"/>
  <c r="CW195" i="32"/>
  <c r="CW211" i="32"/>
  <c r="CW184" i="32"/>
  <c r="CW352" i="32"/>
  <c r="CW103" i="32"/>
  <c r="CW94" i="32"/>
  <c r="CW110" i="32"/>
  <c r="CW109" i="32"/>
  <c r="CW238" i="32"/>
  <c r="CW194" i="32"/>
  <c r="CW253" i="32"/>
  <c r="CW187" i="32"/>
  <c r="CW178" i="32"/>
  <c r="CW51" i="32"/>
  <c r="CW42" i="32"/>
  <c r="CW33" i="32"/>
  <c r="CW25" i="32"/>
  <c r="CW17" i="32"/>
  <c r="CW87" i="32"/>
  <c r="CW79" i="32"/>
  <c r="CW70" i="32"/>
  <c r="CW61" i="32"/>
  <c r="CW121" i="32"/>
  <c r="CW125" i="32"/>
  <c r="CW151" i="32"/>
  <c r="CW307" i="32"/>
  <c r="CW247" i="32"/>
  <c r="CW263" i="32"/>
  <c r="J376" i="32"/>
  <c r="J360" i="32"/>
  <c r="J169" i="32"/>
  <c r="J363" i="32"/>
  <c r="J306" i="32"/>
  <c r="J250" i="32"/>
  <c r="J293" i="32"/>
  <c r="I285" i="32"/>
  <c r="CU285" i="32"/>
  <c r="I267" i="32"/>
  <c r="CU267" i="32"/>
  <c r="I219" i="32"/>
  <c r="CU219" i="32"/>
  <c r="I318" i="32"/>
  <c r="CU318" i="32"/>
  <c r="CV267" i="32"/>
  <c r="CV266" i="32"/>
  <c r="CV285" i="32"/>
  <c r="CV219" i="32"/>
  <c r="CV318" i="32"/>
  <c r="AH293" i="50"/>
  <c r="AI293" i="50"/>
  <c r="AI272" i="50"/>
  <c r="AH272" i="50"/>
  <c r="AM517" i="50"/>
  <c r="AH517" i="50"/>
  <c r="AI517" i="50"/>
  <c r="AH449" i="50"/>
  <c r="AI449" i="50"/>
  <c r="AP449" i="50"/>
  <c r="AM449" i="50"/>
  <c r="AI584" i="50"/>
  <c r="AM584" i="50"/>
  <c r="AH584" i="50"/>
  <c r="AI503" i="50"/>
  <c r="AM503" i="50"/>
  <c r="AH503" i="50"/>
  <c r="AI321" i="50"/>
  <c r="AL321" i="50"/>
  <c r="AH321" i="50"/>
  <c r="AH332" i="50"/>
  <c r="AI332" i="50"/>
  <c r="AL332" i="50"/>
  <c r="AL368" i="50"/>
  <c r="AI368" i="50"/>
  <c r="AH368" i="50"/>
  <c r="AL340" i="50"/>
  <c r="AI340" i="50"/>
  <c r="AH340" i="50"/>
  <c r="AQ877" i="50"/>
  <c r="AN877" i="50"/>
  <c r="AH877" i="50"/>
  <c r="AI877" i="50"/>
  <c r="AQ898" i="50"/>
  <c r="AN898" i="50"/>
  <c r="AI898" i="50"/>
  <c r="AH898" i="50"/>
  <c r="AN657" i="50"/>
  <c r="AI657" i="50"/>
  <c r="AH657" i="50"/>
  <c r="AQ657" i="50"/>
  <c r="AH722" i="50"/>
  <c r="AL722" i="50"/>
  <c r="AO722" i="50"/>
  <c r="AI722" i="50"/>
  <c r="AO786" i="50"/>
  <c r="AK786" i="50"/>
  <c r="AL786" i="50"/>
  <c r="AH786" i="50"/>
  <c r="AM618" i="50"/>
  <c r="AH618" i="50"/>
  <c r="AI618" i="50"/>
  <c r="AL371" i="50"/>
  <c r="AH371" i="50"/>
  <c r="AI371" i="50"/>
  <c r="AI652" i="50"/>
  <c r="AN652" i="50"/>
  <c r="AQ652" i="50"/>
  <c r="AH652" i="50"/>
  <c r="AH308" i="50"/>
  <c r="AI308" i="50"/>
  <c r="AH804" i="50"/>
  <c r="AK804" i="50"/>
  <c r="AI802" i="50"/>
  <c r="AL802" i="50"/>
  <c r="AH802" i="50"/>
  <c r="AO865" i="50"/>
  <c r="AL865" i="50"/>
  <c r="AH865" i="50"/>
  <c r="AI865" i="50"/>
  <c r="AQ659" i="50"/>
  <c r="AN659" i="50"/>
  <c r="AH659" i="50"/>
  <c r="AI659" i="50"/>
  <c r="AO127" i="50"/>
  <c r="AH127" i="50"/>
  <c r="AL127" i="50"/>
  <c r="AI127" i="50"/>
  <c r="AH261" i="50"/>
  <c r="AI261" i="50"/>
  <c r="AH254" i="50"/>
  <c r="AI254" i="50"/>
  <c r="AH267" i="50"/>
  <c r="AI267" i="50"/>
  <c r="AH474" i="50"/>
  <c r="AM474" i="50"/>
  <c r="AI474" i="50"/>
  <c r="AM466" i="50"/>
  <c r="AH466" i="50"/>
  <c r="AI466" i="50"/>
  <c r="AM457" i="50"/>
  <c r="AH457" i="50"/>
  <c r="AI457" i="50"/>
  <c r="AM593" i="50"/>
  <c r="AI593" i="50"/>
  <c r="AH593" i="50"/>
  <c r="AI444" i="50"/>
  <c r="AM444" i="50"/>
  <c r="AH444" i="50"/>
  <c r="AM586" i="50"/>
  <c r="AI586" i="50"/>
  <c r="AH586" i="50"/>
  <c r="AM436" i="50"/>
  <c r="AI436" i="50"/>
  <c r="AH436" i="50"/>
  <c r="AH506" i="50"/>
  <c r="AM506" i="50"/>
  <c r="AI506" i="50"/>
  <c r="AM498" i="50"/>
  <c r="AH498" i="50"/>
  <c r="AI498" i="50"/>
  <c r="AM489" i="50"/>
  <c r="AH489" i="50"/>
  <c r="AI489" i="50"/>
  <c r="AM604" i="50"/>
  <c r="AH604" i="50"/>
  <c r="AI604" i="50"/>
  <c r="AH333" i="50"/>
  <c r="AI333" i="50"/>
  <c r="AL333" i="50"/>
  <c r="AH319" i="50"/>
  <c r="AL319" i="50"/>
  <c r="AI319" i="50"/>
  <c r="AH364" i="50"/>
  <c r="AL364" i="50"/>
  <c r="AI364" i="50"/>
  <c r="AL419" i="50"/>
  <c r="AH419" i="50"/>
  <c r="AI419" i="50"/>
  <c r="AL382" i="50"/>
  <c r="AH382" i="50"/>
  <c r="AI382" i="50"/>
  <c r="AL377" i="50"/>
  <c r="AH377" i="50"/>
  <c r="AI377" i="50"/>
  <c r="AH386" i="50"/>
  <c r="AL386" i="50"/>
  <c r="AI386" i="50"/>
  <c r="AH897" i="50"/>
  <c r="AQ897" i="50"/>
  <c r="AN897" i="50"/>
  <c r="AI897" i="50"/>
  <c r="AH923" i="50"/>
  <c r="AI923" i="50"/>
  <c r="AH121" i="50"/>
  <c r="AN121" i="50"/>
  <c r="AQ121" i="50"/>
  <c r="AI121" i="50"/>
  <c r="AK667" i="50"/>
  <c r="AH667" i="50"/>
  <c r="AH716" i="50"/>
  <c r="AK716" i="50"/>
  <c r="AH751" i="50"/>
  <c r="AO751" i="50"/>
  <c r="AL751" i="50"/>
  <c r="AI751" i="50"/>
  <c r="AL422" i="50"/>
  <c r="AH422" i="50"/>
  <c r="AI422" i="50"/>
  <c r="AH821" i="50"/>
  <c r="AK821" i="50"/>
  <c r="AL873" i="50"/>
  <c r="AH873" i="50"/>
  <c r="AI873" i="50"/>
  <c r="AO873" i="50"/>
  <c r="AO181" i="50"/>
  <c r="AL181" i="50"/>
  <c r="AH181" i="50"/>
  <c r="AI181" i="50"/>
  <c r="AH918" i="50"/>
  <c r="AI918" i="50"/>
  <c r="AH497" i="50"/>
  <c r="AM497" i="50"/>
  <c r="AP497" i="50"/>
  <c r="AI497" i="50"/>
  <c r="AM523" i="50"/>
  <c r="AI523" i="50"/>
  <c r="AH523" i="50"/>
  <c r="AH479" i="50"/>
  <c r="AM479" i="50"/>
  <c r="AI479" i="50"/>
  <c r="AL326" i="50"/>
  <c r="AI326" i="50"/>
  <c r="AH326" i="50"/>
  <c r="AL329" i="50"/>
  <c r="AH329" i="50"/>
  <c r="AI329" i="50"/>
  <c r="AL345" i="50"/>
  <c r="AH345" i="50"/>
  <c r="AI345" i="50"/>
  <c r="AH416" i="50"/>
  <c r="AL416" i="50"/>
  <c r="AI416" i="50"/>
  <c r="AH226" i="50"/>
  <c r="AK226" i="50"/>
  <c r="AH922" i="50"/>
  <c r="AI922" i="50"/>
  <c r="AH723" i="50"/>
  <c r="AL723" i="50"/>
  <c r="AO723" i="50"/>
  <c r="AI723" i="50"/>
  <c r="AH848" i="50"/>
  <c r="AL848" i="50"/>
  <c r="AI848" i="50"/>
  <c r="AH270" i="50"/>
  <c r="AI270" i="50"/>
  <c r="AH266" i="50"/>
  <c r="AI266" i="50"/>
  <c r="AM468" i="50"/>
  <c r="AH468" i="50"/>
  <c r="AI468" i="50"/>
  <c r="AH455" i="50"/>
  <c r="AM455" i="50"/>
  <c r="AI455" i="50"/>
  <c r="AI434" i="50"/>
  <c r="AM434" i="50"/>
  <c r="AH434" i="50"/>
  <c r="AM598" i="50"/>
  <c r="AI598" i="50"/>
  <c r="AH598" i="50"/>
  <c r="AL338" i="50"/>
  <c r="AH338" i="50"/>
  <c r="AI338" i="50"/>
  <c r="AL318" i="50"/>
  <c r="AH318" i="50"/>
  <c r="AI318" i="50"/>
  <c r="AO317" i="50"/>
  <c r="AL317" i="50"/>
  <c r="AH317" i="50"/>
  <c r="AI317" i="50"/>
  <c r="AH361" i="50"/>
  <c r="AL361" i="50"/>
  <c r="AI361" i="50"/>
  <c r="AH354" i="50"/>
  <c r="AL354" i="50"/>
  <c r="AI354" i="50"/>
  <c r="AO740" i="50"/>
  <c r="AH740" i="50"/>
  <c r="AL740" i="50"/>
  <c r="AI740" i="50"/>
  <c r="AK425" i="50"/>
  <c r="AH425" i="50"/>
  <c r="AH233" i="50"/>
  <c r="AK233" i="50"/>
  <c r="AH720" i="50"/>
  <c r="AK720" i="50"/>
  <c r="AH702" i="50"/>
  <c r="AK702" i="50"/>
  <c r="AL731" i="50"/>
  <c r="AI731" i="50"/>
  <c r="AO731" i="50"/>
  <c r="AH731" i="50"/>
  <c r="AL719" i="50"/>
  <c r="AI719" i="50"/>
  <c r="AH719" i="50"/>
  <c r="AH138" i="50"/>
  <c r="AK138" i="50"/>
  <c r="AH133" i="50"/>
  <c r="AL133" i="50"/>
  <c r="AI133" i="50"/>
  <c r="AO133" i="50"/>
  <c r="AI243" i="50"/>
  <c r="AH243" i="50"/>
  <c r="AM464" i="50"/>
  <c r="AI464" i="50"/>
  <c r="AH464" i="50"/>
  <c r="AH585" i="50"/>
  <c r="AM585" i="50"/>
  <c r="AI585" i="50"/>
  <c r="AH617" i="50"/>
  <c r="AM617" i="50"/>
  <c r="AI617" i="50"/>
  <c r="AH491" i="50"/>
  <c r="AM491" i="50"/>
  <c r="AI491" i="50"/>
  <c r="AH336" i="50"/>
  <c r="AI336" i="50"/>
  <c r="AL336" i="50"/>
  <c r="AL357" i="50"/>
  <c r="AI357" i="50"/>
  <c r="AH357" i="50"/>
  <c r="AH669" i="50"/>
  <c r="AO669" i="50"/>
  <c r="AL669" i="50"/>
  <c r="AI669" i="50"/>
  <c r="AL680" i="50"/>
  <c r="AH680" i="50"/>
  <c r="AI680" i="50"/>
  <c r="AH827" i="50"/>
  <c r="AL827" i="50"/>
  <c r="AO827" i="50"/>
  <c r="AI827" i="50"/>
  <c r="AH853" i="50"/>
  <c r="AK853" i="50"/>
  <c r="AH920" i="50"/>
  <c r="AI920" i="50"/>
  <c r="AH594" i="50"/>
  <c r="AM594" i="50"/>
  <c r="AI594" i="50"/>
  <c r="AM510" i="50"/>
  <c r="AH510" i="50"/>
  <c r="AI510" i="50"/>
  <c r="AH495" i="50"/>
  <c r="AM495" i="50"/>
  <c r="AI495" i="50"/>
  <c r="AH486" i="50"/>
  <c r="AI486" i="50"/>
  <c r="AM486" i="50"/>
  <c r="AM477" i="50"/>
  <c r="AH477" i="50"/>
  <c r="AI477" i="50"/>
  <c r="AL330" i="50"/>
  <c r="AI330" i="50"/>
  <c r="AH330" i="50"/>
  <c r="AL365" i="50"/>
  <c r="AI365" i="50"/>
  <c r="AH365" i="50"/>
  <c r="AH420" i="50"/>
  <c r="AL420" i="50"/>
  <c r="AI420" i="50"/>
  <c r="AQ875" i="50"/>
  <c r="AN875" i="50"/>
  <c r="AH875" i="50"/>
  <c r="AI875" i="50"/>
  <c r="AH227" i="50"/>
  <c r="AN227" i="50"/>
  <c r="AQ227" i="50"/>
  <c r="AI227" i="50"/>
  <c r="AH307" i="50"/>
  <c r="AI307" i="50"/>
  <c r="AH120" i="50"/>
  <c r="AQ120" i="50"/>
  <c r="AN120" i="50"/>
  <c r="AI120" i="50"/>
  <c r="AQ123" i="50"/>
  <c r="AN123" i="50"/>
  <c r="AI123" i="50"/>
  <c r="AH123" i="50"/>
  <c r="AH694" i="50"/>
  <c r="AK694" i="50"/>
  <c r="AH728" i="50"/>
  <c r="AO728" i="50"/>
  <c r="AL728" i="50"/>
  <c r="AI728" i="50"/>
  <c r="AH796" i="50"/>
  <c r="AI796" i="50"/>
  <c r="AL796" i="50"/>
  <c r="AH768" i="50"/>
  <c r="AL768" i="50"/>
  <c r="AO768" i="50"/>
  <c r="AI768" i="50"/>
  <c r="AL777" i="50"/>
  <c r="AK777" i="50"/>
  <c r="AO777" i="50"/>
  <c r="AH777" i="50"/>
  <c r="AH263" i="50"/>
  <c r="AI263" i="50"/>
  <c r="AM461" i="50"/>
  <c r="AI461" i="50"/>
  <c r="AH461" i="50"/>
  <c r="AP451" i="50"/>
  <c r="AM451" i="50"/>
  <c r="AH451" i="50"/>
  <c r="AI451" i="50"/>
  <c r="AH511" i="50"/>
  <c r="AM511" i="50"/>
  <c r="AI511" i="50"/>
  <c r="AP435" i="50"/>
  <c r="AM435" i="50"/>
  <c r="AH435" i="50"/>
  <c r="AI435" i="50"/>
  <c r="AP505" i="50"/>
  <c r="AM505" i="50"/>
  <c r="AI505" i="50"/>
  <c r="AH505" i="50"/>
  <c r="AH614" i="50"/>
  <c r="AM614" i="50"/>
  <c r="AI614" i="50"/>
  <c r="AI484" i="50"/>
  <c r="AM484" i="50"/>
  <c r="AH484" i="50"/>
  <c r="AL322" i="50"/>
  <c r="AI322" i="50"/>
  <c r="AH322" i="50"/>
  <c r="AL316" i="50"/>
  <c r="AI316" i="50"/>
  <c r="AH316" i="50"/>
  <c r="AO316" i="50"/>
  <c r="AO737" i="50"/>
  <c r="AL737" i="50"/>
  <c r="AH737" i="50"/>
  <c r="AI737" i="50"/>
  <c r="AH899" i="50"/>
  <c r="AQ899" i="50"/>
  <c r="AN899" i="50"/>
  <c r="AI899" i="50"/>
  <c r="AQ118" i="50"/>
  <c r="AN118" i="50"/>
  <c r="AH118" i="50"/>
  <c r="AI118" i="50"/>
  <c r="AH180" i="50"/>
  <c r="AL180" i="50"/>
  <c r="AO180" i="50"/>
  <c r="AI180" i="50"/>
  <c r="AH125" i="50"/>
  <c r="AQ125" i="50"/>
  <c r="AN125" i="50"/>
  <c r="AI125" i="50"/>
  <c r="AL683" i="50"/>
  <c r="AH683" i="50"/>
  <c r="AI683" i="50"/>
  <c r="AH919" i="50"/>
  <c r="AI919" i="50"/>
  <c r="AI476" i="50"/>
  <c r="AM476" i="50"/>
  <c r="AH476" i="50"/>
  <c r="AL375" i="50"/>
  <c r="AH375" i="50"/>
  <c r="AI375" i="50"/>
  <c r="AL417" i="50"/>
  <c r="AH417" i="50"/>
  <c r="AI417" i="50"/>
  <c r="AL379" i="50"/>
  <c r="AH379" i="50"/>
  <c r="AI379" i="50"/>
  <c r="AI312" i="50"/>
  <c r="AH312" i="50"/>
  <c r="AO312" i="50"/>
  <c r="AL312" i="50"/>
  <c r="AL358" i="50"/>
  <c r="AH358" i="50"/>
  <c r="AI358" i="50"/>
  <c r="AN883" i="50"/>
  <c r="AQ883" i="50"/>
  <c r="AH883" i="50"/>
  <c r="AI883" i="50"/>
  <c r="AQ902" i="50"/>
  <c r="AN902" i="50"/>
  <c r="AI902" i="50"/>
  <c r="AH902" i="50"/>
  <c r="AN651" i="50"/>
  <c r="AH651" i="50"/>
  <c r="AI651" i="50"/>
  <c r="AQ651" i="50"/>
  <c r="AI306" i="50"/>
  <c r="AH306" i="50"/>
  <c r="AH130" i="50"/>
  <c r="AO130" i="50"/>
  <c r="AI130" i="50"/>
  <c r="AL130" i="50"/>
  <c r="AH715" i="50"/>
  <c r="AI715" i="50"/>
  <c r="AL715" i="50"/>
  <c r="AH752" i="50"/>
  <c r="AK752" i="50"/>
  <c r="AH370" i="50"/>
  <c r="AL370" i="50"/>
  <c r="AI370" i="50"/>
  <c r="AO772" i="50"/>
  <c r="AL772" i="50"/>
  <c r="AI772" i="50"/>
  <c r="AH772" i="50"/>
  <c r="AO763" i="50"/>
  <c r="AL763" i="50"/>
  <c r="AH763" i="50"/>
  <c r="AI763" i="50"/>
  <c r="AH815" i="50"/>
  <c r="AK815" i="50"/>
  <c r="AL846" i="50"/>
  <c r="AI846" i="50"/>
  <c r="AH846" i="50"/>
  <c r="AH188" i="50"/>
  <c r="AK188" i="50"/>
  <c r="AH260" i="50"/>
  <c r="AI260" i="50"/>
  <c r="AI465" i="50"/>
  <c r="AH465" i="50"/>
  <c r="AM465" i="50"/>
  <c r="AH447" i="50"/>
  <c r="AM447" i="50"/>
  <c r="AI447" i="50"/>
  <c r="AM509" i="50"/>
  <c r="AI509" i="50"/>
  <c r="AH509" i="50"/>
  <c r="AO770" i="50"/>
  <c r="AL770" i="50"/>
  <c r="AH770" i="50"/>
  <c r="AI770" i="50"/>
  <c r="AH305" i="50"/>
  <c r="AI305" i="50"/>
  <c r="AH859" i="50"/>
  <c r="AL859" i="50"/>
  <c r="AI859" i="50"/>
  <c r="AO859" i="50"/>
  <c r="AH259" i="50"/>
  <c r="AI259" i="50"/>
  <c r="AQ910" i="50"/>
  <c r="AI910" i="50"/>
  <c r="AH910" i="50"/>
  <c r="AN910" i="50"/>
  <c r="AP508" i="50"/>
  <c r="AH508" i="50"/>
  <c r="AI508" i="50"/>
  <c r="AM508" i="50"/>
  <c r="AI496" i="50"/>
  <c r="AM496" i="50"/>
  <c r="AH496" i="50"/>
  <c r="AM483" i="50"/>
  <c r="AH483" i="50"/>
  <c r="AI483" i="50"/>
  <c r="AH431" i="50"/>
  <c r="AM431" i="50"/>
  <c r="AI431" i="50"/>
  <c r="AH385" i="50"/>
  <c r="AL385" i="50"/>
  <c r="AI385" i="50"/>
  <c r="AL372" i="50"/>
  <c r="AI372" i="50"/>
  <c r="AH372" i="50"/>
  <c r="AH421" i="50"/>
  <c r="AL421" i="50"/>
  <c r="AI421" i="50"/>
  <c r="AH903" i="50"/>
  <c r="AN903" i="50"/>
  <c r="AI903" i="50"/>
  <c r="AQ903" i="50"/>
  <c r="AQ658" i="50"/>
  <c r="AH658" i="50"/>
  <c r="AI658" i="50"/>
  <c r="AN658" i="50"/>
  <c r="AH703" i="50"/>
  <c r="AK703" i="50"/>
  <c r="AH695" i="50"/>
  <c r="AI695" i="50"/>
  <c r="AL695" i="50"/>
  <c r="AO664" i="50"/>
  <c r="AH664" i="50"/>
  <c r="AL664" i="50"/>
  <c r="AI664" i="50"/>
  <c r="AH700" i="50"/>
  <c r="AK700" i="50"/>
  <c r="AL689" i="50"/>
  <c r="AH689" i="50"/>
  <c r="AI689" i="50"/>
  <c r="AH671" i="50"/>
  <c r="AK671" i="50"/>
  <c r="AH679" i="50"/>
  <c r="AL679" i="50"/>
  <c r="AI679" i="50"/>
  <c r="AH176" i="50"/>
  <c r="AL176" i="50"/>
  <c r="AI176" i="50"/>
  <c r="AO176" i="50"/>
  <c r="AO843" i="50"/>
  <c r="AH843" i="50"/>
  <c r="AL843" i="50"/>
  <c r="AI843" i="50"/>
  <c r="AO871" i="50"/>
  <c r="AI871" i="50"/>
  <c r="AH871" i="50"/>
  <c r="AL871" i="50"/>
  <c r="AI265" i="50"/>
  <c r="AH265" i="50"/>
  <c r="AM467" i="50"/>
  <c r="AI467" i="50"/>
  <c r="AH467" i="50"/>
  <c r="AM588" i="50"/>
  <c r="AH588" i="50"/>
  <c r="AI588" i="50"/>
  <c r="AM581" i="50"/>
  <c r="AH581" i="50"/>
  <c r="AI581" i="50"/>
  <c r="AL331" i="50"/>
  <c r="AI331" i="50"/>
  <c r="AH331" i="50"/>
  <c r="AL353" i="50"/>
  <c r="AH353" i="50"/>
  <c r="AI353" i="50"/>
  <c r="AH914" i="50"/>
  <c r="AI914" i="50"/>
  <c r="AN914" i="50"/>
  <c r="AQ914" i="50"/>
  <c r="AH654" i="50"/>
  <c r="AN654" i="50"/>
  <c r="AQ654" i="50"/>
  <c r="AI654" i="50"/>
  <c r="AL692" i="50"/>
  <c r="AH692" i="50"/>
  <c r="AI692" i="50"/>
  <c r="AH256" i="50"/>
  <c r="AI256" i="50"/>
  <c r="AH262" i="50"/>
  <c r="AI262" i="50"/>
  <c r="AI255" i="50"/>
  <c r="AH255" i="50"/>
  <c r="AH264" i="50"/>
  <c r="AI264" i="50"/>
  <c r="AI471" i="50"/>
  <c r="AM471" i="50"/>
  <c r="AH471" i="50"/>
  <c r="AH463" i="50"/>
  <c r="AM463" i="50"/>
  <c r="AI463" i="50"/>
  <c r="AI454" i="50"/>
  <c r="AH454" i="50"/>
  <c r="AM454" i="50"/>
  <c r="AM445" i="50"/>
  <c r="AP445" i="50"/>
  <c r="AH445" i="50"/>
  <c r="AI445" i="50"/>
  <c r="AH437" i="50"/>
  <c r="AP437" i="50"/>
  <c r="AI437" i="50"/>
  <c r="AM437" i="50"/>
  <c r="AH507" i="50"/>
  <c r="AI507" i="50"/>
  <c r="AM507" i="50"/>
  <c r="AH327" i="50"/>
  <c r="AL327" i="50"/>
  <c r="AI327" i="50"/>
  <c r="AH374" i="50"/>
  <c r="AI374" i="50"/>
  <c r="AL374" i="50"/>
  <c r="AL315" i="50"/>
  <c r="AI315" i="50"/>
  <c r="AO315" i="50"/>
  <c r="AH315" i="50"/>
  <c r="AH380" i="50"/>
  <c r="AL380" i="50"/>
  <c r="AI380" i="50"/>
  <c r="AH344" i="50"/>
  <c r="AI344" i="50"/>
  <c r="AL344" i="50"/>
  <c r="AL314" i="50"/>
  <c r="AH314" i="50"/>
  <c r="AO314" i="50"/>
  <c r="AI314" i="50"/>
  <c r="AL413" i="50"/>
  <c r="AH413" i="50"/>
  <c r="AI413" i="50"/>
  <c r="AH924" i="50"/>
  <c r="AI924" i="50"/>
  <c r="AH230" i="50"/>
  <c r="AN230" i="50"/>
  <c r="AQ230" i="50"/>
  <c r="AI230" i="50"/>
  <c r="AH134" i="50"/>
  <c r="AI134" i="50"/>
  <c r="AL134" i="50"/>
  <c r="AO134" i="50"/>
  <c r="AK769" i="50"/>
  <c r="AH769" i="50"/>
  <c r="AH822" i="50"/>
  <c r="AL822" i="50"/>
  <c r="AI822" i="50"/>
  <c r="AO822" i="50"/>
  <c r="AH837" i="50"/>
  <c r="AL837" i="50"/>
  <c r="AI837" i="50"/>
  <c r="AO837" i="50"/>
  <c r="AL854" i="50"/>
  <c r="AI854" i="50"/>
  <c r="AH854" i="50"/>
  <c r="AH840" i="50"/>
  <c r="AO840" i="50"/>
  <c r="AI840" i="50"/>
  <c r="AL840" i="50"/>
  <c r="AH290" i="50"/>
  <c r="AI290" i="50"/>
  <c r="AH298" i="50"/>
  <c r="AI298" i="50"/>
  <c r="AH583" i="50"/>
  <c r="AM583" i="50"/>
  <c r="AI583" i="50"/>
  <c r="AL423" i="50"/>
  <c r="AH423" i="50"/>
  <c r="AI423" i="50"/>
  <c r="AL384" i="50"/>
  <c r="AI384" i="50"/>
  <c r="AH384" i="50"/>
  <c r="AH228" i="50"/>
  <c r="AQ228" i="50"/>
  <c r="AN228" i="50"/>
  <c r="AI228" i="50"/>
  <c r="AH381" i="50"/>
  <c r="AI381" i="50"/>
  <c r="AL381" i="50"/>
  <c r="AH257" i="50"/>
  <c r="AI257" i="50"/>
  <c r="AH269" i="50"/>
  <c r="AI269" i="50"/>
  <c r="AQ913" i="50"/>
  <c r="AI913" i="50"/>
  <c r="AN913" i="50"/>
  <c r="AH913" i="50"/>
  <c r="AH470" i="50"/>
  <c r="AM470" i="50"/>
  <c r="AI470" i="50"/>
  <c r="AM462" i="50"/>
  <c r="AH462" i="50"/>
  <c r="AI462" i="50"/>
  <c r="AM452" i="50"/>
  <c r="AI452" i="50"/>
  <c r="AH452" i="50"/>
  <c r="AM448" i="50"/>
  <c r="AP448" i="50"/>
  <c r="AH448" i="50"/>
  <c r="AI448" i="50"/>
  <c r="AP440" i="50"/>
  <c r="AM440" i="50"/>
  <c r="AI440" i="50"/>
  <c r="AH440" i="50"/>
  <c r="AH432" i="50"/>
  <c r="AM432" i="50"/>
  <c r="AI432" i="50"/>
  <c r="AH502" i="50"/>
  <c r="AM502" i="50"/>
  <c r="AI502" i="50"/>
  <c r="AH494" i="50"/>
  <c r="AM494" i="50"/>
  <c r="AI494" i="50"/>
  <c r="AH485" i="50"/>
  <c r="AM485" i="50"/>
  <c r="AI485" i="50"/>
  <c r="AM480" i="50"/>
  <c r="AH480" i="50"/>
  <c r="AP480" i="50"/>
  <c r="AI480" i="50"/>
  <c r="AL334" i="50"/>
  <c r="AH334" i="50"/>
  <c r="AI334" i="50"/>
  <c r="AI328" i="50"/>
  <c r="AH328" i="50"/>
  <c r="AL328" i="50"/>
  <c r="AL352" i="50"/>
  <c r="AI352" i="50"/>
  <c r="AH352" i="50"/>
  <c r="AH343" i="50"/>
  <c r="AI343" i="50"/>
  <c r="AL343" i="50"/>
  <c r="AL367" i="50"/>
  <c r="AH367" i="50"/>
  <c r="AI367" i="50"/>
  <c r="AH348" i="50"/>
  <c r="AL348" i="50"/>
  <c r="AI348" i="50"/>
  <c r="AL341" i="50"/>
  <c r="AI341" i="50"/>
  <c r="AH341" i="50"/>
  <c r="AH362" i="50"/>
  <c r="AL362" i="50"/>
  <c r="AI362" i="50"/>
  <c r="AO765" i="50"/>
  <c r="AL765" i="50"/>
  <c r="AH765" i="50"/>
  <c r="AI765" i="50"/>
  <c r="AN231" i="50"/>
  <c r="AQ231" i="50"/>
  <c r="AI231" i="50"/>
  <c r="AH231" i="50"/>
  <c r="AN660" i="50"/>
  <c r="AQ660" i="50"/>
  <c r="AI660" i="50"/>
  <c r="AH660" i="50"/>
  <c r="AH117" i="50"/>
  <c r="AN117" i="50"/>
  <c r="AQ117" i="50"/>
  <c r="AI117" i="50"/>
  <c r="AH132" i="50"/>
  <c r="AL132" i="50"/>
  <c r="AO132" i="50"/>
  <c r="AI132" i="50"/>
  <c r="AH662" i="50"/>
  <c r="AI662" i="50"/>
  <c r="AL662" i="50"/>
  <c r="AO662" i="50"/>
  <c r="AO148" i="50"/>
  <c r="AH148" i="50"/>
  <c r="AI148" i="50"/>
  <c r="AL148" i="50"/>
  <c r="AH149" i="50"/>
  <c r="AK149" i="50"/>
  <c r="AH805" i="50"/>
  <c r="AL805" i="50"/>
  <c r="AI805" i="50"/>
  <c r="AH773" i="50"/>
  <c r="AK773" i="50"/>
  <c r="AH807" i="50"/>
  <c r="AK807" i="50"/>
  <c r="AO866" i="50"/>
  <c r="AH866" i="50"/>
  <c r="AL866" i="50"/>
  <c r="AI866" i="50"/>
  <c r="AH856" i="50"/>
  <c r="AI856" i="50"/>
  <c r="AL856" i="50"/>
  <c r="AM473" i="50"/>
  <c r="AI473" i="50"/>
  <c r="AH473" i="50"/>
  <c r="AI488" i="50"/>
  <c r="AM488" i="50"/>
  <c r="AH488" i="50"/>
  <c r="AP488" i="50"/>
  <c r="AI481" i="50"/>
  <c r="AH481" i="50"/>
  <c r="AM481" i="50"/>
  <c r="AH323" i="50"/>
  <c r="AI323" i="50"/>
  <c r="AL323" i="50"/>
  <c r="AO311" i="50"/>
  <c r="AH311" i="50"/>
  <c r="AI311" i="50"/>
  <c r="AL311" i="50"/>
  <c r="AL310" i="50"/>
  <c r="AO310" i="50"/>
  <c r="AH310" i="50"/>
  <c r="AI310" i="50"/>
  <c r="AL363" i="50"/>
  <c r="AH363" i="50"/>
  <c r="AI363" i="50"/>
  <c r="AH771" i="50"/>
  <c r="AK771" i="50"/>
  <c r="AQ229" i="50"/>
  <c r="AN229" i="50"/>
  <c r="AH229" i="50"/>
  <c r="AI229" i="50"/>
  <c r="AO136" i="50"/>
  <c r="AL136" i="50"/>
  <c r="AI136" i="50"/>
  <c r="AH136" i="50"/>
  <c r="AH766" i="50"/>
  <c r="AI766" i="50"/>
  <c r="AL766" i="50"/>
  <c r="AO766" i="50"/>
  <c r="AH849" i="50"/>
  <c r="AK849" i="50"/>
  <c r="AI793" i="50"/>
  <c r="AL793" i="50"/>
  <c r="AH793" i="50"/>
  <c r="AH834" i="50"/>
  <c r="AL834" i="50"/>
  <c r="AI834" i="50"/>
  <c r="AL782" i="50"/>
  <c r="AK782" i="50"/>
  <c r="AO782" i="50"/>
  <c r="AH782" i="50"/>
  <c r="AI268" i="50"/>
  <c r="AH268" i="50"/>
  <c r="AM472" i="50"/>
  <c r="AH472" i="50"/>
  <c r="AI472" i="50"/>
  <c r="AH459" i="50"/>
  <c r="AM459" i="50"/>
  <c r="AI459" i="50"/>
  <c r="AM446" i="50"/>
  <c r="AI446" i="50"/>
  <c r="AP446" i="50"/>
  <c r="AH446" i="50"/>
  <c r="AH442" i="50"/>
  <c r="AM442" i="50"/>
  <c r="AI442" i="50"/>
  <c r="AM619" i="50"/>
  <c r="AH619" i="50"/>
  <c r="AI619" i="50"/>
  <c r="AP460" i="50"/>
  <c r="AM460" i="50"/>
  <c r="AH460" i="50"/>
  <c r="AI460" i="50"/>
  <c r="AL325" i="50"/>
  <c r="AI325" i="50"/>
  <c r="AH325" i="50"/>
  <c r="AH324" i="50"/>
  <c r="AL324" i="50"/>
  <c r="AI324" i="50"/>
  <c r="AH424" i="50"/>
  <c r="AL424" i="50"/>
  <c r="AI424" i="50"/>
  <c r="AL388" i="50"/>
  <c r="AI388" i="50"/>
  <c r="AH388" i="50"/>
  <c r="AH881" i="50"/>
  <c r="AQ881" i="50"/>
  <c r="AN881" i="50"/>
  <c r="AI881" i="50"/>
  <c r="AH904" i="50"/>
  <c r="AK904" i="50"/>
  <c r="AN912" i="50"/>
  <c r="AQ912" i="50"/>
  <c r="AH912" i="50"/>
  <c r="AI912" i="50"/>
  <c r="AH656" i="50"/>
  <c r="AN656" i="50"/>
  <c r="AQ656" i="50"/>
  <c r="AI656" i="50"/>
  <c r="AH124" i="50"/>
  <c r="AQ124" i="50"/>
  <c r="AN124" i="50"/>
  <c r="AI124" i="50"/>
  <c r="AH137" i="50"/>
  <c r="AL137" i="50"/>
  <c r="AI137" i="50"/>
  <c r="AO137" i="50"/>
  <c r="AH714" i="50"/>
  <c r="AI714" i="50"/>
  <c r="AO714" i="50"/>
  <c r="AL714" i="50"/>
  <c r="AH697" i="50"/>
  <c r="AK697" i="50"/>
  <c r="AH674" i="50"/>
  <c r="AK674" i="50"/>
  <c r="AI709" i="50"/>
  <c r="AH709" i="50"/>
  <c r="AL709" i="50"/>
  <c r="AO709" i="50"/>
  <c r="AL727" i="50"/>
  <c r="AO727" i="50"/>
  <c r="AI727" i="50"/>
  <c r="AH727" i="50"/>
  <c r="AH691" i="50"/>
  <c r="AK691" i="50"/>
  <c r="AL717" i="50"/>
  <c r="AH717" i="50"/>
  <c r="AI717" i="50"/>
  <c r="AI273" i="50"/>
  <c r="AH273" i="50"/>
  <c r="AH595" i="50"/>
  <c r="AM595" i="50"/>
  <c r="AI595" i="50"/>
  <c r="AM513" i="50"/>
  <c r="AH513" i="50"/>
  <c r="AI513" i="50"/>
  <c r="AM504" i="50"/>
  <c r="AP504" i="50"/>
  <c r="AH504" i="50"/>
  <c r="AI504" i="50"/>
  <c r="AM478" i="50"/>
  <c r="AI478" i="50"/>
  <c r="AH478" i="50"/>
  <c r="AH320" i="50"/>
  <c r="AI320" i="50"/>
  <c r="AL320" i="50"/>
  <c r="AH736" i="50"/>
  <c r="AO736" i="50"/>
  <c r="AL736" i="50"/>
  <c r="AI736" i="50"/>
  <c r="AH852" i="50"/>
  <c r="AL852" i="50"/>
  <c r="AI852" i="50"/>
  <c r="AO861" i="50"/>
  <c r="AH861" i="50"/>
  <c r="AI861" i="50"/>
  <c r="AL861" i="50"/>
  <c r="AH258" i="50"/>
  <c r="AI258" i="50"/>
  <c r="AH458" i="50"/>
  <c r="AI458" i="50"/>
  <c r="AM458" i="50"/>
  <c r="AM441" i="50"/>
  <c r="AH441" i="50"/>
  <c r="AI441" i="50"/>
  <c r="AM433" i="50"/>
  <c r="AP433" i="50"/>
  <c r="AH433" i="50"/>
  <c r="AI433" i="50"/>
  <c r="AL359" i="50"/>
  <c r="AI359" i="50"/>
  <c r="AH359" i="50"/>
  <c r="AH879" i="50"/>
  <c r="AQ879" i="50"/>
  <c r="AN879" i="50"/>
  <c r="AI879" i="50"/>
  <c r="AN901" i="50"/>
  <c r="AQ901" i="50"/>
  <c r="AH901" i="50"/>
  <c r="AI901" i="50"/>
  <c r="AH135" i="50"/>
  <c r="AK135" i="50"/>
  <c r="AL785" i="50"/>
  <c r="AO785" i="50"/>
  <c r="AK785" i="50"/>
  <c r="AH785" i="50"/>
  <c r="AO860" i="50"/>
  <c r="AH860" i="50"/>
  <c r="AL860" i="50"/>
  <c r="AI860" i="50"/>
  <c r="AH801" i="50"/>
  <c r="AK801" i="50"/>
  <c r="AH862" i="50"/>
  <c r="AO862" i="50"/>
  <c r="AL862" i="50"/>
  <c r="AI862" i="50"/>
  <c r="AM499" i="50"/>
  <c r="AI499" i="50"/>
  <c r="AH499" i="50"/>
  <c r="AH490" i="50"/>
  <c r="AM490" i="50"/>
  <c r="AI490" i="50"/>
  <c r="AI482" i="50"/>
  <c r="AM482" i="50"/>
  <c r="AH482" i="50"/>
  <c r="AH453" i="50"/>
  <c r="AM453" i="50"/>
  <c r="AI453" i="50"/>
  <c r="AI335" i="50"/>
  <c r="AH335" i="50"/>
  <c r="AL335" i="50"/>
  <c r="AH373" i="50"/>
  <c r="AL373" i="50"/>
  <c r="AI373" i="50"/>
  <c r="AO309" i="50"/>
  <c r="AL309" i="50"/>
  <c r="AI309" i="50"/>
  <c r="AH309" i="50"/>
  <c r="AL418" i="50"/>
  <c r="AH418" i="50"/>
  <c r="AI418" i="50"/>
  <c r="AL383" i="50"/>
  <c r="AH383" i="50"/>
  <c r="AI383" i="50"/>
  <c r="AQ896" i="50"/>
  <c r="AN896" i="50"/>
  <c r="AH896" i="50"/>
  <c r="AI896" i="50"/>
  <c r="AQ895" i="50"/>
  <c r="AN895" i="50"/>
  <c r="AI895" i="50"/>
  <c r="AH895" i="50"/>
  <c r="AH729" i="50"/>
  <c r="AK729" i="50"/>
  <c r="AH128" i="50"/>
  <c r="AL128" i="50"/>
  <c r="AI128" i="50"/>
  <c r="AO128" i="50"/>
  <c r="AH175" i="50"/>
  <c r="AO175" i="50"/>
  <c r="AI175" i="50"/>
  <c r="AL175" i="50"/>
  <c r="AK798" i="50"/>
  <c r="AH798" i="50"/>
  <c r="AL850" i="50"/>
  <c r="AI850" i="50"/>
  <c r="AH850" i="50"/>
  <c r="AH851" i="50"/>
  <c r="AK851" i="50"/>
  <c r="AO177" i="50"/>
  <c r="AH177" i="50"/>
  <c r="AI177" i="50"/>
  <c r="AL177" i="50"/>
  <c r="AL799" i="50"/>
  <c r="AI799" i="50"/>
  <c r="AH799" i="50"/>
  <c r="AH855" i="50"/>
  <c r="AK855" i="50"/>
  <c r="AL778" i="50"/>
  <c r="AK778" i="50"/>
  <c r="AH778" i="50"/>
  <c r="AO778" i="50"/>
  <c r="AN911" i="50"/>
  <c r="AQ911" i="50"/>
  <c r="AI911" i="50"/>
  <c r="AH911" i="50"/>
  <c r="AH469" i="50"/>
  <c r="AI469" i="50"/>
  <c r="AM469" i="50"/>
  <c r="AI596" i="50"/>
  <c r="AH596" i="50"/>
  <c r="AM596" i="50"/>
  <c r="AH443" i="50"/>
  <c r="AM443" i="50"/>
  <c r="AI443" i="50"/>
  <c r="AH501" i="50"/>
  <c r="AM501" i="50"/>
  <c r="AI501" i="50"/>
  <c r="AP492" i="50"/>
  <c r="AM492" i="50"/>
  <c r="AI492" i="50"/>
  <c r="AH492" i="50"/>
  <c r="AH475" i="50"/>
  <c r="AI475" i="50"/>
  <c r="AM475" i="50"/>
  <c r="AH339" i="50"/>
  <c r="AL339" i="50"/>
  <c r="AI339" i="50"/>
  <c r="AL346" i="50"/>
  <c r="AH346" i="50"/>
  <c r="AI346" i="50"/>
  <c r="AL387" i="50"/>
  <c r="AH387" i="50"/>
  <c r="AI387" i="50"/>
  <c r="AH360" i="50"/>
  <c r="AI360" i="50"/>
  <c r="AL360" i="50"/>
  <c r="AH925" i="50"/>
  <c r="AI925" i="50"/>
  <c r="AL761" i="50"/>
  <c r="AH761" i="50"/>
  <c r="AI761" i="50"/>
  <c r="AO761" i="50"/>
  <c r="AO872" i="50"/>
  <c r="AH872" i="50"/>
  <c r="AI872" i="50"/>
  <c r="AL872" i="50"/>
  <c r="AH347" i="50"/>
  <c r="AI347" i="50"/>
  <c r="AL347" i="50"/>
  <c r="AH685" i="50"/>
  <c r="AK685" i="50"/>
  <c r="AO721" i="50"/>
  <c r="AL721" i="50"/>
  <c r="AI721" i="50"/>
  <c r="AH721" i="50"/>
  <c r="AH514" i="50"/>
  <c r="AM514" i="50"/>
  <c r="AI514" i="50"/>
  <c r="AH427" i="50"/>
  <c r="AM427" i="50"/>
  <c r="AP427" i="50"/>
  <c r="AI427" i="50"/>
  <c r="AM493" i="50"/>
  <c r="AI493" i="50"/>
  <c r="AH493" i="50"/>
  <c r="AL337" i="50"/>
  <c r="AH337" i="50"/>
  <c r="AI337" i="50"/>
  <c r="AL415" i="50"/>
  <c r="AH415" i="50"/>
  <c r="AI415" i="50"/>
  <c r="AH225" i="50"/>
  <c r="AN225" i="50"/>
  <c r="AQ225" i="50"/>
  <c r="AI225" i="50"/>
  <c r="AH126" i="50"/>
  <c r="AI126" i="50"/>
  <c r="AQ126" i="50"/>
  <c r="AN126" i="50"/>
  <c r="AQ655" i="50"/>
  <c r="AN655" i="50"/>
  <c r="AI655" i="50"/>
  <c r="AH655" i="50"/>
  <c r="AL726" i="50"/>
  <c r="AH726" i="50"/>
  <c r="AI726" i="50"/>
  <c r="AO726" i="50"/>
  <c r="AO665" i="50"/>
  <c r="AL665" i="50"/>
  <c r="AH665" i="50"/>
  <c r="AI665" i="50"/>
  <c r="AO724" i="50"/>
  <c r="AL724" i="50"/>
  <c r="AH724" i="50"/>
  <c r="AI724" i="50"/>
  <c r="AO741" i="50"/>
  <c r="AH741" i="50"/>
  <c r="AL741" i="50"/>
  <c r="AI741" i="50"/>
  <c r="AO832" i="50"/>
  <c r="AL832" i="50"/>
  <c r="AI832" i="50"/>
  <c r="AH832" i="50"/>
  <c r="AH857" i="50"/>
  <c r="AK857" i="50"/>
  <c r="AH274" i="50"/>
  <c r="AI274" i="50"/>
  <c r="AI456" i="50"/>
  <c r="AH456" i="50"/>
  <c r="AM456" i="50"/>
  <c r="AM439" i="50"/>
  <c r="AH439" i="50"/>
  <c r="AI439" i="50"/>
  <c r="AM429" i="50"/>
  <c r="AP429" i="50"/>
  <c r="AH429" i="50"/>
  <c r="AI429" i="50"/>
  <c r="AM608" i="50"/>
  <c r="AH608" i="50"/>
  <c r="AI608" i="50"/>
  <c r="AL366" i="50"/>
  <c r="AI366" i="50"/>
  <c r="AH366" i="50"/>
  <c r="AL378" i="50"/>
  <c r="AI378" i="50"/>
  <c r="AH378" i="50"/>
  <c r="AL342" i="50"/>
  <c r="AI342" i="50"/>
  <c r="AH342" i="50"/>
  <c r="AN900" i="50"/>
  <c r="AQ900" i="50"/>
  <c r="AH900" i="50"/>
  <c r="AI900" i="50"/>
  <c r="AH129" i="50"/>
  <c r="AL129" i="50"/>
  <c r="AO129" i="50"/>
  <c r="AI129" i="50"/>
  <c r="AO730" i="50"/>
  <c r="AI730" i="50"/>
  <c r="AL730" i="50"/>
  <c r="AH730" i="50"/>
  <c r="AH759" i="50"/>
  <c r="AO759" i="50"/>
  <c r="AL759" i="50"/>
  <c r="AI759" i="50"/>
  <c r="AH767" i="50"/>
  <c r="AK767" i="50"/>
  <c r="AK811" i="50"/>
  <c r="AH811" i="50"/>
  <c r="AH795" i="50"/>
  <c r="AK795" i="50"/>
  <c r="AL781" i="50"/>
  <c r="AO781" i="50"/>
  <c r="AK781" i="50"/>
  <c r="AH781" i="50"/>
  <c r="AH174" i="50"/>
  <c r="AL174" i="50"/>
  <c r="AO174" i="50"/>
  <c r="AI174" i="50"/>
  <c r="AH297" i="50"/>
  <c r="AI297" i="50"/>
  <c r="AH590" i="50"/>
  <c r="AM590" i="50"/>
  <c r="AI590" i="50"/>
  <c r="AM430" i="50"/>
  <c r="AP430" i="50"/>
  <c r="AH430" i="50"/>
  <c r="AI430" i="50"/>
  <c r="AM500" i="50"/>
  <c r="AH500" i="50"/>
  <c r="AI500" i="50"/>
  <c r="AH487" i="50"/>
  <c r="AM487" i="50"/>
  <c r="AI487" i="50"/>
  <c r="AH519" i="50"/>
  <c r="AM519" i="50"/>
  <c r="AI519" i="50"/>
  <c r="AH376" i="50"/>
  <c r="AI376" i="50"/>
  <c r="AL376" i="50"/>
  <c r="AH369" i="50"/>
  <c r="AI369" i="50"/>
  <c r="AL369" i="50"/>
  <c r="AH232" i="50"/>
  <c r="AN232" i="50"/>
  <c r="AI232" i="50"/>
  <c r="AQ232" i="50"/>
  <c r="AH122" i="50"/>
  <c r="AQ122" i="50"/>
  <c r="AI122" i="50"/>
  <c r="AN122" i="50"/>
  <c r="AH732" i="50"/>
  <c r="AK732" i="50"/>
  <c r="AO735" i="50"/>
  <c r="AL735" i="50"/>
  <c r="AH735" i="50"/>
  <c r="AI735" i="50"/>
  <c r="AH699" i="50"/>
  <c r="AK699" i="50"/>
  <c r="AH718" i="50"/>
  <c r="AK718" i="50"/>
  <c r="AM450" i="50"/>
  <c r="AI450" i="50"/>
  <c r="AP450" i="50"/>
  <c r="AH450" i="50"/>
  <c r="AM438" i="50"/>
  <c r="AP438" i="50"/>
  <c r="AI438" i="50"/>
  <c r="AH438" i="50"/>
  <c r="AH688" i="50"/>
  <c r="AK688" i="50"/>
  <c r="AL686" i="50"/>
  <c r="AH686" i="50"/>
  <c r="AI686" i="50"/>
  <c r="AH818" i="50"/>
  <c r="AK818" i="50"/>
  <c r="J685" i="50"/>
  <c r="J684" i="50"/>
  <c r="BX684" i="50" s="1"/>
  <c r="J683" i="50"/>
  <c r="J721" i="50"/>
  <c r="J127" i="50"/>
  <c r="CV310" i="32"/>
  <c r="J753" i="50"/>
  <c r="J150" i="50"/>
  <c r="AH147" i="50"/>
  <c r="AL147" i="50"/>
  <c r="AO147" i="50"/>
  <c r="AI147" i="50"/>
  <c r="AI863" i="50"/>
  <c r="AO863" i="50"/>
  <c r="AL863" i="50"/>
  <c r="AH863" i="50"/>
  <c r="AI745" i="50"/>
  <c r="AH745" i="50"/>
  <c r="AL745" i="50"/>
  <c r="AO745" i="50"/>
  <c r="AH150" i="50"/>
  <c r="AO150" i="50"/>
  <c r="AI150" i="50"/>
  <c r="AL150" i="50"/>
  <c r="AI648" i="50"/>
  <c r="AH648" i="50"/>
  <c r="AO648" i="50"/>
  <c r="AL648" i="50"/>
  <c r="AH141" i="50"/>
  <c r="AO141" i="50"/>
  <c r="AI141" i="50"/>
  <c r="AL141" i="50"/>
  <c r="AO757" i="50"/>
  <c r="AL757" i="50"/>
  <c r="AH757" i="50"/>
  <c r="AI757" i="50"/>
  <c r="AL647" i="50"/>
  <c r="AI647" i="50"/>
  <c r="AH647" i="50"/>
  <c r="AO647" i="50"/>
  <c r="AH142" i="50"/>
  <c r="AO142" i="50"/>
  <c r="AL142" i="50"/>
  <c r="AI142" i="50"/>
  <c r="AH753" i="50"/>
  <c r="AI753" i="50"/>
  <c r="AO753" i="50"/>
  <c r="AL753" i="50"/>
  <c r="AH152" i="50"/>
  <c r="AL152" i="50"/>
  <c r="AI152" i="50"/>
  <c r="AO152" i="50"/>
  <c r="AH743" i="50"/>
  <c r="AI743" i="50"/>
  <c r="AL743" i="50"/>
  <c r="AO743" i="50"/>
  <c r="AH97" i="50"/>
  <c r="AL97" i="50"/>
  <c r="AI97" i="50"/>
  <c r="AO97" i="50"/>
  <c r="AO173" i="50"/>
  <c r="AI173" i="50"/>
  <c r="AH173" i="50"/>
  <c r="AL173" i="50"/>
  <c r="AH154" i="50"/>
  <c r="AL154" i="50"/>
  <c r="AO154" i="50"/>
  <c r="AI154" i="50"/>
  <c r="AO644" i="50"/>
  <c r="AH644" i="50"/>
  <c r="AI644" i="50"/>
  <c r="AL644" i="50"/>
  <c r="AH153" i="50"/>
  <c r="AI153" i="50"/>
  <c r="AO153" i="50"/>
  <c r="AL153" i="50"/>
  <c r="AH621" i="50"/>
  <c r="AO621" i="50"/>
  <c r="AI621" i="50"/>
  <c r="AL621" i="50"/>
  <c r="AO645" i="50"/>
  <c r="AH645" i="50"/>
  <c r="AL645" i="50"/>
  <c r="AI645" i="50"/>
  <c r="AH747" i="50"/>
  <c r="AK747" i="50"/>
  <c r="AH864" i="50"/>
  <c r="AL864" i="50"/>
  <c r="AI864" i="50"/>
  <c r="AO864" i="50"/>
  <c r="AI755" i="50"/>
  <c r="AO755" i="50"/>
  <c r="AL755" i="50"/>
  <c r="AH755" i="50"/>
  <c r="AL749" i="50"/>
  <c r="AH749" i="50"/>
  <c r="AI749" i="50"/>
  <c r="AO749" i="50"/>
  <c r="AL151" i="50"/>
  <c r="AH151" i="50"/>
  <c r="AI151" i="50"/>
  <c r="AO151" i="50"/>
  <c r="AL858" i="50"/>
  <c r="AO858" i="50"/>
  <c r="AI858" i="50"/>
  <c r="AH858" i="50"/>
  <c r="AL748" i="50"/>
  <c r="AI748" i="50"/>
  <c r="AO748" i="50"/>
  <c r="AH748" i="50"/>
  <c r="AH144" i="50"/>
  <c r="AK144" i="50"/>
  <c r="AI643" i="50"/>
  <c r="AH643" i="50"/>
  <c r="AL643" i="50"/>
  <c r="AO643" i="50"/>
  <c r="AH140" i="50"/>
  <c r="AO140" i="50"/>
  <c r="AI140" i="50"/>
  <c r="AL140" i="50"/>
  <c r="AH139" i="50"/>
  <c r="AL139" i="50"/>
  <c r="AI139" i="50"/>
  <c r="AO139" i="50"/>
  <c r="AH145" i="50"/>
  <c r="AI145" i="50"/>
  <c r="AL145" i="50"/>
  <c r="AO145" i="50"/>
  <c r="AH642" i="50"/>
  <c r="AL642" i="50"/>
  <c r="AI642" i="50"/>
  <c r="AO642" i="50"/>
  <c r="AO98" i="50"/>
  <c r="AH98" i="50"/>
  <c r="AI98" i="50"/>
  <c r="AL98" i="50"/>
  <c r="AH96" i="50"/>
  <c r="AO96" i="50"/>
  <c r="AI96" i="50"/>
  <c r="AL96" i="50"/>
  <c r="AO746" i="50"/>
  <c r="AH746" i="50"/>
  <c r="AL746" i="50"/>
  <c r="AI746" i="50"/>
  <c r="AO649" i="50"/>
  <c r="AL649" i="50"/>
  <c r="AI649" i="50"/>
  <c r="AH649" i="50"/>
  <c r="AO750" i="50"/>
  <c r="AH750" i="50"/>
  <c r="AI750" i="50"/>
  <c r="AL750" i="50"/>
  <c r="AI95" i="50"/>
  <c r="AH95" i="50"/>
  <c r="AO95" i="50"/>
  <c r="AL95" i="50"/>
  <c r="AH178" i="50"/>
  <c r="AL178" i="50"/>
  <c r="AO178" i="50"/>
  <c r="AI178" i="50"/>
  <c r="AH756" i="50"/>
  <c r="AL756" i="50"/>
  <c r="AO756" i="50"/>
  <c r="AI756" i="50"/>
  <c r="AH143" i="50"/>
  <c r="AO143" i="50"/>
  <c r="AL143" i="50"/>
  <c r="AI143" i="50"/>
  <c r="AH100" i="50"/>
  <c r="AI100" i="50"/>
  <c r="AL100" i="50"/>
  <c r="AO100" i="50"/>
  <c r="AL99" i="50"/>
  <c r="AO99" i="50"/>
  <c r="AI99" i="50"/>
  <c r="AH99" i="50"/>
  <c r="AH179" i="50"/>
  <c r="AL179" i="50"/>
  <c r="AO179" i="50"/>
  <c r="AI179" i="50"/>
  <c r="AL744" i="50"/>
  <c r="AO744" i="50"/>
  <c r="AI744" i="50"/>
  <c r="AH744" i="50"/>
  <c r="AO146" i="50"/>
  <c r="AL146" i="50"/>
  <c r="AH146" i="50"/>
  <c r="AI146" i="50"/>
  <c r="AH646" i="50"/>
  <c r="AL646" i="50"/>
  <c r="AI646" i="50"/>
  <c r="AO646" i="50"/>
  <c r="AO742" i="50"/>
  <c r="AL742" i="50"/>
  <c r="AH742" i="50"/>
  <c r="AI742" i="50"/>
  <c r="AO754" i="50"/>
  <c r="AI754" i="50"/>
  <c r="AL754" i="50"/>
  <c r="AH754" i="50"/>
  <c r="I266" i="32"/>
  <c r="CU361" i="32"/>
  <c r="CU323" i="32"/>
  <c r="CU264" i="32"/>
  <c r="CU175" i="32"/>
  <c r="CU293" i="32"/>
  <c r="CU289" i="32"/>
  <c r="CU313" i="32"/>
  <c r="J858" i="50" l="1"/>
  <c r="J173" i="50"/>
  <c r="AM23" i="50"/>
  <c r="G8" i="50" s="1"/>
  <c r="AN23" i="50"/>
  <c r="H8" i="50" s="1"/>
  <c r="AP23" i="50"/>
  <c r="AQ37" i="50"/>
  <c r="AK23" i="50"/>
  <c r="AN37" i="50"/>
  <c r="J8" i="50" s="1"/>
  <c r="AQ23" i="50"/>
  <c r="BX721" i="50"/>
  <c r="CE721" i="50"/>
  <c r="CB721" i="50"/>
  <c r="BY721" i="50"/>
  <c r="CB683" i="50"/>
  <c r="BY683" i="50"/>
  <c r="BX683" i="50"/>
  <c r="BX150" i="50"/>
  <c r="CE150" i="50"/>
  <c r="CB150" i="50"/>
  <c r="BY150" i="50"/>
  <c r="BX753" i="50"/>
  <c r="CE753" i="50"/>
  <c r="BY753" i="50"/>
  <c r="CB753" i="50"/>
  <c r="BX127" i="50"/>
  <c r="CE127" i="50"/>
  <c r="BY127" i="50"/>
  <c r="CB127" i="50"/>
  <c r="BX685" i="50"/>
  <c r="CA685" i="50"/>
  <c r="W150" i="50"/>
  <c r="X150" i="50" s="1"/>
  <c r="FH150" i="50" s="1"/>
  <c r="W721" i="50"/>
  <c r="X721" i="50" s="1"/>
  <c r="FH721" i="50" s="1"/>
  <c r="W753" i="50"/>
  <c r="X753" i="50" s="1"/>
  <c r="FH753" i="50" s="1"/>
  <c r="T684" i="50"/>
  <c r="FG684" i="50" s="1"/>
  <c r="T683" i="50"/>
  <c r="FG683" i="50" s="1"/>
  <c r="W127" i="50"/>
  <c r="X127" i="50" s="1"/>
  <c r="FH127" i="50" s="1"/>
  <c r="T685" i="50"/>
  <c r="FG685" i="50" s="1"/>
  <c r="BX173" i="50" l="1"/>
  <c r="W173" i="50"/>
  <c r="X173" i="50" s="1"/>
  <c r="CE173" i="50"/>
  <c r="CB173" i="50"/>
  <c r="BY173" i="50"/>
  <c r="CB858" i="50"/>
  <c r="BY858" i="50"/>
  <c r="W858" i="50"/>
  <c r="X858" i="50" s="1"/>
  <c r="CE858" i="50"/>
  <c r="BX858" i="50"/>
  <c r="AG150" i="50"/>
  <c r="AG753" i="50"/>
  <c r="AG127" i="50"/>
  <c r="AG721" i="50"/>
  <c r="CH266" i="32"/>
  <c r="CH267" i="32"/>
  <c r="CH285" i="32"/>
  <c r="CH219" i="32"/>
  <c r="CH318" i="32"/>
  <c r="CH312" i="32"/>
  <c r="FH173" i="50" l="1"/>
  <c r="AG173" i="50"/>
  <c r="FH858" i="50"/>
  <c r="AG858" i="50"/>
  <c r="AA2" i="34"/>
  <c r="Z2" i="34"/>
  <c r="Y2" i="34"/>
  <c r="X2" i="34"/>
  <c r="R4" i="34"/>
  <c r="Y4" i="34" s="1"/>
  <c r="Q4" i="34"/>
  <c r="X4" i="34" s="1"/>
  <c r="P4" i="34"/>
  <c r="W4" i="34" s="1"/>
  <c r="P2" i="34"/>
  <c r="W2" i="34" s="1"/>
  <c r="AD4" i="34" l="1"/>
  <c r="AE4" i="34" s="1"/>
  <c r="AC4" i="34"/>
  <c r="K25" i="46" l="1"/>
  <c r="L25" i="46"/>
  <c r="K26" i="46"/>
  <c r="L26" i="46"/>
  <c r="K27" i="46"/>
  <c r="L27" i="46"/>
  <c r="K28" i="46"/>
  <c r="L28" i="46"/>
  <c r="K29" i="46"/>
  <c r="L29" i="46"/>
  <c r="K30" i="46"/>
  <c r="L30" i="46"/>
  <c r="K36" i="46"/>
  <c r="L35" i="46"/>
  <c r="K35" i="46"/>
  <c r="K34" i="46"/>
  <c r="L33" i="46"/>
  <c r="K33" i="46"/>
  <c r="J36" i="46"/>
  <c r="S36" i="46" s="1"/>
  <c r="AG36" i="46" s="1"/>
  <c r="J35" i="46"/>
  <c r="S35" i="46" s="1"/>
  <c r="AG35" i="46" s="1"/>
  <c r="J34" i="46"/>
  <c r="S34" i="46" s="1"/>
  <c r="AG34" i="46" s="1"/>
  <c r="J33" i="46"/>
  <c r="S33" i="46" s="1"/>
  <c r="AG33" i="46" s="1"/>
  <c r="J30" i="46"/>
  <c r="S30" i="46" s="1"/>
  <c r="AG30" i="46" s="1"/>
  <c r="J29" i="46"/>
  <c r="J28" i="46"/>
  <c r="S28" i="46" s="1"/>
  <c r="AG28" i="46" s="1"/>
  <c r="J27" i="46"/>
  <c r="J26" i="46"/>
  <c r="S26" i="46" s="1"/>
  <c r="AG26" i="46" s="1"/>
  <c r="J25" i="46"/>
  <c r="G36" i="46"/>
  <c r="P36" i="46" s="1"/>
  <c r="AD36" i="46" s="1"/>
  <c r="G33" i="46"/>
  <c r="P33" i="46" s="1"/>
  <c r="AD33" i="46" s="1"/>
  <c r="G30" i="46"/>
  <c r="P30" i="46" s="1"/>
  <c r="AD30" i="46" s="1"/>
  <c r="G27" i="46"/>
  <c r="P27" i="46" s="1"/>
  <c r="AD27" i="46" s="1"/>
  <c r="G26" i="46"/>
  <c r="P26" i="46" s="1"/>
  <c r="AD26" i="46" s="1"/>
  <c r="P20" i="26"/>
  <c r="P19" i="26"/>
  <c r="P18" i="26"/>
  <c r="P17" i="26"/>
  <c r="P14" i="26"/>
  <c r="P13" i="26"/>
  <c r="P12" i="26"/>
  <c r="P11" i="26"/>
  <c r="P10" i="26"/>
  <c r="P9" i="26"/>
  <c r="S9" i="26"/>
  <c r="L36" i="46"/>
  <c r="G35" i="46"/>
  <c r="P35" i="46" s="1"/>
  <c r="AD35" i="46" s="1"/>
  <c r="L34" i="46"/>
  <c r="G29" i="46"/>
  <c r="P29" i="46" s="1"/>
  <c r="AD29" i="46" s="1"/>
  <c r="G25" i="46"/>
  <c r="M15" i="46"/>
  <c r="L15" i="46"/>
  <c r="K15" i="46"/>
  <c r="M14" i="46"/>
  <c r="L14" i="46"/>
  <c r="K14" i="46"/>
  <c r="M13" i="46"/>
  <c r="L13" i="46"/>
  <c r="K13" i="46"/>
  <c r="M12" i="46"/>
  <c r="L12" i="46"/>
  <c r="K12" i="46"/>
  <c r="M11" i="46"/>
  <c r="L11" i="46"/>
  <c r="K11" i="46"/>
  <c r="M9" i="46"/>
  <c r="L9" i="46"/>
  <c r="K9" i="46"/>
  <c r="M8" i="46"/>
  <c r="L8" i="46"/>
  <c r="K8" i="46"/>
  <c r="M7" i="46"/>
  <c r="L7" i="46"/>
  <c r="K7" i="46"/>
  <c r="M6" i="46"/>
  <c r="L6" i="46"/>
  <c r="K6" i="46"/>
  <c r="M5" i="46"/>
  <c r="L5" i="46"/>
  <c r="S20" i="26"/>
  <c r="S19" i="26"/>
  <c r="S18" i="26"/>
  <c r="S17" i="26"/>
  <c r="S14" i="26"/>
  <c r="S13" i="26"/>
  <c r="S12" i="26"/>
  <c r="S23" i="26" s="1"/>
  <c r="S11" i="26"/>
  <c r="S10" i="26"/>
  <c r="Q20" i="26"/>
  <c r="Q19" i="26"/>
  <c r="Q18" i="26"/>
  <c r="Q24" i="26" s="1"/>
  <c r="Q17" i="26"/>
  <c r="Q14" i="26"/>
  <c r="Q13" i="26"/>
  <c r="Q12" i="26"/>
  <c r="Q11" i="26"/>
  <c r="Q10" i="26"/>
  <c r="Q9" i="26"/>
  <c r="Q23" i="26" l="1"/>
  <c r="K17" i="46"/>
  <c r="K18" i="46" s="1"/>
  <c r="J39" i="46"/>
  <c r="P25" i="46"/>
  <c r="AD25" i="46" s="1"/>
  <c r="L17" i="46"/>
  <c r="L18" i="46" s="1"/>
  <c r="M17" i="46"/>
  <c r="M18" i="46" s="1"/>
  <c r="M30" i="46"/>
  <c r="M27" i="46"/>
  <c r="S27" i="46"/>
  <c r="V33" i="46"/>
  <c r="M25" i="46"/>
  <c r="S25" i="46"/>
  <c r="AG25" i="46" s="1"/>
  <c r="M29" i="46"/>
  <c r="S29" i="46"/>
  <c r="V35" i="46"/>
  <c r="V26" i="46"/>
  <c r="V30" i="46"/>
  <c r="V36" i="46"/>
  <c r="M26" i="46"/>
  <c r="M35" i="46"/>
  <c r="G28" i="46"/>
  <c r="G34" i="46"/>
  <c r="M36" i="46"/>
  <c r="M33" i="46"/>
  <c r="S24" i="26"/>
  <c r="N19" i="45"/>
  <c r="N22" i="45" s="1"/>
  <c r="R17" i="45"/>
  <c r="Q17" i="45"/>
  <c r="P17" i="45"/>
  <c r="O17" i="45"/>
  <c r="N17" i="45"/>
  <c r="M17" i="45"/>
  <c r="R16" i="45"/>
  <c r="Q16" i="45"/>
  <c r="P16" i="45"/>
  <c r="O16" i="45"/>
  <c r="N16" i="45"/>
  <c r="M16" i="45"/>
  <c r="R15" i="45"/>
  <c r="Q15" i="45"/>
  <c r="P15" i="45"/>
  <c r="O15" i="45"/>
  <c r="N15" i="45"/>
  <c r="M15" i="45"/>
  <c r="R14" i="45"/>
  <c r="Q14" i="45"/>
  <c r="P14" i="45"/>
  <c r="O14" i="45"/>
  <c r="N14" i="45"/>
  <c r="M14" i="45"/>
  <c r="R13" i="45"/>
  <c r="Q13" i="45"/>
  <c r="P13" i="45"/>
  <c r="O13" i="45"/>
  <c r="N13" i="45"/>
  <c r="M13" i="45"/>
  <c r="R10" i="45"/>
  <c r="Q10" i="45"/>
  <c r="P10" i="45"/>
  <c r="O10" i="45"/>
  <c r="N10" i="45"/>
  <c r="M10" i="45"/>
  <c r="R9" i="45"/>
  <c r="R19" i="45" s="1"/>
  <c r="R22" i="45" s="1"/>
  <c r="Q9" i="45"/>
  <c r="Q20" i="45" s="1"/>
  <c r="P9" i="45"/>
  <c r="O9" i="45"/>
  <c r="N9" i="45"/>
  <c r="M9" i="45"/>
  <c r="R8" i="45"/>
  <c r="Q8" i="45"/>
  <c r="P8" i="45"/>
  <c r="O8" i="45"/>
  <c r="N8" i="45"/>
  <c r="M8" i="45"/>
  <c r="R7" i="45"/>
  <c r="Q7" i="45"/>
  <c r="P7" i="45"/>
  <c r="O7" i="45"/>
  <c r="N7" i="45"/>
  <c r="M7" i="45"/>
  <c r="R6" i="45"/>
  <c r="Q6" i="45"/>
  <c r="Q19" i="45" s="1"/>
  <c r="Q22" i="45" s="1"/>
  <c r="P6" i="45"/>
  <c r="P20" i="45" s="1"/>
  <c r="O6" i="45"/>
  <c r="O20" i="45" s="1"/>
  <c r="N6" i="45"/>
  <c r="N20" i="45" s="1"/>
  <c r="M6" i="45"/>
  <c r="M20" i="45" s="1"/>
  <c r="BK14" i="37"/>
  <c r="O19" i="45" l="1"/>
  <c r="O22" i="45" s="1"/>
  <c r="R20" i="45"/>
  <c r="P19" i="45"/>
  <c r="P22" i="45" s="1"/>
  <c r="M19" i="45"/>
  <c r="M22" i="45" s="1"/>
  <c r="V27" i="46"/>
  <c r="AG27" i="46"/>
  <c r="V29" i="46"/>
  <c r="AG29" i="46"/>
  <c r="G39" i="46"/>
  <c r="J40" i="46" s="1"/>
  <c r="V25" i="46"/>
  <c r="S39" i="46"/>
  <c r="AG39" i="46" s="1"/>
  <c r="M28" i="46"/>
  <c r="P28" i="46"/>
  <c r="AD28" i="46" s="1"/>
  <c r="M34" i="46"/>
  <c r="P34" i="46"/>
  <c r="BQ17" i="37"/>
  <c r="BQ18" i="37" s="1"/>
  <c r="BP17" i="37"/>
  <c r="BP18" i="37" s="1"/>
  <c r="BO17" i="37"/>
  <c r="BO18" i="37" s="1"/>
  <c r="BN17" i="37"/>
  <c r="BN18" i="37" s="1"/>
  <c r="BM17" i="37"/>
  <c r="BM18" i="37" s="1"/>
  <c r="BL17" i="37"/>
  <c r="BL18" i="37" s="1"/>
  <c r="BK17" i="37"/>
  <c r="BK18" i="37" s="1"/>
  <c r="BJ17" i="37"/>
  <c r="BJ18" i="37" s="1"/>
  <c r="BI17" i="37"/>
  <c r="BI18" i="37" s="1"/>
  <c r="BH17" i="37"/>
  <c r="BH18" i="37" s="1"/>
  <c r="BG17" i="37"/>
  <c r="BQ14" i="37"/>
  <c r="BP14" i="37"/>
  <c r="BP15" i="37" s="1"/>
  <c r="BO14" i="37"/>
  <c r="BO15" i="37" s="1"/>
  <c r="BN14" i="37"/>
  <c r="BM14" i="37"/>
  <c r="BM15" i="37" s="1"/>
  <c r="BL14" i="37"/>
  <c r="BL15" i="37" s="1"/>
  <c r="BJ14" i="37"/>
  <c r="BJ15" i="37" s="1"/>
  <c r="BI14" i="37"/>
  <c r="BI15" i="37" s="1"/>
  <c r="BH14" i="37"/>
  <c r="BH15" i="37" s="1"/>
  <c r="BG14" i="37"/>
  <c r="BG15" i="37" s="1"/>
  <c r="BG18" i="37"/>
  <c r="BN15" i="37"/>
  <c r="BK15" i="37"/>
  <c r="BE29" i="37"/>
  <c r="BH29" i="37" s="1"/>
  <c r="BI32" i="37"/>
  <c r="BG32" i="37"/>
  <c r="BF32" i="37"/>
  <c r="BK20" i="37" l="1"/>
  <c r="BK21" i="37" s="1"/>
  <c r="BN20" i="37"/>
  <c r="BN21" i="37" s="1"/>
  <c r="V34" i="46"/>
  <c r="AD34" i="46"/>
  <c r="V28" i="46"/>
  <c r="P39" i="46"/>
  <c r="BJ20" i="37"/>
  <c r="BJ21" i="37" s="1"/>
  <c r="BO20" i="37"/>
  <c r="BO21" i="37" s="1"/>
  <c r="BS15" i="37"/>
  <c r="BH20" i="37"/>
  <c r="BH21" i="37" s="1"/>
  <c r="BL20" i="37"/>
  <c r="BL21" i="37" s="1"/>
  <c r="BP20" i="37"/>
  <c r="BP21" i="37" s="1"/>
  <c r="BG20" i="37"/>
  <c r="BG21" i="37" s="1"/>
  <c r="BI20" i="37"/>
  <c r="BI21" i="37" s="1"/>
  <c r="BM20" i="37"/>
  <c r="BM21" i="37" s="1"/>
  <c r="BQ20" i="37"/>
  <c r="BQ21" i="37" s="1"/>
  <c r="BQ15" i="37"/>
  <c r="BJ29" i="37"/>
  <c r="BK29" i="37" s="1"/>
  <c r="BE32" i="37"/>
  <c r="BE33" i="37" s="1"/>
  <c r="BH32" i="37"/>
  <c r="BJ32" i="37" s="1"/>
  <c r="BJ33" i="37" s="1"/>
  <c r="J102" i="34"/>
  <c r="J101" i="34"/>
  <c r="DK50" i="34"/>
  <c r="DL49" i="34"/>
  <c r="DB70" i="34"/>
  <c r="DB69" i="34"/>
  <c r="DB68" i="34"/>
  <c r="DB67" i="34"/>
  <c r="CO94" i="34"/>
  <c r="CO92" i="34"/>
  <c r="CO91" i="34"/>
  <c r="CO90" i="34"/>
  <c r="CO89" i="34"/>
  <c r="CO88" i="34"/>
  <c r="J114" i="34"/>
  <c r="J113" i="34"/>
  <c r="J112" i="34"/>
  <c r="J99" i="34"/>
  <c r="J98" i="34"/>
  <c r="J97" i="34"/>
  <c r="J96" i="34"/>
  <c r="J95" i="34"/>
  <c r="J94" i="34"/>
  <c r="J93" i="34"/>
  <c r="J92" i="34"/>
  <c r="J91" i="34"/>
  <c r="J90" i="34"/>
  <c r="J89" i="34"/>
  <c r="J88" i="34"/>
  <c r="J86" i="34"/>
  <c r="J85" i="34"/>
  <c r="J84" i="34"/>
  <c r="J83" i="34"/>
  <c r="J82" i="34"/>
  <c r="J81" i="34"/>
  <c r="J80" i="34"/>
  <c r="J79" i="34"/>
  <c r="J78" i="34"/>
  <c r="J77" i="34"/>
  <c r="CJ114" i="34"/>
  <c r="BW114" i="34" s="1"/>
  <c r="CJ113" i="34"/>
  <c r="BW113" i="34" s="1"/>
  <c r="CJ112" i="34"/>
  <c r="BW112" i="34" s="1"/>
  <c r="CJ108" i="34"/>
  <c r="BW108" i="34" s="1"/>
  <c r="CJ107" i="34"/>
  <c r="BW107" i="34" s="1"/>
  <c r="CJ106" i="34"/>
  <c r="BW106" i="34" s="1"/>
  <c r="CJ105" i="34"/>
  <c r="BW105" i="34" s="1"/>
  <c r="CJ104" i="34"/>
  <c r="BW104" i="34" s="1"/>
  <c r="CJ103" i="34"/>
  <c r="BW103" i="34" s="1"/>
  <c r="CJ102" i="34"/>
  <c r="BW102" i="34" s="1"/>
  <c r="CJ101" i="34"/>
  <c r="BW101" i="34" s="1"/>
  <c r="CJ100" i="34"/>
  <c r="BW100" i="34" s="1"/>
  <c r="CJ68" i="34"/>
  <c r="BW68" i="34" s="1"/>
  <c r="CJ67" i="34"/>
  <c r="BW67" i="34" s="1"/>
  <c r="CJ65" i="34"/>
  <c r="BW65" i="34" s="1"/>
  <c r="CJ64" i="34"/>
  <c r="BW64" i="34" s="1"/>
  <c r="CJ57" i="34"/>
  <c r="BW57" i="34" s="1"/>
  <c r="CJ52" i="34"/>
  <c r="BW52" i="34" s="1"/>
  <c r="R27" i="34"/>
  <c r="S27" i="34"/>
  <c r="S28" i="34" s="1"/>
  <c r="Z28" i="34" s="1"/>
  <c r="Q27" i="34"/>
  <c r="Q28" i="34" s="1"/>
  <c r="X28" i="34" s="1"/>
  <c r="P28" i="34"/>
  <c r="W28" i="34" s="1"/>
  <c r="Z26" i="34"/>
  <c r="Y26" i="34"/>
  <c r="X26" i="34"/>
  <c r="W26" i="34"/>
  <c r="V24" i="34"/>
  <c r="U24" i="34"/>
  <c r="AB24" i="34" s="1"/>
  <c r="T24" i="34"/>
  <c r="AA24" i="34" s="1"/>
  <c r="S24" i="34"/>
  <c r="Z24" i="34" s="1"/>
  <c r="R24" i="34"/>
  <c r="Y24" i="34" s="1"/>
  <c r="Q24" i="34"/>
  <c r="X24" i="34" s="1"/>
  <c r="P24" i="34"/>
  <c r="W24" i="34" s="1"/>
  <c r="W22" i="34"/>
  <c r="Q22" i="34"/>
  <c r="R22" i="34" s="1"/>
  <c r="V20" i="34"/>
  <c r="U20" i="34"/>
  <c r="AB20" i="34" s="1"/>
  <c r="T20" i="34"/>
  <c r="AA20" i="34" s="1"/>
  <c r="Q18" i="34"/>
  <c r="R18" i="34" s="1"/>
  <c r="S18" i="34" s="1"/>
  <c r="T18" i="34" s="1"/>
  <c r="U18" i="34" s="1"/>
  <c r="V18" i="34" s="1"/>
  <c r="S20" i="34"/>
  <c r="Z20" i="34" s="1"/>
  <c r="R20" i="34"/>
  <c r="Y20" i="34" s="1"/>
  <c r="Q20" i="34"/>
  <c r="X20" i="34" s="1"/>
  <c r="P20" i="34"/>
  <c r="W20" i="34" s="1"/>
  <c r="W18" i="34"/>
  <c r="S16" i="34"/>
  <c r="R16" i="34"/>
  <c r="Y16" i="34" s="1"/>
  <c r="Q16" i="34"/>
  <c r="X16" i="34" s="1"/>
  <c r="P16" i="34"/>
  <c r="W16" i="34" s="1"/>
  <c r="Y14" i="34"/>
  <c r="X14" i="34"/>
  <c r="W14" i="34"/>
  <c r="Y10" i="34"/>
  <c r="X10" i="34"/>
  <c r="W10" i="34"/>
  <c r="R12" i="34"/>
  <c r="Y12" i="34" s="1"/>
  <c r="Q12" i="34"/>
  <c r="X12" i="34" s="1"/>
  <c r="P12" i="34"/>
  <c r="W12" i="34" s="1"/>
  <c r="S40" i="46" l="1"/>
  <c r="AD39" i="46"/>
  <c r="X18" i="34"/>
  <c r="BK33" i="37"/>
  <c r="X22" i="34"/>
  <c r="AC12" i="34"/>
  <c r="AD12" i="34"/>
  <c r="AE12" i="34" s="1"/>
  <c r="CG59" i="34" s="1"/>
  <c r="BT59" i="34" s="1"/>
  <c r="Z18" i="34"/>
  <c r="Y18" i="34"/>
  <c r="AA18" i="34"/>
  <c r="AC16" i="34"/>
  <c r="AB18" i="34"/>
  <c r="AD28" i="34"/>
  <c r="AE28" i="34" s="1"/>
  <c r="CG61" i="34" s="1"/>
  <c r="BT61" i="34" s="1"/>
  <c r="AC28" i="34"/>
  <c r="Y22" i="34"/>
  <c r="S22" i="34"/>
  <c r="AD16" i="34"/>
  <c r="AE16" i="34" s="1"/>
  <c r="CG52" i="34" s="1"/>
  <c r="BT52" i="34" s="1"/>
  <c r="T7" i="44"/>
  <c r="T8" i="44" s="1"/>
  <c r="S7" i="44"/>
  <c r="S8" i="44" s="1"/>
  <c r="K15" i="44"/>
  <c r="J15" i="44"/>
  <c r="K14" i="44"/>
  <c r="J14" i="44"/>
  <c r="K13" i="44"/>
  <c r="J13" i="44"/>
  <c r="K12" i="44"/>
  <c r="J12" i="44"/>
  <c r="K11" i="44"/>
  <c r="J11" i="44"/>
  <c r="J8" i="44"/>
  <c r="K7" i="44"/>
  <c r="K8" i="44" s="1"/>
  <c r="J7" i="44"/>
  <c r="R15" i="44"/>
  <c r="T15" i="44" s="1"/>
  <c r="R14" i="44"/>
  <c r="T14" i="44" s="1"/>
  <c r="R13" i="44"/>
  <c r="T13" i="44" s="1"/>
  <c r="R12" i="44"/>
  <c r="T12" i="44" s="1"/>
  <c r="R11" i="44"/>
  <c r="T11" i="44" s="1"/>
  <c r="Q15" i="44"/>
  <c r="S15" i="44" s="1"/>
  <c r="Q14" i="44"/>
  <c r="S14" i="44" s="1"/>
  <c r="Q13" i="44"/>
  <c r="S13" i="44" s="1"/>
  <c r="Q12" i="44"/>
  <c r="S12" i="44" s="1"/>
  <c r="Q11" i="44"/>
  <c r="S11" i="44" s="1"/>
  <c r="U11" i="44" l="1"/>
  <c r="X11" i="44" s="1"/>
  <c r="CL95" i="34" s="1"/>
  <c r="CO95" i="34" s="1"/>
  <c r="U15" i="44"/>
  <c r="X15" i="44" s="1"/>
  <c r="CL99" i="34" s="1"/>
  <c r="CO99" i="34"/>
  <c r="BY99" i="34"/>
  <c r="AD20" i="34"/>
  <c r="AE20" i="34" s="1"/>
  <c r="CG57" i="34" s="1"/>
  <c r="BT57" i="34" s="1"/>
  <c r="AC20" i="34"/>
  <c r="Z22" i="34"/>
  <c r="T22" i="34"/>
  <c r="M12" i="44"/>
  <c r="M14" i="44"/>
  <c r="N13" i="44"/>
  <c r="M11" i="44"/>
  <c r="L13" i="44"/>
  <c r="O13" i="44" s="1"/>
  <c r="CI97" i="34" s="1"/>
  <c r="CJ97" i="34" s="1"/>
  <c r="BW97" i="34" s="1"/>
  <c r="L15" i="44"/>
  <c r="O15" i="44" s="1"/>
  <c r="CI99" i="34" s="1"/>
  <c r="CJ99" i="34" s="1"/>
  <c r="BW99" i="34" s="1"/>
  <c r="U12" i="44"/>
  <c r="X12" i="44" s="1"/>
  <c r="CL96" i="34" s="1"/>
  <c r="CO96" i="34" s="1"/>
  <c r="V12" i="44"/>
  <c r="U13" i="44"/>
  <c r="X13" i="44" s="1"/>
  <c r="CL97" i="34" s="1"/>
  <c r="CO97" i="34" s="1"/>
  <c r="U14" i="44"/>
  <c r="X14" i="44" s="1"/>
  <c r="CL98" i="34" s="1"/>
  <c r="CO98" i="34" s="1"/>
  <c r="V14" i="44"/>
  <c r="W15" i="44"/>
  <c r="W14" i="44"/>
  <c r="W13" i="44"/>
  <c r="W12" i="44"/>
  <c r="W11" i="44"/>
  <c r="V15" i="44"/>
  <c r="V13" i="44"/>
  <c r="V11" i="44"/>
  <c r="L11" i="44"/>
  <c r="O11" i="44" s="1"/>
  <c r="CI95" i="34" s="1"/>
  <c r="CJ95" i="34" s="1"/>
  <c r="BW95" i="34" s="1"/>
  <c r="N12" i="44"/>
  <c r="L14" i="44"/>
  <c r="O14" i="44" s="1"/>
  <c r="CI98" i="34" s="1"/>
  <c r="CJ98" i="34" s="1"/>
  <c r="BW98" i="34" s="1"/>
  <c r="M15" i="44"/>
  <c r="N15" i="44"/>
  <c r="L12" i="44"/>
  <c r="O12" i="44" s="1"/>
  <c r="CI96" i="34" s="1"/>
  <c r="CJ96" i="34" s="1"/>
  <c r="BW96" i="34" s="1"/>
  <c r="M13" i="44"/>
  <c r="N14" i="44"/>
  <c r="N11" i="44"/>
  <c r="CT98" i="34" l="1"/>
  <c r="BY96" i="34"/>
  <c r="CT96" i="34"/>
  <c r="CT99" i="34"/>
  <c r="BY95" i="34"/>
  <c r="CT95" i="34"/>
  <c r="BY98" i="34"/>
  <c r="BY97" i="34"/>
  <c r="CT97" i="34"/>
  <c r="CG64" i="34"/>
  <c r="BT64" i="34" s="1"/>
  <c r="CG67" i="34"/>
  <c r="BT67" i="34" s="1"/>
  <c r="U22" i="34"/>
  <c r="AA22" i="34"/>
  <c r="V22" i="34" l="1"/>
  <c r="AB22" i="34"/>
  <c r="F101" i="34"/>
  <c r="F103" i="34"/>
  <c r="V126" i="19"/>
  <c r="V125" i="19"/>
  <c r="V124" i="19"/>
  <c r="V123" i="19"/>
  <c r="V122" i="19"/>
  <c r="V121" i="19"/>
  <c r="V120" i="19"/>
  <c r="V119" i="19"/>
  <c r="V116" i="19"/>
  <c r="V114" i="19"/>
  <c r="V113" i="19"/>
  <c r="V112" i="19"/>
  <c r="V111" i="19"/>
  <c r="V110" i="19"/>
  <c r="V109" i="19"/>
  <c r="V108" i="19"/>
  <c r="V107" i="19"/>
  <c r="V105" i="19"/>
  <c r="V104" i="19"/>
  <c r="V103" i="19"/>
  <c r="V102" i="19"/>
  <c r="V101" i="19"/>
  <c r="V100" i="19"/>
  <c r="V99" i="19"/>
  <c r="V98" i="19"/>
  <c r="V97" i="19"/>
  <c r="V92" i="19"/>
  <c r="V91" i="19"/>
  <c r="V90" i="19"/>
  <c r="V89" i="19"/>
  <c r="V88" i="19"/>
  <c r="V87" i="19"/>
  <c r="V86" i="19"/>
  <c r="V85" i="19"/>
  <c r="V84" i="19"/>
  <c r="V83" i="19"/>
  <c r="V82" i="19"/>
  <c r="V81" i="19"/>
  <c r="V80" i="19"/>
  <c r="V79" i="19"/>
  <c r="V77" i="19"/>
  <c r="V75" i="19"/>
  <c r="V74" i="19"/>
  <c r="V73" i="19"/>
  <c r="V72" i="19"/>
  <c r="V71" i="19"/>
  <c r="V70" i="19"/>
  <c r="V69" i="19"/>
  <c r="V68" i="19"/>
  <c r="V67" i="19"/>
  <c r="V66" i="19"/>
  <c r="V65" i="19"/>
  <c r="V64" i="19"/>
  <c r="V63" i="19"/>
  <c r="V62" i="19"/>
  <c r="V61" i="19"/>
  <c r="V60" i="19"/>
  <c r="V59" i="19"/>
  <c r="V58" i="19"/>
  <c r="V57" i="19"/>
  <c r="V56" i="19"/>
  <c r="V55" i="19"/>
  <c r="V54" i="19"/>
  <c r="V53" i="19"/>
  <c r="V52" i="19"/>
  <c r="V51" i="19"/>
  <c r="V49" i="19"/>
  <c r="V48" i="19"/>
  <c r="V47" i="19"/>
  <c r="V46" i="19"/>
  <c r="V45" i="19"/>
  <c r="V44" i="19"/>
  <c r="V43" i="19"/>
  <c r="V42" i="19"/>
  <c r="V41" i="19"/>
  <c r="V40" i="19"/>
  <c r="V39" i="19"/>
  <c r="V38" i="19"/>
  <c r="V37" i="19"/>
  <c r="V36" i="19"/>
  <c r="V35" i="19"/>
  <c r="V34" i="19"/>
  <c r="V33" i="19"/>
  <c r="V32" i="19"/>
  <c r="V31" i="19"/>
  <c r="F102" i="34" l="1"/>
  <c r="F112" i="34"/>
  <c r="CV97" i="32"/>
  <c r="J562" i="50"/>
  <c r="J589" i="50"/>
  <c r="CV118" i="32"/>
  <c r="J579" i="50"/>
  <c r="J540" i="50"/>
  <c r="BX540" i="50" s="1"/>
  <c r="CV349" i="32"/>
  <c r="J115" i="50"/>
  <c r="BX115" i="50" s="1"/>
  <c r="CV109" i="32"/>
  <c r="J607" i="50"/>
  <c r="J573" i="50"/>
  <c r="CV110" i="32"/>
  <c r="J609" i="50"/>
  <c r="J574" i="50"/>
  <c r="CV94" i="32"/>
  <c r="J560" i="50"/>
  <c r="J582" i="50"/>
  <c r="CV352" i="32"/>
  <c r="J110" i="50"/>
  <c r="BX110" i="50" s="1"/>
  <c r="CV117" i="32"/>
  <c r="J539" i="50"/>
  <c r="BX539" i="50" s="1"/>
  <c r="CV106" i="32"/>
  <c r="J570" i="50"/>
  <c r="J522" i="50"/>
  <c r="J603" i="50"/>
  <c r="J535" i="50"/>
  <c r="BX535" i="50" s="1"/>
  <c r="CV111" i="32"/>
  <c r="J575" i="50"/>
  <c r="J610" i="50"/>
  <c r="CV115" i="32"/>
  <c r="J578" i="50"/>
  <c r="J525" i="50"/>
  <c r="J615" i="50"/>
  <c r="J538" i="50"/>
  <c r="BX538" i="50" s="1"/>
  <c r="CV95" i="32"/>
  <c r="J515" i="50"/>
  <c r="CV100" i="32"/>
  <c r="J592" i="50"/>
  <c r="J564" i="50"/>
  <c r="CV104" i="32"/>
  <c r="J569" i="50"/>
  <c r="J601" i="50"/>
  <c r="CV348" i="32"/>
  <c r="J107" i="50"/>
  <c r="BX107" i="50" s="1"/>
  <c r="CV353" i="32"/>
  <c r="J111" i="50"/>
  <c r="BX111" i="50" s="1"/>
  <c r="CV344" i="32"/>
  <c r="J103" i="50"/>
  <c r="BX103" i="50" s="1"/>
  <c r="CV142" i="32"/>
  <c r="J399" i="50"/>
  <c r="J414" i="50"/>
  <c r="CV108" i="32"/>
  <c r="J606" i="50"/>
  <c r="J572" i="50"/>
  <c r="CV113" i="32"/>
  <c r="J577" i="50"/>
  <c r="J537" i="50"/>
  <c r="BX537" i="50" s="1"/>
  <c r="J428" i="50"/>
  <c r="J612" i="50"/>
  <c r="J524" i="50"/>
  <c r="CV98" i="32"/>
  <c r="J426" i="50"/>
  <c r="CV102" i="32"/>
  <c r="J566" i="50"/>
  <c r="J599" i="50"/>
  <c r="J534" i="50"/>
  <c r="BX534" i="50" s="1"/>
  <c r="J520" i="50"/>
  <c r="CV351" i="32"/>
  <c r="J109" i="50"/>
  <c r="BX109" i="50" s="1"/>
  <c r="CV355" i="32"/>
  <c r="J113" i="50"/>
  <c r="BX113" i="50" s="1"/>
  <c r="CV347" i="32"/>
  <c r="J106" i="50"/>
  <c r="BX106" i="50" s="1"/>
  <c r="CV105" i="32"/>
  <c r="J602" i="50"/>
  <c r="CV114" i="32"/>
  <c r="J613" i="50"/>
  <c r="CV99" i="32"/>
  <c r="J563" i="50"/>
  <c r="J591" i="50"/>
  <c r="CV103" i="32"/>
  <c r="J567" i="50"/>
  <c r="J521" i="50"/>
  <c r="J600" i="50"/>
  <c r="CV345" i="32"/>
  <c r="J114" i="50"/>
  <c r="BX114" i="50" s="1"/>
  <c r="J104" i="50"/>
  <c r="BX104" i="50" s="1"/>
  <c r="CV343" i="32"/>
  <c r="J102" i="50"/>
  <c r="BX102" i="50" s="1"/>
  <c r="CV141" i="32"/>
  <c r="J340" i="50"/>
  <c r="J413" i="50"/>
  <c r="J398" i="50"/>
  <c r="CV93" i="32"/>
  <c r="J580" i="50"/>
  <c r="CV107" i="32"/>
  <c r="J571" i="50"/>
  <c r="J605" i="50"/>
  <c r="CV112" i="32"/>
  <c r="J576" i="50"/>
  <c r="J611" i="50"/>
  <c r="CV116" i="32"/>
  <c r="J616" i="50"/>
  <c r="CV96" i="32"/>
  <c r="J561" i="50"/>
  <c r="J587" i="50"/>
  <c r="CV101" i="32"/>
  <c r="J565" i="50"/>
  <c r="J518" i="50"/>
  <c r="J597" i="50"/>
  <c r="CV342" i="32"/>
  <c r="J101" i="50"/>
  <c r="BX101" i="50" s="1"/>
  <c r="CV350" i="32"/>
  <c r="J108" i="50"/>
  <c r="BX108" i="50" s="1"/>
  <c r="CV354" i="32"/>
  <c r="J112" i="50"/>
  <c r="BX112" i="50" s="1"/>
  <c r="CV346" i="32"/>
  <c r="J105" i="50"/>
  <c r="BX105" i="50" s="1"/>
  <c r="CG108" i="32"/>
  <c r="CG113" i="32"/>
  <c r="CG98" i="32"/>
  <c r="CG349" i="32"/>
  <c r="CG355" i="32"/>
  <c r="CG105" i="32"/>
  <c r="CG114" i="32"/>
  <c r="CG99" i="32"/>
  <c r="CG345" i="32"/>
  <c r="CG352" i="32"/>
  <c r="CG117" i="32"/>
  <c r="CG106" i="32"/>
  <c r="CG111" i="32"/>
  <c r="CG115" i="32"/>
  <c r="CG95" i="32"/>
  <c r="CG100" i="32"/>
  <c r="CG104" i="32"/>
  <c r="CG348" i="32"/>
  <c r="CG353" i="32"/>
  <c r="CG344" i="32"/>
  <c r="CG97" i="32"/>
  <c r="CG118" i="32"/>
  <c r="CG102" i="32"/>
  <c r="CG351" i="32"/>
  <c r="CG347" i="32"/>
  <c r="CG109" i="32"/>
  <c r="CG110" i="32"/>
  <c r="CG94" i="32"/>
  <c r="CG103" i="32"/>
  <c r="CG343" i="32"/>
  <c r="CG141" i="32"/>
  <c r="CG93" i="32"/>
  <c r="CG107" i="32"/>
  <c r="CG112" i="32"/>
  <c r="CG116" i="32"/>
  <c r="CG96" i="32"/>
  <c r="CG101" i="32"/>
  <c r="CG342" i="32"/>
  <c r="CG350" i="32"/>
  <c r="CG354" i="32"/>
  <c r="CG346" i="32"/>
  <c r="AD24" i="34"/>
  <c r="AE24" i="34" s="1"/>
  <c r="AC24" i="34"/>
  <c r="BY600" i="50" l="1"/>
  <c r="BX600" i="50"/>
  <c r="CC600" i="50"/>
  <c r="CC525" i="50"/>
  <c r="BX525" i="50"/>
  <c r="BY525" i="50"/>
  <c r="BX522" i="50"/>
  <c r="BY522" i="50"/>
  <c r="CC522" i="50"/>
  <c r="BY580" i="50"/>
  <c r="BX580" i="50"/>
  <c r="CC580" i="50"/>
  <c r="BY612" i="50"/>
  <c r="BX612" i="50"/>
  <c r="CC612" i="50"/>
  <c r="CC589" i="50"/>
  <c r="BY589" i="50"/>
  <c r="BX589" i="50"/>
  <c r="CC597" i="50"/>
  <c r="BY597" i="50"/>
  <c r="BX597" i="50"/>
  <c r="BX587" i="50"/>
  <c r="BY587" i="50"/>
  <c r="CC587" i="50"/>
  <c r="CC605" i="50"/>
  <c r="BY605" i="50"/>
  <c r="BX605" i="50"/>
  <c r="CC426" i="50"/>
  <c r="BX426" i="50"/>
  <c r="BY426" i="50"/>
  <c r="CF426" i="50"/>
  <c r="CC428" i="50"/>
  <c r="CF428" i="50"/>
  <c r="BY428" i="50"/>
  <c r="BX428" i="50"/>
  <c r="CC601" i="50"/>
  <c r="BY601" i="50"/>
  <c r="BX601" i="50"/>
  <c r="BY592" i="50"/>
  <c r="BX592" i="50"/>
  <c r="CC592" i="50"/>
  <c r="BX607" i="50"/>
  <c r="CC607" i="50"/>
  <c r="BY607" i="50"/>
  <c r="BY413" i="50"/>
  <c r="CB413" i="50"/>
  <c r="BX413" i="50"/>
  <c r="BX591" i="50"/>
  <c r="CC591" i="50"/>
  <c r="BY591" i="50"/>
  <c r="CC524" i="50"/>
  <c r="BY524" i="50"/>
  <c r="BX524" i="50"/>
  <c r="CC515" i="50"/>
  <c r="BY515" i="50"/>
  <c r="BX515" i="50"/>
  <c r="BY616" i="50"/>
  <c r="BX616" i="50"/>
  <c r="CC616" i="50"/>
  <c r="BY340" i="50"/>
  <c r="BX340" i="50"/>
  <c r="CB340" i="50"/>
  <c r="CC521" i="50"/>
  <c r="BY521" i="50"/>
  <c r="BX521" i="50"/>
  <c r="CC602" i="50"/>
  <c r="BY602" i="50"/>
  <c r="BX602" i="50"/>
  <c r="CC520" i="50"/>
  <c r="BY520" i="50"/>
  <c r="BX520" i="50"/>
  <c r="BX518" i="50"/>
  <c r="CC518" i="50"/>
  <c r="BY518" i="50"/>
  <c r="BX611" i="50"/>
  <c r="BY611" i="50"/>
  <c r="CC611" i="50"/>
  <c r="CC613" i="50"/>
  <c r="BY613" i="50"/>
  <c r="BX613" i="50"/>
  <c r="BX599" i="50"/>
  <c r="CC599" i="50"/>
  <c r="BY599" i="50"/>
  <c r="CC606" i="50"/>
  <c r="BX606" i="50"/>
  <c r="BY606" i="50"/>
  <c r="BX615" i="50"/>
  <c r="BY615" i="50"/>
  <c r="CC615" i="50"/>
  <c r="CC610" i="50"/>
  <c r="BY610" i="50"/>
  <c r="BX610" i="50"/>
  <c r="BX603" i="50"/>
  <c r="BY603" i="50"/>
  <c r="CC603" i="50"/>
  <c r="CC582" i="50"/>
  <c r="BX582" i="50"/>
  <c r="BY582" i="50"/>
  <c r="CC609" i="50"/>
  <c r="BY609" i="50"/>
  <c r="BX609" i="50"/>
  <c r="T340" i="50"/>
  <c r="FG340" i="50" s="1"/>
  <c r="CG68" i="34"/>
  <c r="BT68" i="34" s="1"/>
  <c r="CG65" i="34"/>
  <c r="BT65" i="34" s="1"/>
  <c r="BB86" i="34"/>
  <c r="BA86" i="34"/>
  <c r="AZ86" i="34"/>
  <c r="AY86" i="34"/>
  <c r="AX86" i="34"/>
  <c r="AW86" i="34"/>
  <c r="BB85" i="34"/>
  <c r="BA85" i="34"/>
  <c r="AZ85" i="34"/>
  <c r="AY85" i="34"/>
  <c r="AX85" i="34"/>
  <c r="AW85" i="34"/>
  <c r="BB84" i="34"/>
  <c r="BA84" i="34"/>
  <c r="AZ84" i="34"/>
  <c r="AY84" i="34"/>
  <c r="AX84" i="34"/>
  <c r="AW84" i="34"/>
  <c r="BB83" i="34"/>
  <c r="BA83" i="34"/>
  <c r="AZ83" i="34"/>
  <c r="AY83" i="34"/>
  <c r="AX83" i="34"/>
  <c r="AW83" i="34"/>
  <c r="BB82" i="34"/>
  <c r="BA82" i="34"/>
  <c r="AZ82" i="34"/>
  <c r="AY82" i="34"/>
  <c r="AX82" i="34"/>
  <c r="AW82" i="34"/>
  <c r="BB81" i="34"/>
  <c r="BA81" i="34"/>
  <c r="AZ81" i="34"/>
  <c r="AY81" i="34"/>
  <c r="AX81" i="34"/>
  <c r="AW81" i="34"/>
  <c r="BB80" i="34"/>
  <c r="BA80" i="34"/>
  <c r="AZ80" i="34"/>
  <c r="AY80" i="34"/>
  <c r="AX80" i="34"/>
  <c r="AW80" i="34"/>
  <c r="BB79" i="34"/>
  <c r="BA79" i="34"/>
  <c r="AZ79" i="34"/>
  <c r="AY79" i="34"/>
  <c r="AX79" i="34"/>
  <c r="AW79" i="34"/>
  <c r="BB78" i="34"/>
  <c r="BA78" i="34"/>
  <c r="AZ78" i="34"/>
  <c r="AY78" i="34"/>
  <c r="AX78" i="34"/>
  <c r="AW78" i="34"/>
  <c r="BB77" i="34"/>
  <c r="BA77" i="34"/>
  <c r="AZ77" i="34"/>
  <c r="AY77" i="34"/>
  <c r="AX77" i="34"/>
  <c r="AW77" i="34"/>
  <c r="BB73" i="34"/>
  <c r="BA73" i="34"/>
  <c r="AZ73" i="34"/>
  <c r="AY73" i="34"/>
  <c r="AX73" i="34"/>
  <c r="AW73" i="34"/>
  <c r="BA46" i="34"/>
  <c r="BA47" i="34" s="1"/>
  <c r="AZ46" i="34"/>
  <c r="AZ47" i="34" s="1"/>
  <c r="AY46" i="34"/>
  <c r="AY47" i="34" s="1"/>
  <c r="AX46" i="34"/>
  <c r="AX47" i="34" s="1"/>
  <c r="AW46" i="34"/>
  <c r="AW47" i="34" s="1"/>
  <c r="AV73" i="34"/>
  <c r="BH77" i="34"/>
  <c r="AJ46" i="34"/>
  <c r="AJ47" i="34" s="1"/>
  <c r="AI46" i="34"/>
  <c r="AI47" i="34" s="1"/>
  <c r="AH46" i="34"/>
  <c r="AH47" i="34" s="1"/>
  <c r="AO46" i="34"/>
  <c r="AO47" i="34" s="1"/>
  <c r="AN46" i="34"/>
  <c r="AN47" i="34" s="1"/>
  <c r="AM46" i="34"/>
  <c r="AM47" i="34" s="1"/>
  <c r="AL46" i="34"/>
  <c r="AL47" i="34" s="1"/>
  <c r="AK46" i="34"/>
  <c r="AK47" i="34" s="1"/>
  <c r="AE133" i="37" l="1"/>
  <c r="AE130" i="37"/>
  <c r="AE129" i="37"/>
  <c r="AE127" i="37"/>
  <c r="AE125" i="37"/>
  <c r="O50" i="38" l="1"/>
  <c r="P50" i="38"/>
  <c r="AA18" i="35" l="1"/>
  <c r="Z18" i="35"/>
  <c r="Y18" i="35"/>
  <c r="X18" i="35"/>
  <c r="W18" i="35"/>
  <c r="V18" i="35"/>
  <c r="AA17" i="35"/>
  <c r="Z17" i="35"/>
  <c r="Y17" i="35"/>
  <c r="X17" i="35"/>
  <c r="W17" i="35"/>
  <c r="V17" i="35"/>
  <c r="AA16" i="35"/>
  <c r="Z16" i="35"/>
  <c r="Y16" i="35"/>
  <c r="X16" i="35"/>
  <c r="W16" i="35"/>
  <c r="V16" i="35"/>
  <c r="AA15" i="35"/>
  <c r="Z15" i="35"/>
  <c r="Y15" i="35"/>
  <c r="X15" i="35"/>
  <c r="W15" i="35"/>
  <c r="V15" i="35"/>
  <c r="AA14" i="35"/>
  <c r="Z14" i="35"/>
  <c r="Y14" i="35"/>
  <c r="X14" i="35"/>
  <c r="W14" i="35"/>
  <c r="V14" i="35"/>
  <c r="AA13" i="35"/>
  <c r="Z13" i="35"/>
  <c r="Y13" i="35"/>
  <c r="X13" i="35"/>
  <c r="W13" i="35"/>
  <c r="V13" i="35"/>
  <c r="AA12" i="35"/>
  <c r="Z12" i="35"/>
  <c r="Y12" i="35"/>
  <c r="X12" i="35"/>
  <c r="W12" i="35"/>
  <c r="V12" i="35"/>
  <c r="AA11" i="35"/>
  <c r="Z11" i="35"/>
  <c r="Y11" i="35"/>
  <c r="X11" i="35"/>
  <c r="W11" i="35"/>
  <c r="V11" i="35"/>
  <c r="AA10" i="35"/>
  <c r="Z10" i="35"/>
  <c r="Y10" i="35"/>
  <c r="X10" i="35"/>
  <c r="W10" i="35"/>
  <c r="V10" i="35"/>
  <c r="AA9" i="35"/>
  <c r="Z9" i="35"/>
  <c r="Y9" i="35"/>
  <c r="X9" i="35"/>
  <c r="W9" i="35"/>
  <c r="V9" i="35"/>
  <c r="AA7" i="35"/>
  <c r="Z7" i="35"/>
  <c r="Y7" i="35"/>
  <c r="X7" i="35"/>
  <c r="W7" i="35"/>
  <c r="V7" i="35"/>
  <c r="L223" i="32"/>
  <c r="I223" i="32"/>
  <c r="L231" i="32"/>
  <c r="I231" i="32"/>
  <c r="L230" i="32"/>
  <c r="I230" i="32"/>
  <c r="L229" i="32"/>
  <c r="I229" i="32"/>
  <c r="L228" i="32"/>
  <c r="I228" i="32"/>
  <c r="L227" i="32"/>
  <c r="I227" i="32"/>
  <c r="L226" i="32"/>
  <c r="I226" i="32"/>
  <c r="L225" i="32"/>
  <c r="I225" i="32"/>
  <c r="L224" i="32"/>
  <c r="I224" i="32"/>
  <c r="L222" i="32"/>
  <c r="I222" i="32"/>
  <c r="CV193" i="32"/>
  <c r="CV145" i="32"/>
  <c r="L292" i="32"/>
  <c r="L291" i="32"/>
  <c r="L287" i="32"/>
  <c r="L290" i="32"/>
  <c r="L294" i="32"/>
  <c r="L293" i="32"/>
  <c r="L298" i="32"/>
  <c r="L160" i="32"/>
  <c r="L376" i="32"/>
  <c r="L364" i="32"/>
  <c r="L363" i="32"/>
  <c r="L379" i="32"/>
  <c r="L357" i="32"/>
  <c r="L368" i="32"/>
  <c r="L369" i="32"/>
  <c r="L370" i="32"/>
  <c r="L371" i="32"/>
  <c r="L309" i="32"/>
  <c r="L306" i="32"/>
  <c r="L310" i="32"/>
  <c r="L308" i="32"/>
  <c r="L311" i="32"/>
  <c r="L301" i="32"/>
  <c r="L303" i="32"/>
  <c r="L304" i="32"/>
  <c r="L299" i="32"/>
  <c r="L300" i="32"/>
  <c r="L302" i="32"/>
  <c r="L314" i="32"/>
  <c r="L313" i="32"/>
  <c r="L312" i="32"/>
  <c r="L328" i="32"/>
  <c r="L316" i="32"/>
  <c r="L315" i="32"/>
  <c r="L317" i="32"/>
  <c r="L323" i="32"/>
  <c r="L320" i="32"/>
  <c r="L327" i="32"/>
  <c r="L329" i="32"/>
  <c r="L322" i="32"/>
  <c r="L321" i="32"/>
  <c r="L324" i="32"/>
  <c r="L330" i="32"/>
  <c r="I723" i="50" l="1"/>
  <c r="I129" i="50"/>
  <c r="I744" i="50"/>
  <c r="I141" i="50"/>
  <c r="I790" i="50"/>
  <c r="I985" i="50"/>
  <c r="I791" i="50"/>
  <c r="I789" i="50"/>
  <c r="I984" i="50"/>
  <c r="I982" i="50"/>
  <c r="I189" i="50"/>
  <c r="I867" i="50"/>
  <c r="I792" i="50"/>
  <c r="I983" i="50"/>
  <c r="I1086" i="50"/>
  <c r="I1076" i="50"/>
  <c r="I1052" i="50"/>
  <c r="I1022" i="50"/>
  <c r="I247" i="50"/>
  <c r="I993" i="50"/>
  <c r="I1082" i="50"/>
  <c r="I1072" i="50"/>
  <c r="I1048" i="50"/>
  <c r="I1018" i="50"/>
  <c r="I251" i="50"/>
  <c r="I989" i="50"/>
  <c r="I728" i="50"/>
  <c r="I135" i="50"/>
  <c r="I729" i="50"/>
  <c r="I694" i="50"/>
  <c r="I693" i="50"/>
  <c r="I692" i="50"/>
  <c r="I134" i="50"/>
  <c r="I721" i="50"/>
  <c r="I685" i="50"/>
  <c r="I684" i="50"/>
  <c r="I683" i="50"/>
  <c r="I127" i="50"/>
  <c r="I153" i="50"/>
  <c r="I756" i="50"/>
  <c r="I742" i="50"/>
  <c r="I139" i="50"/>
  <c r="I151" i="50"/>
  <c r="I754" i="50"/>
  <c r="I149" i="50"/>
  <c r="I148" i="50"/>
  <c r="I752" i="50"/>
  <c r="I751" i="50"/>
  <c r="I741" i="50"/>
  <c r="I77" i="50"/>
  <c r="I76" i="50"/>
  <c r="I75" i="50"/>
  <c r="I73" i="50"/>
  <c r="I74" i="50"/>
  <c r="I72" i="50"/>
  <c r="I71" i="50"/>
  <c r="I70" i="50"/>
  <c r="I69" i="50"/>
  <c r="I642" i="50"/>
  <c r="I638" i="50"/>
  <c r="I637" i="50"/>
  <c r="I636" i="50"/>
  <c r="I98" i="50"/>
  <c r="I647" i="50"/>
  <c r="I91" i="50"/>
  <c r="I90" i="50"/>
  <c r="I863" i="50"/>
  <c r="I178" i="50"/>
  <c r="I955" i="50"/>
  <c r="I861" i="50"/>
  <c r="I1003" i="50"/>
  <c r="I950" i="50"/>
  <c r="I164" i="50"/>
  <c r="I868" i="50"/>
  <c r="I871" i="50"/>
  <c r="I823" i="50"/>
  <c r="I825" i="50"/>
  <c r="I827" i="50"/>
  <c r="I817" i="50"/>
  <c r="I1002" i="50"/>
  <c r="I176" i="50"/>
  <c r="I816" i="50"/>
  <c r="I852" i="50"/>
  <c r="I824" i="50"/>
  <c r="I844" i="50"/>
  <c r="I957" i="50"/>
  <c r="I826" i="50"/>
  <c r="I853" i="50"/>
  <c r="I842" i="50"/>
  <c r="I843" i="50"/>
  <c r="I818" i="50"/>
  <c r="I1087" i="50"/>
  <c r="I1077" i="50"/>
  <c r="I1053" i="50"/>
  <c r="I1023" i="50"/>
  <c r="I246" i="50"/>
  <c r="I994" i="50"/>
  <c r="I1083" i="50"/>
  <c r="I1073" i="50"/>
  <c r="I1049" i="50"/>
  <c r="I1019" i="50"/>
  <c r="I250" i="50"/>
  <c r="I990" i="50"/>
  <c r="I1079" i="50"/>
  <c r="I1069" i="50"/>
  <c r="I1045" i="50"/>
  <c r="I1015" i="50"/>
  <c r="I245" i="50"/>
  <c r="I986" i="50"/>
  <c r="I152" i="50"/>
  <c r="I755" i="50"/>
  <c r="I749" i="50"/>
  <c r="I146" i="50"/>
  <c r="I646" i="50"/>
  <c r="I97" i="50"/>
  <c r="I68" i="50"/>
  <c r="I67" i="50"/>
  <c r="I66" i="50"/>
  <c r="I173" i="50"/>
  <c r="I858" i="50"/>
  <c r="I131" i="50"/>
  <c r="I725" i="50"/>
  <c r="I128" i="50"/>
  <c r="I722" i="50"/>
  <c r="I757" i="50"/>
  <c r="I154" i="50"/>
  <c r="I748" i="50"/>
  <c r="I145" i="50"/>
  <c r="I147" i="50"/>
  <c r="I750" i="50"/>
  <c r="I644" i="50"/>
  <c r="I95" i="50"/>
  <c r="I99" i="50"/>
  <c r="I648" i="50"/>
  <c r="I179" i="50"/>
  <c r="I864" i="50"/>
  <c r="I779" i="50"/>
  <c r="I777" i="50"/>
  <c r="I177" i="50"/>
  <c r="I973" i="50"/>
  <c r="I971" i="50"/>
  <c r="I855" i="50"/>
  <c r="I165" i="50"/>
  <c r="I972" i="50"/>
  <c r="I970" i="50"/>
  <c r="I1005" i="50"/>
  <c r="I1004" i="50"/>
  <c r="I801" i="50"/>
  <c r="I800" i="50"/>
  <c r="I799" i="50"/>
  <c r="I780" i="50"/>
  <c r="I778" i="50"/>
  <c r="I839" i="50"/>
  <c r="I840" i="50"/>
  <c r="I862" i="50"/>
  <c r="I854" i="50"/>
  <c r="I841" i="50"/>
  <c r="I1088" i="50"/>
  <c r="I1078" i="50"/>
  <c r="I1054" i="50"/>
  <c r="I1024" i="50"/>
  <c r="I244" i="50"/>
  <c r="I995" i="50"/>
  <c r="I1084" i="50"/>
  <c r="I1074" i="50"/>
  <c r="I1050" i="50"/>
  <c r="I1020" i="50"/>
  <c r="I249" i="50"/>
  <c r="I991" i="50"/>
  <c r="I1080" i="50"/>
  <c r="I1070" i="50"/>
  <c r="I1046" i="50"/>
  <c r="I1016" i="50"/>
  <c r="I253" i="50"/>
  <c r="I987" i="50"/>
  <c r="I954" i="50"/>
  <c r="I732" i="50"/>
  <c r="I731" i="50"/>
  <c r="I720" i="50"/>
  <c r="I711" i="50"/>
  <c r="I713" i="50"/>
  <c r="I714" i="50"/>
  <c r="I701" i="50"/>
  <c r="I703" i="50"/>
  <c r="I1030" i="50"/>
  <c r="I1014" i="50"/>
  <c r="I678" i="50"/>
  <c r="I1029" i="50"/>
  <c r="I1013" i="50"/>
  <c r="I676" i="50"/>
  <c r="I677" i="50"/>
  <c r="I675" i="50"/>
  <c r="I138" i="50"/>
  <c r="I696" i="50"/>
  <c r="I719" i="50"/>
  <c r="I702" i="50"/>
  <c r="I137" i="50"/>
  <c r="I712" i="50"/>
  <c r="I697" i="50"/>
  <c r="I710" i="50"/>
  <c r="I695" i="50"/>
  <c r="I140" i="50"/>
  <c r="I743" i="50"/>
  <c r="I132" i="50"/>
  <c r="I726" i="50"/>
  <c r="I730" i="50"/>
  <c r="I136" i="50"/>
  <c r="I745" i="50"/>
  <c r="I142" i="50"/>
  <c r="I747" i="50"/>
  <c r="I746" i="50"/>
  <c r="I143" i="50"/>
  <c r="I144" i="50"/>
  <c r="I753" i="50"/>
  <c r="I150" i="50"/>
  <c r="I643" i="50"/>
  <c r="I100" i="50"/>
  <c r="I649" i="50"/>
  <c r="I980" i="50"/>
  <c r="I978" i="50"/>
  <c r="I981" i="50"/>
  <c r="I786" i="50"/>
  <c r="I175" i="50"/>
  <c r="I851" i="50"/>
  <c r="I999" i="50"/>
  <c r="I998" i="50"/>
  <c r="I787" i="50"/>
  <c r="I979" i="50"/>
  <c r="I822" i="50"/>
  <c r="I798" i="50"/>
  <c r="I797" i="50"/>
  <c r="I796" i="50"/>
  <c r="I860" i="50"/>
  <c r="I769" i="50"/>
  <c r="I768" i="50"/>
  <c r="I788" i="50"/>
  <c r="I838" i="50"/>
  <c r="I836" i="50"/>
  <c r="I785" i="50"/>
  <c r="I850" i="50"/>
  <c r="I837" i="50"/>
  <c r="I1085" i="50"/>
  <c r="I1075" i="50"/>
  <c r="I1051" i="50"/>
  <c r="I1021" i="50"/>
  <c r="I248" i="50"/>
  <c r="I992" i="50"/>
  <c r="I1081" i="50"/>
  <c r="I1071" i="50"/>
  <c r="I1047" i="50"/>
  <c r="I1017" i="50"/>
  <c r="I252" i="50"/>
  <c r="I988" i="50"/>
  <c r="CT222" i="32"/>
  <c r="H244" i="50"/>
  <c r="H1078" i="50"/>
  <c r="H1024" i="50"/>
  <c r="H1088" i="50"/>
  <c r="H1054" i="50"/>
  <c r="H995" i="50"/>
  <c r="CT227" i="32"/>
  <c r="H1074" i="50"/>
  <c r="H1020" i="50"/>
  <c r="H1084" i="50"/>
  <c r="H1050" i="50"/>
  <c r="H249" i="50"/>
  <c r="H991" i="50"/>
  <c r="CT231" i="32"/>
  <c r="H1070" i="50"/>
  <c r="H1016" i="50"/>
  <c r="H1080" i="50"/>
  <c r="H1046" i="50"/>
  <c r="H253" i="50"/>
  <c r="H987" i="50"/>
  <c r="J406" i="50"/>
  <c r="J395" i="50"/>
  <c r="CT226" i="32"/>
  <c r="H1075" i="50"/>
  <c r="H1021" i="50"/>
  <c r="H1085" i="50"/>
  <c r="H248" i="50"/>
  <c r="H1051" i="50"/>
  <c r="H992" i="50"/>
  <c r="CT230" i="32"/>
  <c r="H1071" i="50"/>
  <c r="H1017" i="50"/>
  <c r="H1047" i="50"/>
  <c r="H252" i="50"/>
  <c r="H988" i="50"/>
  <c r="H1081" i="50"/>
  <c r="CV192" i="32"/>
  <c r="J277" i="50"/>
  <c r="CT225" i="32"/>
  <c r="H1086" i="50"/>
  <c r="H1052" i="50"/>
  <c r="H247" i="50"/>
  <c r="H1076" i="50"/>
  <c r="H1022" i="50"/>
  <c r="H993" i="50"/>
  <c r="CV226" i="32"/>
  <c r="J1085" i="50"/>
  <c r="J1051" i="50"/>
  <c r="J248" i="50"/>
  <c r="J1021" i="50"/>
  <c r="J1075" i="50"/>
  <c r="J992" i="50"/>
  <c r="CT229" i="32"/>
  <c r="H1082" i="50"/>
  <c r="H1048" i="50"/>
  <c r="H251" i="50"/>
  <c r="H1072" i="50"/>
  <c r="H1018" i="50"/>
  <c r="H989" i="50"/>
  <c r="CV230" i="32"/>
  <c r="J1081" i="50"/>
  <c r="J1047" i="50"/>
  <c r="J252" i="50"/>
  <c r="J1071" i="50"/>
  <c r="J1017" i="50"/>
  <c r="J988" i="50"/>
  <c r="CV146" i="32"/>
  <c r="J404" i="50"/>
  <c r="CV224" i="32"/>
  <c r="J1077" i="50"/>
  <c r="J1023" i="50"/>
  <c r="J1053" i="50"/>
  <c r="J1087" i="50"/>
  <c r="J246" i="50"/>
  <c r="J994" i="50"/>
  <c r="CV228" i="32"/>
  <c r="J1073" i="50"/>
  <c r="J1019" i="50"/>
  <c r="J1083" i="50"/>
  <c r="J250" i="50"/>
  <c r="J1049" i="50"/>
  <c r="J990" i="50"/>
  <c r="CV223" i="32"/>
  <c r="J1069" i="50"/>
  <c r="J1015" i="50"/>
  <c r="J1045" i="50"/>
  <c r="J245" i="50"/>
  <c r="J986" i="50"/>
  <c r="J1079" i="50"/>
  <c r="CV222" i="32"/>
  <c r="J1088" i="50"/>
  <c r="J1054" i="50"/>
  <c r="J1078" i="50"/>
  <c r="J1024" i="50"/>
  <c r="J244" i="50"/>
  <c r="J995" i="50"/>
  <c r="CV227" i="32"/>
  <c r="J1084" i="50"/>
  <c r="J1050" i="50"/>
  <c r="J249" i="50"/>
  <c r="J1074" i="50"/>
  <c r="J1020" i="50"/>
  <c r="J991" i="50"/>
  <c r="CV231" i="32"/>
  <c r="J1080" i="50"/>
  <c r="J1046" i="50"/>
  <c r="J253" i="50"/>
  <c r="J1070" i="50"/>
  <c r="J1016" i="50"/>
  <c r="J987" i="50"/>
  <c r="CT224" i="32"/>
  <c r="H1087" i="50"/>
  <c r="H1053" i="50"/>
  <c r="H246" i="50"/>
  <c r="H1023" i="50"/>
  <c r="H1077" i="50"/>
  <c r="H994" i="50"/>
  <c r="CV225" i="32"/>
  <c r="J1076" i="50"/>
  <c r="J1022" i="50"/>
  <c r="J1086" i="50"/>
  <c r="J1052" i="50"/>
  <c r="J247" i="50"/>
  <c r="J993" i="50"/>
  <c r="CT228" i="32"/>
  <c r="H1083" i="50"/>
  <c r="H1049" i="50"/>
  <c r="H250" i="50"/>
  <c r="H1073" i="50"/>
  <c r="H1019" i="50"/>
  <c r="H990" i="50"/>
  <c r="CV229" i="32"/>
  <c r="J1072" i="50"/>
  <c r="J1018" i="50"/>
  <c r="J1082" i="50"/>
  <c r="J1048" i="50"/>
  <c r="J251" i="50"/>
  <c r="J989" i="50"/>
  <c r="CT223" i="32"/>
  <c r="H1079" i="50"/>
  <c r="H1045" i="50"/>
  <c r="H245" i="50"/>
  <c r="H1015" i="50"/>
  <c r="H1069" i="50"/>
  <c r="H986" i="50"/>
  <c r="CV159" i="32"/>
  <c r="L193" i="32"/>
  <c r="I193" i="32"/>
  <c r="CT193" i="32" s="1"/>
  <c r="L192" i="32"/>
  <c r="I277" i="50" s="1"/>
  <c r="I192" i="32"/>
  <c r="L159" i="32"/>
  <c r="I159" i="32"/>
  <c r="L146" i="32"/>
  <c r="I404" i="50" s="1"/>
  <c r="I146" i="32"/>
  <c r="L145" i="32"/>
  <c r="I145" i="32"/>
  <c r="CT145" i="32" s="1"/>
  <c r="I406" i="50" l="1"/>
  <c r="I395" i="50"/>
  <c r="H406" i="50"/>
  <c r="H395" i="50"/>
  <c r="DH253" i="50"/>
  <c r="DL253" i="50"/>
  <c r="DH245" i="50"/>
  <c r="DL245" i="50"/>
  <c r="DH246" i="50"/>
  <c r="DL246" i="50"/>
  <c r="DH247" i="50"/>
  <c r="DL247" i="50"/>
  <c r="DH252" i="50"/>
  <c r="DL252" i="50"/>
  <c r="CT146" i="32"/>
  <c r="H404" i="50"/>
  <c r="CT192" i="32"/>
  <c r="H277" i="50"/>
  <c r="DH244" i="50"/>
  <c r="DL244" i="50"/>
  <c r="DH248" i="50"/>
  <c r="DL248" i="50"/>
  <c r="DH250" i="50"/>
  <c r="DL250" i="50"/>
  <c r="DH251" i="50"/>
  <c r="DL251" i="50"/>
  <c r="DH249" i="50"/>
  <c r="DL249" i="50"/>
  <c r="CT159" i="32"/>
  <c r="CD192" i="32"/>
  <c r="CD145" i="32"/>
  <c r="CD193" i="32"/>
  <c r="CD146" i="32"/>
  <c r="CD159" i="32"/>
  <c r="L347" i="32"/>
  <c r="I106" i="50" s="1"/>
  <c r="L346" i="32"/>
  <c r="I105" i="50" s="1"/>
  <c r="L344" i="32"/>
  <c r="I103" i="50" s="1"/>
  <c r="L343" i="32"/>
  <c r="I102" i="50" s="1"/>
  <c r="L355" i="32"/>
  <c r="I113" i="50" s="1"/>
  <c r="L354" i="32"/>
  <c r="I112" i="50" s="1"/>
  <c r="L353" i="32"/>
  <c r="I111" i="50" s="1"/>
  <c r="L352" i="32"/>
  <c r="I110" i="50" s="1"/>
  <c r="L351" i="32"/>
  <c r="I109" i="50" s="1"/>
  <c r="L350" i="32"/>
  <c r="I108" i="50" s="1"/>
  <c r="L348" i="32"/>
  <c r="I107" i="50" s="1"/>
  <c r="L345" i="32"/>
  <c r="L349" i="32"/>
  <c r="I115" i="50" s="1"/>
  <c r="L342" i="32"/>
  <c r="I101" i="50" s="1"/>
  <c r="L104" i="32"/>
  <c r="L103" i="32"/>
  <c r="L102" i="32"/>
  <c r="L101" i="32"/>
  <c r="L100" i="32"/>
  <c r="L99" i="32"/>
  <c r="L98" i="32"/>
  <c r="I426" i="50" s="1"/>
  <c r="L96" i="32"/>
  <c r="L95" i="32"/>
  <c r="I515" i="50" s="1"/>
  <c r="L94" i="32"/>
  <c r="L118" i="32"/>
  <c r="L116" i="32"/>
  <c r="I616" i="50" s="1"/>
  <c r="L115" i="32"/>
  <c r="L114" i="32"/>
  <c r="I613" i="50" s="1"/>
  <c r="L113" i="32"/>
  <c r="L112" i="32"/>
  <c r="L111" i="32"/>
  <c r="L110" i="32"/>
  <c r="L108" i="32"/>
  <c r="L107" i="32"/>
  <c r="L106" i="32"/>
  <c r="L105" i="32"/>
  <c r="I602" i="50" s="1"/>
  <c r="L97" i="32"/>
  <c r="L93" i="32"/>
  <c r="I580" i="50" s="1"/>
  <c r="L117" i="32"/>
  <c r="I539" i="50" s="1"/>
  <c r="L109" i="32"/>
  <c r="L142" i="32"/>
  <c r="AO45" i="19"/>
  <c r="AN45" i="19"/>
  <c r="AO44" i="19"/>
  <c r="AN44" i="19"/>
  <c r="AO43" i="19"/>
  <c r="AN43" i="19"/>
  <c r="AO42" i="19"/>
  <c r="AN42" i="19"/>
  <c r="AO41" i="19"/>
  <c r="AN41" i="19"/>
  <c r="AO40" i="19"/>
  <c r="AN40" i="19"/>
  <c r="AO39" i="19"/>
  <c r="AN39" i="19"/>
  <c r="AO38" i="19"/>
  <c r="AN38" i="19"/>
  <c r="AO37" i="19"/>
  <c r="AN37" i="19"/>
  <c r="AO35" i="19"/>
  <c r="AN35" i="19"/>
  <c r="AO34" i="19"/>
  <c r="AN34" i="19"/>
  <c r="AN31" i="19"/>
  <c r="AO31" i="19"/>
  <c r="I571" i="50" l="1"/>
  <c r="I605" i="50"/>
  <c r="I576" i="50"/>
  <c r="I611" i="50"/>
  <c r="I587" i="50"/>
  <c r="I561" i="50"/>
  <c r="I597" i="50"/>
  <c r="I565" i="50"/>
  <c r="I518" i="50"/>
  <c r="I562" i="50"/>
  <c r="I589" i="50"/>
  <c r="I577" i="50"/>
  <c r="I537" i="50"/>
  <c r="I524" i="50"/>
  <c r="I428" i="50"/>
  <c r="I612" i="50"/>
  <c r="I574" i="50"/>
  <c r="I609" i="50"/>
  <c r="I563" i="50"/>
  <c r="I591" i="50"/>
  <c r="I399" i="50"/>
  <c r="I414" i="50"/>
  <c r="I606" i="50"/>
  <c r="I572" i="50"/>
  <c r="I540" i="50"/>
  <c r="I579" i="50"/>
  <c r="I566" i="50"/>
  <c r="I599" i="50"/>
  <c r="I520" i="50"/>
  <c r="I534" i="50"/>
  <c r="I573" i="50"/>
  <c r="I607" i="50"/>
  <c r="I560" i="50"/>
  <c r="I582" i="50"/>
  <c r="I567" i="50"/>
  <c r="I521" i="50"/>
  <c r="I600" i="50"/>
  <c r="I114" i="50"/>
  <c r="I104" i="50"/>
  <c r="I570" i="50"/>
  <c r="I535" i="50"/>
  <c r="I522" i="50"/>
  <c r="I603" i="50"/>
  <c r="I575" i="50"/>
  <c r="I610" i="50"/>
  <c r="I538" i="50"/>
  <c r="I578" i="50"/>
  <c r="I615" i="50"/>
  <c r="I525" i="50"/>
  <c r="I592" i="50"/>
  <c r="I564" i="50"/>
  <c r="I569" i="50"/>
  <c r="I601" i="50"/>
  <c r="DH404" i="50"/>
  <c r="DM404" i="50"/>
  <c r="DL404" i="50"/>
  <c r="DH395" i="50"/>
  <c r="DI395" i="50"/>
  <c r="DH277" i="50"/>
  <c r="DL277" i="50"/>
  <c r="DH406" i="50"/>
  <c r="DM406" i="50"/>
  <c r="DL406" i="50"/>
  <c r="CD342" i="32"/>
  <c r="CD350" i="32"/>
  <c r="CD354" i="32"/>
  <c r="CD346" i="32"/>
  <c r="CD349" i="32"/>
  <c r="CD351" i="32"/>
  <c r="CD355" i="32"/>
  <c r="CD347" i="32"/>
  <c r="CD93" i="32"/>
  <c r="CD116" i="32"/>
  <c r="CD105" i="32"/>
  <c r="CD114" i="32"/>
  <c r="CD345" i="32"/>
  <c r="CD352" i="32"/>
  <c r="CD343" i="32"/>
  <c r="CD95" i="32"/>
  <c r="CD348" i="32"/>
  <c r="CD353" i="32"/>
  <c r="CD344" i="32"/>
  <c r="CD103" i="32"/>
  <c r="CD100" i="32"/>
  <c r="CD104" i="32"/>
  <c r="CD107" i="32"/>
  <c r="CD112" i="32"/>
  <c r="CD96" i="32"/>
  <c r="CD101" i="32"/>
  <c r="CD110" i="32"/>
  <c r="CD94" i="32"/>
  <c r="CD106" i="32"/>
  <c r="CD111" i="32"/>
  <c r="CD142" i="32"/>
  <c r="CD108" i="32"/>
  <c r="CD118" i="32"/>
  <c r="CD102" i="32"/>
  <c r="K184" i="34" l="1"/>
  <c r="M184" i="34" s="1"/>
  <c r="I184" i="34"/>
  <c r="H185" i="34"/>
  <c r="H186" i="34" s="1"/>
  <c r="H187" i="34" s="1"/>
  <c r="H188" i="34" s="1"/>
  <c r="G185" i="34"/>
  <c r="G186" i="34" s="1"/>
  <c r="G187" i="34" s="1"/>
  <c r="G188" i="34" s="1"/>
  <c r="C185" i="34"/>
  <c r="C186" i="34" s="1"/>
  <c r="C187" i="34" s="1"/>
  <c r="C188" i="34" s="1"/>
  <c r="K178" i="34"/>
  <c r="M178" i="34"/>
  <c r="N178" i="34" s="1"/>
  <c r="I178" i="34"/>
  <c r="G179" i="34"/>
  <c r="G180" i="34" s="1"/>
  <c r="C174" i="34"/>
  <c r="G174" i="34" s="1"/>
  <c r="H174" i="34" s="1"/>
  <c r="C169" i="34"/>
  <c r="G169" i="34" s="1"/>
  <c r="C168" i="34"/>
  <c r="G168" i="34" s="1"/>
  <c r="C167" i="34"/>
  <c r="G167" i="34" s="1"/>
  <c r="C166" i="34"/>
  <c r="G166" i="34" s="1"/>
  <c r="C165" i="34"/>
  <c r="G165" i="34" s="1"/>
  <c r="C164" i="34"/>
  <c r="G164" i="34" s="1"/>
  <c r="I188" i="34" l="1"/>
  <c r="M180" i="34"/>
  <c r="N180" i="34" s="1"/>
  <c r="K180" i="34"/>
  <c r="I180" i="34"/>
  <c r="G181" i="34"/>
  <c r="K186" i="34"/>
  <c r="M186" i="34" s="1"/>
  <c r="I179" i="34"/>
  <c r="K179" i="34"/>
  <c r="M179" i="34"/>
  <c r="N179" i="34" s="1"/>
  <c r="K187" i="34"/>
  <c r="M187" i="34" s="1"/>
  <c r="K188" i="34"/>
  <c r="M188" i="34" s="1"/>
  <c r="K185" i="34"/>
  <c r="M185" i="34" s="1"/>
  <c r="I185" i="34"/>
  <c r="I186" i="34"/>
  <c r="I187" i="34"/>
  <c r="M181" i="34" l="1"/>
  <c r="N181" i="34" s="1"/>
  <c r="K181" i="34"/>
  <c r="I181" i="34"/>
  <c r="P11" i="38" l="1"/>
  <c r="O11" i="38"/>
  <c r="P10" i="38"/>
  <c r="O10" i="38"/>
  <c r="P9" i="38"/>
  <c r="O9" i="38"/>
  <c r="P8" i="38"/>
  <c r="O8" i="38"/>
  <c r="P49" i="38"/>
  <c r="O49" i="38"/>
  <c r="P48" i="38"/>
  <c r="O48" i="38"/>
  <c r="P47" i="38"/>
  <c r="O47" i="38"/>
  <c r="P46" i="38"/>
  <c r="O46" i="38"/>
  <c r="P45" i="38"/>
  <c r="O45" i="38"/>
  <c r="P44" i="38"/>
  <c r="O44" i="38"/>
  <c r="P43" i="38"/>
  <c r="O43" i="38"/>
  <c r="P42" i="38"/>
  <c r="O42" i="38"/>
  <c r="P41" i="38"/>
  <c r="O41" i="38"/>
  <c r="P40" i="38"/>
  <c r="O40" i="38"/>
  <c r="P39" i="38"/>
  <c r="O39" i="38"/>
  <c r="P38" i="38"/>
  <c r="O38" i="38"/>
  <c r="P37" i="38"/>
  <c r="O37" i="38"/>
  <c r="P36" i="38"/>
  <c r="O36" i="38"/>
  <c r="P35" i="38"/>
  <c r="O35" i="38"/>
  <c r="P34" i="38"/>
  <c r="O34" i="38"/>
  <c r="P33" i="38"/>
  <c r="O33" i="38"/>
  <c r="P32" i="38"/>
  <c r="O32" i="38"/>
  <c r="P31" i="38"/>
  <c r="O31" i="38"/>
  <c r="P30" i="38"/>
  <c r="O30" i="38"/>
  <c r="P29" i="38"/>
  <c r="O29" i="38"/>
  <c r="P28" i="38"/>
  <c r="O28" i="38"/>
  <c r="P27" i="38"/>
  <c r="O27" i="38"/>
  <c r="P26" i="38"/>
  <c r="O26" i="38"/>
  <c r="P25" i="38"/>
  <c r="O25" i="38"/>
  <c r="P24" i="38"/>
  <c r="O24" i="38"/>
  <c r="P23" i="38"/>
  <c r="O23" i="38"/>
  <c r="O12" i="38"/>
  <c r="P12" i="38"/>
  <c r="O13" i="38"/>
  <c r="P13" i="38"/>
  <c r="O14" i="38"/>
  <c r="P14" i="38"/>
  <c r="O15" i="38"/>
  <c r="P15" i="38"/>
  <c r="O16" i="38"/>
  <c r="P16" i="38"/>
  <c r="O17" i="38"/>
  <c r="P17" i="38"/>
  <c r="O18" i="38"/>
  <c r="P18" i="38"/>
  <c r="O19" i="38"/>
  <c r="P19" i="38"/>
  <c r="O20" i="38"/>
  <c r="P20" i="38"/>
  <c r="O21" i="38"/>
  <c r="P21" i="38"/>
  <c r="O22" i="38"/>
  <c r="P22" i="38"/>
  <c r="C141" i="32" l="1"/>
  <c r="C157" i="32"/>
  <c r="C154" i="32"/>
  <c r="C155" i="32"/>
  <c r="C137" i="32"/>
  <c r="C136" i="32"/>
  <c r="C138" i="32"/>
  <c r="C127" i="32"/>
  <c r="C139" i="32"/>
  <c r="C131" i="32"/>
  <c r="C135" i="32"/>
  <c r="C140" i="32"/>
  <c r="C126" i="32"/>
  <c r="C132" i="32"/>
  <c r="C134" i="32"/>
  <c r="C124" i="32"/>
  <c r="C121" i="32"/>
  <c r="C128" i="32"/>
  <c r="C129" i="32"/>
  <c r="C123" i="32"/>
  <c r="C119" i="32"/>
  <c r="C122" i="32"/>
  <c r="C120" i="32"/>
  <c r="C130" i="32"/>
  <c r="C125" i="32"/>
  <c r="C133" i="32"/>
  <c r="C158" i="32"/>
  <c r="C150" i="32"/>
  <c r="C163" i="32"/>
  <c r="C166" i="32"/>
  <c r="C147" i="32"/>
  <c r="C149" i="32"/>
  <c r="C151" i="32"/>
  <c r="C148" i="32"/>
  <c r="C153" i="32"/>
  <c r="C144" i="32"/>
  <c r="C168" i="32"/>
  <c r="C161" i="32"/>
  <c r="C143" i="32"/>
  <c r="C167" i="32"/>
  <c r="C162" i="32"/>
  <c r="I142" i="32"/>
  <c r="I347" i="32"/>
  <c r="I346" i="32"/>
  <c r="I344" i="32"/>
  <c r="I343" i="32"/>
  <c r="I355" i="32"/>
  <c r="I354" i="32"/>
  <c r="I353" i="32"/>
  <c r="I352" i="32"/>
  <c r="I351" i="32"/>
  <c r="I350" i="32"/>
  <c r="I348" i="32"/>
  <c r="I345" i="32"/>
  <c r="I349" i="32"/>
  <c r="I342" i="32"/>
  <c r="I104" i="32"/>
  <c r="I103" i="32"/>
  <c r="I102" i="32"/>
  <c r="I101" i="32"/>
  <c r="I100" i="32"/>
  <c r="I99" i="32"/>
  <c r="I98" i="32"/>
  <c r="I96" i="32"/>
  <c r="I95" i="32"/>
  <c r="I94" i="32"/>
  <c r="I118" i="32"/>
  <c r="I116" i="32"/>
  <c r="I115" i="32"/>
  <c r="I114" i="32"/>
  <c r="I113" i="32"/>
  <c r="I112" i="32"/>
  <c r="I111" i="32"/>
  <c r="I110" i="32"/>
  <c r="I108" i="32"/>
  <c r="I107" i="32"/>
  <c r="I106" i="32"/>
  <c r="I105" i="32"/>
  <c r="I97" i="32"/>
  <c r="I93" i="32"/>
  <c r="I117" i="32"/>
  <c r="I109" i="32"/>
  <c r="Q77" i="19"/>
  <c r="Q75" i="19"/>
  <c r="Q74" i="19"/>
  <c r="Q73" i="19"/>
  <c r="Q72" i="19"/>
  <c r="Q71" i="19"/>
  <c r="Q70" i="19"/>
  <c r="Q69" i="19"/>
  <c r="Q68" i="19"/>
  <c r="Q67" i="19"/>
  <c r="Q66" i="19"/>
  <c r="Q65" i="19"/>
  <c r="Q64" i="19"/>
  <c r="Q63" i="19"/>
  <c r="Q62" i="19"/>
  <c r="Q61" i="19"/>
  <c r="Q60" i="19"/>
  <c r="Q59" i="19"/>
  <c r="Q58" i="19"/>
  <c r="Q57" i="19"/>
  <c r="Q56" i="19"/>
  <c r="Q55" i="19"/>
  <c r="Q54" i="19"/>
  <c r="Q53" i="19"/>
  <c r="Q52" i="19"/>
  <c r="Q51" i="19"/>
  <c r="Q49" i="19"/>
  <c r="Q48" i="19"/>
  <c r="Q47" i="19"/>
  <c r="Q46" i="19"/>
  <c r="Q45" i="19"/>
  <c r="Q44" i="19"/>
  <c r="Q43" i="19"/>
  <c r="Q42" i="19"/>
  <c r="Q41" i="19"/>
  <c r="Q40" i="19"/>
  <c r="Q39" i="19"/>
  <c r="Q38" i="19"/>
  <c r="Q37" i="19"/>
  <c r="Q36" i="19"/>
  <c r="Q35" i="19"/>
  <c r="Q34" i="19"/>
  <c r="Q33" i="19"/>
  <c r="Q32" i="19"/>
  <c r="Q31" i="19"/>
  <c r="Q92" i="19"/>
  <c r="Q91" i="19"/>
  <c r="Q90" i="19"/>
  <c r="Q89" i="19"/>
  <c r="Q88" i="19"/>
  <c r="Q87" i="19"/>
  <c r="Q86" i="19"/>
  <c r="Q85" i="19"/>
  <c r="Q84" i="19"/>
  <c r="Q83" i="19"/>
  <c r="Q82" i="19"/>
  <c r="Q81" i="19"/>
  <c r="Q80" i="19"/>
  <c r="Q79" i="19"/>
  <c r="Q126" i="19"/>
  <c r="Q125" i="19"/>
  <c r="Q124" i="19"/>
  <c r="Q123" i="19"/>
  <c r="Q122" i="19"/>
  <c r="Q121" i="19"/>
  <c r="Q120" i="19"/>
  <c r="Q119" i="19"/>
  <c r="Q116" i="19"/>
  <c r="Q114" i="19"/>
  <c r="Q113" i="19"/>
  <c r="Q112" i="19"/>
  <c r="Q111" i="19"/>
  <c r="Q110" i="19"/>
  <c r="Q109" i="19"/>
  <c r="Q108" i="19"/>
  <c r="Q107" i="19"/>
  <c r="Q105" i="19"/>
  <c r="Q104" i="19"/>
  <c r="Q103" i="19"/>
  <c r="Q102" i="19"/>
  <c r="Q101" i="19"/>
  <c r="Q100" i="19"/>
  <c r="Q99" i="19"/>
  <c r="Q98" i="19"/>
  <c r="Q97" i="19"/>
  <c r="L220" i="32"/>
  <c r="I296" i="50" s="1"/>
  <c r="CH220" i="32"/>
  <c r="J296" i="50"/>
  <c r="I220" i="32"/>
  <c r="H296" i="50" s="1"/>
  <c r="L208" i="32"/>
  <c r="I293" i="50" s="1"/>
  <c r="CH208" i="32"/>
  <c r="I208" i="32"/>
  <c r="L206" i="32"/>
  <c r="I291" i="50" s="1"/>
  <c r="CH206" i="32"/>
  <c r="J291" i="50"/>
  <c r="I206" i="32"/>
  <c r="H291" i="50" s="1"/>
  <c r="L205" i="32"/>
  <c r="I290" i="50" s="1"/>
  <c r="CH205" i="32"/>
  <c r="I205" i="32"/>
  <c r="L221" i="32"/>
  <c r="I297" i="50" s="1"/>
  <c r="CH221" i="32"/>
  <c r="I221" i="32"/>
  <c r="L204" i="32"/>
  <c r="I262" i="50" s="1"/>
  <c r="I204" i="32"/>
  <c r="L203" i="32"/>
  <c r="I261" i="50" s="1"/>
  <c r="I203" i="32"/>
  <c r="L202" i="32"/>
  <c r="I260" i="50" s="1"/>
  <c r="I202" i="32"/>
  <c r="L200" i="32"/>
  <c r="I259" i="50" s="1"/>
  <c r="I200" i="32"/>
  <c r="L199" i="32"/>
  <c r="I258" i="50" s="1"/>
  <c r="CH199" i="32"/>
  <c r="I199" i="32"/>
  <c r="L198" i="32"/>
  <c r="I257" i="50" s="1"/>
  <c r="I198" i="32"/>
  <c r="L197" i="32"/>
  <c r="I256" i="50" s="1"/>
  <c r="I197" i="32"/>
  <c r="L232" i="32"/>
  <c r="I232" i="32"/>
  <c r="L195" i="32"/>
  <c r="I255" i="50" s="1"/>
  <c r="I195" i="32"/>
  <c r="L189" i="32"/>
  <c r="I254" i="50" s="1"/>
  <c r="I189" i="32"/>
  <c r="L236" i="32"/>
  <c r="I274" i="50" s="1"/>
  <c r="I236" i="32"/>
  <c r="L235" i="32"/>
  <c r="I273" i="50" s="1"/>
  <c r="I235" i="32"/>
  <c r="L234" i="32"/>
  <c r="I272" i="50" s="1"/>
  <c r="I234" i="32"/>
  <c r="L233" i="32"/>
  <c r="I271" i="50" s="1"/>
  <c r="J271" i="50"/>
  <c r="I233" i="32"/>
  <c r="H271" i="50" s="1"/>
  <c r="L201" i="32"/>
  <c r="I201" i="32"/>
  <c r="L216" i="32"/>
  <c r="I268" i="50" s="1"/>
  <c r="CH216" i="32"/>
  <c r="I216" i="32"/>
  <c r="L211" i="32"/>
  <c r="I264" i="50" s="1"/>
  <c r="CH211" i="32"/>
  <c r="I211" i="32"/>
  <c r="L215" i="32"/>
  <c r="I267" i="50" s="1"/>
  <c r="CH215" i="32"/>
  <c r="I215" i="32"/>
  <c r="L210" i="32"/>
  <c r="I263" i="50" s="1"/>
  <c r="CH210" i="32"/>
  <c r="I210" i="32"/>
  <c r="L214" i="32"/>
  <c r="I266" i="50" s="1"/>
  <c r="CH214" i="32"/>
  <c r="I214" i="32"/>
  <c r="L212" i="32"/>
  <c r="I265" i="50" s="1"/>
  <c r="CH212" i="32"/>
  <c r="I212" i="32"/>
  <c r="L217" i="32"/>
  <c r="I269" i="50" s="1"/>
  <c r="CH217" i="32"/>
  <c r="I217" i="32"/>
  <c r="L181" i="32"/>
  <c r="I278" i="50" s="1"/>
  <c r="CH181" i="32"/>
  <c r="I181" i="32"/>
  <c r="L183" i="32"/>
  <c r="I243" i="50" s="1"/>
  <c r="CH183" i="32"/>
  <c r="I183" i="32"/>
  <c r="L184" i="32"/>
  <c r="I279" i="50" s="1"/>
  <c r="CH184" i="32"/>
  <c r="I184" i="32"/>
  <c r="BY291" i="50" l="1"/>
  <c r="BX291" i="50"/>
  <c r="BX296" i="50"/>
  <c r="BY296" i="50"/>
  <c r="BX271" i="50"/>
  <c r="BY271" i="50"/>
  <c r="I289" i="50"/>
  <c r="I298" i="50"/>
  <c r="I270" i="50"/>
  <c r="I280" i="50"/>
  <c r="CT97" i="32"/>
  <c r="H562" i="50"/>
  <c r="H589" i="50"/>
  <c r="CT349" i="32"/>
  <c r="H115" i="50"/>
  <c r="DH271" i="50"/>
  <c r="DI271" i="50"/>
  <c r="T291" i="50"/>
  <c r="FG291" i="50" s="1"/>
  <c r="CV208" i="32"/>
  <c r="J293" i="50"/>
  <c r="T296" i="50"/>
  <c r="FG296" i="50" s="1"/>
  <c r="CT109" i="32"/>
  <c r="H573" i="50"/>
  <c r="H607" i="50"/>
  <c r="CT105" i="32"/>
  <c r="H602" i="50"/>
  <c r="CT110" i="32"/>
  <c r="H574" i="50"/>
  <c r="H609" i="50"/>
  <c r="CT114" i="32"/>
  <c r="H613" i="50"/>
  <c r="CT94" i="32"/>
  <c r="H560" i="50"/>
  <c r="H582" i="50"/>
  <c r="CT99" i="32"/>
  <c r="H591" i="50"/>
  <c r="H563" i="50"/>
  <c r="CT103" i="32"/>
  <c r="H521" i="50"/>
  <c r="H567" i="50"/>
  <c r="H600" i="50"/>
  <c r="CT345" i="32"/>
  <c r="H114" i="50"/>
  <c r="H104" i="50"/>
  <c r="CT352" i="32"/>
  <c r="H110" i="50"/>
  <c r="CT343" i="32"/>
  <c r="H102" i="50"/>
  <c r="CT142" i="32"/>
  <c r="H399" i="50"/>
  <c r="H414" i="50"/>
  <c r="CV235" i="32"/>
  <c r="J273" i="50"/>
  <c r="CT195" i="32"/>
  <c r="H255" i="50"/>
  <c r="CV232" i="32"/>
  <c r="J270" i="50"/>
  <c r="J280" i="50"/>
  <c r="BX280" i="50" s="1"/>
  <c r="CT199" i="32"/>
  <c r="H258" i="50"/>
  <c r="CT200" i="32"/>
  <c r="H259" i="50"/>
  <c r="CV202" i="32"/>
  <c r="J260" i="50"/>
  <c r="CT221" i="32"/>
  <c r="H297" i="50"/>
  <c r="CT205" i="32"/>
  <c r="H290" i="50"/>
  <c r="CT208" i="32"/>
  <c r="H293" i="50"/>
  <c r="CT108" i="32"/>
  <c r="H572" i="50"/>
  <c r="H606" i="50"/>
  <c r="CT98" i="32"/>
  <c r="H426" i="50"/>
  <c r="CT355" i="32"/>
  <c r="H113" i="50"/>
  <c r="CV195" i="32"/>
  <c r="J255" i="50"/>
  <c r="CV200" i="32"/>
  <c r="J259" i="50"/>
  <c r="CV221" i="32"/>
  <c r="J297" i="50"/>
  <c r="CT217" i="32"/>
  <c r="H269" i="50"/>
  <c r="CT236" i="32"/>
  <c r="H274" i="50"/>
  <c r="CV189" i="32"/>
  <c r="J254" i="50"/>
  <c r="CT197" i="32"/>
  <c r="H256" i="50"/>
  <c r="CV198" i="32"/>
  <c r="J257" i="50"/>
  <c r="CT203" i="32"/>
  <c r="H261" i="50"/>
  <c r="CV204" i="32"/>
  <c r="J262" i="50"/>
  <c r="CT117" i="32"/>
  <c r="H539" i="50"/>
  <c r="CT106" i="32"/>
  <c r="H535" i="50"/>
  <c r="H570" i="50"/>
  <c r="H603" i="50"/>
  <c r="H522" i="50"/>
  <c r="CT111" i="32"/>
  <c r="H575" i="50"/>
  <c r="H610" i="50"/>
  <c r="CT115" i="32"/>
  <c r="H578" i="50"/>
  <c r="H538" i="50"/>
  <c r="H615" i="50"/>
  <c r="H525" i="50"/>
  <c r="CT95" i="32"/>
  <c r="H515" i="50"/>
  <c r="CT100" i="32"/>
  <c r="H564" i="50"/>
  <c r="H592" i="50"/>
  <c r="CT104" i="32"/>
  <c r="H601" i="50"/>
  <c r="H569" i="50"/>
  <c r="CT348" i="32"/>
  <c r="H107" i="50"/>
  <c r="CT353" i="32"/>
  <c r="H111" i="50"/>
  <c r="CT344" i="32"/>
  <c r="H103" i="50"/>
  <c r="CT234" i="32"/>
  <c r="H272" i="50"/>
  <c r="CT113" i="32"/>
  <c r="H524" i="50"/>
  <c r="H577" i="50"/>
  <c r="H612" i="50"/>
  <c r="H537" i="50"/>
  <c r="H428" i="50"/>
  <c r="CT118" i="32"/>
  <c r="H579" i="50"/>
  <c r="H540" i="50"/>
  <c r="CT102" i="32"/>
  <c r="H566" i="50"/>
  <c r="H534" i="50"/>
  <c r="H599" i="50"/>
  <c r="H520" i="50"/>
  <c r="CT351" i="32"/>
  <c r="H109" i="50"/>
  <c r="CT347" i="32"/>
  <c r="H106" i="50"/>
  <c r="CV234" i="32"/>
  <c r="J272" i="50"/>
  <c r="CT189" i="32"/>
  <c r="H254" i="50"/>
  <c r="CT198" i="32"/>
  <c r="H257" i="50"/>
  <c r="CV199" i="32"/>
  <c r="J258" i="50"/>
  <c r="CT204" i="32"/>
  <c r="H262" i="50"/>
  <c r="CV205" i="32"/>
  <c r="J290" i="50"/>
  <c r="CT184" i="32"/>
  <c r="H279" i="50"/>
  <c r="CT183" i="32"/>
  <c r="H243" i="50"/>
  <c r="CT181" i="32"/>
  <c r="H278" i="50"/>
  <c r="CT212" i="32"/>
  <c r="H265" i="50"/>
  <c r="CT214" i="32"/>
  <c r="H266" i="50"/>
  <c r="CT210" i="32"/>
  <c r="H263" i="50"/>
  <c r="CT215" i="32"/>
  <c r="H267" i="50"/>
  <c r="CT211" i="32"/>
  <c r="H264" i="50"/>
  <c r="CT216" i="32"/>
  <c r="H268" i="50"/>
  <c r="CT201" i="32"/>
  <c r="H289" i="50"/>
  <c r="H298" i="50"/>
  <c r="CV184" i="32"/>
  <c r="J279" i="50"/>
  <c r="BX279" i="50" s="1"/>
  <c r="CV183" i="32"/>
  <c r="J243" i="50"/>
  <c r="CV181" i="32"/>
  <c r="J278" i="50"/>
  <c r="BX278" i="50" s="1"/>
  <c r="CV217" i="32"/>
  <c r="J269" i="50"/>
  <c r="CV212" i="32"/>
  <c r="J265" i="50"/>
  <c r="CV214" i="32"/>
  <c r="J266" i="50"/>
  <c r="CV210" i="32"/>
  <c r="J263" i="50"/>
  <c r="CV215" i="32"/>
  <c r="J267" i="50"/>
  <c r="CV211" i="32"/>
  <c r="J264" i="50"/>
  <c r="CV216" i="32"/>
  <c r="J268" i="50"/>
  <c r="CV201" i="32"/>
  <c r="J298" i="50"/>
  <c r="J289" i="50"/>
  <c r="CT235" i="32"/>
  <c r="H273" i="50"/>
  <c r="CV236" i="32"/>
  <c r="J274" i="50"/>
  <c r="CT232" i="32"/>
  <c r="H280" i="50"/>
  <c r="H270" i="50"/>
  <c r="CV197" i="32"/>
  <c r="J256" i="50"/>
  <c r="CT202" i="32"/>
  <c r="H260" i="50"/>
  <c r="CV203" i="32"/>
  <c r="J261" i="50"/>
  <c r="CT93" i="32"/>
  <c r="H580" i="50"/>
  <c r="CT107" i="32"/>
  <c r="H571" i="50"/>
  <c r="H605" i="50"/>
  <c r="CT112" i="32"/>
  <c r="H576" i="50"/>
  <c r="H611" i="50"/>
  <c r="CT116" i="32"/>
  <c r="H616" i="50"/>
  <c r="CT96" i="32"/>
  <c r="H561" i="50"/>
  <c r="H587" i="50"/>
  <c r="CT101" i="32"/>
  <c r="H597" i="50"/>
  <c r="H565" i="50"/>
  <c r="H518" i="50"/>
  <c r="CT342" i="32"/>
  <c r="H101" i="50"/>
  <c r="CT350" i="32"/>
  <c r="H108" i="50"/>
  <c r="CT354" i="32"/>
  <c r="H112" i="50"/>
  <c r="CT346" i="32"/>
  <c r="H105" i="50"/>
  <c r="CT206" i="32"/>
  <c r="CT220" i="32"/>
  <c r="CV206" i="32"/>
  <c r="CV220" i="32"/>
  <c r="CT233" i="32"/>
  <c r="CV233" i="32"/>
  <c r="CD183" i="32"/>
  <c r="CD181" i="32"/>
  <c r="CD217" i="32"/>
  <c r="CD214" i="32"/>
  <c r="CD215" i="32"/>
  <c r="CD216" i="32"/>
  <c r="CD233" i="32"/>
  <c r="CD189" i="32"/>
  <c r="CD198" i="32"/>
  <c r="CD199" i="32"/>
  <c r="CD204" i="32"/>
  <c r="CD221" i="32"/>
  <c r="CD205" i="32"/>
  <c r="CD206" i="32"/>
  <c r="CD208" i="32"/>
  <c r="CD220" i="32"/>
  <c r="CD236" i="32"/>
  <c r="CD197" i="32"/>
  <c r="CD203" i="32"/>
  <c r="CD184" i="32"/>
  <c r="CD212" i="32"/>
  <c r="CD210" i="32"/>
  <c r="CD211" i="32"/>
  <c r="CD235" i="32"/>
  <c r="CD232" i="32"/>
  <c r="CD202" i="32"/>
  <c r="CD234" i="32"/>
  <c r="CD195" i="32"/>
  <c r="CG184" i="32"/>
  <c r="CG181" i="32"/>
  <c r="CG212" i="32"/>
  <c r="CG215" i="32"/>
  <c r="CG221" i="32"/>
  <c r="CG205" i="32"/>
  <c r="CG206" i="32"/>
  <c r="CG208" i="32"/>
  <c r="CG220" i="32"/>
  <c r="CG183" i="32"/>
  <c r="CG217" i="32"/>
  <c r="CG214" i="32"/>
  <c r="CG210" i="32"/>
  <c r="CG211" i="32"/>
  <c r="CD201" i="32"/>
  <c r="CG202" i="32"/>
  <c r="CG203" i="32"/>
  <c r="CG204" i="32"/>
  <c r="CG201" i="32"/>
  <c r="CG233" i="32"/>
  <c r="CG234" i="32"/>
  <c r="CG235" i="32"/>
  <c r="CG236" i="32"/>
  <c r="CG189" i="32"/>
  <c r="CG195" i="32"/>
  <c r="CG232" i="32"/>
  <c r="CG198" i="32"/>
  <c r="CH201" i="32"/>
  <c r="CH233" i="32"/>
  <c r="CH234" i="32"/>
  <c r="CH235" i="32"/>
  <c r="CH236" i="32"/>
  <c r="CH189" i="32"/>
  <c r="CH195" i="32"/>
  <c r="CH232" i="32"/>
  <c r="CH197" i="32"/>
  <c r="CH198" i="32"/>
  <c r="CH200" i="32"/>
  <c r="CH202" i="32"/>
  <c r="CH203" i="32"/>
  <c r="CH204" i="32"/>
  <c r="X127" i="19"/>
  <c r="M5" i="36"/>
  <c r="BY261" i="50" l="1"/>
  <c r="BX261" i="50"/>
  <c r="BX266" i="50"/>
  <c r="BY266" i="50"/>
  <c r="BX243" i="50"/>
  <c r="BY243" i="50"/>
  <c r="BY297" i="50"/>
  <c r="BX297" i="50"/>
  <c r="BY290" i="50"/>
  <c r="BX290" i="50"/>
  <c r="BY272" i="50"/>
  <c r="BX272" i="50"/>
  <c r="BX260" i="50"/>
  <c r="BY260" i="50"/>
  <c r="BY293" i="50"/>
  <c r="BX293" i="50"/>
  <c r="BY267" i="50"/>
  <c r="BX267" i="50"/>
  <c r="BX269" i="50"/>
  <c r="BY269" i="50"/>
  <c r="BX255" i="50"/>
  <c r="BY255" i="50"/>
  <c r="BY274" i="50"/>
  <c r="BX274" i="50"/>
  <c r="BY298" i="50"/>
  <c r="BX298" i="50"/>
  <c r="BX264" i="50"/>
  <c r="BY264" i="50"/>
  <c r="BY263" i="50"/>
  <c r="BX263" i="50"/>
  <c r="BY265" i="50"/>
  <c r="BX265" i="50"/>
  <c r="BX262" i="50"/>
  <c r="BY262" i="50"/>
  <c r="BY257" i="50"/>
  <c r="BX257" i="50"/>
  <c r="BY254" i="50"/>
  <c r="BX254" i="50"/>
  <c r="BY270" i="50"/>
  <c r="BX270" i="50"/>
  <c r="BX273" i="50"/>
  <c r="BY273" i="50"/>
  <c r="DH257" i="50"/>
  <c r="DI257" i="50"/>
  <c r="DH259" i="50"/>
  <c r="DI259" i="50"/>
  <c r="DH571" i="50"/>
  <c r="DL571" i="50"/>
  <c r="DN571" i="50"/>
  <c r="DH566" i="50"/>
  <c r="DN566" i="50"/>
  <c r="DL566" i="50"/>
  <c r="DH577" i="50"/>
  <c r="DN577" i="50"/>
  <c r="DL577" i="50"/>
  <c r="DH261" i="50"/>
  <c r="DI261" i="50"/>
  <c r="DH256" i="50"/>
  <c r="DI256" i="50"/>
  <c r="DH274" i="50"/>
  <c r="DI274" i="50"/>
  <c r="DL563" i="50"/>
  <c r="DH563" i="50"/>
  <c r="DN563" i="50"/>
  <c r="DH560" i="50"/>
  <c r="DL560" i="50"/>
  <c r="DN560" i="50"/>
  <c r="DH273" i="50"/>
  <c r="DI273" i="50"/>
  <c r="DH262" i="50"/>
  <c r="DI262" i="50"/>
  <c r="DH272" i="50"/>
  <c r="DI272" i="50"/>
  <c r="DL564" i="50"/>
  <c r="DH564" i="50"/>
  <c r="DN564" i="50"/>
  <c r="DH399" i="50"/>
  <c r="DL399" i="50"/>
  <c r="DM399" i="50"/>
  <c r="T293" i="50"/>
  <c r="FG293" i="50" s="1"/>
  <c r="DH565" i="50"/>
  <c r="DN565" i="50"/>
  <c r="DL565" i="50"/>
  <c r="DH289" i="50"/>
  <c r="DL289" i="50"/>
  <c r="T290" i="50"/>
  <c r="FG290" i="50" s="1"/>
  <c r="DH254" i="50"/>
  <c r="DI254" i="50"/>
  <c r="DN575" i="50"/>
  <c r="DL575" i="50"/>
  <c r="DH575" i="50"/>
  <c r="DH570" i="50"/>
  <c r="DN570" i="50"/>
  <c r="DL570" i="50"/>
  <c r="DH572" i="50"/>
  <c r="DN572" i="50"/>
  <c r="DL572" i="50"/>
  <c r="DL567" i="50"/>
  <c r="DH567" i="50"/>
  <c r="DN567" i="50"/>
  <c r="DH574" i="50"/>
  <c r="DN574" i="50"/>
  <c r="DL574" i="50"/>
  <c r="DL562" i="50"/>
  <c r="DN562" i="50"/>
  <c r="DH562" i="50"/>
  <c r="DL579" i="50"/>
  <c r="DH579" i="50"/>
  <c r="DN579" i="50"/>
  <c r="DH569" i="50"/>
  <c r="DL569" i="50"/>
  <c r="DN569" i="50"/>
  <c r="DL561" i="50"/>
  <c r="DN561" i="50"/>
  <c r="DH561" i="50"/>
  <c r="DL576" i="50"/>
  <c r="DN576" i="50"/>
  <c r="DH576" i="50"/>
  <c r="DH260" i="50"/>
  <c r="DI260" i="50"/>
  <c r="DH270" i="50"/>
  <c r="DI270" i="50"/>
  <c r="DL578" i="50"/>
  <c r="DH578" i="50"/>
  <c r="DN578" i="50"/>
  <c r="T297" i="50"/>
  <c r="FG297" i="50" s="1"/>
  <c r="DH255" i="50"/>
  <c r="DI255" i="50"/>
  <c r="DL573" i="50"/>
  <c r="DH573" i="50"/>
  <c r="DN573" i="50"/>
  <c r="V21" i="26"/>
  <c r="M21" i="26"/>
  <c r="K21" i="26"/>
  <c r="V20" i="26"/>
  <c r="M20" i="26"/>
  <c r="K20" i="26"/>
  <c r="V19" i="26"/>
  <c r="M19" i="26"/>
  <c r="K19" i="26"/>
  <c r="V18" i="26"/>
  <c r="M18" i="26"/>
  <c r="K18" i="26"/>
  <c r="V17" i="26"/>
  <c r="M17" i="26"/>
  <c r="K17" i="26"/>
  <c r="V16" i="26"/>
  <c r="M16" i="26"/>
  <c r="K16" i="26"/>
  <c r="V14" i="26"/>
  <c r="K14" i="26"/>
  <c r="V13" i="26"/>
  <c r="M13" i="26"/>
  <c r="K13" i="26"/>
  <c r="V12" i="26"/>
  <c r="M12" i="26"/>
  <c r="K12" i="26"/>
  <c r="V11" i="26"/>
  <c r="M11" i="26"/>
  <c r="K11" i="26"/>
  <c r="V10" i="26"/>
  <c r="M10" i="26"/>
  <c r="K10" i="26"/>
  <c r="V9" i="26"/>
  <c r="K9" i="26"/>
  <c r="V8" i="26"/>
  <c r="K8" i="26"/>
  <c r="P83" i="27"/>
  <c r="P82" i="27"/>
  <c r="P81" i="27"/>
  <c r="P80" i="27"/>
  <c r="P79" i="27"/>
  <c r="P78" i="27"/>
  <c r="P77" i="27"/>
  <c r="P72" i="27"/>
  <c r="P71" i="27"/>
  <c r="D70" i="27"/>
  <c r="D69" i="27"/>
  <c r="D68" i="27"/>
  <c r="S67" i="27"/>
  <c r="P67" i="27"/>
  <c r="L67" i="27"/>
  <c r="J67" i="27"/>
  <c r="D67" i="27"/>
  <c r="D66" i="27"/>
  <c r="D65" i="27"/>
  <c r="D64" i="27"/>
  <c r="D63" i="27"/>
  <c r="D62" i="27"/>
  <c r="D61" i="27"/>
  <c r="D60" i="27"/>
  <c r="D59" i="27"/>
  <c r="D58" i="27"/>
  <c r="D57" i="27"/>
  <c r="D56" i="27"/>
  <c r="D55" i="27"/>
  <c r="D54" i="27"/>
  <c r="D53" i="27"/>
  <c r="D52" i="27"/>
  <c r="D51" i="27"/>
  <c r="D50" i="27"/>
  <c r="D49" i="27"/>
  <c r="S48" i="27"/>
  <c r="P48" i="27"/>
  <c r="L48" i="27"/>
  <c r="J48" i="27"/>
  <c r="D48" i="27"/>
  <c r="S47" i="27"/>
  <c r="P47" i="27"/>
  <c r="L47" i="27"/>
  <c r="J47" i="27"/>
  <c r="D47" i="27"/>
  <c r="D46" i="27"/>
  <c r="D45" i="27"/>
  <c r="D44" i="27"/>
  <c r="D43" i="27"/>
  <c r="D42" i="27"/>
  <c r="D41" i="27"/>
  <c r="D40" i="27"/>
  <c r="D39" i="27"/>
  <c r="D38" i="27"/>
  <c r="D37" i="27"/>
  <c r="D36" i="27"/>
  <c r="D35" i="27"/>
  <c r="D34" i="27"/>
  <c r="D33" i="27"/>
  <c r="D32" i="27"/>
  <c r="S31" i="27"/>
  <c r="S32" i="27" s="1"/>
  <c r="P31" i="27"/>
  <c r="P32" i="27" s="1"/>
  <c r="L31" i="27"/>
  <c r="J31" i="27"/>
  <c r="D31" i="27"/>
  <c r="D30" i="27"/>
  <c r="D29" i="27"/>
  <c r="D28" i="27"/>
  <c r="D27" i="27"/>
  <c r="D26" i="27"/>
  <c r="S25" i="27"/>
  <c r="P25" i="27"/>
  <c r="D25" i="27"/>
  <c r="D24" i="27"/>
  <c r="D23" i="27"/>
  <c r="D22" i="27"/>
  <c r="D21" i="27"/>
  <c r="D20" i="27"/>
  <c r="D19" i="27"/>
  <c r="H18" i="27"/>
  <c r="G18" i="27"/>
  <c r="D18" i="27"/>
  <c r="D17" i="27"/>
  <c r="D16" i="27"/>
  <c r="D15" i="27"/>
  <c r="D14" i="27"/>
  <c r="D13" i="27"/>
  <c r="D12" i="27"/>
  <c r="D11" i="27"/>
  <c r="T10" i="27"/>
  <c r="P10" i="27"/>
  <c r="L10" i="27"/>
  <c r="J10" i="27"/>
  <c r="D10" i="27"/>
  <c r="D9" i="27"/>
  <c r="K16" i="24"/>
  <c r="H16" i="24"/>
  <c r="K15" i="24"/>
  <c r="H15" i="24"/>
  <c r="K14" i="24"/>
  <c r="H14" i="24"/>
  <c r="K13" i="24"/>
  <c r="H13" i="24"/>
  <c r="K12" i="24"/>
  <c r="H12" i="24"/>
  <c r="K9" i="24"/>
  <c r="H9" i="24"/>
  <c r="K8" i="24"/>
  <c r="H8" i="24"/>
  <c r="K7" i="24"/>
  <c r="H7" i="24"/>
  <c r="E48" i="22"/>
  <c r="E47" i="22"/>
  <c r="E46" i="22"/>
  <c r="E45" i="22"/>
  <c r="E44" i="22"/>
  <c r="E43" i="22"/>
  <c r="E42" i="22"/>
  <c r="E41" i="22"/>
  <c r="E40" i="22"/>
  <c r="E39" i="22"/>
  <c r="E38" i="22"/>
  <c r="E37" i="22"/>
  <c r="E36" i="22"/>
  <c r="E35" i="22"/>
  <c r="E34" i="22"/>
  <c r="E33" i="22"/>
  <c r="E32" i="22"/>
  <c r="E31" i="22"/>
  <c r="E30" i="22"/>
  <c r="E29" i="22"/>
  <c r="E28" i="22"/>
  <c r="E27" i="22"/>
  <c r="E26" i="22"/>
  <c r="E25" i="22"/>
  <c r="E24" i="22"/>
  <c r="E23" i="22"/>
  <c r="E22" i="22"/>
  <c r="E21" i="22"/>
  <c r="E20" i="22"/>
  <c r="E19" i="22"/>
  <c r="E18" i="22"/>
  <c r="E17" i="22"/>
  <c r="E16" i="22"/>
  <c r="E15" i="22"/>
  <c r="E14" i="22"/>
  <c r="E13" i="22"/>
  <c r="E12" i="22"/>
  <c r="E11" i="22"/>
  <c r="E10" i="22"/>
  <c r="E9" i="22"/>
  <c r="E8" i="22"/>
  <c r="E7" i="22"/>
  <c r="E6" i="22"/>
  <c r="E17" i="21"/>
  <c r="I16" i="21"/>
  <c r="I17" i="21" s="1"/>
  <c r="H16" i="21"/>
  <c r="E16" i="21"/>
  <c r="G15" i="21"/>
  <c r="E15" i="21"/>
  <c r="H14" i="21"/>
  <c r="G14" i="21" s="1"/>
  <c r="E14" i="21"/>
  <c r="I13" i="21"/>
  <c r="I14" i="21" s="1"/>
  <c r="H13" i="21"/>
  <c r="E13" i="21"/>
  <c r="G12" i="21"/>
  <c r="E12" i="21"/>
  <c r="E11" i="21"/>
  <c r="I10" i="21"/>
  <c r="I11" i="21" s="1"/>
  <c r="H10" i="21"/>
  <c r="E10" i="21"/>
  <c r="G9" i="21"/>
  <c r="E9" i="21"/>
  <c r="E8" i="21"/>
  <c r="I7" i="21"/>
  <c r="I8" i="21" s="1"/>
  <c r="H7" i="21"/>
  <c r="G7" i="21" s="1"/>
  <c r="E7" i="21"/>
  <c r="G6" i="21"/>
  <c r="E6" i="21"/>
  <c r="AC22" i="20"/>
  <c r="AB22" i="20"/>
  <c r="AA22" i="20"/>
  <c r="Y22" i="20"/>
  <c r="W22" i="20"/>
  <c r="AC21" i="20"/>
  <c r="AB21" i="20"/>
  <c r="AA21" i="20"/>
  <c r="Y21" i="20"/>
  <c r="W21" i="20"/>
  <c r="AC20" i="20"/>
  <c r="AB20" i="20"/>
  <c r="AA20" i="20"/>
  <c r="Y20" i="20"/>
  <c r="W20" i="20"/>
  <c r="Q20" i="20"/>
  <c r="P20" i="20"/>
  <c r="P21" i="20" s="1"/>
  <c r="P22" i="20" s="1"/>
  <c r="S22" i="20" s="1"/>
  <c r="AC19" i="20"/>
  <c r="AB19" i="20"/>
  <c r="AA19" i="20"/>
  <c r="Y19" i="20"/>
  <c r="W19" i="20"/>
  <c r="T19" i="20"/>
  <c r="AC18" i="20"/>
  <c r="AB18" i="20"/>
  <c r="AA18" i="20"/>
  <c r="Y18" i="20"/>
  <c r="W18" i="20"/>
  <c r="AC17" i="20"/>
  <c r="AB17" i="20"/>
  <c r="AA17" i="20"/>
  <c r="Y17" i="20"/>
  <c r="W17" i="20"/>
  <c r="AC16" i="20"/>
  <c r="AB16" i="20"/>
  <c r="AA16" i="20"/>
  <c r="Y16" i="20"/>
  <c r="W16" i="20"/>
  <c r="AC15" i="20"/>
  <c r="AB15" i="20"/>
  <c r="AA15" i="20"/>
  <c r="Y15" i="20"/>
  <c r="W15" i="20"/>
  <c r="Q15" i="20"/>
  <c r="T15" i="20" s="1"/>
  <c r="P15" i="20"/>
  <c r="P16" i="20" s="1"/>
  <c r="P17" i="20" s="1"/>
  <c r="P18" i="20" s="1"/>
  <c r="K15" i="20"/>
  <c r="L15" i="20" s="1"/>
  <c r="J15" i="20"/>
  <c r="I15" i="20"/>
  <c r="AC14" i="20"/>
  <c r="AB14" i="20"/>
  <c r="AA14" i="20"/>
  <c r="Y14" i="20"/>
  <c r="W14" i="20"/>
  <c r="T14" i="20"/>
  <c r="L14" i="20"/>
  <c r="K14" i="20"/>
  <c r="J14" i="20"/>
  <c r="I14" i="20"/>
  <c r="AF13" i="20"/>
  <c r="AC13" i="20"/>
  <c r="AB13" i="20"/>
  <c r="AA13" i="20"/>
  <c r="Y13" i="20"/>
  <c r="W13" i="20"/>
  <c r="S13" i="20" s="1"/>
  <c r="K13" i="20"/>
  <c r="L13" i="20" s="1"/>
  <c r="J13" i="20"/>
  <c r="I13" i="20"/>
  <c r="AC12" i="20"/>
  <c r="AB12" i="20"/>
  <c r="AA12" i="20"/>
  <c r="Y12" i="20"/>
  <c r="W12" i="20"/>
  <c r="Q12" i="20"/>
  <c r="K12" i="20"/>
  <c r="L12" i="20" s="1"/>
  <c r="J12" i="20"/>
  <c r="I12" i="20"/>
  <c r="AC11" i="20"/>
  <c r="AB11" i="20"/>
  <c r="AA11" i="20"/>
  <c r="Y11" i="20"/>
  <c r="W11" i="20"/>
  <c r="T11" i="20"/>
  <c r="Q11" i="20"/>
  <c r="P11" i="20"/>
  <c r="P12" i="20" s="1"/>
  <c r="P13" i="20" s="1"/>
  <c r="K11" i="20"/>
  <c r="L11" i="20" s="1"/>
  <c r="J11" i="20"/>
  <c r="I11" i="20"/>
  <c r="AC10" i="20"/>
  <c r="AB10" i="20"/>
  <c r="AA10" i="20"/>
  <c r="Y10" i="20"/>
  <c r="W10" i="20"/>
  <c r="AD11" i="20" s="1"/>
  <c r="T10" i="20"/>
  <c r="K10" i="20"/>
  <c r="L10" i="20" s="1"/>
  <c r="J10" i="20"/>
  <c r="I10" i="20"/>
  <c r="AC9" i="20"/>
  <c r="AB9" i="20"/>
  <c r="AA9" i="20"/>
  <c r="Y9" i="20"/>
  <c r="W9" i="20"/>
  <c r="K9" i="20"/>
  <c r="L9" i="20" s="1"/>
  <c r="J9" i="20"/>
  <c r="I9" i="20"/>
  <c r="AC8" i="20"/>
  <c r="AB8" i="20"/>
  <c r="AA8" i="20"/>
  <c r="Y8" i="20"/>
  <c r="W8" i="20"/>
  <c r="AF9" i="20" s="1"/>
  <c r="Q8" i="20"/>
  <c r="L8" i="20"/>
  <c r="K8" i="20"/>
  <c r="J8" i="20"/>
  <c r="I8" i="20"/>
  <c r="AC7" i="20"/>
  <c r="AB7" i="20"/>
  <c r="AA7" i="20"/>
  <c r="Y7" i="20"/>
  <c r="W7" i="20"/>
  <c r="T7" i="20"/>
  <c r="Q7" i="20"/>
  <c r="P7" i="20"/>
  <c r="P8" i="20" s="1"/>
  <c r="P9" i="20" s="1"/>
  <c r="K7" i="20"/>
  <c r="L7" i="20" s="1"/>
  <c r="J7" i="20"/>
  <c r="I7" i="20"/>
  <c r="AC6" i="20"/>
  <c r="AB6" i="20"/>
  <c r="AA6" i="20"/>
  <c r="Y6" i="20"/>
  <c r="W6" i="20"/>
  <c r="AD7" i="20" s="1"/>
  <c r="T6" i="20"/>
  <c r="J6" i="20"/>
  <c r="I6" i="20"/>
  <c r="E6" i="20"/>
  <c r="K6" i="20" s="1"/>
  <c r="L6" i="20" s="1"/>
  <c r="R13" i="13"/>
  <c r="P13" i="13"/>
  <c r="N13" i="13"/>
  <c r="I13" i="13"/>
  <c r="H13" i="13"/>
  <c r="F13" i="13"/>
  <c r="C13" i="13"/>
  <c r="M13" i="13" s="1"/>
  <c r="W13" i="13" s="1"/>
  <c r="R12" i="13"/>
  <c r="P12" i="13"/>
  <c r="N12" i="13"/>
  <c r="M12" i="13"/>
  <c r="I12" i="13"/>
  <c r="H12" i="13"/>
  <c r="F12" i="13"/>
  <c r="C12" i="13"/>
  <c r="R11" i="13"/>
  <c r="P11" i="13"/>
  <c r="N11" i="13"/>
  <c r="I11" i="13"/>
  <c r="H11" i="13"/>
  <c r="F11" i="13"/>
  <c r="C11" i="13"/>
  <c r="M11" i="13" s="1"/>
  <c r="S12" i="13" s="1"/>
  <c r="R10" i="13"/>
  <c r="P10" i="13"/>
  <c r="N10" i="13"/>
  <c r="I10" i="13"/>
  <c r="J10" i="13" s="1"/>
  <c r="Q10" i="13" s="1"/>
  <c r="H10" i="13"/>
  <c r="F10" i="13"/>
  <c r="C10" i="13"/>
  <c r="M10" i="13" s="1"/>
  <c r="R9" i="13"/>
  <c r="P9" i="13"/>
  <c r="N9" i="13"/>
  <c r="I9" i="13"/>
  <c r="J9" i="13" s="1"/>
  <c r="K9" i="13" s="1"/>
  <c r="H9" i="13"/>
  <c r="F9" i="13"/>
  <c r="C9" i="13"/>
  <c r="M9" i="13" s="1"/>
  <c r="R8" i="13"/>
  <c r="P8" i="13"/>
  <c r="U9" i="13" s="1"/>
  <c r="N8" i="13"/>
  <c r="I8" i="13"/>
  <c r="J8" i="13" s="1"/>
  <c r="K8" i="13" s="1"/>
  <c r="O22" i="13" s="1"/>
  <c r="H8" i="13"/>
  <c r="F8" i="13"/>
  <c r="C8" i="13"/>
  <c r="M8" i="13" s="1"/>
  <c r="R7" i="13"/>
  <c r="P7" i="13"/>
  <c r="N7" i="13"/>
  <c r="I7" i="13"/>
  <c r="J7" i="13" s="1"/>
  <c r="K7" i="13" s="1"/>
  <c r="H7" i="13"/>
  <c r="F7" i="13"/>
  <c r="C7" i="13"/>
  <c r="M7" i="13" s="1"/>
  <c r="R6" i="13"/>
  <c r="P6" i="13"/>
  <c r="U7" i="13" s="1"/>
  <c r="N6" i="13"/>
  <c r="I6" i="13"/>
  <c r="H6" i="13"/>
  <c r="F6" i="13"/>
  <c r="C6" i="13"/>
  <c r="M6" i="13" s="1"/>
  <c r="Y3" i="13"/>
  <c r="O28" i="19"/>
  <c r="O27" i="19"/>
  <c r="O26" i="19"/>
  <c r="O25" i="19"/>
  <c r="O24" i="19"/>
  <c r="O20" i="19"/>
  <c r="O19" i="19"/>
  <c r="O18" i="19"/>
  <c r="O17" i="19"/>
  <c r="O16" i="19"/>
  <c r="O15" i="19"/>
  <c r="O14" i="19"/>
  <c r="O13" i="19"/>
  <c r="O12" i="19"/>
  <c r="O11" i="19"/>
  <c r="O10" i="19"/>
  <c r="O9" i="19"/>
  <c r="O8" i="19"/>
  <c r="O7" i="19"/>
  <c r="Q15" i="18"/>
  <c r="N15" i="18"/>
  <c r="M15" i="18"/>
  <c r="L15" i="18"/>
  <c r="K15" i="18"/>
  <c r="I15" i="18"/>
  <c r="E15" i="18"/>
  <c r="Q14" i="18"/>
  <c r="M14" i="18"/>
  <c r="L14" i="18"/>
  <c r="N14" i="18" s="1"/>
  <c r="K14" i="18"/>
  <c r="I14" i="18"/>
  <c r="E14" i="18"/>
  <c r="Q13" i="18"/>
  <c r="M13" i="18"/>
  <c r="L13" i="18"/>
  <c r="K13" i="18"/>
  <c r="I13" i="18"/>
  <c r="E13" i="18"/>
  <c r="Q12" i="18"/>
  <c r="M12" i="18"/>
  <c r="N12" i="18" s="1"/>
  <c r="L12" i="18"/>
  <c r="K12" i="18"/>
  <c r="I12" i="18"/>
  <c r="E12" i="18"/>
  <c r="Q11" i="18"/>
  <c r="M11" i="18"/>
  <c r="L11" i="18"/>
  <c r="N11" i="18" s="1"/>
  <c r="K11" i="18"/>
  <c r="I11" i="18"/>
  <c r="E11" i="18"/>
  <c r="Q10" i="18"/>
  <c r="M10" i="18"/>
  <c r="L10" i="18"/>
  <c r="N10" i="18" s="1"/>
  <c r="K10" i="18"/>
  <c r="I10" i="18"/>
  <c r="E10" i="18"/>
  <c r="Q9" i="18"/>
  <c r="N9" i="18"/>
  <c r="M9" i="18"/>
  <c r="L9" i="18"/>
  <c r="K9" i="18"/>
  <c r="I9" i="18"/>
  <c r="E9" i="18"/>
  <c r="Q8" i="18"/>
  <c r="M8" i="18"/>
  <c r="L8" i="18"/>
  <c r="K8" i="18"/>
  <c r="I8" i="18"/>
  <c r="E8" i="18"/>
  <c r="Q7" i="18"/>
  <c r="L7" i="18"/>
  <c r="K7" i="18"/>
  <c r="I7" i="18"/>
  <c r="E7" i="18"/>
  <c r="Q6" i="18"/>
  <c r="M6" i="18"/>
  <c r="L6" i="18"/>
  <c r="K6" i="18"/>
  <c r="I6" i="18"/>
  <c r="E6" i="18"/>
  <c r="M131" i="23"/>
  <c r="K131" i="23"/>
  <c r="J131" i="23"/>
  <c r="H131" i="23"/>
  <c r="M130" i="23"/>
  <c r="K130" i="23"/>
  <c r="J130" i="23"/>
  <c r="H130" i="23"/>
  <c r="N129" i="23"/>
  <c r="K129" i="23"/>
  <c r="J129" i="23"/>
  <c r="H129" i="23"/>
  <c r="O128" i="23"/>
  <c r="N128" i="23"/>
  <c r="K128" i="23"/>
  <c r="J128" i="23"/>
  <c r="H128" i="23"/>
  <c r="M127" i="23"/>
  <c r="K127" i="23"/>
  <c r="J127" i="23"/>
  <c r="H127" i="23"/>
  <c r="M126" i="23"/>
  <c r="K126" i="23"/>
  <c r="J126" i="23"/>
  <c r="H126" i="23"/>
  <c r="M125" i="23"/>
  <c r="K125" i="23"/>
  <c r="J125" i="23"/>
  <c r="H125" i="23"/>
  <c r="M124" i="23"/>
  <c r="K124" i="23"/>
  <c r="J124" i="23"/>
  <c r="H124" i="23"/>
  <c r="M123" i="23"/>
  <c r="K123" i="23"/>
  <c r="J123" i="23"/>
  <c r="H123" i="23"/>
  <c r="M122" i="23"/>
  <c r="K122" i="23"/>
  <c r="J122" i="23"/>
  <c r="H122" i="23"/>
  <c r="M121" i="23"/>
  <c r="K121" i="23"/>
  <c r="J121" i="23"/>
  <c r="H121" i="23"/>
  <c r="M120" i="23"/>
  <c r="K120" i="23"/>
  <c r="J120" i="23"/>
  <c r="H120" i="23"/>
  <c r="M119" i="23"/>
  <c r="K119" i="23"/>
  <c r="J119" i="23"/>
  <c r="H119" i="23"/>
  <c r="M118" i="23"/>
  <c r="K118" i="23"/>
  <c r="J118" i="23"/>
  <c r="H118" i="23"/>
  <c r="M117" i="23"/>
  <c r="K117" i="23"/>
  <c r="J117" i="23"/>
  <c r="H117" i="23"/>
  <c r="M116" i="23"/>
  <c r="K116" i="23"/>
  <c r="J116" i="23"/>
  <c r="H116" i="23"/>
  <c r="M115" i="23"/>
  <c r="K115" i="23"/>
  <c r="J115" i="23"/>
  <c r="H115" i="23"/>
  <c r="M114" i="23"/>
  <c r="K114" i="23"/>
  <c r="J114" i="23"/>
  <c r="H114" i="23"/>
  <c r="M113" i="23"/>
  <c r="K113" i="23"/>
  <c r="J113" i="23"/>
  <c r="H113" i="23"/>
  <c r="M112" i="23"/>
  <c r="K112" i="23"/>
  <c r="J112" i="23"/>
  <c r="H112" i="23"/>
  <c r="M111" i="23"/>
  <c r="K111" i="23"/>
  <c r="J111" i="23"/>
  <c r="H111" i="23"/>
  <c r="M110" i="23"/>
  <c r="K110" i="23"/>
  <c r="J110" i="23"/>
  <c r="H110" i="23"/>
  <c r="M109" i="23"/>
  <c r="K109" i="23"/>
  <c r="J109" i="23"/>
  <c r="H109" i="23"/>
  <c r="M108" i="23"/>
  <c r="K108" i="23"/>
  <c r="J108" i="23"/>
  <c r="H108" i="23"/>
  <c r="M107" i="23"/>
  <c r="K107" i="23"/>
  <c r="J107" i="23"/>
  <c r="H107" i="23"/>
  <c r="M106" i="23"/>
  <c r="K106" i="23"/>
  <c r="J106" i="23"/>
  <c r="H106" i="23"/>
  <c r="M105" i="23"/>
  <c r="K105" i="23"/>
  <c r="J105" i="23"/>
  <c r="H105" i="23"/>
  <c r="M104" i="23"/>
  <c r="K104" i="23"/>
  <c r="J104" i="23"/>
  <c r="H104" i="23"/>
  <c r="M103" i="23"/>
  <c r="K103" i="23"/>
  <c r="J103" i="23"/>
  <c r="H103" i="23"/>
  <c r="M102" i="23"/>
  <c r="K102" i="23"/>
  <c r="J102" i="23"/>
  <c r="H102" i="23"/>
  <c r="M101" i="23"/>
  <c r="K101" i="23"/>
  <c r="J101" i="23"/>
  <c r="H101" i="23"/>
  <c r="N100" i="23"/>
  <c r="K100" i="23"/>
  <c r="J100" i="23"/>
  <c r="H100" i="23"/>
  <c r="M99" i="23"/>
  <c r="K99" i="23"/>
  <c r="J99" i="23"/>
  <c r="H99" i="23"/>
  <c r="M98" i="23"/>
  <c r="K98" i="23"/>
  <c r="J98" i="23"/>
  <c r="H98" i="23"/>
  <c r="M97" i="23"/>
  <c r="K97" i="23"/>
  <c r="J97" i="23"/>
  <c r="H97" i="23"/>
  <c r="M96" i="23"/>
  <c r="K96" i="23"/>
  <c r="J96" i="23"/>
  <c r="H96" i="23"/>
  <c r="M95" i="23"/>
  <c r="K95" i="23"/>
  <c r="J95" i="23"/>
  <c r="H95" i="23"/>
  <c r="M89" i="23"/>
  <c r="K89" i="23"/>
  <c r="J89" i="23"/>
  <c r="H89" i="23"/>
  <c r="M88" i="23"/>
  <c r="K88" i="23"/>
  <c r="J88" i="23"/>
  <c r="H88" i="23"/>
  <c r="M87" i="23"/>
  <c r="K87" i="23"/>
  <c r="J87" i="23"/>
  <c r="H87" i="23"/>
  <c r="M86" i="23"/>
  <c r="K86" i="23"/>
  <c r="J86" i="23"/>
  <c r="H86" i="23"/>
  <c r="M85" i="23"/>
  <c r="K85" i="23"/>
  <c r="J85" i="23"/>
  <c r="H85" i="23"/>
  <c r="M84" i="23"/>
  <c r="K84" i="23"/>
  <c r="J84" i="23"/>
  <c r="H84" i="23"/>
  <c r="N83" i="23"/>
  <c r="K83" i="23"/>
  <c r="J83" i="23"/>
  <c r="H83" i="23"/>
  <c r="M82" i="23"/>
  <c r="K82" i="23"/>
  <c r="J82" i="23"/>
  <c r="H82" i="23"/>
  <c r="M81" i="23"/>
  <c r="K81" i="23"/>
  <c r="J81" i="23"/>
  <c r="H81" i="23"/>
  <c r="M80" i="23"/>
  <c r="K80" i="23"/>
  <c r="J80" i="23"/>
  <c r="H80" i="23"/>
  <c r="M79" i="23"/>
  <c r="K79" i="23"/>
  <c r="J79" i="23"/>
  <c r="H79" i="23"/>
  <c r="N78" i="23"/>
  <c r="K78" i="23"/>
  <c r="J78" i="23"/>
  <c r="H78" i="23"/>
  <c r="N77" i="23"/>
  <c r="K77" i="23"/>
  <c r="J77" i="23"/>
  <c r="H77" i="23"/>
  <c r="N76" i="23"/>
  <c r="K76" i="23"/>
  <c r="J76" i="23"/>
  <c r="H76" i="23"/>
  <c r="M75" i="23"/>
  <c r="K75" i="23"/>
  <c r="J75" i="23"/>
  <c r="H75" i="23"/>
  <c r="N74" i="23"/>
  <c r="K74" i="23"/>
  <c r="J74" i="23"/>
  <c r="H74" i="23"/>
  <c r="N73" i="23"/>
  <c r="K73" i="23"/>
  <c r="J73" i="23"/>
  <c r="H73" i="23"/>
  <c r="N72" i="23"/>
  <c r="K72" i="23"/>
  <c r="J72" i="23"/>
  <c r="H72" i="23"/>
  <c r="N71" i="23"/>
  <c r="K71" i="23"/>
  <c r="J71" i="23"/>
  <c r="H71" i="23"/>
  <c r="M70" i="23"/>
  <c r="K70" i="23"/>
  <c r="J70" i="23"/>
  <c r="H70" i="23"/>
  <c r="M69" i="23"/>
  <c r="K69" i="23"/>
  <c r="J69" i="23"/>
  <c r="H69" i="23"/>
  <c r="N68" i="23"/>
  <c r="K68" i="23"/>
  <c r="J68" i="23"/>
  <c r="H68" i="23"/>
  <c r="M67" i="23"/>
  <c r="K67" i="23"/>
  <c r="J67" i="23"/>
  <c r="H67" i="23"/>
  <c r="M66" i="23"/>
  <c r="K66" i="23"/>
  <c r="J66" i="23"/>
  <c r="H66" i="23"/>
  <c r="N65" i="23"/>
  <c r="K65" i="23"/>
  <c r="J65" i="23"/>
  <c r="H65" i="23"/>
  <c r="N64" i="23"/>
  <c r="K64" i="23"/>
  <c r="J64" i="23"/>
  <c r="H64" i="23"/>
  <c r="N63" i="23"/>
  <c r="K63" i="23"/>
  <c r="J63" i="23"/>
  <c r="H63" i="23"/>
  <c r="N62" i="23"/>
  <c r="K62" i="23"/>
  <c r="J62" i="23"/>
  <c r="H62" i="23"/>
  <c r="M61" i="23"/>
  <c r="K61" i="23"/>
  <c r="J61" i="23"/>
  <c r="H61" i="23"/>
  <c r="M60" i="23"/>
  <c r="K60" i="23"/>
  <c r="J60" i="23"/>
  <c r="H60" i="23"/>
  <c r="N59" i="23"/>
  <c r="K59" i="23"/>
  <c r="J59" i="23"/>
  <c r="H59" i="23"/>
  <c r="N58" i="23"/>
  <c r="K58" i="23"/>
  <c r="J58" i="23"/>
  <c r="H58" i="23"/>
  <c r="N57" i="23"/>
  <c r="K57" i="23"/>
  <c r="J57" i="23"/>
  <c r="H57" i="23"/>
  <c r="N56" i="23"/>
  <c r="K56" i="23"/>
  <c r="J56" i="23"/>
  <c r="H56" i="23"/>
  <c r="N55" i="23"/>
  <c r="K55" i="23"/>
  <c r="J55" i="23"/>
  <c r="H55" i="23"/>
  <c r="O54" i="23"/>
  <c r="N54" i="23"/>
  <c r="K54" i="23"/>
  <c r="J54" i="23"/>
  <c r="H54" i="23"/>
  <c r="M53" i="23"/>
  <c r="K53" i="23"/>
  <c r="J53" i="23"/>
  <c r="H53" i="23"/>
  <c r="N52" i="23"/>
  <c r="K52" i="23"/>
  <c r="J52" i="23"/>
  <c r="H52" i="23"/>
  <c r="N51" i="23"/>
  <c r="K51" i="23"/>
  <c r="J51" i="23"/>
  <c r="H51" i="23"/>
  <c r="N50" i="23"/>
  <c r="K50" i="23"/>
  <c r="J50" i="23"/>
  <c r="H50" i="23"/>
  <c r="N49" i="23"/>
  <c r="K49" i="23"/>
  <c r="J49" i="23"/>
  <c r="H49" i="23"/>
  <c r="N48" i="23"/>
  <c r="K48" i="23"/>
  <c r="J48" i="23"/>
  <c r="H48" i="23"/>
  <c r="M47" i="23"/>
  <c r="K47" i="23"/>
  <c r="J47" i="23"/>
  <c r="H47" i="23"/>
  <c r="N46" i="23"/>
  <c r="K46" i="23"/>
  <c r="J46" i="23"/>
  <c r="H46" i="23"/>
  <c r="N45" i="23"/>
  <c r="K45" i="23"/>
  <c r="J45" i="23"/>
  <c r="H45" i="23"/>
  <c r="N44" i="23"/>
  <c r="K44" i="23"/>
  <c r="J44" i="23"/>
  <c r="H44" i="23"/>
  <c r="N43" i="23"/>
  <c r="K43" i="23"/>
  <c r="J43" i="23"/>
  <c r="H43" i="23"/>
  <c r="N42" i="23"/>
  <c r="K42" i="23"/>
  <c r="J42" i="23"/>
  <c r="H42" i="23"/>
  <c r="N41" i="23"/>
  <c r="K41" i="23"/>
  <c r="J41" i="23"/>
  <c r="H41" i="23"/>
  <c r="N40" i="23"/>
  <c r="K40" i="23"/>
  <c r="J40" i="23"/>
  <c r="H40" i="23"/>
  <c r="N39" i="23"/>
  <c r="K39" i="23"/>
  <c r="J39" i="23"/>
  <c r="H39" i="23"/>
  <c r="N38" i="23"/>
  <c r="K38" i="23"/>
  <c r="J38" i="23"/>
  <c r="H38" i="23"/>
  <c r="M37" i="23"/>
  <c r="K37" i="23"/>
  <c r="J37" i="23"/>
  <c r="H37" i="23"/>
  <c r="M36" i="23"/>
  <c r="K36" i="23"/>
  <c r="J36" i="23"/>
  <c r="H36" i="23"/>
  <c r="M35" i="23"/>
  <c r="K35" i="23"/>
  <c r="J35" i="23"/>
  <c r="H35" i="23"/>
  <c r="M34" i="23"/>
  <c r="K34" i="23"/>
  <c r="J34" i="23"/>
  <c r="H34" i="23"/>
  <c r="M33" i="23"/>
  <c r="K33" i="23"/>
  <c r="J33" i="23"/>
  <c r="H33" i="23"/>
  <c r="N32" i="23"/>
  <c r="K32" i="23"/>
  <c r="J32" i="23"/>
  <c r="H32" i="23"/>
  <c r="M31" i="23"/>
  <c r="K31" i="23"/>
  <c r="J31" i="23"/>
  <c r="H31" i="23"/>
  <c r="M30" i="23"/>
  <c r="K30" i="23"/>
  <c r="J30" i="23"/>
  <c r="H30" i="23"/>
  <c r="N29" i="23"/>
  <c r="K29" i="23"/>
  <c r="J29" i="23"/>
  <c r="H29" i="23"/>
  <c r="M28" i="23"/>
  <c r="K28" i="23"/>
  <c r="J28" i="23"/>
  <c r="H28" i="23"/>
  <c r="M27" i="23"/>
  <c r="K27" i="23"/>
  <c r="J27" i="23"/>
  <c r="H27" i="23"/>
  <c r="M26" i="23"/>
  <c r="K26" i="23"/>
  <c r="J26" i="23"/>
  <c r="H26" i="23"/>
  <c r="M25" i="23"/>
  <c r="K25" i="23"/>
  <c r="J25" i="23"/>
  <c r="H25" i="23"/>
  <c r="O24" i="23"/>
  <c r="N24" i="23"/>
  <c r="K24" i="23"/>
  <c r="J24" i="23"/>
  <c r="H24" i="23"/>
  <c r="M23" i="23"/>
  <c r="K23" i="23"/>
  <c r="J23" i="23"/>
  <c r="H23" i="23"/>
  <c r="M22" i="23"/>
  <c r="K22" i="23"/>
  <c r="J22" i="23"/>
  <c r="H22" i="23"/>
  <c r="N21" i="23"/>
  <c r="K21" i="23"/>
  <c r="J21" i="23"/>
  <c r="H21" i="23"/>
  <c r="O20" i="23"/>
  <c r="N20" i="23"/>
  <c r="K20" i="23"/>
  <c r="J20" i="23"/>
  <c r="H20" i="23"/>
  <c r="M19" i="23"/>
  <c r="K19" i="23"/>
  <c r="J19" i="23"/>
  <c r="H19" i="23"/>
  <c r="M18" i="23"/>
  <c r="K18" i="23"/>
  <c r="J18" i="23"/>
  <c r="H18" i="23"/>
  <c r="M17" i="23"/>
  <c r="K17" i="23"/>
  <c r="J17" i="23"/>
  <c r="H17" i="23"/>
  <c r="M16" i="23"/>
  <c r="K16" i="23"/>
  <c r="J16" i="23"/>
  <c r="H16" i="23"/>
  <c r="O15" i="23"/>
  <c r="N15" i="23"/>
  <c r="K15" i="23"/>
  <c r="J15" i="23"/>
  <c r="H15" i="23"/>
  <c r="M14" i="23"/>
  <c r="K14" i="23"/>
  <c r="J14" i="23"/>
  <c r="H14" i="23"/>
  <c r="M13" i="23"/>
  <c r="K13" i="23"/>
  <c r="J13" i="23"/>
  <c r="H13" i="23"/>
  <c r="O12" i="23"/>
  <c r="N12" i="23"/>
  <c r="K12" i="23"/>
  <c r="J12" i="23"/>
  <c r="H12" i="23"/>
  <c r="M11" i="23"/>
  <c r="K11" i="23"/>
  <c r="J11" i="23"/>
  <c r="H11" i="23"/>
  <c r="M10" i="23"/>
  <c r="K10" i="23"/>
  <c r="J10" i="23"/>
  <c r="H10" i="23"/>
  <c r="O9" i="23"/>
  <c r="N9" i="23"/>
  <c r="K9" i="23"/>
  <c r="J9" i="23"/>
  <c r="H9" i="23"/>
  <c r="M8" i="23"/>
  <c r="K8" i="23"/>
  <c r="J8" i="23"/>
  <c r="H8" i="23"/>
  <c r="M7" i="23"/>
  <c r="K7" i="23"/>
  <c r="J7" i="23"/>
  <c r="H7" i="23"/>
  <c r="M6" i="23"/>
  <c r="K6" i="23"/>
  <c r="J6" i="23"/>
  <c r="H6" i="23"/>
  <c r="E77" i="14"/>
  <c r="E78" i="14" s="1"/>
  <c r="E79" i="14" s="1"/>
  <c r="J76" i="14"/>
  <c r="E76" i="14"/>
  <c r="J75" i="14"/>
  <c r="M71" i="14"/>
  <c r="J70" i="14"/>
  <c r="E70" i="14"/>
  <c r="E71" i="14" s="1"/>
  <c r="J71" i="14" s="1"/>
  <c r="M69" i="14"/>
  <c r="J69" i="14"/>
  <c r="L67" i="14"/>
  <c r="O58" i="14"/>
  <c r="O57" i="14"/>
  <c r="O56" i="14"/>
  <c r="J56" i="14"/>
  <c r="O55" i="14"/>
  <c r="E55" i="14"/>
  <c r="E56" i="14" s="1"/>
  <c r="E57" i="14" s="1"/>
  <c r="J54" i="14"/>
  <c r="L54" i="14" s="1"/>
  <c r="M51" i="14"/>
  <c r="O50" i="14"/>
  <c r="N49" i="14"/>
  <c r="M49" i="14"/>
  <c r="E49" i="14"/>
  <c r="J49" i="14" s="1"/>
  <c r="L49" i="14" s="1"/>
  <c r="O48" i="14"/>
  <c r="R48" i="14" s="1"/>
  <c r="N48" i="14"/>
  <c r="J48" i="14"/>
  <c r="O45" i="14"/>
  <c r="N45" i="14"/>
  <c r="M44" i="14"/>
  <c r="N42" i="14"/>
  <c r="M42" i="14"/>
  <c r="E42" i="14"/>
  <c r="E43" i="14" s="1"/>
  <c r="E44" i="14" s="1"/>
  <c r="O41" i="14"/>
  <c r="J41" i="14"/>
  <c r="L41" i="14" s="1"/>
  <c r="O37" i="14"/>
  <c r="N37" i="14"/>
  <c r="O36" i="14"/>
  <c r="N36" i="14"/>
  <c r="E36" i="14"/>
  <c r="E37" i="14" s="1"/>
  <c r="O35" i="14"/>
  <c r="M35" i="14"/>
  <c r="P35" i="14" s="1"/>
  <c r="J35" i="14"/>
  <c r="K27" i="14"/>
  <c r="J27" i="14"/>
  <c r="L27" i="14" s="1"/>
  <c r="M26" i="14"/>
  <c r="J26" i="14"/>
  <c r="J25" i="14"/>
  <c r="M24" i="14"/>
  <c r="J24" i="14"/>
  <c r="J23" i="14"/>
  <c r="J22" i="14"/>
  <c r="J20" i="14"/>
  <c r="M19" i="14"/>
  <c r="K19" i="14"/>
  <c r="J19" i="14"/>
  <c r="J18" i="14"/>
  <c r="J17" i="14"/>
  <c r="J16" i="14"/>
  <c r="M15" i="14"/>
  <c r="J15" i="14"/>
  <c r="K13" i="14"/>
  <c r="J13" i="14"/>
  <c r="D13" i="14"/>
  <c r="N26" i="14" s="1"/>
  <c r="C13" i="14"/>
  <c r="M56" i="14" s="1"/>
  <c r="M12" i="14"/>
  <c r="J12" i="14"/>
  <c r="J11" i="14"/>
  <c r="M10" i="14"/>
  <c r="J10" i="14"/>
  <c r="Y9" i="14"/>
  <c r="Y10" i="14" s="1"/>
  <c r="X9" i="14"/>
  <c r="X10" i="14" s="1"/>
  <c r="W9" i="14"/>
  <c r="W10" i="14" s="1"/>
  <c r="V9" i="14"/>
  <c r="V10" i="14" s="1"/>
  <c r="Z10" i="14" s="1"/>
  <c r="M9" i="14"/>
  <c r="J9" i="14"/>
  <c r="D9" i="14"/>
  <c r="D10" i="14" s="1"/>
  <c r="D12" i="14" s="1"/>
  <c r="C9" i="14"/>
  <c r="C10" i="14" s="1"/>
  <c r="C12" i="14" s="1"/>
  <c r="M8" i="14"/>
  <c r="J8" i="14"/>
  <c r="Z7" i="14"/>
  <c r="L6" i="14"/>
  <c r="L278" i="32"/>
  <c r="CH278" i="32"/>
  <c r="I278" i="32"/>
  <c r="L252" i="32"/>
  <c r="CH252" i="32"/>
  <c r="I252" i="32"/>
  <c r="L246" i="32"/>
  <c r="CH246" i="32"/>
  <c r="I246" i="32"/>
  <c r="L191" i="32"/>
  <c r="CH191" i="32"/>
  <c r="I191" i="32"/>
  <c r="L190" i="32"/>
  <c r="CH190" i="32"/>
  <c r="I190" i="32"/>
  <c r="L188" i="32"/>
  <c r="CH188" i="32"/>
  <c r="I188" i="32"/>
  <c r="L238" i="32"/>
  <c r="I235" i="50" s="1"/>
  <c r="I238" i="32"/>
  <c r="L240" i="32"/>
  <c r="I237" i="50" s="1"/>
  <c r="I240" i="32"/>
  <c r="L244" i="32"/>
  <c r="I241" i="50" s="1"/>
  <c r="I244" i="32"/>
  <c r="L245" i="32"/>
  <c r="I242" i="50" s="1"/>
  <c r="I245" i="32"/>
  <c r="L185" i="32"/>
  <c r="I284" i="50" s="1"/>
  <c r="I185" i="32"/>
  <c r="L179" i="32"/>
  <c r="I281" i="50" s="1"/>
  <c r="I179" i="32"/>
  <c r="L242" i="32"/>
  <c r="I239" i="50" s="1"/>
  <c r="I242" i="32"/>
  <c r="L243" i="32"/>
  <c r="I240" i="50" s="1"/>
  <c r="I243" i="32"/>
  <c r="L194" i="32"/>
  <c r="I287" i="50" s="1"/>
  <c r="I194" i="32"/>
  <c r="L182" i="32"/>
  <c r="I283" i="50" s="1"/>
  <c r="I182" i="32"/>
  <c r="L284" i="32"/>
  <c r="I224" i="50" s="1"/>
  <c r="I284" i="32"/>
  <c r="L378" i="32"/>
  <c r="I93" i="50" s="1"/>
  <c r="J378" i="32"/>
  <c r="I378" i="32"/>
  <c r="L265" i="32"/>
  <c r="I217" i="50" s="1"/>
  <c r="I265" i="32"/>
  <c r="L373" i="32"/>
  <c r="I89" i="50" s="1"/>
  <c r="J373" i="32"/>
  <c r="I373" i="32"/>
  <c r="L196" i="32"/>
  <c r="I288" i="50" s="1"/>
  <c r="I196" i="32"/>
  <c r="L186" i="32"/>
  <c r="I285" i="50" s="1"/>
  <c r="I186" i="32"/>
  <c r="L253" i="32"/>
  <c r="I213" i="50" s="1"/>
  <c r="I253" i="32"/>
  <c r="L280" i="32"/>
  <c r="I220" i="50" s="1"/>
  <c r="I280" i="32"/>
  <c r="L254" i="32"/>
  <c r="I214" i="50" s="1"/>
  <c r="I254" i="32"/>
  <c r="L241" i="32"/>
  <c r="I238" i="50" s="1"/>
  <c r="I241" i="32"/>
  <c r="L180" i="32"/>
  <c r="I282" i="50" s="1"/>
  <c r="I180" i="32"/>
  <c r="L239" i="32"/>
  <c r="I236" i="50" s="1"/>
  <c r="I239" i="32"/>
  <c r="L281" i="32"/>
  <c r="I221" i="50" s="1"/>
  <c r="I281" i="32"/>
  <c r="L256" i="32"/>
  <c r="I216" i="50" s="1"/>
  <c r="I256" i="32"/>
  <c r="L187" i="32"/>
  <c r="I286" i="50" s="1"/>
  <c r="I187" i="32"/>
  <c r="L288" i="32"/>
  <c r="I170" i="50" s="1"/>
  <c r="I288" i="32"/>
  <c r="L282" i="32"/>
  <c r="I222" i="50" s="1"/>
  <c r="I282" i="32"/>
  <c r="L255" i="32"/>
  <c r="I215" i="50" s="1"/>
  <c r="I255" i="32"/>
  <c r="L251" i="32"/>
  <c r="I212" i="50" s="1"/>
  <c r="I251" i="32"/>
  <c r="L237" i="32"/>
  <c r="I234" i="50" s="1"/>
  <c r="I237" i="32"/>
  <c r="L272" i="32"/>
  <c r="I218" i="50" s="1"/>
  <c r="CH272" i="32"/>
  <c r="I272" i="32"/>
  <c r="L365" i="32"/>
  <c r="I57" i="50" s="1"/>
  <c r="CH365" i="32"/>
  <c r="J365" i="32"/>
  <c r="I365" i="32"/>
  <c r="L178" i="32"/>
  <c r="I275" i="50" s="1"/>
  <c r="CH178" i="32"/>
  <c r="I178" i="32"/>
  <c r="L218" i="32"/>
  <c r="I276" i="50" s="1"/>
  <c r="CH218" i="32"/>
  <c r="I218" i="32"/>
  <c r="L57" i="32"/>
  <c r="I474" i="50" s="1"/>
  <c r="CH57" i="32"/>
  <c r="I57" i="32"/>
  <c r="L56" i="32"/>
  <c r="I473" i="50" s="1"/>
  <c r="CH56" i="32"/>
  <c r="I56" i="32"/>
  <c r="L55" i="32"/>
  <c r="I472" i="50" s="1"/>
  <c r="CH55" i="32"/>
  <c r="I55" i="32"/>
  <c r="L54" i="32"/>
  <c r="I471" i="50" s="1"/>
  <c r="CH54" i="32"/>
  <c r="I54" i="32"/>
  <c r="L53" i="32"/>
  <c r="I470" i="50" s="1"/>
  <c r="CH53" i="32"/>
  <c r="I53" i="32"/>
  <c r="L52" i="32"/>
  <c r="I469" i="50" s="1"/>
  <c r="CH52" i="32"/>
  <c r="I52" i="32"/>
  <c r="L51" i="32"/>
  <c r="I468" i="50" s="1"/>
  <c r="CH51" i="32"/>
  <c r="I51" i="32"/>
  <c r="L50" i="32"/>
  <c r="I467" i="50" s="1"/>
  <c r="CH50" i="32"/>
  <c r="I50" i="32"/>
  <c r="L49" i="32"/>
  <c r="I466" i="50" s="1"/>
  <c r="CH49" i="32"/>
  <c r="I49" i="32"/>
  <c r="L48" i="32"/>
  <c r="I48" i="32"/>
  <c r="L47" i="32"/>
  <c r="I464" i="50" s="1"/>
  <c r="CH47" i="32"/>
  <c r="I47" i="32"/>
  <c r="L46" i="32"/>
  <c r="I463" i="50" s="1"/>
  <c r="CH46" i="32"/>
  <c r="I46" i="32"/>
  <c r="L45" i="32"/>
  <c r="I462" i="50" s="1"/>
  <c r="CH45" i="32"/>
  <c r="I45" i="32"/>
  <c r="L44" i="32"/>
  <c r="I461" i="50" s="1"/>
  <c r="CH44" i="32"/>
  <c r="I44" i="32"/>
  <c r="L42" i="32"/>
  <c r="I459" i="50" s="1"/>
  <c r="CH42" i="32"/>
  <c r="I42" i="32"/>
  <c r="L41" i="32"/>
  <c r="I458" i="50" s="1"/>
  <c r="CH41" i="32"/>
  <c r="I41" i="32"/>
  <c r="L40" i="32"/>
  <c r="I457" i="50" s="1"/>
  <c r="CH40" i="32"/>
  <c r="I40" i="32"/>
  <c r="L39" i="32"/>
  <c r="I456" i="50" s="1"/>
  <c r="CH39" i="32"/>
  <c r="I39" i="32"/>
  <c r="L38" i="32"/>
  <c r="I455" i="50" s="1"/>
  <c r="CH38" i="32"/>
  <c r="I38" i="32"/>
  <c r="L37" i="32"/>
  <c r="I454" i="50" s="1"/>
  <c r="CH37" i="32"/>
  <c r="I37" i="32"/>
  <c r="L35" i="32"/>
  <c r="I452" i="50" s="1"/>
  <c r="CH35" i="32"/>
  <c r="I35" i="32"/>
  <c r="L34" i="32"/>
  <c r="I34" i="32"/>
  <c r="L33" i="32"/>
  <c r="I33" i="32"/>
  <c r="L32" i="32"/>
  <c r="I32" i="32"/>
  <c r="L31" i="32"/>
  <c r="I31" i="32"/>
  <c r="L30" i="32"/>
  <c r="I447" i="50" s="1"/>
  <c r="CH30" i="32"/>
  <c r="I30" i="32"/>
  <c r="L29" i="32"/>
  <c r="I29" i="32"/>
  <c r="L28" i="32"/>
  <c r="I28" i="32"/>
  <c r="L27" i="32"/>
  <c r="I444" i="50" s="1"/>
  <c r="CH27" i="32"/>
  <c r="I27" i="32"/>
  <c r="L26" i="32"/>
  <c r="I443" i="50" s="1"/>
  <c r="CH26" i="32"/>
  <c r="I26" i="32"/>
  <c r="L25" i="32"/>
  <c r="I442" i="50" s="1"/>
  <c r="CH25" i="32"/>
  <c r="I25" i="32"/>
  <c r="L24" i="32"/>
  <c r="I441" i="50" s="1"/>
  <c r="CH24" i="32"/>
  <c r="I24" i="32"/>
  <c r="L23" i="32"/>
  <c r="I23" i="32"/>
  <c r="L22" i="32"/>
  <c r="I439" i="50" s="1"/>
  <c r="CH22" i="32"/>
  <c r="I22" i="32"/>
  <c r="L21" i="32"/>
  <c r="I21" i="32"/>
  <c r="L20" i="32"/>
  <c r="I20" i="32"/>
  <c r="L19" i="32"/>
  <c r="I436" i="50" s="1"/>
  <c r="CH19" i="32"/>
  <c r="I19" i="32"/>
  <c r="L18" i="32"/>
  <c r="I18" i="32"/>
  <c r="L17" i="32"/>
  <c r="I434" i="50" s="1"/>
  <c r="CH17" i="32"/>
  <c r="I17" i="32"/>
  <c r="L16" i="32"/>
  <c r="I16" i="32"/>
  <c r="L15" i="32"/>
  <c r="I432" i="50" s="1"/>
  <c r="CH15" i="32"/>
  <c r="I15" i="32"/>
  <c r="L92" i="32"/>
  <c r="I509" i="50" s="1"/>
  <c r="CH92" i="32"/>
  <c r="I92" i="32"/>
  <c r="L91" i="32"/>
  <c r="I91" i="32"/>
  <c r="L90" i="32"/>
  <c r="I507" i="50" s="1"/>
  <c r="CH90" i="32"/>
  <c r="I90" i="32"/>
  <c r="L89" i="32"/>
  <c r="I506" i="50" s="1"/>
  <c r="CH89" i="32"/>
  <c r="I89" i="32"/>
  <c r="L88" i="32"/>
  <c r="I88" i="32"/>
  <c r="L87" i="32"/>
  <c r="I87" i="32"/>
  <c r="L86" i="32"/>
  <c r="I503" i="50" s="1"/>
  <c r="CH86" i="32"/>
  <c r="I86" i="32"/>
  <c r="L85" i="32"/>
  <c r="I502" i="50" s="1"/>
  <c r="CH85" i="32"/>
  <c r="I85" i="32"/>
  <c r="L84" i="32"/>
  <c r="I501" i="50" s="1"/>
  <c r="CH84" i="32"/>
  <c r="I84" i="32"/>
  <c r="L83" i="32"/>
  <c r="I500" i="50" s="1"/>
  <c r="CH83" i="32"/>
  <c r="I83" i="32"/>
  <c r="L82" i="32"/>
  <c r="I82" i="32"/>
  <c r="L81" i="32"/>
  <c r="I498" i="50" s="1"/>
  <c r="CH81" i="32"/>
  <c r="I81" i="32"/>
  <c r="L80" i="32"/>
  <c r="CH80" i="32"/>
  <c r="I80" i="32"/>
  <c r="L79" i="32"/>
  <c r="I496" i="50" s="1"/>
  <c r="CH79" i="32"/>
  <c r="I79" i="32"/>
  <c r="L78" i="32"/>
  <c r="I495" i="50" s="1"/>
  <c r="CH78" i="32"/>
  <c r="I78" i="32"/>
  <c r="L77" i="32"/>
  <c r="I494" i="50" s="1"/>
  <c r="CH77" i="32"/>
  <c r="I77" i="32"/>
  <c r="L75" i="32"/>
  <c r="I75" i="32"/>
  <c r="L74" i="32"/>
  <c r="I491" i="50" s="1"/>
  <c r="CH74" i="32"/>
  <c r="I74" i="32"/>
  <c r="L73" i="32"/>
  <c r="I490" i="50" s="1"/>
  <c r="CH73" i="32"/>
  <c r="I73" i="32"/>
  <c r="L72" i="32"/>
  <c r="I489" i="50" s="1"/>
  <c r="CH72" i="32"/>
  <c r="I72" i="32"/>
  <c r="L71" i="32"/>
  <c r="I71" i="32"/>
  <c r="L70" i="32"/>
  <c r="I487" i="50" s="1"/>
  <c r="CH70" i="32"/>
  <c r="I70" i="32"/>
  <c r="L69" i="32"/>
  <c r="I486" i="50" s="1"/>
  <c r="CH69" i="32"/>
  <c r="I69" i="32"/>
  <c r="L68" i="32"/>
  <c r="I485" i="50" s="1"/>
  <c r="CH68" i="32"/>
  <c r="I68" i="32"/>
  <c r="L67" i="32"/>
  <c r="I484" i="50" s="1"/>
  <c r="CH67" i="32"/>
  <c r="I67" i="32"/>
  <c r="L66" i="32"/>
  <c r="I483" i="50" s="1"/>
  <c r="CH66" i="32"/>
  <c r="I66" i="32"/>
  <c r="L65" i="32"/>
  <c r="I482" i="50" s="1"/>
  <c r="CH65" i="32"/>
  <c r="I65" i="32"/>
  <c r="L63" i="32"/>
  <c r="I63" i="32"/>
  <c r="L62" i="32"/>
  <c r="I479" i="50" s="1"/>
  <c r="CH62" i="32"/>
  <c r="I62" i="32"/>
  <c r="L61" i="32"/>
  <c r="I478" i="50" s="1"/>
  <c r="CH61" i="32"/>
  <c r="I61" i="32"/>
  <c r="L60" i="32"/>
  <c r="I477" i="50" s="1"/>
  <c r="CH60" i="32"/>
  <c r="I60" i="32"/>
  <c r="L59" i="32"/>
  <c r="I476" i="50" s="1"/>
  <c r="CH59" i="32"/>
  <c r="I59" i="32"/>
  <c r="L58" i="32"/>
  <c r="I475" i="50" s="1"/>
  <c r="CH58" i="32"/>
  <c r="I58" i="32"/>
  <c r="L43" i="32"/>
  <c r="I43" i="32"/>
  <c r="L36" i="32"/>
  <c r="I453" i="50" s="1"/>
  <c r="CH36" i="32"/>
  <c r="I36" i="32"/>
  <c r="L76" i="32"/>
  <c r="I493" i="50" s="1"/>
  <c r="CH76" i="32"/>
  <c r="I76" i="32"/>
  <c r="L64" i="32"/>
  <c r="I481" i="50" s="1"/>
  <c r="CH64" i="32"/>
  <c r="I64" i="32"/>
  <c r="L14" i="32"/>
  <c r="I431" i="50" s="1"/>
  <c r="CH14" i="32"/>
  <c r="J14" i="32"/>
  <c r="I14" i="32"/>
  <c r="H431" i="50" s="1"/>
  <c r="L157" i="32"/>
  <c r="I351" i="50" s="1"/>
  <c r="I157" i="32"/>
  <c r="L154" i="32"/>
  <c r="I349" i="50" s="1"/>
  <c r="I154" i="32"/>
  <c r="L155" i="32"/>
  <c r="I350" i="50" s="1"/>
  <c r="I155" i="32"/>
  <c r="L137" i="32"/>
  <c r="I336" i="50" s="1"/>
  <c r="CH137" i="32"/>
  <c r="I137" i="32"/>
  <c r="L136" i="32"/>
  <c r="I335" i="50" s="1"/>
  <c r="CH136" i="32"/>
  <c r="I136" i="32"/>
  <c r="L138" i="32"/>
  <c r="I337" i="50" s="1"/>
  <c r="CH138" i="32"/>
  <c r="I138" i="32"/>
  <c r="L127" i="32"/>
  <c r="I326" i="50" s="1"/>
  <c r="CH127" i="32"/>
  <c r="I127" i="32"/>
  <c r="L139" i="32"/>
  <c r="CH139" i="32"/>
  <c r="I139" i="32"/>
  <c r="L131" i="32"/>
  <c r="I330" i="50" s="1"/>
  <c r="CH131" i="32"/>
  <c r="I131" i="32"/>
  <c r="L135" i="32"/>
  <c r="CH135" i="32"/>
  <c r="I135" i="32"/>
  <c r="L140" i="32"/>
  <c r="I339" i="50" s="1"/>
  <c r="CH140" i="32"/>
  <c r="I140" i="32"/>
  <c r="L126" i="32"/>
  <c r="I325" i="50" s="1"/>
  <c r="CH126" i="32"/>
  <c r="I126" i="32"/>
  <c r="L132" i="32"/>
  <c r="CH132" i="32"/>
  <c r="I132" i="32"/>
  <c r="L134" i="32"/>
  <c r="I333" i="50" s="1"/>
  <c r="CH134" i="32"/>
  <c r="I134" i="32"/>
  <c r="L124" i="32"/>
  <c r="I323" i="50" s="1"/>
  <c r="CH124" i="32"/>
  <c r="I124" i="32"/>
  <c r="L121" i="32"/>
  <c r="I320" i="50" s="1"/>
  <c r="CH121" i="32"/>
  <c r="I121" i="32"/>
  <c r="L128" i="32"/>
  <c r="I327" i="50" s="1"/>
  <c r="CH128" i="32"/>
  <c r="I128" i="32"/>
  <c r="L129" i="32"/>
  <c r="I328" i="50" s="1"/>
  <c r="CH129" i="32"/>
  <c r="I129" i="32"/>
  <c r="L123" i="32"/>
  <c r="I322" i="50" s="1"/>
  <c r="CH123" i="32"/>
  <c r="I123" i="32"/>
  <c r="L119" i="32"/>
  <c r="I318" i="50" s="1"/>
  <c r="CH119" i="32"/>
  <c r="I119" i="32"/>
  <c r="L122" i="32"/>
  <c r="I321" i="50" s="1"/>
  <c r="CH122" i="32"/>
  <c r="I122" i="32"/>
  <c r="L120" i="32"/>
  <c r="I319" i="50" s="1"/>
  <c r="CH120" i="32"/>
  <c r="I120" i="32"/>
  <c r="L130" i="32"/>
  <c r="I329" i="50" s="1"/>
  <c r="CH130" i="32"/>
  <c r="I130" i="32"/>
  <c r="L125" i="32"/>
  <c r="I324" i="50" s="1"/>
  <c r="CH125" i="32"/>
  <c r="I125" i="32"/>
  <c r="L133" i="32"/>
  <c r="CH133" i="32"/>
  <c r="I133" i="32"/>
  <c r="L158" i="32"/>
  <c r="I352" i="50" s="1"/>
  <c r="CH158" i="32"/>
  <c r="I158" i="32"/>
  <c r="L150" i="32"/>
  <c r="I346" i="50" s="1"/>
  <c r="CH150" i="32"/>
  <c r="I150" i="32"/>
  <c r="L163" i="32"/>
  <c r="I357" i="50" s="1"/>
  <c r="CH163" i="32"/>
  <c r="I163" i="32"/>
  <c r="L166" i="32"/>
  <c r="CH166" i="32"/>
  <c r="I166" i="32"/>
  <c r="L147" i="32"/>
  <c r="CH147" i="32"/>
  <c r="F110" i="34"/>
  <c r="I147" i="32"/>
  <c r="L149" i="32"/>
  <c r="CH149" i="32"/>
  <c r="F109" i="34"/>
  <c r="I149" i="32"/>
  <c r="L151" i="32"/>
  <c r="CH151" i="32"/>
  <c r="I151" i="32"/>
  <c r="L148" i="32"/>
  <c r="I148" i="32"/>
  <c r="L153" i="32"/>
  <c r="F108" i="34"/>
  <c r="I153" i="32"/>
  <c r="L144" i="32"/>
  <c r="F107" i="34"/>
  <c r="I144" i="32"/>
  <c r="L168" i="32"/>
  <c r="CH168" i="32"/>
  <c r="I168" i="32"/>
  <c r="L161" i="32"/>
  <c r="CH161" i="32"/>
  <c r="F105" i="34"/>
  <c r="I161" i="32"/>
  <c r="L143" i="32"/>
  <c r="CH143" i="32"/>
  <c r="I143" i="32"/>
  <c r="L167" i="32"/>
  <c r="CH167" i="32"/>
  <c r="I167" i="32"/>
  <c r="L162" i="32"/>
  <c r="I162" i="32"/>
  <c r="L141" i="32"/>
  <c r="I141" i="32"/>
  <c r="L165" i="32"/>
  <c r="I165" i="32"/>
  <c r="CH296" i="32"/>
  <c r="I296" i="32"/>
  <c r="L296" i="32"/>
  <c r="L325" i="32"/>
  <c r="CH325" i="32"/>
  <c r="I325" i="32"/>
  <c r="L260" i="32"/>
  <c r="I260" i="32"/>
  <c r="L277" i="32"/>
  <c r="I277" i="32"/>
  <c r="L305" i="32"/>
  <c r="F55" i="34"/>
  <c r="I305" i="32"/>
  <c r="L307" i="32"/>
  <c r="F54" i="34"/>
  <c r="I307" i="32"/>
  <c r="L276" i="32"/>
  <c r="F53" i="34"/>
  <c r="I276" i="32"/>
  <c r="L286" i="32"/>
  <c r="F52" i="34"/>
  <c r="I286" i="32"/>
  <c r="L169" i="32"/>
  <c r="CH169" i="32"/>
  <c r="CV169" i="32"/>
  <c r="I169" i="32"/>
  <c r="CT169" i="32" s="1"/>
  <c r="L270" i="32"/>
  <c r="I1008" i="50" s="1"/>
  <c r="CH270" i="32"/>
  <c r="I270" i="32"/>
  <c r="L273" i="32"/>
  <c r="I273" i="32"/>
  <c r="L262" i="32"/>
  <c r="I198" i="50" s="1"/>
  <c r="I262" i="32"/>
  <c r="L250" i="32"/>
  <c r="I250" i="32"/>
  <c r="I248" i="32"/>
  <c r="I269" i="32"/>
  <c r="L269" i="32"/>
  <c r="L177" i="32"/>
  <c r="I304" i="50" s="1"/>
  <c r="I177" i="32"/>
  <c r="L374" i="32"/>
  <c r="I64" i="50" s="1"/>
  <c r="J374" i="32"/>
  <c r="I374" i="32"/>
  <c r="L358" i="32"/>
  <c r="I47" i="50" s="1"/>
  <c r="I358" i="32"/>
  <c r="L283" i="32"/>
  <c r="I283" i="32"/>
  <c r="L171" i="32"/>
  <c r="I171" i="32"/>
  <c r="L172" i="32"/>
  <c r="I303" i="50" s="1"/>
  <c r="I172" i="32"/>
  <c r="L259" i="32"/>
  <c r="I259" i="32"/>
  <c r="L261" i="32"/>
  <c r="I261" i="32"/>
  <c r="L377" i="32"/>
  <c r="J377" i="32"/>
  <c r="I377" i="32"/>
  <c r="L375" i="32"/>
  <c r="J375" i="32"/>
  <c r="I375" i="32"/>
  <c r="L372" i="32"/>
  <c r="J372" i="32"/>
  <c r="I372" i="32"/>
  <c r="L257" i="32"/>
  <c r="F58" i="34"/>
  <c r="I257" i="32"/>
  <c r="L366" i="32"/>
  <c r="CH366" i="32"/>
  <c r="J366" i="32"/>
  <c r="I366" i="32"/>
  <c r="L176" i="32"/>
  <c r="CH176" i="32"/>
  <c r="CV176" i="32"/>
  <c r="I176" i="32"/>
  <c r="CT176" i="32" s="1"/>
  <c r="L380" i="32"/>
  <c r="J380" i="32"/>
  <c r="I380" i="32"/>
  <c r="L381" i="32"/>
  <c r="J381" i="32"/>
  <c r="I381" i="32"/>
  <c r="L359" i="32"/>
  <c r="I359" i="32"/>
  <c r="CH274" i="32"/>
  <c r="I274" i="32"/>
  <c r="L274" i="32"/>
  <c r="L361" i="32"/>
  <c r="J361" i="32"/>
  <c r="I361" i="32"/>
  <c r="L362" i="32"/>
  <c r="J362" i="32"/>
  <c r="I362" i="32"/>
  <c r="L367" i="32"/>
  <c r="J367" i="32"/>
  <c r="I367" i="32"/>
  <c r="L258" i="32"/>
  <c r="I226" i="50" s="1"/>
  <c r="I258" i="32"/>
  <c r="L152" i="32"/>
  <c r="I425" i="50" s="1"/>
  <c r="I152" i="32"/>
  <c r="L263" i="32"/>
  <c r="I263" i="32"/>
  <c r="L275" i="32"/>
  <c r="CH275" i="32"/>
  <c r="I275" i="32"/>
  <c r="L264" i="32"/>
  <c r="I264" i="32"/>
  <c r="L279" i="32"/>
  <c r="F59" i="34"/>
  <c r="I279" i="32"/>
  <c r="L249" i="32"/>
  <c r="I192" i="50" s="1"/>
  <c r="I249" i="32"/>
  <c r="L247" i="32"/>
  <c r="I247" i="32"/>
  <c r="L268" i="32"/>
  <c r="CH268" i="32"/>
  <c r="I268" i="32"/>
  <c r="L334" i="32"/>
  <c r="I334" i="32"/>
  <c r="L174" i="32"/>
  <c r="I174" i="32"/>
  <c r="L341" i="32"/>
  <c r="I341" i="32"/>
  <c r="L333" i="32"/>
  <c r="CH333" i="32"/>
  <c r="I333" i="32"/>
  <c r="L337" i="32"/>
  <c r="I337" i="32"/>
  <c r="L335" i="32"/>
  <c r="I335" i="32"/>
  <c r="L332" i="32"/>
  <c r="I332" i="32"/>
  <c r="L331" i="32"/>
  <c r="I331" i="32"/>
  <c r="L340" i="32"/>
  <c r="I340" i="32"/>
  <c r="L271" i="32"/>
  <c r="I271" i="32"/>
  <c r="L173" i="32"/>
  <c r="I173" i="32"/>
  <c r="L175" i="32"/>
  <c r="CH175" i="32"/>
  <c r="I175" i="32"/>
  <c r="L339" i="32"/>
  <c r="I339" i="32"/>
  <c r="L338" i="32"/>
  <c r="I338" i="32"/>
  <c r="L336" i="32"/>
  <c r="I336" i="32"/>
  <c r="L170" i="32"/>
  <c r="I170" i="32"/>
  <c r="CH330" i="32"/>
  <c r="CV330" i="32"/>
  <c r="I330" i="32"/>
  <c r="CT330" i="32" s="1"/>
  <c r="CH324" i="32"/>
  <c r="CV324" i="32"/>
  <c r="I324" i="32"/>
  <c r="CT324" i="32" s="1"/>
  <c r="CH321" i="32"/>
  <c r="CV321" i="32"/>
  <c r="I321" i="32"/>
  <c r="CT321" i="32" s="1"/>
  <c r="CH322" i="32"/>
  <c r="CV322" i="32"/>
  <c r="I322" i="32"/>
  <c r="CT322" i="32" s="1"/>
  <c r="I329" i="32"/>
  <c r="I327" i="32"/>
  <c r="K320" i="32"/>
  <c r="I320" i="32"/>
  <c r="CH323" i="32"/>
  <c r="I323" i="32"/>
  <c r="I317" i="32"/>
  <c r="CV315" i="32"/>
  <c r="I315" i="32"/>
  <c r="I316" i="32"/>
  <c r="L319" i="32"/>
  <c r="I319" i="32"/>
  <c r="I328" i="32"/>
  <c r="L326" i="32"/>
  <c r="I326" i="32"/>
  <c r="I312" i="32"/>
  <c r="F100" i="34"/>
  <c r="I313" i="32"/>
  <c r="I314" i="32"/>
  <c r="I302" i="32"/>
  <c r="I300" i="32"/>
  <c r="I299" i="32"/>
  <c r="I304" i="32"/>
  <c r="I303" i="32"/>
  <c r="I301" i="32"/>
  <c r="I311" i="32"/>
  <c r="I308" i="32"/>
  <c r="I310" i="32"/>
  <c r="I306" i="32"/>
  <c r="I309" i="32"/>
  <c r="CH371" i="32"/>
  <c r="CV371" i="32"/>
  <c r="I371" i="32"/>
  <c r="CT371" i="32" s="1"/>
  <c r="CH370" i="32"/>
  <c r="CV370" i="32"/>
  <c r="I370" i="32"/>
  <c r="CT370" i="32" s="1"/>
  <c r="CH369" i="32"/>
  <c r="CV369" i="32"/>
  <c r="I369" i="32"/>
  <c r="CT369" i="32" s="1"/>
  <c r="CH368" i="32"/>
  <c r="CV368" i="32"/>
  <c r="I368" i="32"/>
  <c r="CT368" i="32" s="1"/>
  <c r="I357" i="32"/>
  <c r="I379" i="32"/>
  <c r="I363" i="32"/>
  <c r="L360" i="32"/>
  <c r="F61" i="34"/>
  <c r="I360" i="32"/>
  <c r="I364" i="32"/>
  <c r="I376" i="32"/>
  <c r="CH160" i="32"/>
  <c r="I160" i="32"/>
  <c r="CT160" i="32" s="1"/>
  <c r="CV160" i="32"/>
  <c r="CH164" i="32"/>
  <c r="I164" i="32"/>
  <c r="L164" i="32"/>
  <c r="CH293" i="32"/>
  <c r="I293" i="32"/>
  <c r="I294" i="32"/>
  <c r="F97" i="34"/>
  <c r="I290" i="32"/>
  <c r="CV287" i="32"/>
  <c r="I287" i="32"/>
  <c r="L295" i="32"/>
  <c r="F51" i="34"/>
  <c r="I295" i="32"/>
  <c r="F98" i="34"/>
  <c r="I291" i="32"/>
  <c r="F99" i="34"/>
  <c r="I292" i="32"/>
  <c r="L297" i="32"/>
  <c r="I297" i="32"/>
  <c r="L289" i="32"/>
  <c r="I289" i="32"/>
  <c r="N158" i="34"/>
  <c r="O158" i="34" s="1"/>
  <c r="I158" i="34"/>
  <c r="K158" i="34" s="1"/>
  <c r="C158" i="34"/>
  <c r="N157" i="34"/>
  <c r="O157" i="34" s="1"/>
  <c r="I157" i="34"/>
  <c r="C157" i="34"/>
  <c r="N156" i="34"/>
  <c r="O156" i="34" s="1"/>
  <c r="I156" i="34"/>
  <c r="K156" i="34" s="1"/>
  <c r="C156" i="34"/>
  <c r="N155" i="34"/>
  <c r="O155" i="34" s="1"/>
  <c r="I155" i="34"/>
  <c r="K155" i="34" s="1"/>
  <c r="C155" i="34"/>
  <c r="N154" i="34"/>
  <c r="O154" i="34" s="1"/>
  <c r="I154" i="34"/>
  <c r="C154" i="34"/>
  <c r="BH86" i="34"/>
  <c r="BG86" i="34"/>
  <c r="BF86" i="34"/>
  <c r="BE86" i="34"/>
  <c r="BD86" i="34"/>
  <c r="BC86" i="34"/>
  <c r="AB86" i="34"/>
  <c r="AA86" i="34"/>
  <c r="Z86" i="34"/>
  <c r="Y86" i="34"/>
  <c r="X86" i="34"/>
  <c r="W86" i="34"/>
  <c r="BH85" i="34"/>
  <c r="BG85" i="34"/>
  <c r="BF85" i="34"/>
  <c r="BE85" i="34"/>
  <c r="BD85" i="34"/>
  <c r="BC85" i="34"/>
  <c r="AB85" i="34"/>
  <c r="AA85" i="34"/>
  <c r="Z85" i="34"/>
  <c r="Y85" i="34"/>
  <c r="X85" i="34"/>
  <c r="W85" i="34"/>
  <c r="BH84" i="34"/>
  <c r="BG84" i="34"/>
  <c r="BF84" i="34"/>
  <c r="BE84" i="34"/>
  <c r="BD84" i="34"/>
  <c r="BC84" i="34"/>
  <c r="AB84" i="34"/>
  <c r="AA84" i="34"/>
  <c r="Z84" i="34"/>
  <c r="Y84" i="34"/>
  <c r="X84" i="34"/>
  <c r="W84" i="34"/>
  <c r="BH83" i="34"/>
  <c r="BG83" i="34"/>
  <c r="BF83" i="34"/>
  <c r="BE83" i="34"/>
  <c r="BD83" i="34"/>
  <c r="BC83" i="34"/>
  <c r="AB83" i="34"/>
  <c r="AA83" i="34"/>
  <c r="Z83" i="34"/>
  <c r="Y83" i="34"/>
  <c r="X83" i="34"/>
  <c r="W83" i="34"/>
  <c r="BH82" i="34"/>
  <c r="BG82" i="34"/>
  <c r="BF82" i="34"/>
  <c r="BE82" i="34"/>
  <c r="BD82" i="34"/>
  <c r="BC82" i="34"/>
  <c r="AB82" i="34"/>
  <c r="AA82" i="34"/>
  <c r="Z82" i="34"/>
  <c r="Y82" i="34"/>
  <c r="X82" i="34"/>
  <c r="W82" i="34"/>
  <c r="BH81" i="34"/>
  <c r="BG81" i="34"/>
  <c r="BF81" i="34"/>
  <c r="BE81" i="34"/>
  <c r="BD81" i="34"/>
  <c r="BC81" i="34"/>
  <c r="AB81" i="34"/>
  <c r="AA81" i="34"/>
  <c r="Z81" i="34"/>
  <c r="Y81" i="34"/>
  <c r="X81" i="34"/>
  <c r="W81" i="34"/>
  <c r="BH80" i="34"/>
  <c r="BG80" i="34"/>
  <c r="BF80" i="34"/>
  <c r="BE80" i="34"/>
  <c r="BD80" i="34"/>
  <c r="BC80" i="34"/>
  <c r="AB80" i="34"/>
  <c r="AA80" i="34"/>
  <c r="Z80" i="34"/>
  <c r="Y80" i="34"/>
  <c r="X80" i="34"/>
  <c r="W80" i="34"/>
  <c r="BH79" i="34"/>
  <c r="BG79" i="34"/>
  <c r="BF79" i="34"/>
  <c r="BE79" i="34"/>
  <c r="BD79" i="34"/>
  <c r="BC79" i="34"/>
  <c r="AB79" i="34"/>
  <c r="AA79" i="34"/>
  <c r="Z79" i="34"/>
  <c r="Y79" i="34"/>
  <c r="X79" i="34"/>
  <c r="W79" i="34"/>
  <c r="BH78" i="34"/>
  <c r="BG78" i="34"/>
  <c r="BF78" i="34"/>
  <c r="BE78" i="34"/>
  <c r="BD78" i="34"/>
  <c r="BC78" i="34"/>
  <c r="AB78" i="34"/>
  <c r="AA78" i="34"/>
  <c r="Z78" i="34"/>
  <c r="Y78" i="34"/>
  <c r="X78" i="34"/>
  <c r="W78" i="34"/>
  <c r="BG77" i="34"/>
  <c r="BF77" i="34"/>
  <c r="BE77" i="34"/>
  <c r="BD77" i="34"/>
  <c r="BC77" i="34"/>
  <c r="AB77" i="34"/>
  <c r="AA77" i="34"/>
  <c r="Z77" i="34"/>
  <c r="Y77" i="34"/>
  <c r="X77" i="34"/>
  <c r="W77" i="34"/>
  <c r="BH73" i="34"/>
  <c r="BG73" i="34"/>
  <c r="BF73" i="34"/>
  <c r="BE73" i="34"/>
  <c r="BD73" i="34"/>
  <c r="BC73" i="34"/>
  <c r="AU73" i="34"/>
  <c r="AT73" i="34"/>
  <c r="AS73" i="34"/>
  <c r="AR73" i="34"/>
  <c r="AQ73" i="34"/>
  <c r="AB73" i="34"/>
  <c r="AA73" i="34"/>
  <c r="Z73" i="34"/>
  <c r="Y73" i="34"/>
  <c r="X73" i="34"/>
  <c r="W73" i="34"/>
  <c r="V73" i="34"/>
  <c r="U73" i="34"/>
  <c r="T73" i="34"/>
  <c r="S73" i="34"/>
  <c r="R73" i="34"/>
  <c r="Q73" i="34"/>
  <c r="DE70" i="34"/>
  <c r="DE69" i="34"/>
  <c r="AY69" i="34"/>
  <c r="AX69" i="34"/>
  <c r="AW69" i="34"/>
  <c r="DE68" i="34"/>
  <c r="AY68" i="34"/>
  <c r="AX68" i="34"/>
  <c r="AW68" i="34"/>
  <c r="DE67" i="34"/>
  <c r="AY67" i="34"/>
  <c r="AX67" i="34"/>
  <c r="AW67" i="34"/>
  <c r="AY66" i="34"/>
  <c r="AX66" i="34"/>
  <c r="AW66" i="34"/>
  <c r="AY65" i="34"/>
  <c r="AX65" i="34"/>
  <c r="AW65" i="34"/>
  <c r="AY64" i="34"/>
  <c r="AX64" i="34"/>
  <c r="AW64" i="34"/>
  <c r="DC63" i="34"/>
  <c r="DA63" i="34"/>
  <c r="DB63" i="34" s="1"/>
  <c r="CZ63" i="34"/>
  <c r="CX63" i="34"/>
  <c r="CY63" i="34" s="1"/>
  <c r="DC62" i="34"/>
  <c r="DA62" i="34"/>
  <c r="DB62" i="34" s="1"/>
  <c r="CZ62" i="34"/>
  <c r="CX62" i="34"/>
  <c r="CY62" i="34" s="1"/>
  <c r="BA62" i="34"/>
  <c r="AZ62" i="34"/>
  <c r="AW62" i="34"/>
  <c r="DC61" i="34"/>
  <c r="DA61" i="34"/>
  <c r="DB61" i="34" s="1"/>
  <c r="CZ61" i="34"/>
  <c r="CX61" i="34"/>
  <c r="CY61" i="34" s="1"/>
  <c r="BA61" i="34"/>
  <c r="AZ61" i="34"/>
  <c r="AW61" i="34"/>
  <c r="DC60" i="34"/>
  <c r="DA60" i="34"/>
  <c r="DB60" i="34" s="1"/>
  <c r="CZ60" i="34"/>
  <c r="CX60" i="34"/>
  <c r="CY60" i="34" s="1"/>
  <c r="BA60" i="34"/>
  <c r="AZ60" i="34"/>
  <c r="AW60" i="34"/>
  <c r="DC59" i="34"/>
  <c r="DA59" i="34"/>
  <c r="DB59" i="34" s="1"/>
  <c r="CZ59" i="34"/>
  <c r="CX59" i="34"/>
  <c r="CY59" i="34" s="1"/>
  <c r="BA59" i="34"/>
  <c r="AZ59" i="34"/>
  <c r="AW59" i="34"/>
  <c r="AW58" i="34"/>
  <c r="BA57" i="34"/>
  <c r="AZ57" i="34"/>
  <c r="AW57" i="34"/>
  <c r="AW56" i="34"/>
  <c r="BA55" i="34"/>
  <c r="AZ55" i="34"/>
  <c r="AW55" i="34"/>
  <c r="BA54" i="34"/>
  <c r="AZ54" i="34"/>
  <c r="AW54" i="34"/>
  <c r="DH53" i="34"/>
  <c r="DI53" i="34" s="1"/>
  <c r="DG53" i="34"/>
  <c r="DC53" i="34"/>
  <c r="DA53" i="34"/>
  <c r="DB53" i="34" s="1"/>
  <c r="CZ53" i="34"/>
  <c r="CX53" i="34"/>
  <c r="CY53" i="34" s="1"/>
  <c r="BA53" i="34"/>
  <c r="AZ53" i="34"/>
  <c r="AW53" i="34"/>
  <c r="DK52" i="34"/>
  <c r="DH52" i="34"/>
  <c r="DI52" i="34" s="1"/>
  <c r="DG52" i="34"/>
  <c r="DC52" i="34"/>
  <c r="DA52" i="34"/>
  <c r="DB52" i="34" s="1"/>
  <c r="CZ52" i="34"/>
  <c r="CX52" i="34"/>
  <c r="CY52" i="34" s="1"/>
  <c r="BA52" i="34"/>
  <c r="AZ52" i="34"/>
  <c r="AW52" i="34"/>
  <c r="DK51" i="34"/>
  <c r="DH51" i="34"/>
  <c r="DI51" i="34" s="1"/>
  <c r="DG51" i="34"/>
  <c r="DC51" i="34"/>
  <c r="DA51" i="34"/>
  <c r="DB51" i="34" s="1"/>
  <c r="CZ51" i="34"/>
  <c r="CX51" i="34"/>
  <c r="CY51" i="34" s="1"/>
  <c r="BA51" i="34"/>
  <c r="AZ51" i="34"/>
  <c r="AW51" i="34"/>
  <c r="DH50" i="34"/>
  <c r="DI50" i="34" s="1"/>
  <c r="DG50" i="34"/>
  <c r="DC50" i="34"/>
  <c r="DA50" i="34"/>
  <c r="DB50" i="34" s="1"/>
  <c r="CZ50" i="34"/>
  <c r="CX50" i="34"/>
  <c r="CY50" i="34" s="1"/>
  <c r="BA50" i="34"/>
  <c r="AZ50" i="34"/>
  <c r="AW50" i="34"/>
  <c r="DI49" i="34"/>
  <c r="DJ49" i="34" s="1"/>
  <c r="DH49" i="34"/>
  <c r="DD49" i="34"/>
  <c r="DB49" i="34"/>
  <c r="DC49" i="34" s="1"/>
  <c r="DA49" i="34"/>
  <c r="CY49" i="34"/>
  <c r="CZ49" i="34" s="1"/>
  <c r="BA49" i="34"/>
  <c r="AZ49" i="34"/>
  <c r="AW49" i="34"/>
  <c r="DU46" i="34"/>
  <c r="DS46" i="34"/>
  <c r="DQ46" i="34"/>
  <c r="DO46" i="34"/>
  <c r="DM46" i="34"/>
  <c r="DF46" i="34"/>
  <c r="BG46" i="34"/>
  <c r="BG47" i="34" s="1"/>
  <c r="BF46" i="34"/>
  <c r="BF47" i="34" s="1"/>
  <c r="BE46" i="34"/>
  <c r="BE47" i="34" s="1"/>
  <c r="BD46" i="34"/>
  <c r="BD47" i="34" s="1"/>
  <c r="BC46" i="34"/>
  <c r="BC47" i="34" s="1"/>
  <c r="AU46" i="34"/>
  <c r="AU47" i="34" s="1"/>
  <c r="AT46" i="34"/>
  <c r="AT47" i="34" s="1"/>
  <c r="AS46" i="34"/>
  <c r="AS47" i="34" s="1"/>
  <c r="AR46" i="34"/>
  <c r="AR47" i="34" s="1"/>
  <c r="AQ46" i="34"/>
  <c r="AQ47" i="34" s="1"/>
  <c r="AA46" i="34"/>
  <c r="AA47" i="34" s="1"/>
  <c r="Z46" i="34"/>
  <c r="Z47" i="34" s="1"/>
  <c r="Y46" i="34"/>
  <c r="Y47" i="34" s="1"/>
  <c r="X46" i="34"/>
  <c r="X47" i="34" s="1"/>
  <c r="W46" i="34"/>
  <c r="W47" i="34" s="1"/>
  <c r="U46" i="34"/>
  <c r="U47" i="34" s="1"/>
  <c r="T46" i="34"/>
  <c r="T47" i="34" s="1"/>
  <c r="S46" i="34"/>
  <c r="S47" i="34" s="1"/>
  <c r="R46" i="34"/>
  <c r="R47" i="34" s="1"/>
  <c r="Q46" i="34"/>
  <c r="Q47" i="34" s="1"/>
  <c r="DT45" i="34"/>
  <c r="DT46" i="34" s="1"/>
  <c r="DR45" i="34"/>
  <c r="DR46" i="34" s="1"/>
  <c r="DP45" i="34"/>
  <c r="DP46" i="34" s="1"/>
  <c r="DN45" i="34"/>
  <c r="DN46" i="34" s="1"/>
  <c r="DF45" i="34"/>
  <c r="Y37" i="34"/>
  <c r="X37" i="34"/>
  <c r="W37" i="34"/>
  <c r="Y34" i="34"/>
  <c r="X34" i="34"/>
  <c r="W34" i="34"/>
  <c r="O23" i="16"/>
  <c r="P23" i="16" s="1"/>
  <c r="Q23" i="16" s="1"/>
  <c r="M23" i="16"/>
  <c r="I23" i="16"/>
  <c r="J23" i="16" s="1"/>
  <c r="K23" i="16" s="1"/>
  <c r="Y23" i="16" s="1"/>
  <c r="G23" i="16"/>
  <c r="P22" i="16"/>
  <c r="Q22" i="16" s="1"/>
  <c r="O22" i="16"/>
  <c r="M22" i="16"/>
  <c r="I22" i="16"/>
  <c r="J22" i="16" s="1"/>
  <c r="K22" i="16" s="1"/>
  <c r="G22" i="16"/>
  <c r="O21" i="16"/>
  <c r="P21" i="16" s="1"/>
  <c r="Q21" i="16" s="1"/>
  <c r="M21" i="16"/>
  <c r="I21" i="16"/>
  <c r="J21" i="16" s="1"/>
  <c r="K21" i="16" s="1"/>
  <c r="G21" i="16"/>
  <c r="O20" i="16"/>
  <c r="P20" i="16" s="1"/>
  <c r="Q20" i="16" s="1"/>
  <c r="M20" i="16"/>
  <c r="I20" i="16"/>
  <c r="J20" i="16" s="1"/>
  <c r="K20" i="16" s="1"/>
  <c r="Y20" i="16" s="1"/>
  <c r="G20" i="16"/>
  <c r="O19" i="16"/>
  <c r="P19" i="16" s="1"/>
  <c r="Q19" i="16" s="1"/>
  <c r="M19" i="16"/>
  <c r="I19" i="16"/>
  <c r="J19" i="16" s="1"/>
  <c r="K19" i="16" s="1"/>
  <c r="G19" i="16"/>
  <c r="O18" i="16"/>
  <c r="P18" i="16" s="1"/>
  <c r="Q18" i="16" s="1"/>
  <c r="M18" i="16"/>
  <c r="J18" i="16"/>
  <c r="K18" i="16" s="1"/>
  <c r="Y18" i="16" s="1"/>
  <c r="I18" i="16"/>
  <c r="G18" i="16"/>
  <c r="O17" i="16"/>
  <c r="P17" i="16" s="1"/>
  <c r="Q17" i="16" s="1"/>
  <c r="M17" i="16"/>
  <c r="I17" i="16"/>
  <c r="J17" i="16" s="1"/>
  <c r="K17" i="16" s="1"/>
  <c r="G17" i="16"/>
  <c r="P16" i="16"/>
  <c r="Q16" i="16" s="1"/>
  <c r="O16" i="16"/>
  <c r="M16" i="16"/>
  <c r="I16" i="16"/>
  <c r="J16" i="16" s="1"/>
  <c r="K16" i="16" s="1"/>
  <c r="G16" i="16"/>
  <c r="O15" i="16"/>
  <c r="P15" i="16" s="1"/>
  <c r="Q15" i="16" s="1"/>
  <c r="M15" i="16"/>
  <c r="I15" i="16"/>
  <c r="J15" i="16" s="1"/>
  <c r="K15" i="16" s="1"/>
  <c r="Y15" i="16" s="1"/>
  <c r="G15" i="16"/>
  <c r="O13" i="16"/>
  <c r="P13" i="16" s="1"/>
  <c r="Q13" i="16" s="1"/>
  <c r="M13" i="16"/>
  <c r="I13" i="16"/>
  <c r="J13" i="16" s="1"/>
  <c r="K13" i="16" s="1"/>
  <c r="G13" i="16"/>
  <c r="O12" i="16"/>
  <c r="P12" i="16" s="1"/>
  <c r="Q12" i="16" s="1"/>
  <c r="M12" i="16"/>
  <c r="I12" i="16"/>
  <c r="J12" i="16" s="1"/>
  <c r="K12" i="16" s="1"/>
  <c r="G12" i="16"/>
  <c r="P11" i="16"/>
  <c r="Q11" i="16" s="1"/>
  <c r="O11" i="16"/>
  <c r="M11" i="16"/>
  <c r="I11" i="16"/>
  <c r="J11" i="16" s="1"/>
  <c r="K11" i="16" s="1"/>
  <c r="Y11" i="16" s="1"/>
  <c r="G11" i="16"/>
  <c r="O10" i="16"/>
  <c r="P10" i="16" s="1"/>
  <c r="Q10" i="16" s="1"/>
  <c r="M10" i="16"/>
  <c r="I10" i="16"/>
  <c r="J10" i="16" s="1"/>
  <c r="K10" i="16" s="1"/>
  <c r="G10" i="16"/>
  <c r="O9" i="16"/>
  <c r="P9" i="16" s="1"/>
  <c r="Q9" i="16" s="1"/>
  <c r="M9" i="16"/>
  <c r="J9" i="16"/>
  <c r="K9" i="16" s="1"/>
  <c r="I9" i="16"/>
  <c r="G9" i="16"/>
  <c r="P8" i="16"/>
  <c r="Q8" i="16" s="1"/>
  <c r="O8" i="16"/>
  <c r="M8" i="16"/>
  <c r="I8" i="16"/>
  <c r="J8" i="16" s="1"/>
  <c r="K8" i="16" s="1"/>
  <c r="Y8" i="16" s="1"/>
  <c r="G8" i="16"/>
  <c r="O7" i="16"/>
  <c r="P7" i="16" s="1"/>
  <c r="Q7" i="16" s="1"/>
  <c r="M7" i="16"/>
  <c r="I7" i="16"/>
  <c r="J7" i="16" s="1"/>
  <c r="K7" i="16" s="1"/>
  <c r="G7" i="16"/>
  <c r="O6" i="16"/>
  <c r="P6" i="16" s="1"/>
  <c r="Q6" i="16" s="1"/>
  <c r="M6" i="16"/>
  <c r="K6" i="16"/>
  <c r="I6" i="16"/>
  <c r="J6" i="16" s="1"/>
  <c r="G6" i="16"/>
  <c r="J16" i="36"/>
  <c r="I16" i="36"/>
  <c r="J15" i="36"/>
  <c r="I15" i="36"/>
  <c r="J14" i="36"/>
  <c r="I14" i="36"/>
  <c r="J13" i="36"/>
  <c r="I13" i="36"/>
  <c r="H13" i="36"/>
  <c r="J12" i="36"/>
  <c r="M12" i="36" s="1"/>
  <c r="N12" i="36" s="1"/>
  <c r="I12" i="36"/>
  <c r="H12" i="36"/>
  <c r="J11" i="36"/>
  <c r="I11" i="36"/>
  <c r="H11" i="36"/>
  <c r="J10" i="36"/>
  <c r="M10" i="36" s="1"/>
  <c r="N10" i="36" s="1"/>
  <c r="I10" i="36"/>
  <c r="H10" i="36"/>
  <c r="J9" i="36"/>
  <c r="I9" i="36"/>
  <c r="H9" i="36"/>
  <c r="J8" i="36"/>
  <c r="M8" i="36" s="1"/>
  <c r="N8" i="36" s="1"/>
  <c r="M7" i="36" s="1"/>
  <c r="N7" i="36" s="1"/>
  <c r="I8" i="36"/>
  <c r="H8" i="36"/>
  <c r="J7" i="36"/>
  <c r="H7" i="36"/>
  <c r="J6" i="36"/>
  <c r="I6" i="36"/>
  <c r="H6" i="36"/>
  <c r="J5" i="36"/>
  <c r="I5" i="36"/>
  <c r="H5" i="36"/>
  <c r="F5" i="36"/>
  <c r="E5" i="36"/>
  <c r="D5" i="36"/>
  <c r="Z20" i="15"/>
  <c r="Y20" i="15"/>
  <c r="Q20" i="15"/>
  <c r="M20" i="15"/>
  <c r="K20" i="15"/>
  <c r="I20" i="15"/>
  <c r="G20" i="15"/>
  <c r="Z19" i="15"/>
  <c r="Y19" i="15"/>
  <c r="Q19" i="15"/>
  <c r="M19" i="15"/>
  <c r="K19" i="15"/>
  <c r="I19" i="15"/>
  <c r="G19" i="15"/>
  <c r="AB18" i="15"/>
  <c r="Z18" i="15"/>
  <c r="Y18" i="15"/>
  <c r="Q18" i="15"/>
  <c r="M18" i="15"/>
  <c r="K18" i="15"/>
  <c r="I18" i="15"/>
  <c r="G18" i="15"/>
  <c r="Z17" i="15"/>
  <c r="Y17" i="15"/>
  <c r="Q17" i="15"/>
  <c r="M17" i="15"/>
  <c r="K17" i="15"/>
  <c r="I17" i="15"/>
  <c r="G17" i="15"/>
  <c r="Z16" i="15"/>
  <c r="Y16" i="15"/>
  <c r="Q16" i="15"/>
  <c r="M16" i="15"/>
  <c r="G16" i="15"/>
  <c r="Z15" i="15"/>
  <c r="Y15" i="15"/>
  <c r="AB15" i="15" s="1"/>
  <c r="Q15" i="15"/>
  <c r="M15" i="15"/>
  <c r="K15" i="15"/>
  <c r="I15" i="15"/>
  <c r="G15" i="15"/>
  <c r="Z14" i="15"/>
  <c r="Y14" i="15"/>
  <c r="Q14" i="15"/>
  <c r="M14" i="15"/>
  <c r="G14" i="15"/>
  <c r="Z13" i="15"/>
  <c r="Y13" i="15"/>
  <c r="AC13" i="15" s="1"/>
  <c r="Q13" i="15"/>
  <c r="M13" i="15"/>
  <c r="K13" i="15"/>
  <c r="I13" i="15"/>
  <c r="G13" i="15"/>
  <c r="Z12" i="15"/>
  <c r="Y12" i="15"/>
  <c r="Q12" i="15"/>
  <c r="M12" i="15"/>
  <c r="K12" i="15"/>
  <c r="I12" i="15"/>
  <c r="G12" i="15"/>
  <c r="Z11" i="15"/>
  <c r="Y11" i="15"/>
  <c r="Q11" i="15"/>
  <c r="M11" i="15"/>
  <c r="K11" i="15"/>
  <c r="I11" i="15"/>
  <c r="G11" i="15"/>
  <c r="Z10" i="15"/>
  <c r="Y10" i="15"/>
  <c r="Q10" i="15"/>
  <c r="M10" i="15"/>
  <c r="K10" i="15"/>
  <c r="I10" i="15"/>
  <c r="G10" i="15"/>
  <c r="Z9" i="15"/>
  <c r="Y9" i="15"/>
  <c r="Q9" i="15"/>
  <c r="M9" i="15"/>
  <c r="K9" i="15"/>
  <c r="I9" i="15"/>
  <c r="G9" i="15"/>
  <c r="Z8" i="15"/>
  <c r="Y8" i="15"/>
  <c r="Q8" i="15"/>
  <c r="M8" i="15"/>
  <c r="K8" i="15"/>
  <c r="I8" i="15"/>
  <c r="G8" i="15"/>
  <c r="Z7" i="15"/>
  <c r="Y7" i="15"/>
  <c r="AB7" i="15" s="1"/>
  <c r="Q7" i="15"/>
  <c r="M7" i="15"/>
  <c r="K7" i="15"/>
  <c r="I7" i="15"/>
  <c r="G7" i="15"/>
  <c r="AL18" i="35"/>
  <c r="AH18" i="35"/>
  <c r="AG18" i="35"/>
  <c r="AM18" i="35" s="1"/>
  <c r="AF18" i="35"/>
  <c r="AE18" i="35"/>
  <c r="AK18" i="35" s="1"/>
  <c r="AD18" i="35"/>
  <c r="AJ18" i="35" s="1"/>
  <c r="AC18" i="35"/>
  <c r="AI18" i="35" s="1"/>
  <c r="AB18" i="35"/>
  <c r="O18" i="35"/>
  <c r="N18" i="35"/>
  <c r="M18" i="35"/>
  <c r="L18" i="35"/>
  <c r="K18" i="35"/>
  <c r="J18" i="35"/>
  <c r="AM17" i="35"/>
  <c r="AI17" i="35"/>
  <c r="AG17" i="35"/>
  <c r="AF17" i="35"/>
  <c r="AL17" i="35" s="1"/>
  <c r="AE17" i="35"/>
  <c r="AK17" i="35" s="1"/>
  <c r="AD17" i="35"/>
  <c r="AJ17" i="35" s="1"/>
  <c r="AC17" i="35"/>
  <c r="AB17" i="35"/>
  <c r="AH17" i="35" s="1"/>
  <c r="O17" i="35"/>
  <c r="N17" i="35"/>
  <c r="M17" i="35"/>
  <c r="L17" i="35"/>
  <c r="K17" i="35"/>
  <c r="J17" i="35"/>
  <c r="AH16" i="35"/>
  <c r="AG16" i="35"/>
  <c r="AM16" i="35" s="1"/>
  <c r="AF16" i="35"/>
  <c r="AL16" i="35" s="1"/>
  <c r="AE16" i="35"/>
  <c r="AK16" i="35" s="1"/>
  <c r="AD16" i="35"/>
  <c r="AJ16" i="35" s="1"/>
  <c r="AC16" i="35"/>
  <c r="AI16" i="35" s="1"/>
  <c r="AB16" i="35"/>
  <c r="O16" i="35"/>
  <c r="N16" i="35"/>
  <c r="M16" i="35"/>
  <c r="L16" i="35"/>
  <c r="K16" i="35"/>
  <c r="J16" i="35"/>
  <c r="AI15" i="35"/>
  <c r="AG15" i="35"/>
  <c r="AM15" i="35" s="1"/>
  <c r="AF15" i="35"/>
  <c r="AL15" i="35" s="1"/>
  <c r="AE15" i="35"/>
  <c r="AK15" i="35" s="1"/>
  <c r="AD15" i="35"/>
  <c r="AJ15" i="35" s="1"/>
  <c r="AC15" i="35"/>
  <c r="AB15" i="35"/>
  <c r="AH15" i="35" s="1"/>
  <c r="O15" i="35"/>
  <c r="N15" i="35"/>
  <c r="M15" i="35"/>
  <c r="L15" i="35"/>
  <c r="K15" i="35"/>
  <c r="J15" i="35"/>
  <c r="AG14" i="35"/>
  <c r="AM14" i="35" s="1"/>
  <c r="AF14" i="35"/>
  <c r="AL14" i="35" s="1"/>
  <c r="AE14" i="35"/>
  <c r="AK14" i="35" s="1"/>
  <c r="AD14" i="35"/>
  <c r="AJ14" i="35" s="1"/>
  <c r="AC14" i="35"/>
  <c r="AI14" i="35" s="1"/>
  <c r="AB14" i="35"/>
  <c r="AH14" i="35" s="1"/>
  <c r="O14" i="35"/>
  <c r="N14" i="35"/>
  <c r="M14" i="35"/>
  <c r="L14" i="35"/>
  <c r="K14" i="35"/>
  <c r="J14" i="35"/>
  <c r="AH13" i="35"/>
  <c r="AG13" i="35"/>
  <c r="AM13" i="35" s="1"/>
  <c r="AF13" i="35"/>
  <c r="AL13" i="35" s="1"/>
  <c r="AE13" i="35"/>
  <c r="AK13" i="35" s="1"/>
  <c r="AD13" i="35"/>
  <c r="AJ13" i="35" s="1"/>
  <c r="AC13" i="35"/>
  <c r="AI13" i="35" s="1"/>
  <c r="AB13" i="35"/>
  <c r="O13" i="35"/>
  <c r="N13" i="35"/>
  <c r="M13" i="35"/>
  <c r="L13" i="35"/>
  <c r="K13" i="35"/>
  <c r="J13" i="35"/>
  <c r="AG12" i="35"/>
  <c r="AM12" i="35" s="1"/>
  <c r="AF12" i="35"/>
  <c r="AL12" i="35" s="1"/>
  <c r="AE12" i="35"/>
  <c r="AK12" i="35" s="1"/>
  <c r="AD12" i="35"/>
  <c r="AJ12" i="35" s="1"/>
  <c r="AC12" i="35"/>
  <c r="AI12" i="35" s="1"/>
  <c r="AB12" i="35"/>
  <c r="AH12" i="35" s="1"/>
  <c r="O12" i="35"/>
  <c r="N12" i="35"/>
  <c r="M12" i="35"/>
  <c r="L12" i="35"/>
  <c r="K12" i="35"/>
  <c r="J12" i="35"/>
  <c r="AI11" i="35"/>
  <c r="AG11" i="35"/>
  <c r="AM11" i="35" s="1"/>
  <c r="AF11" i="35"/>
  <c r="AL11" i="35" s="1"/>
  <c r="AE11" i="35"/>
  <c r="AK11" i="35" s="1"/>
  <c r="AD11" i="35"/>
  <c r="AJ11" i="35" s="1"/>
  <c r="AC11" i="35"/>
  <c r="AB11" i="35"/>
  <c r="AH11" i="35" s="1"/>
  <c r="O11" i="35"/>
  <c r="N11" i="35"/>
  <c r="M11" i="35"/>
  <c r="L11" i="35"/>
  <c r="K11" i="35"/>
  <c r="J11" i="35"/>
  <c r="AG10" i="35"/>
  <c r="AM10" i="35" s="1"/>
  <c r="AF10" i="35"/>
  <c r="AL10" i="35" s="1"/>
  <c r="AE10" i="35"/>
  <c r="AK10" i="35" s="1"/>
  <c r="AD10" i="35"/>
  <c r="AJ10" i="35" s="1"/>
  <c r="AC10" i="35"/>
  <c r="AI10" i="35" s="1"/>
  <c r="AB10" i="35"/>
  <c r="AH10" i="35" s="1"/>
  <c r="O10" i="35"/>
  <c r="N10" i="35"/>
  <c r="M10" i="35"/>
  <c r="L10" i="35"/>
  <c r="K10" i="35"/>
  <c r="J10" i="35"/>
  <c r="AG9" i="35"/>
  <c r="AM9" i="35" s="1"/>
  <c r="AF9" i="35"/>
  <c r="AL9" i="35" s="1"/>
  <c r="AE9" i="35"/>
  <c r="AK9" i="35" s="1"/>
  <c r="AD9" i="35"/>
  <c r="AJ9" i="35" s="1"/>
  <c r="AC9" i="35"/>
  <c r="AI9" i="35" s="1"/>
  <c r="AB9" i="35"/>
  <c r="AH9" i="35" s="1"/>
  <c r="O9" i="35"/>
  <c r="N9" i="35"/>
  <c r="M9" i="35"/>
  <c r="L9" i="35"/>
  <c r="K9" i="35"/>
  <c r="J9" i="35"/>
  <c r="AG7" i="35"/>
  <c r="AF7" i="35"/>
  <c r="AE7" i="35"/>
  <c r="AD7" i="35"/>
  <c r="AC7" i="35"/>
  <c r="AB7" i="35"/>
  <c r="U7" i="35"/>
  <c r="T7" i="35"/>
  <c r="S7" i="35"/>
  <c r="R7" i="35"/>
  <c r="Q7" i="35"/>
  <c r="P7" i="35"/>
  <c r="AM6" i="35"/>
  <c r="AL6" i="35"/>
  <c r="AK6" i="35"/>
  <c r="AJ6" i="35"/>
  <c r="AI6" i="35"/>
  <c r="AH6" i="35"/>
  <c r="Y16" i="16" l="1"/>
  <c r="E58" i="14"/>
  <c r="J57" i="14"/>
  <c r="Y7" i="16"/>
  <c r="O12" i="14"/>
  <c r="N23" i="14"/>
  <c r="R56" i="14"/>
  <c r="O69" i="14"/>
  <c r="N75" i="14"/>
  <c r="N79" i="14"/>
  <c r="Q13" i="19"/>
  <c r="V13" i="19"/>
  <c r="Q24" i="19"/>
  <c r="V24" i="19"/>
  <c r="M13" i="36"/>
  <c r="N13" i="36" s="1"/>
  <c r="Y10" i="16"/>
  <c r="O8" i="14"/>
  <c r="L13" i="14"/>
  <c r="M17" i="14"/>
  <c r="O17" i="14" s="1"/>
  <c r="N19" i="14"/>
  <c r="J36" i="14"/>
  <c r="L36" i="14" s="1"/>
  <c r="N44" i="14"/>
  <c r="N69" i="14"/>
  <c r="N80" i="14"/>
  <c r="N6" i="18"/>
  <c r="Q14" i="19"/>
  <c r="V14" i="19"/>
  <c r="Q25" i="19"/>
  <c r="V25" i="19"/>
  <c r="K10" i="13"/>
  <c r="S12" i="20"/>
  <c r="N8" i="14"/>
  <c r="N11" i="14"/>
  <c r="N17" i="14"/>
  <c r="O24" i="14"/>
  <c r="R41" i="14"/>
  <c r="U41" i="14" s="1"/>
  <c r="N13" i="18"/>
  <c r="Q7" i="19"/>
  <c r="V7" i="19"/>
  <c r="Q15" i="19"/>
  <c r="V15" i="19"/>
  <c r="Q26" i="19"/>
  <c r="V26" i="19"/>
  <c r="M11" i="36"/>
  <c r="N11" i="36" s="1"/>
  <c r="N13" i="14"/>
  <c r="P13" i="14" s="1"/>
  <c r="R13" i="14" s="1"/>
  <c r="N27" i="14"/>
  <c r="Q49" i="14"/>
  <c r="Q8" i="19"/>
  <c r="V8" i="19"/>
  <c r="Q16" i="19"/>
  <c r="V16" i="19"/>
  <c r="Q27" i="19"/>
  <c r="V27" i="19"/>
  <c r="S9" i="20"/>
  <c r="H8" i="21"/>
  <c r="Y19" i="16"/>
  <c r="AA13" i="15"/>
  <c r="AA18" i="15"/>
  <c r="Y6" i="16"/>
  <c r="Y12" i="16"/>
  <c r="M18" i="14"/>
  <c r="M22" i="14"/>
  <c r="O22" i="14" s="1"/>
  <c r="N25" i="14"/>
  <c r="J42" i="14"/>
  <c r="P42" i="14" s="1"/>
  <c r="N50" i="14"/>
  <c r="J55" i="14"/>
  <c r="M70" i="14"/>
  <c r="O70" i="14" s="1"/>
  <c r="J77" i="14"/>
  <c r="O129" i="23"/>
  <c r="N8" i="18"/>
  <c r="Q9" i="19"/>
  <c r="V9" i="19"/>
  <c r="Q17" i="19"/>
  <c r="V17" i="19"/>
  <c r="Q28" i="19"/>
  <c r="V28" i="19"/>
  <c r="J12" i="13"/>
  <c r="K12" i="13" s="1"/>
  <c r="AN9" i="35"/>
  <c r="K15" i="36"/>
  <c r="K6" i="36"/>
  <c r="M14" i="36"/>
  <c r="N14" i="36" s="1"/>
  <c r="AA9" i="15"/>
  <c r="AB13" i="15"/>
  <c r="M6" i="36"/>
  <c r="N6" i="36" s="1"/>
  <c r="M9" i="36"/>
  <c r="N9" i="36" s="1"/>
  <c r="M15" i="36"/>
  <c r="N15" i="36" s="1"/>
  <c r="N12" i="14"/>
  <c r="O15" i="14"/>
  <c r="N18" i="14"/>
  <c r="N22" i="14"/>
  <c r="Q48" i="14"/>
  <c r="R55" i="14"/>
  <c r="J78" i="14"/>
  <c r="Q10" i="19"/>
  <c r="V10" i="19"/>
  <c r="Q18" i="19"/>
  <c r="V18" i="19"/>
  <c r="W9" i="13"/>
  <c r="S11" i="20"/>
  <c r="AD15" i="20"/>
  <c r="S18" i="20"/>
  <c r="Q16" i="20"/>
  <c r="S20" i="20"/>
  <c r="G13" i="21"/>
  <c r="N73" i="14"/>
  <c r="N78" i="14"/>
  <c r="Q11" i="19"/>
  <c r="V11" i="19"/>
  <c r="Q19" i="19"/>
  <c r="V19" i="19"/>
  <c r="O9" i="14"/>
  <c r="L19" i="14"/>
  <c r="O26" i="14"/>
  <c r="Q42" i="14"/>
  <c r="AB9" i="15"/>
  <c r="M16" i="36"/>
  <c r="N16" i="36" s="1"/>
  <c r="Y9" i="16"/>
  <c r="N9" i="14"/>
  <c r="N10" i="14"/>
  <c r="N16" i="14"/>
  <c r="M23" i="14"/>
  <c r="N38" i="14"/>
  <c r="M43" i="14"/>
  <c r="O51" i="14"/>
  <c r="Q12" i="19"/>
  <c r="V12" i="19"/>
  <c r="Q20" i="19"/>
  <c r="V20" i="19"/>
  <c r="F104" i="34"/>
  <c r="F113" i="34"/>
  <c r="F114" i="34"/>
  <c r="F106" i="34"/>
  <c r="F96" i="34"/>
  <c r="F50" i="34"/>
  <c r="F60" i="34"/>
  <c r="F56" i="34"/>
  <c r="F95" i="34"/>
  <c r="F49" i="34"/>
  <c r="F64" i="34"/>
  <c r="F67" i="34"/>
  <c r="F57" i="34"/>
  <c r="F62" i="34"/>
  <c r="F66" i="34"/>
  <c r="F69" i="34"/>
  <c r="F68" i="34"/>
  <c r="F65" i="34"/>
  <c r="I922" i="50"/>
  <c r="I305" i="50"/>
  <c r="I651" i="50"/>
  <c r="I117" i="50"/>
  <c r="I1035" i="50"/>
  <c r="I740" i="50"/>
  <c r="I739" i="50"/>
  <c r="I1059" i="50"/>
  <c r="I358" i="50"/>
  <c r="I397" i="50"/>
  <c r="I437" i="50"/>
  <c r="I584" i="50"/>
  <c r="I528" i="50"/>
  <c r="I512" i="50"/>
  <c r="I543" i="50"/>
  <c r="I451" i="50"/>
  <c r="I551" i="50"/>
  <c r="I596" i="50"/>
  <c r="I865" i="50"/>
  <c r="I869" i="50"/>
  <c r="I872" i="50"/>
  <c r="I180" i="50"/>
  <c r="I951" i="50"/>
  <c r="I802" i="50"/>
  <c r="I760" i="50"/>
  <c r="I803" i="50"/>
  <c r="I1039" i="50"/>
  <c r="I761" i="50"/>
  <c r="I804" i="50"/>
  <c r="I1063" i="50"/>
  <c r="I724" i="50"/>
  <c r="I716" i="50"/>
  <c r="I1028" i="50"/>
  <c r="I1012" i="50"/>
  <c r="I668" i="50"/>
  <c r="I1027" i="50"/>
  <c r="I1011" i="50"/>
  <c r="I666" i="50"/>
  <c r="I667" i="50"/>
  <c r="I665" i="50"/>
  <c r="I1057" i="50"/>
  <c r="I661" i="50"/>
  <c r="I662" i="50"/>
  <c r="I715" i="50"/>
  <c r="I1033" i="50"/>
  <c r="I130" i="50"/>
  <c r="I124" i="50"/>
  <c r="I658" i="50"/>
  <c r="I925" i="50"/>
  <c r="I308" i="50"/>
  <c r="I650" i="50"/>
  <c r="I116" i="50"/>
  <c r="I660" i="50"/>
  <c r="I126" i="50"/>
  <c r="I631" i="50"/>
  <c r="I630" i="50"/>
  <c r="I629" i="50"/>
  <c r="I628" i="50"/>
  <c r="I627" i="50"/>
  <c r="I54" i="50"/>
  <c r="I53" i="50"/>
  <c r="I52" i="50"/>
  <c r="I86" i="50"/>
  <c r="I85" i="50"/>
  <c r="I640" i="50"/>
  <c r="I83" i="50"/>
  <c r="I82" i="50"/>
  <c r="I80" i="50"/>
  <c r="I94" i="50"/>
  <c r="I81" i="50"/>
  <c r="I58" i="50"/>
  <c r="I59" i="50"/>
  <c r="I639" i="50"/>
  <c r="I78" i="50"/>
  <c r="I92" i="50"/>
  <c r="I79" i="50"/>
  <c r="I301" i="50"/>
  <c r="I921" i="50"/>
  <c r="I300" i="50"/>
  <c r="I299" i="50"/>
  <c r="I302" i="50"/>
  <c r="I193" i="50"/>
  <c r="I885" i="50"/>
  <c r="I878" i="50"/>
  <c r="I1042" i="50"/>
  <c r="I879" i="50"/>
  <c r="I1066" i="50"/>
  <c r="I1064" i="50"/>
  <c r="I876" i="50"/>
  <c r="I877" i="50"/>
  <c r="I1040" i="50"/>
  <c r="I967" i="50"/>
  <c r="I948" i="50"/>
  <c r="I956" i="50"/>
  <c r="I969" i="50"/>
  <c r="I968" i="50"/>
  <c r="I966" i="50"/>
  <c r="I681" i="50"/>
  <c r="I680" i="50"/>
  <c r="I734" i="50"/>
  <c r="I736" i="50"/>
  <c r="I679" i="50"/>
  <c r="I1026" i="50"/>
  <c r="I1010" i="50"/>
  <c r="I672" i="50"/>
  <c r="I1025" i="50"/>
  <c r="I1009" i="50"/>
  <c r="I670" i="50"/>
  <c r="I671" i="50"/>
  <c r="I669" i="50"/>
  <c r="I686" i="50"/>
  <c r="I682" i="50"/>
  <c r="I688" i="50"/>
  <c r="I687" i="50"/>
  <c r="I408" i="50"/>
  <c r="I354" i="50"/>
  <c r="I392" i="50"/>
  <c r="I369" i="50"/>
  <c r="I421" i="50"/>
  <c r="I409" i="50"/>
  <c r="I360" i="50"/>
  <c r="I387" i="50"/>
  <c r="I423" i="50"/>
  <c r="I384" i="50"/>
  <c r="I371" i="50"/>
  <c r="I316" i="50"/>
  <c r="I341" i="50"/>
  <c r="I415" i="50"/>
  <c r="I386" i="50"/>
  <c r="I389" i="50"/>
  <c r="I377" i="50"/>
  <c r="I362" i="50"/>
  <c r="I400" i="50"/>
  <c r="I353" i="50"/>
  <c r="I314" i="50"/>
  <c r="I391" i="50"/>
  <c r="I383" i="50"/>
  <c r="I368" i="50"/>
  <c r="I411" i="50"/>
  <c r="I396" i="50"/>
  <c r="I407" i="50"/>
  <c r="I420" i="50"/>
  <c r="I424" i="50"/>
  <c r="I388" i="50"/>
  <c r="I385" i="50"/>
  <c r="I372" i="50"/>
  <c r="I412" i="50"/>
  <c r="I317" i="50"/>
  <c r="I361" i="50"/>
  <c r="I480" i="50"/>
  <c r="I553" i="50"/>
  <c r="I427" i="50"/>
  <c r="I604" i="50"/>
  <c r="I557" i="50"/>
  <c r="I617" i="50"/>
  <c r="I504" i="50"/>
  <c r="I527" i="50"/>
  <c r="I435" i="50"/>
  <c r="I542" i="50"/>
  <c r="I583" i="50"/>
  <c r="I511" i="50"/>
  <c r="I445" i="50"/>
  <c r="I546" i="50"/>
  <c r="I531" i="50"/>
  <c r="I588" i="50"/>
  <c r="I516" i="50"/>
  <c r="I595" i="50"/>
  <c r="I550" i="50"/>
  <c r="I450" i="50"/>
  <c r="I939" i="50"/>
  <c r="I915" i="50"/>
  <c r="I918" i="50"/>
  <c r="I941" i="50"/>
  <c r="I916" i="50"/>
  <c r="I919" i="50"/>
  <c r="I964" i="50"/>
  <c r="I965" i="50"/>
  <c r="I917" i="50"/>
  <c r="I920" i="50"/>
  <c r="I943" i="50"/>
  <c r="I959" i="50"/>
  <c r="I944" i="50"/>
  <c r="I905" i="50"/>
  <c r="I910" i="50"/>
  <c r="I945" i="50"/>
  <c r="I960" i="50"/>
  <c r="I906" i="50"/>
  <c r="I911" i="50"/>
  <c r="I962" i="50"/>
  <c r="I947" i="50"/>
  <c r="I908" i="50"/>
  <c r="I913" i="50"/>
  <c r="I952" i="50"/>
  <c r="I727" i="50"/>
  <c r="I133" i="50"/>
  <c r="I733" i="50"/>
  <c r="I735" i="50"/>
  <c r="I946" i="50"/>
  <c r="I704" i="50"/>
  <c r="I706" i="50"/>
  <c r="I708" i="50"/>
  <c r="I709" i="50"/>
  <c r="I698" i="50"/>
  <c r="I700" i="50"/>
  <c r="I674" i="50"/>
  <c r="I673" i="50"/>
  <c r="I705" i="50"/>
  <c r="I1032" i="50"/>
  <c r="I664" i="50"/>
  <c r="I718" i="50"/>
  <c r="I717" i="50"/>
  <c r="I690" i="50"/>
  <c r="I689" i="50"/>
  <c r="I663" i="50"/>
  <c r="I707" i="50"/>
  <c r="I699" i="50"/>
  <c r="I691" i="50"/>
  <c r="I1056" i="50"/>
  <c r="I963" i="50"/>
  <c r="I940" i="50"/>
  <c r="I909" i="50"/>
  <c r="I914" i="50"/>
  <c r="I895" i="50"/>
  <c r="I1067" i="50"/>
  <c r="I874" i="50"/>
  <c r="I875" i="50"/>
  <c r="I1043" i="50"/>
  <c r="I194" i="50"/>
  <c r="I892" i="50"/>
  <c r="I891" i="50"/>
  <c r="I206" i="50"/>
  <c r="I207" i="50"/>
  <c r="I210" i="50"/>
  <c r="I894" i="50"/>
  <c r="I401" i="50"/>
  <c r="I416" i="50"/>
  <c r="I378" i="50"/>
  <c r="I363" i="50"/>
  <c r="I310" i="50"/>
  <c r="I342" i="50"/>
  <c r="I558" i="50"/>
  <c r="I505" i="50"/>
  <c r="I618" i="50"/>
  <c r="I123" i="50"/>
  <c r="I657" i="50"/>
  <c r="I203" i="50"/>
  <c r="I190" i="50"/>
  <c r="I202" i="50"/>
  <c r="I225" i="50"/>
  <c r="I897" i="50"/>
  <c r="I898" i="50"/>
  <c r="I227" i="50"/>
  <c r="I1036" i="50"/>
  <c r="I765" i="50"/>
  <c r="I764" i="50"/>
  <c r="I1060" i="50"/>
  <c r="I340" i="50"/>
  <c r="I398" i="50"/>
  <c r="I413" i="50"/>
  <c r="I347" i="50"/>
  <c r="I381" i="50"/>
  <c r="I410" i="50"/>
  <c r="I394" i="50"/>
  <c r="I343" i="50"/>
  <c r="I402" i="50"/>
  <c r="I379" i="50"/>
  <c r="I364" i="50"/>
  <c r="I417" i="50"/>
  <c r="I359" i="50"/>
  <c r="I393" i="50"/>
  <c r="I315" i="50"/>
  <c r="I332" i="50"/>
  <c r="I309" i="50"/>
  <c r="I374" i="50"/>
  <c r="I331" i="50"/>
  <c r="I373" i="50"/>
  <c r="I334" i="50"/>
  <c r="I375" i="50"/>
  <c r="I338" i="50"/>
  <c r="I376" i="50"/>
  <c r="I552" i="50"/>
  <c r="I519" i="50"/>
  <c r="I598" i="50"/>
  <c r="I533" i="50"/>
  <c r="I460" i="50"/>
  <c r="I499" i="50"/>
  <c r="I556" i="50"/>
  <c r="I433" i="50"/>
  <c r="I541" i="50"/>
  <c r="I510" i="50"/>
  <c r="I581" i="50"/>
  <c r="I526" i="50"/>
  <c r="I514" i="50"/>
  <c r="I440" i="50"/>
  <c r="I545" i="50"/>
  <c r="I530" i="50"/>
  <c r="I586" i="50"/>
  <c r="I449" i="50"/>
  <c r="I549" i="50"/>
  <c r="I532" i="50"/>
  <c r="I594" i="50"/>
  <c r="I517" i="50"/>
  <c r="I96" i="50"/>
  <c r="I645" i="50"/>
  <c r="I620" i="50"/>
  <c r="I621" i="50"/>
  <c r="I1055" i="50"/>
  <c r="I1031" i="50"/>
  <c r="I923" i="50"/>
  <c r="I306" i="50"/>
  <c r="I924" i="50"/>
  <c r="I307" i="50"/>
  <c r="I903" i="50"/>
  <c r="I233" i="50"/>
  <c r="I942" i="50"/>
  <c r="I232" i="50"/>
  <c r="I907" i="50"/>
  <c r="I912" i="50"/>
  <c r="I904" i="50"/>
  <c r="I1068" i="50"/>
  <c r="I961" i="50"/>
  <c r="I880" i="50"/>
  <c r="I881" i="50"/>
  <c r="I1044" i="50"/>
  <c r="I554" i="50"/>
  <c r="I488" i="50"/>
  <c r="I536" i="50"/>
  <c r="I523" i="50"/>
  <c r="I608" i="50"/>
  <c r="I547" i="50"/>
  <c r="I590" i="50"/>
  <c r="I446" i="50"/>
  <c r="I958" i="50"/>
  <c r="I953" i="50"/>
  <c r="I181" i="50"/>
  <c r="I1000" i="50"/>
  <c r="I949" i="50"/>
  <c r="I182" i="50"/>
  <c r="I184" i="50"/>
  <c r="I186" i="50"/>
  <c r="I187" i="50"/>
  <c r="I188" i="50"/>
  <c r="I169" i="50"/>
  <c r="I167" i="50"/>
  <c r="I166" i="50"/>
  <c r="I168" i="50"/>
  <c r="I870" i="50"/>
  <c r="I873" i="50"/>
  <c r="I183" i="50"/>
  <c r="I1001" i="50"/>
  <c r="I829" i="50"/>
  <c r="I831" i="50"/>
  <c r="I832" i="50"/>
  <c r="I820" i="50"/>
  <c r="I813" i="50"/>
  <c r="I815" i="50"/>
  <c r="I1007" i="50"/>
  <c r="I776" i="50"/>
  <c r="I1006" i="50"/>
  <c r="I857" i="50"/>
  <c r="I773" i="50"/>
  <c r="I772" i="50"/>
  <c r="I828" i="50"/>
  <c r="I821" i="50"/>
  <c r="I812" i="50"/>
  <c r="I807" i="50"/>
  <c r="I762" i="50"/>
  <c r="I1038" i="50"/>
  <c r="I763" i="50"/>
  <c r="I856" i="50"/>
  <c r="I805" i="50"/>
  <c r="I185" i="50"/>
  <c r="I866" i="50"/>
  <c r="I819" i="50"/>
  <c r="I847" i="50"/>
  <c r="I845" i="50"/>
  <c r="I806" i="50"/>
  <c r="I830" i="50"/>
  <c r="I1062" i="50"/>
  <c r="I846" i="50"/>
  <c r="I814" i="50"/>
  <c r="I125" i="50"/>
  <c r="I659" i="50"/>
  <c r="I122" i="50"/>
  <c r="I656" i="50"/>
  <c r="I652" i="50"/>
  <c r="I118" i="50"/>
  <c r="I632" i="50"/>
  <c r="I56" i="50"/>
  <c r="I55" i="50"/>
  <c r="I205" i="50"/>
  <c r="I204" i="50"/>
  <c r="I219" i="50"/>
  <c r="I641" i="50"/>
  <c r="I84" i="50"/>
  <c r="I635" i="50"/>
  <c r="I634" i="50"/>
  <c r="I65" i="50"/>
  <c r="I200" i="50"/>
  <c r="I199" i="50"/>
  <c r="I896" i="50"/>
  <c r="I890" i="50"/>
  <c r="I889" i="50"/>
  <c r="I882" i="50"/>
  <c r="I883" i="50"/>
  <c r="I1065" i="50"/>
  <c r="I1041" i="50"/>
  <c r="I771" i="50"/>
  <c r="I770" i="50"/>
  <c r="I344" i="50"/>
  <c r="I403" i="50"/>
  <c r="I380" i="50"/>
  <c r="I365" i="50"/>
  <c r="I418" i="50"/>
  <c r="I345" i="50"/>
  <c r="I311" i="50"/>
  <c r="I366" i="50"/>
  <c r="I783" i="50"/>
  <c r="I781" i="50"/>
  <c r="I997" i="50"/>
  <c r="I977" i="50"/>
  <c r="I975" i="50"/>
  <c r="I782" i="50"/>
  <c r="I859" i="50"/>
  <c r="I849" i="50"/>
  <c r="I809" i="50"/>
  <c r="I811" i="50"/>
  <c r="I795" i="50"/>
  <c r="I794" i="50"/>
  <c r="I793" i="50"/>
  <c r="I775" i="50"/>
  <c r="I774" i="50"/>
  <c r="I976" i="50"/>
  <c r="I974" i="50"/>
  <c r="I767" i="50"/>
  <c r="I766" i="50"/>
  <c r="I174" i="50"/>
  <c r="I808" i="50"/>
  <c r="I996" i="50"/>
  <c r="I835" i="50"/>
  <c r="I833" i="50"/>
  <c r="I810" i="50"/>
  <c r="I758" i="50"/>
  <c r="I1037" i="50"/>
  <c r="I759" i="50"/>
  <c r="I784" i="50"/>
  <c r="I848" i="50"/>
  <c r="I163" i="50"/>
  <c r="I161" i="50"/>
  <c r="I159" i="50"/>
  <c r="I158" i="50"/>
  <c r="I156" i="50"/>
  <c r="I834" i="50"/>
  <c r="I172" i="50"/>
  <c r="I171" i="50"/>
  <c r="I160" i="50"/>
  <c r="I162" i="50"/>
  <c r="I157" i="50"/>
  <c r="I155" i="50"/>
  <c r="I1061" i="50"/>
  <c r="I422" i="50"/>
  <c r="I370" i="50"/>
  <c r="I655" i="50"/>
  <c r="I121" i="50"/>
  <c r="I901" i="50"/>
  <c r="I211" i="50"/>
  <c r="I230" i="50"/>
  <c r="I223" i="50"/>
  <c r="I120" i="50"/>
  <c r="I654" i="50"/>
  <c r="I119" i="50"/>
  <c r="I653" i="50"/>
  <c r="I900" i="50"/>
  <c r="I229" i="50"/>
  <c r="I899" i="50"/>
  <c r="I228" i="50"/>
  <c r="I231" i="50"/>
  <c r="I902" i="50"/>
  <c r="I633" i="50"/>
  <c r="I62" i="50"/>
  <c r="I61" i="50"/>
  <c r="I60" i="50"/>
  <c r="I88" i="50"/>
  <c r="I87" i="50"/>
  <c r="I622" i="50"/>
  <c r="I48" i="50"/>
  <c r="I626" i="50"/>
  <c r="I625" i="50"/>
  <c r="I624" i="50"/>
  <c r="I623" i="50"/>
  <c r="I63" i="50"/>
  <c r="I51" i="50"/>
  <c r="I50" i="50"/>
  <c r="I49" i="50"/>
  <c r="I888" i="50"/>
  <c r="I887" i="50"/>
  <c r="I886" i="50"/>
  <c r="I197" i="50"/>
  <c r="I195" i="50"/>
  <c r="I196" i="50"/>
  <c r="I201" i="50"/>
  <c r="I209" i="50"/>
  <c r="I208" i="50"/>
  <c r="I893" i="50"/>
  <c r="I738" i="50"/>
  <c r="I1034" i="50"/>
  <c r="I737" i="50"/>
  <c r="I1058" i="50"/>
  <c r="I405" i="50"/>
  <c r="I348" i="50"/>
  <c r="I390" i="50"/>
  <c r="I419" i="50"/>
  <c r="I382" i="50"/>
  <c r="I367" i="50"/>
  <c r="I312" i="50"/>
  <c r="I555" i="50"/>
  <c r="I492" i="50"/>
  <c r="I614" i="50"/>
  <c r="I497" i="50"/>
  <c r="I429" i="50"/>
  <c r="I430" i="50"/>
  <c r="I619" i="50"/>
  <c r="I559" i="50"/>
  <c r="I508" i="50"/>
  <c r="I544" i="50"/>
  <c r="I529" i="50"/>
  <c r="I585" i="50"/>
  <c r="I513" i="50"/>
  <c r="I438" i="50"/>
  <c r="I448" i="50"/>
  <c r="I593" i="50"/>
  <c r="I548" i="50"/>
  <c r="I465" i="50"/>
  <c r="I568" i="50"/>
  <c r="CT164" i="32"/>
  <c r="H422" i="50"/>
  <c r="H370" i="50"/>
  <c r="CT306" i="32"/>
  <c r="H749" i="50"/>
  <c r="H146" i="50"/>
  <c r="CV314" i="32"/>
  <c r="J154" i="50"/>
  <c r="J757" i="50"/>
  <c r="CX320" i="32"/>
  <c r="K725" i="50"/>
  <c r="K131" i="50"/>
  <c r="CV338" i="32"/>
  <c r="J657" i="50"/>
  <c r="J123" i="50"/>
  <c r="CT271" i="32"/>
  <c r="H223" i="50"/>
  <c r="DH223" i="50" s="1"/>
  <c r="H901" i="50"/>
  <c r="H230" i="50"/>
  <c r="H211" i="50"/>
  <c r="DH211" i="50" s="1"/>
  <c r="CV337" i="32"/>
  <c r="J656" i="50"/>
  <c r="J122" i="50"/>
  <c r="CT334" i="32"/>
  <c r="H653" i="50"/>
  <c r="H119" i="50"/>
  <c r="CV275" i="32"/>
  <c r="J902" i="50"/>
  <c r="J231" i="50"/>
  <c r="CT367" i="32"/>
  <c r="H87" i="50"/>
  <c r="DH87" i="50" s="1"/>
  <c r="H88" i="50"/>
  <c r="DH88" i="50" s="1"/>
  <c r="H62" i="50"/>
  <c r="DH62" i="50" s="1"/>
  <c r="H60" i="50"/>
  <c r="DH60" i="50" s="1"/>
  <c r="H633" i="50"/>
  <c r="DH633" i="50" s="1"/>
  <c r="H61" i="50"/>
  <c r="DH61" i="50" s="1"/>
  <c r="CV381" i="32"/>
  <c r="J641" i="50"/>
  <c r="J84" i="50"/>
  <c r="CV172" i="32"/>
  <c r="J303" i="50"/>
  <c r="CT248" i="32"/>
  <c r="H191" i="50"/>
  <c r="DH191" i="50" s="1"/>
  <c r="H884" i="50"/>
  <c r="DH884" i="50" s="1"/>
  <c r="CT273" i="32"/>
  <c r="H893" i="50"/>
  <c r="DH893" i="50" s="1"/>
  <c r="H208" i="50"/>
  <c r="DH208" i="50" s="1"/>
  <c r="H209" i="50"/>
  <c r="DH209" i="50" s="1"/>
  <c r="H201" i="50"/>
  <c r="DH201" i="50" s="1"/>
  <c r="CV286" i="32"/>
  <c r="J1060" i="50"/>
  <c r="J765" i="50"/>
  <c r="J1036" i="50"/>
  <c r="J764" i="50"/>
  <c r="CT141" i="32"/>
  <c r="H340" i="50"/>
  <c r="H398" i="50"/>
  <c r="H413" i="50"/>
  <c r="CV148" i="32"/>
  <c r="J344" i="50"/>
  <c r="J403" i="50"/>
  <c r="J418" i="50"/>
  <c r="J365" i="50"/>
  <c r="J380" i="50"/>
  <c r="CV14" i="32"/>
  <c r="J431" i="50"/>
  <c r="T431" i="50" s="1"/>
  <c r="FG431" i="50" s="1"/>
  <c r="CV36" i="32"/>
  <c r="J453" i="50"/>
  <c r="T453" i="50" s="1"/>
  <c r="FG453" i="50" s="1"/>
  <c r="CT73" i="32"/>
  <c r="H490" i="50"/>
  <c r="CT74" i="32"/>
  <c r="H491" i="50"/>
  <c r="CV78" i="32"/>
  <c r="J495" i="50"/>
  <c r="T495" i="50" s="1"/>
  <c r="FG495" i="50" s="1"/>
  <c r="CV81" i="32"/>
  <c r="J498" i="50"/>
  <c r="T498" i="50" s="1"/>
  <c r="FG498" i="50" s="1"/>
  <c r="CT90" i="32"/>
  <c r="H507" i="50"/>
  <c r="CV92" i="32"/>
  <c r="J509" i="50"/>
  <c r="T509" i="50" s="1"/>
  <c r="FG509" i="50" s="1"/>
  <c r="CV16" i="32"/>
  <c r="J433" i="50"/>
  <c r="J541" i="50"/>
  <c r="J510" i="50"/>
  <c r="J581" i="50"/>
  <c r="J526" i="50"/>
  <c r="BX526" i="50" s="1"/>
  <c r="CT21" i="32"/>
  <c r="H585" i="50"/>
  <c r="H529" i="50"/>
  <c r="H438" i="50"/>
  <c r="H513" i="50"/>
  <c r="H544" i="50"/>
  <c r="CV32" i="32"/>
  <c r="J449" i="50"/>
  <c r="J532" i="50"/>
  <c r="BX532" i="50" s="1"/>
  <c r="J517" i="50"/>
  <c r="J549" i="50"/>
  <c r="J594" i="50"/>
  <c r="CT37" i="32"/>
  <c r="H454" i="50"/>
  <c r="CT40" i="32"/>
  <c r="H457" i="50"/>
  <c r="CT44" i="32"/>
  <c r="H461" i="50"/>
  <c r="CV49" i="32"/>
  <c r="J466" i="50"/>
  <c r="T466" i="50" s="1"/>
  <c r="FG466" i="50" s="1"/>
  <c r="CV52" i="32"/>
  <c r="J469" i="50"/>
  <c r="T469" i="50" s="1"/>
  <c r="FG469" i="50" s="1"/>
  <c r="CV54" i="32"/>
  <c r="J471" i="50"/>
  <c r="T471" i="50" s="1"/>
  <c r="FG471" i="50" s="1"/>
  <c r="CV56" i="32"/>
  <c r="J473" i="50"/>
  <c r="T473" i="50" s="1"/>
  <c r="FG473" i="50" s="1"/>
  <c r="CV218" i="32"/>
  <c r="J276" i="50"/>
  <c r="CV272" i="32"/>
  <c r="J218" i="50"/>
  <c r="CV288" i="32"/>
  <c r="J170" i="50"/>
  <c r="CT254" i="32"/>
  <c r="H214" i="50"/>
  <c r="DH214" i="50" s="1"/>
  <c r="CT196" i="32"/>
  <c r="H288" i="50"/>
  <c r="DH288" i="50" s="1"/>
  <c r="CV373" i="32"/>
  <c r="J89" i="50"/>
  <c r="CV179" i="32"/>
  <c r="J281" i="50"/>
  <c r="H958" i="50"/>
  <c r="H953" i="50"/>
  <c r="H185" i="50"/>
  <c r="DH185" i="50" s="1"/>
  <c r="H182" i="50"/>
  <c r="DH182" i="50" s="1"/>
  <c r="H186" i="50"/>
  <c r="DH186" i="50" s="1"/>
  <c r="H866" i="50"/>
  <c r="H857" i="50"/>
  <c r="H856" i="50"/>
  <c r="H1001" i="50"/>
  <c r="H1000" i="50"/>
  <c r="H847" i="50"/>
  <c r="H830" i="50"/>
  <c r="H813" i="50"/>
  <c r="H949" i="50"/>
  <c r="H870" i="50"/>
  <c r="H188" i="50"/>
  <c r="H831" i="50"/>
  <c r="H819" i="50"/>
  <c r="H814" i="50"/>
  <c r="H806" i="50"/>
  <c r="H846" i="50"/>
  <c r="H828" i="50"/>
  <c r="H829" i="50"/>
  <c r="H167" i="50"/>
  <c r="DH167" i="50" s="1"/>
  <c r="H181" i="50"/>
  <c r="H820" i="50"/>
  <c r="H821" i="50"/>
  <c r="H812" i="50"/>
  <c r="H815" i="50"/>
  <c r="H807" i="50"/>
  <c r="H1006" i="50"/>
  <c r="H169" i="50"/>
  <c r="DH169" i="50" s="1"/>
  <c r="H773" i="50"/>
  <c r="H772" i="50"/>
  <c r="H187" i="50"/>
  <c r="DH187" i="50" s="1"/>
  <c r="H168" i="50"/>
  <c r="DH168" i="50" s="1"/>
  <c r="H1062" i="50"/>
  <c r="H166" i="50"/>
  <c r="DH166" i="50" s="1"/>
  <c r="H832" i="50"/>
  <c r="H1007" i="50"/>
  <c r="H183" i="50"/>
  <c r="DH183" i="50" s="1"/>
  <c r="H184" i="50"/>
  <c r="DH184" i="50" s="1"/>
  <c r="H805" i="50"/>
  <c r="H873" i="50"/>
  <c r="H763" i="50"/>
  <c r="H762" i="50"/>
  <c r="H845" i="50"/>
  <c r="H776" i="50"/>
  <c r="DH776" i="50" s="1"/>
  <c r="H1038" i="50"/>
  <c r="J780" i="50"/>
  <c r="T780" i="50" s="1"/>
  <c r="FG780" i="50" s="1"/>
  <c r="J778" i="50"/>
  <c r="J972" i="50"/>
  <c r="T972" i="50" s="1"/>
  <c r="J970" i="50"/>
  <c r="T970" i="50" s="1"/>
  <c r="J973" i="50"/>
  <c r="T973" i="50" s="1"/>
  <c r="J841" i="50"/>
  <c r="T841" i="50" s="1"/>
  <c r="FG841" i="50" s="1"/>
  <c r="J800" i="50"/>
  <c r="BX800" i="50" s="1"/>
  <c r="J779" i="50"/>
  <c r="T779" i="50" s="1"/>
  <c r="FG779" i="50" s="1"/>
  <c r="J177" i="50"/>
  <c r="J854" i="50"/>
  <c r="J971" i="50"/>
  <c r="T971" i="50" s="1"/>
  <c r="J801" i="50"/>
  <c r="J799" i="50"/>
  <c r="J777" i="50"/>
  <c r="J855" i="50"/>
  <c r="J839" i="50"/>
  <c r="J1005" i="50"/>
  <c r="T1005" i="50" s="1"/>
  <c r="J862" i="50"/>
  <c r="J1004" i="50"/>
  <c r="T1004" i="50" s="1"/>
  <c r="J165" i="50"/>
  <c r="J840" i="50"/>
  <c r="J951" i="50"/>
  <c r="J869" i="50"/>
  <c r="J180" i="50"/>
  <c r="J804" i="50"/>
  <c r="J802" i="50"/>
  <c r="J865" i="50"/>
  <c r="J803" i="50"/>
  <c r="BX803" i="50" s="1"/>
  <c r="J760" i="50"/>
  <c r="J1039" i="50"/>
  <c r="J761" i="50"/>
  <c r="J872" i="50"/>
  <c r="J1063" i="50"/>
  <c r="H980" i="50"/>
  <c r="H787" i="50"/>
  <c r="H979" i="50"/>
  <c r="H978" i="50"/>
  <c r="H786" i="50"/>
  <c r="H785" i="50"/>
  <c r="H788" i="50"/>
  <c r="H981" i="50"/>
  <c r="H175" i="50"/>
  <c r="H999" i="50"/>
  <c r="H998" i="50"/>
  <c r="H836" i="50"/>
  <c r="H797" i="50"/>
  <c r="H850" i="50"/>
  <c r="H838" i="50"/>
  <c r="H822" i="50"/>
  <c r="H796" i="50"/>
  <c r="H798" i="50"/>
  <c r="H860" i="50"/>
  <c r="H837" i="50"/>
  <c r="H769" i="50"/>
  <c r="H768" i="50"/>
  <c r="H851" i="50"/>
  <c r="CT293" i="32"/>
  <c r="H863" i="50"/>
  <c r="H178" i="50"/>
  <c r="CV164" i="32"/>
  <c r="J422" i="50"/>
  <c r="J370" i="50"/>
  <c r="CV309" i="32"/>
  <c r="J752" i="50"/>
  <c r="J751" i="50"/>
  <c r="J741" i="50"/>
  <c r="J149" i="50"/>
  <c r="J148" i="50"/>
  <c r="CT308" i="32"/>
  <c r="H750" i="50"/>
  <c r="H147" i="50"/>
  <c r="CT301" i="32"/>
  <c r="H744" i="50"/>
  <c r="H141" i="50"/>
  <c r="CT304" i="32"/>
  <c r="H748" i="50"/>
  <c r="H145" i="50"/>
  <c r="CT300" i="32"/>
  <c r="H743" i="50"/>
  <c r="H140" i="50"/>
  <c r="CT314" i="32"/>
  <c r="H757" i="50"/>
  <c r="H154" i="50"/>
  <c r="CT312" i="32"/>
  <c r="H755" i="50"/>
  <c r="H152" i="50"/>
  <c r="CV319" i="32"/>
  <c r="J724" i="50"/>
  <c r="J716" i="50"/>
  <c r="J1012" i="50"/>
  <c r="W1012" i="50" s="1"/>
  <c r="J1027" i="50"/>
  <c r="W1027" i="50" s="1"/>
  <c r="J130" i="50"/>
  <c r="J1028" i="50"/>
  <c r="W1028" i="50" s="1"/>
  <c r="J668" i="50"/>
  <c r="BX668" i="50" s="1"/>
  <c r="J1011" i="50"/>
  <c r="W1011" i="50" s="1"/>
  <c r="J667" i="50"/>
  <c r="J665" i="50"/>
  <c r="J1033" i="50"/>
  <c r="J666" i="50"/>
  <c r="BX666" i="50" s="1"/>
  <c r="J715" i="50"/>
  <c r="J1057" i="50"/>
  <c r="J662" i="50"/>
  <c r="J661" i="50"/>
  <c r="CT315" i="32"/>
  <c r="H721" i="50"/>
  <c r="H127" i="50"/>
  <c r="H684" i="50"/>
  <c r="H685" i="50"/>
  <c r="H683" i="50"/>
  <c r="CT323" i="32"/>
  <c r="H726" i="50"/>
  <c r="H132" i="50"/>
  <c r="CV320" i="32"/>
  <c r="J725" i="50"/>
  <c r="J131" i="50"/>
  <c r="H954" i="50"/>
  <c r="H732" i="50"/>
  <c r="H712" i="50"/>
  <c r="H703" i="50"/>
  <c r="H137" i="50"/>
  <c r="H713" i="50"/>
  <c r="H697" i="50"/>
  <c r="H695" i="50"/>
  <c r="H710" i="50"/>
  <c r="H711" i="50"/>
  <c r="H714" i="50"/>
  <c r="H1014" i="50"/>
  <c r="H1029" i="50"/>
  <c r="H731" i="50"/>
  <c r="H701" i="50"/>
  <c r="H702" i="50"/>
  <c r="H696" i="50"/>
  <c r="H1030" i="50"/>
  <c r="H720" i="50"/>
  <c r="H719" i="50"/>
  <c r="H678" i="50"/>
  <c r="H1013" i="50"/>
  <c r="H677" i="50"/>
  <c r="H675" i="50"/>
  <c r="H138" i="50"/>
  <c r="DM138" i="50" s="1"/>
  <c r="H676" i="50"/>
  <c r="CT338" i="32"/>
  <c r="H123" i="50"/>
  <c r="H657" i="50"/>
  <c r="CV339" i="32"/>
  <c r="J658" i="50"/>
  <c r="J124" i="50"/>
  <c r="CT340" i="32"/>
  <c r="H659" i="50"/>
  <c r="H125" i="50"/>
  <c r="CV331" i="32"/>
  <c r="J650" i="50"/>
  <c r="W650" i="50" s="1"/>
  <c r="X650" i="50" s="1"/>
  <c r="FH650" i="50" s="1"/>
  <c r="J116" i="50"/>
  <c r="W116" i="50" s="1"/>
  <c r="X116" i="50" s="1"/>
  <c r="FH116" i="50" s="1"/>
  <c r="CT337" i="32"/>
  <c r="H656" i="50"/>
  <c r="H122" i="50"/>
  <c r="CV333" i="32"/>
  <c r="J652" i="50"/>
  <c r="J118" i="50"/>
  <c r="CV341" i="32"/>
  <c r="J660" i="50"/>
  <c r="J126" i="50"/>
  <c r="CT268" i="32"/>
  <c r="H229" i="50"/>
  <c r="H900" i="50"/>
  <c r="CT247" i="32"/>
  <c r="H897" i="50"/>
  <c r="H225" i="50"/>
  <c r="H203" i="50"/>
  <c r="DH203" i="50" s="1"/>
  <c r="H202" i="50"/>
  <c r="DH202" i="50" s="1"/>
  <c r="H190" i="50"/>
  <c r="DH190" i="50" s="1"/>
  <c r="CV249" i="32"/>
  <c r="J192" i="50"/>
  <c r="CT275" i="32"/>
  <c r="H902" i="50"/>
  <c r="H231" i="50"/>
  <c r="CT263" i="32"/>
  <c r="H898" i="50"/>
  <c r="H227" i="50"/>
  <c r="CV152" i="32"/>
  <c r="J425" i="50"/>
  <c r="CT362" i="32"/>
  <c r="H632" i="50"/>
  <c r="DH632" i="50" s="1"/>
  <c r="H55" i="50"/>
  <c r="DH55" i="50" s="1"/>
  <c r="H56" i="50"/>
  <c r="DH56" i="50" s="1"/>
  <c r="CV361" i="32"/>
  <c r="J85" i="50"/>
  <c r="J86" i="50"/>
  <c r="J628" i="50"/>
  <c r="J629" i="50"/>
  <c r="J52" i="50"/>
  <c r="J631" i="50"/>
  <c r="J627" i="50"/>
  <c r="J54" i="50"/>
  <c r="J630" i="50"/>
  <c r="J53" i="50"/>
  <c r="CT274" i="32"/>
  <c r="H219" i="50"/>
  <c r="DH219" i="50" s="1"/>
  <c r="H204" i="50"/>
  <c r="DH204" i="50" s="1"/>
  <c r="H205" i="50"/>
  <c r="DH205" i="50" s="1"/>
  <c r="CT381" i="32"/>
  <c r="H641" i="50"/>
  <c r="DH641" i="50" s="1"/>
  <c r="H84" i="50"/>
  <c r="DH84" i="50" s="1"/>
  <c r="CV380" i="32"/>
  <c r="J80" i="50"/>
  <c r="J94" i="50"/>
  <c r="J81" i="50"/>
  <c r="J640" i="50"/>
  <c r="J83" i="50"/>
  <c r="J82" i="50"/>
  <c r="CT375" i="32"/>
  <c r="H65" i="50"/>
  <c r="DH65" i="50" s="1"/>
  <c r="H635" i="50"/>
  <c r="DH635" i="50" s="1"/>
  <c r="H634" i="50"/>
  <c r="DH634" i="50" s="1"/>
  <c r="CV377" i="32"/>
  <c r="J92" i="50"/>
  <c r="J78" i="50"/>
  <c r="J639" i="50"/>
  <c r="J79" i="50"/>
  <c r="CT172" i="32"/>
  <c r="H303" i="50"/>
  <c r="DH303" i="50" s="1"/>
  <c r="CV171" i="32"/>
  <c r="J302" i="50"/>
  <c r="J921" i="50"/>
  <c r="J300" i="50"/>
  <c r="J299" i="50"/>
  <c r="J301" i="50"/>
  <c r="CT374" i="32"/>
  <c r="H64" i="50"/>
  <c r="DH64" i="50" s="1"/>
  <c r="CV177" i="32"/>
  <c r="J304" i="50"/>
  <c r="CT269" i="32"/>
  <c r="H896" i="50"/>
  <c r="H889" i="50"/>
  <c r="DH889" i="50" s="1"/>
  <c r="H199" i="50"/>
  <c r="DH199" i="50" s="1"/>
  <c r="H200" i="50"/>
  <c r="DH200" i="50" s="1"/>
  <c r="H890" i="50"/>
  <c r="DH890" i="50" s="1"/>
  <c r="CV250" i="32"/>
  <c r="J193" i="50"/>
  <c r="J885" i="50"/>
  <c r="CT270" i="32"/>
  <c r="H1008" i="50"/>
  <c r="CT286" i="32"/>
  <c r="H764" i="50"/>
  <c r="H1036" i="50"/>
  <c r="H765" i="50"/>
  <c r="H1060" i="50"/>
  <c r="CV276" i="32"/>
  <c r="J1066" i="50"/>
  <c r="J1042" i="50"/>
  <c r="J879" i="50"/>
  <c r="J878" i="50"/>
  <c r="CT277" i="32"/>
  <c r="H882" i="50"/>
  <c r="H1065" i="50"/>
  <c r="H883" i="50"/>
  <c r="H1041" i="50"/>
  <c r="CV260" i="32"/>
  <c r="J1040" i="50"/>
  <c r="J876" i="50"/>
  <c r="J1064" i="50"/>
  <c r="J877" i="50"/>
  <c r="CT296" i="32"/>
  <c r="H771" i="50"/>
  <c r="H770" i="50"/>
  <c r="CV162" i="32"/>
  <c r="J354" i="50"/>
  <c r="J408" i="50"/>
  <c r="J392" i="50"/>
  <c r="BX392" i="50" s="1"/>
  <c r="J421" i="50"/>
  <c r="J369" i="50"/>
  <c r="CT148" i="32"/>
  <c r="H344" i="50"/>
  <c r="H365" i="50"/>
  <c r="H403" i="50"/>
  <c r="H380" i="50"/>
  <c r="H418" i="50"/>
  <c r="CV151" i="32"/>
  <c r="J347" i="50"/>
  <c r="J381" i="50"/>
  <c r="CV149" i="32"/>
  <c r="J345" i="50"/>
  <c r="J311" i="50"/>
  <c r="J366" i="50"/>
  <c r="J343" i="50"/>
  <c r="J410" i="50"/>
  <c r="J394" i="50"/>
  <c r="J417" i="50"/>
  <c r="J364" i="50"/>
  <c r="J402" i="50"/>
  <c r="J379" i="50"/>
  <c r="CV166" i="32"/>
  <c r="J359" i="50"/>
  <c r="J393" i="50"/>
  <c r="BX393" i="50" s="1"/>
  <c r="J315" i="50"/>
  <c r="CV163" i="32"/>
  <c r="J357" i="50"/>
  <c r="T357" i="50" s="1"/>
  <c r="FG357" i="50" s="1"/>
  <c r="CV150" i="32"/>
  <c r="J346" i="50"/>
  <c r="T346" i="50" s="1"/>
  <c r="FG346" i="50" s="1"/>
  <c r="CV158" i="32"/>
  <c r="J352" i="50"/>
  <c r="T352" i="50" s="1"/>
  <c r="FG352" i="50" s="1"/>
  <c r="CV133" i="32"/>
  <c r="J332" i="50"/>
  <c r="J374" i="50"/>
  <c r="J309" i="50"/>
  <c r="CV125" i="32"/>
  <c r="J324" i="50"/>
  <c r="T324" i="50" s="1"/>
  <c r="FG324" i="50" s="1"/>
  <c r="CV130" i="32"/>
  <c r="J329" i="50"/>
  <c r="T329" i="50" s="1"/>
  <c r="FG329" i="50" s="1"/>
  <c r="CV120" i="32"/>
  <c r="J319" i="50"/>
  <c r="T319" i="50" s="1"/>
  <c r="FG319" i="50" s="1"/>
  <c r="CV122" i="32"/>
  <c r="J321" i="50"/>
  <c r="T321" i="50" s="1"/>
  <c r="FG321" i="50" s="1"/>
  <c r="CV119" i="32"/>
  <c r="J318" i="50"/>
  <c r="T318" i="50" s="1"/>
  <c r="FG318" i="50" s="1"/>
  <c r="CV123" i="32"/>
  <c r="J322" i="50"/>
  <c r="T322" i="50" s="1"/>
  <c r="FG322" i="50" s="1"/>
  <c r="CV129" i="32"/>
  <c r="J328" i="50"/>
  <c r="T328" i="50" s="1"/>
  <c r="FG328" i="50" s="1"/>
  <c r="CV128" i="32"/>
  <c r="J327" i="50"/>
  <c r="T327" i="50" s="1"/>
  <c r="FG327" i="50" s="1"/>
  <c r="CV121" i="32"/>
  <c r="J320" i="50"/>
  <c r="T320" i="50" s="1"/>
  <c r="FG320" i="50" s="1"/>
  <c r="CV124" i="32"/>
  <c r="J323" i="50"/>
  <c r="T323" i="50" s="1"/>
  <c r="FG323" i="50" s="1"/>
  <c r="CV134" i="32"/>
  <c r="J333" i="50"/>
  <c r="T333" i="50" s="1"/>
  <c r="FG333" i="50" s="1"/>
  <c r="CV132" i="32"/>
  <c r="J331" i="50"/>
  <c r="J373" i="50"/>
  <c r="CV126" i="32"/>
  <c r="J325" i="50"/>
  <c r="T325" i="50" s="1"/>
  <c r="FG325" i="50" s="1"/>
  <c r="CV140" i="32"/>
  <c r="J339" i="50"/>
  <c r="T339" i="50" s="1"/>
  <c r="FG339" i="50" s="1"/>
  <c r="CV135" i="32"/>
  <c r="J334" i="50"/>
  <c r="J375" i="50"/>
  <c r="CV131" i="32"/>
  <c r="J330" i="50"/>
  <c r="T330" i="50" s="1"/>
  <c r="FG330" i="50" s="1"/>
  <c r="CV139" i="32"/>
  <c r="J338" i="50"/>
  <c r="J376" i="50"/>
  <c r="CV127" i="32"/>
  <c r="J326" i="50"/>
  <c r="T326" i="50" s="1"/>
  <c r="FG326" i="50" s="1"/>
  <c r="CV138" i="32"/>
  <c r="J337" i="50"/>
  <c r="T337" i="50" s="1"/>
  <c r="FG337" i="50" s="1"/>
  <c r="CV136" i="32"/>
  <c r="J335" i="50"/>
  <c r="T335" i="50" s="1"/>
  <c r="FG335" i="50" s="1"/>
  <c r="CV137" i="32"/>
  <c r="J336" i="50"/>
  <c r="T336" i="50" s="1"/>
  <c r="FG336" i="50" s="1"/>
  <c r="CV155" i="32"/>
  <c r="J350" i="50"/>
  <c r="T350" i="50" s="1"/>
  <c r="FG350" i="50" s="1"/>
  <c r="CT14" i="32"/>
  <c r="CT64" i="32"/>
  <c r="H481" i="50"/>
  <c r="CT76" i="32"/>
  <c r="H493" i="50"/>
  <c r="CT36" i="32"/>
  <c r="H453" i="50"/>
  <c r="CT43" i="32"/>
  <c r="H552" i="50"/>
  <c r="H533" i="50"/>
  <c r="H460" i="50"/>
  <c r="H519" i="50"/>
  <c r="H598" i="50"/>
  <c r="CV58" i="32"/>
  <c r="J475" i="50"/>
  <c r="T475" i="50" s="1"/>
  <c r="FG475" i="50" s="1"/>
  <c r="CV59" i="32"/>
  <c r="J476" i="50"/>
  <c r="T476" i="50" s="1"/>
  <c r="FG476" i="50" s="1"/>
  <c r="CV60" i="32"/>
  <c r="J477" i="50"/>
  <c r="T477" i="50" s="1"/>
  <c r="FG477" i="50" s="1"/>
  <c r="CV61" i="32"/>
  <c r="J478" i="50"/>
  <c r="T478" i="50" s="1"/>
  <c r="FG478" i="50" s="1"/>
  <c r="CV62" i="32"/>
  <c r="J479" i="50"/>
  <c r="T479" i="50" s="1"/>
  <c r="FG479" i="50" s="1"/>
  <c r="CV63" i="32"/>
  <c r="J480" i="50"/>
  <c r="J604" i="50"/>
  <c r="J427" i="50"/>
  <c r="J553" i="50"/>
  <c r="CT77" i="32"/>
  <c r="H494" i="50"/>
  <c r="CT78" i="32"/>
  <c r="H495" i="50"/>
  <c r="CT79" i="32"/>
  <c r="H496" i="50"/>
  <c r="CT80" i="32"/>
  <c r="H497" i="50"/>
  <c r="H429" i="50"/>
  <c r="CT81" i="32"/>
  <c r="H498" i="50"/>
  <c r="CT82" i="32"/>
  <c r="H499" i="50"/>
  <c r="H556" i="50"/>
  <c r="CV83" i="32"/>
  <c r="J500" i="50"/>
  <c r="T500" i="50" s="1"/>
  <c r="FG500" i="50" s="1"/>
  <c r="CV84" i="32"/>
  <c r="J501" i="50"/>
  <c r="T501" i="50" s="1"/>
  <c r="FG501" i="50" s="1"/>
  <c r="CV85" i="32"/>
  <c r="J502" i="50"/>
  <c r="T502" i="50" s="1"/>
  <c r="FG502" i="50" s="1"/>
  <c r="CV86" i="32"/>
  <c r="J503" i="50"/>
  <c r="T503" i="50" s="1"/>
  <c r="FG503" i="50" s="1"/>
  <c r="CV87" i="32"/>
  <c r="J504" i="50"/>
  <c r="J557" i="50"/>
  <c r="J617" i="50"/>
  <c r="CT92" i="32"/>
  <c r="H509" i="50"/>
  <c r="CT15" i="32"/>
  <c r="H432" i="50"/>
  <c r="CT16" i="32"/>
  <c r="H433" i="50"/>
  <c r="H526" i="50"/>
  <c r="H541" i="50"/>
  <c r="H510" i="50"/>
  <c r="H581" i="50"/>
  <c r="CV17" i="32"/>
  <c r="J434" i="50"/>
  <c r="T434" i="50" s="1"/>
  <c r="FG434" i="50" s="1"/>
  <c r="CV18" i="32"/>
  <c r="J435" i="50"/>
  <c r="J542" i="50"/>
  <c r="J511" i="50"/>
  <c r="J583" i="50"/>
  <c r="J527" i="50"/>
  <c r="BX527" i="50" s="1"/>
  <c r="CT22" i="32"/>
  <c r="H439" i="50"/>
  <c r="CT23" i="32"/>
  <c r="H545" i="50"/>
  <c r="H586" i="50"/>
  <c r="H514" i="50"/>
  <c r="H440" i="50"/>
  <c r="H530" i="50"/>
  <c r="CV24" i="32"/>
  <c r="J441" i="50"/>
  <c r="T441" i="50" s="1"/>
  <c r="FG441" i="50" s="1"/>
  <c r="CV25" i="32"/>
  <c r="J442" i="50"/>
  <c r="T442" i="50" s="1"/>
  <c r="FG442" i="50" s="1"/>
  <c r="CV26" i="32"/>
  <c r="J443" i="50"/>
  <c r="T443" i="50" s="1"/>
  <c r="FG443" i="50" s="1"/>
  <c r="CV27" i="32"/>
  <c r="J444" i="50"/>
  <c r="T444" i="50" s="1"/>
  <c r="FG444" i="50" s="1"/>
  <c r="CV28" i="32"/>
  <c r="J445" i="50"/>
  <c r="J546" i="50"/>
  <c r="J516" i="50"/>
  <c r="BX516" i="50" s="1"/>
  <c r="J531" i="50"/>
  <c r="BX531" i="50" s="1"/>
  <c r="J588" i="50"/>
  <c r="CT32" i="32"/>
  <c r="H549" i="50"/>
  <c r="H449" i="50"/>
  <c r="H532" i="50"/>
  <c r="H594" i="50"/>
  <c r="H517" i="50"/>
  <c r="CV33" i="32"/>
  <c r="J450" i="50"/>
  <c r="J550" i="50"/>
  <c r="J595" i="50"/>
  <c r="CT49" i="32"/>
  <c r="H466" i="50"/>
  <c r="CT50" i="32"/>
  <c r="H467" i="50"/>
  <c r="CT51" i="32"/>
  <c r="H468" i="50"/>
  <c r="CT52" i="32"/>
  <c r="H469" i="50"/>
  <c r="CT53" i="32"/>
  <c r="H470" i="50"/>
  <c r="CT54" i="32"/>
  <c r="H471" i="50"/>
  <c r="CT55" i="32"/>
  <c r="H472" i="50"/>
  <c r="CT56" i="32"/>
  <c r="H473" i="50"/>
  <c r="CT57" i="32"/>
  <c r="H474" i="50"/>
  <c r="CT218" i="32"/>
  <c r="H276" i="50"/>
  <c r="DH276" i="50" s="1"/>
  <c r="CT178" i="32"/>
  <c r="H275" i="50"/>
  <c r="DH275" i="50" s="1"/>
  <c r="CT365" i="32"/>
  <c r="H57" i="50"/>
  <c r="DH57" i="50" s="1"/>
  <c r="CT272" i="32"/>
  <c r="H218" i="50"/>
  <c r="DH218" i="50" s="1"/>
  <c r="CT237" i="32"/>
  <c r="H234" i="50"/>
  <c r="DH234" i="50" s="1"/>
  <c r="CV251" i="32"/>
  <c r="J212" i="50"/>
  <c r="CT288" i="32"/>
  <c r="H170" i="50"/>
  <c r="DH170" i="50" s="1"/>
  <c r="CV187" i="32"/>
  <c r="J286" i="50"/>
  <c r="CT239" i="32"/>
  <c r="H236" i="50"/>
  <c r="DH236" i="50" s="1"/>
  <c r="CV180" i="32"/>
  <c r="J282" i="50"/>
  <c r="CT280" i="32"/>
  <c r="H220" i="50"/>
  <c r="DH220" i="50" s="1"/>
  <c r="CV253" i="32"/>
  <c r="J213" i="50"/>
  <c r="CT373" i="32"/>
  <c r="H89" i="50"/>
  <c r="DH89" i="50" s="1"/>
  <c r="CV265" i="32"/>
  <c r="J217" i="50"/>
  <c r="CT182" i="32"/>
  <c r="H283" i="50"/>
  <c r="DH283" i="50" s="1"/>
  <c r="CV194" i="32"/>
  <c r="J287" i="50"/>
  <c r="CT179" i="32"/>
  <c r="H281" i="50"/>
  <c r="DH281" i="50" s="1"/>
  <c r="CV185" i="32"/>
  <c r="J284" i="50"/>
  <c r="CT240" i="32"/>
  <c r="H237" i="50"/>
  <c r="DH237" i="50" s="1"/>
  <c r="CV238" i="32"/>
  <c r="J235" i="50"/>
  <c r="J949" i="50"/>
  <c r="J873" i="50"/>
  <c r="J183" i="50"/>
  <c r="BX183" i="50" s="1"/>
  <c r="J187" i="50"/>
  <c r="BX187" i="50" s="1"/>
  <c r="J953" i="50"/>
  <c r="T953" i="50" s="1"/>
  <c r="J870" i="50"/>
  <c r="J184" i="50"/>
  <c r="BX184" i="50" s="1"/>
  <c r="J181" i="50"/>
  <c r="J846" i="50"/>
  <c r="J828" i="50"/>
  <c r="BX828" i="50" s="1"/>
  <c r="J832" i="50"/>
  <c r="J820" i="50"/>
  <c r="BX820" i="50" s="1"/>
  <c r="J815" i="50"/>
  <c r="J958" i="50"/>
  <c r="W958" i="50" s="1"/>
  <c r="J845" i="50"/>
  <c r="J829" i="50"/>
  <c r="BX829" i="50" s="1"/>
  <c r="J821" i="50"/>
  <c r="J812" i="50"/>
  <c r="BX812" i="50" s="1"/>
  <c r="J807" i="50"/>
  <c r="J805" i="50"/>
  <c r="J866" i="50"/>
  <c r="J188" i="50"/>
  <c r="J1000" i="50"/>
  <c r="T1000" i="50" s="1"/>
  <c r="J819" i="50"/>
  <c r="BX819" i="50" s="1"/>
  <c r="J813" i="50"/>
  <c r="BX813" i="50" s="1"/>
  <c r="J814" i="50"/>
  <c r="BX814" i="50" s="1"/>
  <c r="J806" i="50"/>
  <c r="BX806" i="50" s="1"/>
  <c r="J776" i="50"/>
  <c r="J168" i="50"/>
  <c r="J182" i="50"/>
  <c r="BX182" i="50" s="1"/>
  <c r="J185" i="50"/>
  <c r="BX185" i="50" s="1"/>
  <c r="J186" i="50"/>
  <c r="BX186" i="50" s="1"/>
  <c r="J857" i="50"/>
  <c r="J856" i="50"/>
  <c r="J1001" i="50"/>
  <c r="T1001" i="50" s="1"/>
  <c r="J1007" i="50"/>
  <c r="J166" i="50"/>
  <c r="J830" i="50"/>
  <c r="BX830" i="50" s="1"/>
  <c r="J831" i="50"/>
  <c r="BX831" i="50" s="1"/>
  <c r="J1006" i="50"/>
  <c r="J773" i="50"/>
  <c r="J772" i="50"/>
  <c r="J762" i="50"/>
  <c r="J1038" i="50"/>
  <c r="J763" i="50"/>
  <c r="J169" i="50"/>
  <c r="J847" i="50"/>
  <c r="T847" i="50" s="1"/>
  <c r="FG847" i="50" s="1"/>
  <c r="J167" i="50"/>
  <c r="J1062" i="50"/>
  <c r="J981" i="50"/>
  <c r="T981" i="50" s="1"/>
  <c r="J788" i="50"/>
  <c r="T788" i="50" s="1"/>
  <c r="FG788" i="50" s="1"/>
  <c r="J979" i="50"/>
  <c r="T979" i="50" s="1"/>
  <c r="J787" i="50"/>
  <c r="T787" i="50" s="1"/>
  <c r="FG787" i="50" s="1"/>
  <c r="J785" i="50"/>
  <c r="J786" i="50"/>
  <c r="J860" i="50"/>
  <c r="J798" i="50"/>
  <c r="J980" i="50"/>
  <c r="T980" i="50" s="1"/>
  <c r="J851" i="50"/>
  <c r="J837" i="50"/>
  <c r="J797" i="50"/>
  <c r="BX797" i="50" s="1"/>
  <c r="J998" i="50"/>
  <c r="T998" i="50" s="1"/>
  <c r="J838" i="50"/>
  <c r="T838" i="50" s="1"/>
  <c r="FG838" i="50" s="1"/>
  <c r="J769" i="50"/>
  <c r="J768" i="50"/>
  <c r="J850" i="50"/>
  <c r="J836" i="50"/>
  <c r="J822" i="50"/>
  <c r="J175" i="50"/>
  <c r="J796" i="50"/>
  <c r="J978" i="50"/>
  <c r="T978" i="50" s="1"/>
  <c r="J999" i="50"/>
  <c r="T999" i="50" s="1"/>
  <c r="CT363" i="32"/>
  <c r="H97" i="50"/>
  <c r="H646" i="50"/>
  <c r="H68" i="50"/>
  <c r="DH68" i="50" s="1"/>
  <c r="H67" i="50"/>
  <c r="DH67" i="50" s="1"/>
  <c r="H66" i="50"/>
  <c r="DH66" i="50" s="1"/>
  <c r="CT357" i="32"/>
  <c r="H95" i="50"/>
  <c r="H644" i="50"/>
  <c r="CV308" i="32"/>
  <c r="J750" i="50"/>
  <c r="J147" i="50"/>
  <c r="CV304" i="32"/>
  <c r="J145" i="50"/>
  <c r="J748" i="50"/>
  <c r="CT328" i="32"/>
  <c r="H730" i="50"/>
  <c r="H136" i="50"/>
  <c r="CV323" i="32"/>
  <c r="J726" i="50"/>
  <c r="J132" i="50"/>
  <c r="J954" i="50"/>
  <c r="T954" i="50" s="1"/>
  <c r="J731" i="50"/>
  <c r="J138" i="50"/>
  <c r="J720" i="50"/>
  <c r="J719" i="50"/>
  <c r="J710" i="50"/>
  <c r="BX710" i="50" s="1"/>
  <c r="J701" i="50"/>
  <c r="BX701" i="50" s="1"/>
  <c r="J711" i="50"/>
  <c r="BX711" i="50" s="1"/>
  <c r="J714" i="50"/>
  <c r="J702" i="50"/>
  <c r="J696" i="50"/>
  <c r="BX696" i="50" s="1"/>
  <c r="J703" i="50"/>
  <c r="J697" i="50"/>
  <c r="J695" i="50"/>
  <c r="J676" i="50"/>
  <c r="BX676" i="50" s="1"/>
  <c r="J732" i="50"/>
  <c r="J137" i="50"/>
  <c r="J678" i="50"/>
  <c r="BX678" i="50" s="1"/>
  <c r="J1013" i="50"/>
  <c r="W1013" i="50" s="1"/>
  <c r="J677" i="50"/>
  <c r="BX677" i="50" s="1"/>
  <c r="J675" i="50"/>
  <c r="BX675" i="50" s="1"/>
  <c r="J1030" i="50"/>
  <c r="W1030" i="50" s="1"/>
  <c r="J1014" i="50"/>
  <c r="W1014" i="50" s="1"/>
  <c r="J1029" i="50"/>
  <c r="W1029" i="50" s="1"/>
  <c r="J712" i="50"/>
  <c r="BX712" i="50" s="1"/>
  <c r="J713" i="50"/>
  <c r="BX713" i="50" s="1"/>
  <c r="CT336" i="32"/>
  <c r="H655" i="50"/>
  <c r="H121" i="50"/>
  <c r="CT335" i="32"/>
  <c r="H654" i="50"/>
  <c r="H120" i="50"/>
  <c r="CV247" i="32"/>
  <c r="J897" i="50"/>
  <c r="J190" i="50"/>
  <c r="J202" i="50"/>
  <c r="J225" i="50"/>
  <c r="J203" i="50"/>
  <c r="CV263" i="32"/>
  <c r="J227" i="50"/>
  <c r="J898" i="50"/>
  <c r="CV375" i="32"/>
  <c r="J634" i="50"/>
  <c r="J65" i="50"/>
  <c r="J635" i="50"/>
  <c r="CT259" i="32"/>
  <c r="H887" i="50"/>
  <c r="DH887" i="50" s="1"/>
  <c r="H196" i="50"/>
  <c r="DH196" i="50" s="1"/>
  <c r="H888" i="50"/>
  <c r="DH888" i="50" s="1"/>
  <c r="H197" i="50"/>
  <c r="DH197" i="50" s="1"/>
  <c r="H886" i="50"/>
  <c r="DH886" i="50" s="1"/>
  <c r="H195" i="50"/>
  <c r="DH195" i="50" s="1"/>
  <c r="CT358" i="32"/>
  <c r="H47" i="50"/>
  <c r="DH47" i="50" s="1"/>
  <c r="CV277" i="32"/>
  <c r="J1041" i="50"/>
  <c r="J883" i="50"/>
  <c r="J882" i="50"/>
  <c r="J1065" i="50"/>
  <c r="CT157" i="32"/>
  <c r="H351" i="50"/>
  <c r="CV76" i="32"/>
  <c r="J493" i="50"/>
  <c r="T493" i="50" s="1"/>
  <c r="FG493" i="50" s="1"/>
  <c r="CT72" i="32"/>
  <c r="H489" i="50"/>
  <c r="CT75" i="32"/>
  <c r="H555" i="50"/>
  <c r="H492" i="50"/>
  <c r="H614" i="50"/>
  <c r="CV79" i="32"/>
  <c r="J496" i="50"/>
  <c r="T496" i="50" s="1"/>
  <c r="FG496" i="50" s="1"/>
  <c r="CV82" i="32"/>
  <c r="J499" i="50"/>
  <c r="T499" i="50" s="1"/>
  <c r="FG499" i="50" s="1"/>
  <c r="J556" i="50"/>
  <c r="CT91" i="32"/>
  <c r="H559" i="50"/>
  <c r="H508" i="50"/>
  <c r="H619" i="50"/>
  <c r="H430" i="50"/>
  <c r="CV22" i="32"/>
  <c r="J439" i="50"/>
  <c r="T439" i="50" s="1"/>
  <c r="FG439" i="50" s="1"/>
  <c r="CT30" i="32"/>
  <c r="H447" i="50"/>
  <c r="CT35" i="32"/>
  <c r="H452" i="50"/>
  <c r="CT39" i="32"/>
  <c r="H456" i="50"/>
  <c r="CT42" i="32"/>
  <c r="H459" i="50"/>
  <c r="CT46" i="32"/>
  <c r="H463" i="50"/>
  <c r="CT47" i="32"/>
  <c r="H464" i="50"/>
  <c r="CV50" i="32"/>
  <c r="J467" i="50"/>
  <c r="T467" i="50" s="1"/>
  <c r="FG467" i="50" s="1"/>
  <c r="CV53" i="32"/>
  <c r="J470" i="50"/>
  <c r="T470" i="50" s="1"/>
  <c r="FG470" i="50" s="1"/>
  <c r="CV57" i="32"/>
  <c r="J474" i="50"/>
  <c r="T474" i="50" s="1"/>
  <c r="FG474" i="50" s="1"/>
  <c r="CV365" i="32"/>
  <c r="J57" i="50"/>
  <c r="CT282" i="32"/>
  <c r="H222" i="50"/>
  <c r="DH222" i="50" s="1"/>
  <c r="CV239" i="32"/>
  <c r="J236" i="50"/>
  <c r="CV182" i="32"/>
  <c r="J283" i="50"/>
  <c r="CT242" i="32"/>
  <c r="H239" i="50"/>
  <c r="DH239" i="50" s="1"/>
  <c r="CT244" i="32"/>
  <c r="H241" i="50"/>
  <c r="DH241" i="50" s="1"/>
  <c r="J784" i="50"/>
  <c r="T784" i="50" s="1"/>
  <c r="FG784" i="50" s="1"/>
  <c r="J782" i="50"/>
  <c r="J976" i="50"/>
  <c r="T976" i="50" s="1"/>
  <c r="J974" i="50"/>
  <c r="T974" i="50" s="1"/>
  <c r="J975" i="50"/>
  <c r="T975" i="50" s="1"/>
  <c r="J859" i="50"/>
  <c r="J833" i="50"/>
  <c r="J811" i="50"/>
  <c r="J794" i="50"/>
  <c r="BX794" i="50" s="1"/>
  <c r="J781" i="50"/>
  <c r="J848" i="50"/>
  <c r="J835" i="50"/>
  <c r="T835" i="50" s="1"/>
  <c r="FG835" i="50" s="1"/>
  <c r="J171" i="50"/>
  <c r="J808" i="50"/>
  <c r="BX808" i="50" s="1"/>
  <c r="J997" i="50"/>
  <c r="T997" i="50" s="1"/>
  <c r="J809" i="50"/>
  <c r="BX809" i="50" s="1"/>
  <c r="J810" i="50"/>
  <c r="BX810" i="50" s="1"/>
  <c r="J795" i="50"/>
  <c r="J774" i="50"/>
  <c r="J163" i="50"/>
  <c r="J162" i="50"/>
  <c r="J155" i="50"/>
  <c r="J977" i="50"/>
  <c r="T977" i="50" s="1"/>
  <c r="J783" i="50"/>
  <c r="T783" i="50" s="1"/>
  <c r="FG783" i="50" s="1"/>
  <c r="J174" i="50"/>
  <c r="J849" i="50"/>
  <c r="J834" i="50"/>
  <c r="J775" i="50"/>
  <c r="J159" i="50"/>
  <c r="J156" i="50"/>
  <c r="J996" i="50"/>
  <c r="T996" i="50" s="1"/>
  <c r="J172" i="50"/>
  <c r="J793" i="50"/>
  <c r="J766" i="50"/>
  <c r="J161" i="50"/>
  <c r="J158" i="50"/>
  <c r="J1061" i="50"/>
  <c r="J767" i="50"/>
  <c r="J157" i="50"/>
  <c r="J1037" i="50"/>
  <c r="J160" i="50"/>
  <c r="J758" i="50"/>
  <c r="J759" i="50"/>
  <c r="J955" i="50"/>
  <c r="T955" i="50" s="1"/>
  <c r="J957" i="50"/>
  <c r="W957" i="50" s="1"/>
  <c r="J950" i="50"/>
  <c r="J871" i="50"/>
  <c r="J853" i="50"/>
  <c r="J852" i="50"/>
  <c r="J842" i="50"/>
  <c r="J824" i="50"/>
  <c r="BX824" i="50" s="1"/>
  <c r="J861" i="50"/>
  <c r="J844" i="50"/>
  <c r="T844" i="50" s="1"/>
  <c r="FG844" i="50" s="1"/>
  <c r="J825" i="50"/>
  <c r="BX825" i="50" s="1"/>
  <c r="J816" i="50"/>
  <c r="BX816" i="50" s="1"/>
  <c r="J1003" i="50"/>
  <c r="T1003" i="50" s="1"/>
  <c r="J817" i="50"/>
  <c r="BX817" i="50" s="1"/>
  <c r="J818" i="50"/>
  <c r="J164" i="50"/>
  <c r="J868" i="50"/>
  <c r="J176" i="50"/>
  <c r="J843" i="50"/>
  <c r="J827" i="50"/>
  <c r="J823" i="50"/>
  <c r="BX823" i="50" s="1"/>
  <c r="J1002" i="50"/>
  <c r="T1002" i="50" s="1"/>
  <c r="J826" i="50"/>
  <c r="BX826" i="50" s="1"/>
  <c r="CT287" i="32"/>
  <c r="H173" i="50"/>
  <c r="H858" i="50"/>
  <c r="CT294" i="32"/>
  <c r="H864" i="50"/>
  <c r="H179" i="50"/>
  <c r="CT376" i="32"/>
  <c r="H648" i="50"/>
  <c r="H99" i="50"/>
  <c r="CT360" i="32"/>
  <c r="H96" i="50"/>
  <c r="H645" i="50"/>
  <c r="H620" i="50"/>
  <c r="H1055" i="50"/>
  <c r="H621" i="50"/>
  <c r="H1031" i="50"/>
  <c r="CV306" i="32"/>
  <c r="J749" i="50"/>
  <c r="J146" i="50"/>
  <c r="CT311" i="32"/>
  <c r="H754" i="50"/>
  <c r="H151" i="50"/>
  <c r="CT303" i="32"/>
  <c r="H746" i="50"/>
  <c r="H143" i="50"/>
  <c r="H747" i="50"/>
  <c r="H144" i="50"/>
  <c r="CT299" i="32"/>
  <c r="H742" i="50"/>
  <c r="H139" i="50"/>
  <c r="CT302" i="32"/>
  <c r="H745" i="50"/>
  <c r="H142" i="50"/>
  <c r="CT313" i="32"/>
  <c r="H756" i="50"/>
  <c r="H153" i="50"/>
  <c r="H952" i="50"/>
  <c r="H946" i="50"/>
  <c r="H733" i="50"/>
  <c r="H727" i="50"/>
  <c r="H133" i="50"/>
  <c r="H718" i="50"/>
  <c r="H717" i="50"/>
  <c r="H707" i="50"/>
  <c r="H698" i="50"/>
  <c r="H735" i="50"/>
  <c r="H704" i="50"/>
  <c r="H708" i="50"/>
  <c r="H699" i="50"/>
  <c r="H691" i="50"/>
  <c r="H689" i="50"/>
  <c r="H705" i="50"/>
  <c r="H706" i="50"/>
  <c r="H674" i="50"/>
  <c r="H673" i="50"/>
  <c r="H709" i="50"/>
  <c r="H700" i="50"/>
  <c r="H690" i="50"/>
  <c r="H663" i="50"/>
  <c r="H1032" i="50"/>
  <c r="H664" i="50"/>
  <c r="H1056" i="50"/>
  <c r="CV328" i="32"/>
  <c r="J730" i="50"/>
  <c r="J136" i="50"/>
  <c r="CT316" i="32"/>
  <c r="H722" i="50"/>
  <c r="H128" i="50"/>
  <c r="CT317" i="32"/>
  <c r="H723" i="50"/>
  <c r="H129" i="50"/>
  <c r="CT327" i="32"/>
  <c r="H728" i="50"/>
  <c r="H729" i="50"/>
  <c r="H134" i="50"/>
  <c r="H694" i="50"/>
  <c r="H693" i="50"/>
  <c r="H135" i="50"/>
  <c r="H692" i="50"/>
  <c r="CT170" i="32"/>
  <c r="H922" i="50"/>
  <c r="H305" i="50"/>
  <c r="CV336" i="32"/>
  <c r="J121" i="50"/>
  <c r="J655" i="50"/>
  <c r="CT175" i="32"/>
  <c r="H925" i="50"/>
  <c r="H308" i="50"/>
  <c r="CT173" i="32"/>
  <c r="H923" i="50"/>
  <c r="H306" i="50"/>
  <c r="CV271" i="32"/>
  <c r="J901" i="50"/>
  <c r="J230" i="50"/>
  <c r="J211" i="50"/>
  <c r="J223" i="50"/>
  <c r="CT332" i="32"/>
  <c r="H651" i="50"/>
  <c r="H117" i="50"/>
  <c r="CV335" i="32"/>
  <c r="J654" i="50"/>
  <c r="J120" i="50"/>
  <c r="CT174" i="32"/>
  <c r="H924" i="50"/>
  <c r="H307" i="50"/>
  <c r="CV334" i="32"/>
  <c r="J119" i="50"/>
  <c r="W119" i="50" s="1"/>
  <c r="X119" i="50" s="1"/>
  <c r="FH119" i="50" s="1"/>
  <c r="J653" i="50"/>
  <c r="W653" i="50" s="1"/>
  <c r="X653" i="50" s="1"/>
  <c r="FH653" i="50" s="1"/>
  <c r="H961" i="50"/>
  <c r="H942" i="50"/>
  <c r="H907" i="50"/>
  <c r="H904" i="50"/>
  <c r="H903" i="50"/>
  <c r="H912" i="50"/>
  <c r="H233" i="50"/>
  <c r="H1044" i="50"/>
  <c r="H232" i="50"/>
  <c r="H880" i="50"/>
  <c r="H1068" i="50"/>
  <c r="H881" i="50"/>
  <c r="CV264" i="32"/>
  <c r="J899" i="50"/>
  <c r="J228" i="50"/>
  <c r="CT258" i="32"/>
  <c r="H226" i="50"/>
  <c r="CV367" i="32"/>
  <c r="J60" i="50"/>
  <c r="J88" i="50"/>
  <c r="J633" i="50"/>
  <c r="J61" i="50"/>
  <c r="J87" i="50"/>
  <c r="J62" i="50"/>
  <c r="CT359" i="32"/>
  <c r="H48" i="50"/>
  <c r="DH48" i="50" s="1"/>
  <c r="H622" i="50"/>
  <c r="DH622" i="50" s="1"/>
  <c r="CT366" i="32"/>
  <c r="H59" i="50"/>
  <c r="DH59" i="50" s="1"/>
  <c r="H58" i="50"/>
  <c r="DH58" i="50" s="1"/>
  <c r="H963" i="50"/>
  <c r="H940" i="50"/>
  <c r="H914" i="50"/>
  <c r="H909" i="50"/>
  <c r="H895" i="50"/>
  <c r="H194" i="50"/>
  <c r="DH194" i="50" s="1"/>
  <c r="H1067" i="50"/>
  <c r="H1043" i="50"/>
  <c r="H874" i="50"/>
  <c r="H875" i="50"/>
  <c r="CV372" i="32"/>
  <c r="J623" i="50"/>
  <c r="J49" i="50"/>
  <c r="J624" i="50"/>
  <c r="J51" i="50"/>
  <c r="J626" i="50"/>
  <c r="J625" i="50"/>
  <c r="J63" i="50"/>
  <c r="J50" i="50"/>
  <c r="CT261" i="32"/>
  <c r="H891" i="50"/>
  <c r="DH891" i="50" s="1"/>
  <c r="H206" i="50"/>
  <c r="DH206" i="50" s="1"/>
  <c r="H207" i="50"/>
  <c r="DH207" i="50" s="1"/>
  <c r="H892" i="50"/>
  <c r="DH892" i="50" s="1"/>
  <c r="CV259" i="32"/>
  <c r="J886" i="50"/>
  <c r="J195" i="50"/>
  <c r="J888" i="50"/>
  <c r="J887" i="50"/>
  <c r="J197" i="50"/>
  <c r="J196" i="50"/>
  <c r="CT283" i="32"/>
  <c r="H894" i="50"/>
  <c r="DH894" i="50" s="1"/>
  <c r="H210" i="50"/>
  <c r="DH210" i="50" s="1"/>
  <c r="CV358" i="32"/>
  <c r="J47" i="50"/>
  <c r="CV248" i="32"/>
  <c r="J884" i="50"/>
  <c r="J191" i="50"/>
  <c r="CT262" i="32"/>
  <c r="H198" i="50"/>
  <c r="DH198" i="50" s="1"/>
  <c r="CV273" i="32"/>
  <c r="J201" i="50"/>
  <c r="J893" i="50"/>
  <c r="J209" i="50"/>
  <c r="J208" i="50"/>
  <c r="CT307" i="32"/>
  <c r="H1059" i="50"/>
  <c r="H740" i="50"/>
  <c r="H739" i="50"/>
  <c r="H1035" i="50"/>
  <c r="CV305" i="32"/>
  <c r="J738" i="50"/>
  <c r="J1034" i="50"/>
  <c r="J737" i="50"/>
  <c r="J1058" i="50"/>
  <c r="H956" i="50"/>
  <c r="H968" i="50"/>
  <c r="H681" i="50"/>
  <c r="H967" i="50"/>
  <c r="H966" i="50"/>
  <c r="H680" i="50"/>
  <c r="H679" i="50"/>
  <c r="H948" i="50"/>
  <c r="H969" i="50"/>
  <c r="H682" i="50"/>
  <c r="H736" i="50"/>
  <c r="H687" i="50"/>
  <c r="H686" i="50"/>
  <c r="H672" i="50"/>
  <c r="H1009" i="50"/>
  <c r="H734" i="50"/>
  <c r="H688" i="50"/>
  <c r="H1010" i="50"/>
  <c r="H1025" i="50"/>
  <c r="H670" i="50"/>
  <c r="H669" i="50"/>
  <c r="H1026" i="50"/>
  <c r="H671" i="50"/>
  <c r="CT165" i="32"/>
  <c r="H397" i="50"/>
  <c r="H358" i="50"/>
  <c r="CT167" i="32"/>
  <c r="H409" i="50"/>
  <c r="H387" i="50"/>
  <c r="H360" i="50"/>
  <c r="H371" i="50"/>
  <c r="H384" i="50"/>
  <c r="H423" i="50"/>
  <c r="H316" i="50"/>
  <c r="CT143" i="32"/>
  <c r="H389" i="50"/>
  <c r="H386" i="50"/>
  <c r="H400" i="50"/>
  <c r="H362" i="50"/>
  <c r="H377" i="50"/>
  <c r="H341" i="50"/>
  <c r="H415" i="50"/>
  <c r="CT161" i="32"/>
  <c r="H353" i="50"/>
  <c r="H407" i="50"/>
  <c r="H396" i="50"/>
  <c r="H383" i="50"/>
  <c r="H391" i="50"/>
  <c r="H411" i="50"/>
  <c r="H420" i="50"/>
  <c r="H368" i="50"/>
  <c r="H314" i="50"/>
  <c r="CT168" i="32"/>
  <c r="H412" i="50"/>
  <c r="H372" i="50"/>
  <c r="H361" i="50"/>
  <c r="H385" i="50"/>
  <c r="H388" i="50"/>
  <c r="H317" i="50"/>
  <c r="H424" i="50"/>
  <c r="CT144" i="32"/>
  <c r="H401" i="50"/>
  <c r="H342" i="50"/>
  <c r="H363" i="50"/>
  <c r="H416" i="50"/>
  <c r="H378" i="50"/>
  <c r="H310" i="50"/>
  <c r="CV153" i="32"/>
  <c r="J348" i="50"/>
  <c r="J405" i="50"/>
  <c r="J390" i="50"/>
  <c r="BX390" i="50" s="1"/>
  <c r="J382" i="50"/>
  <c r="J419" i="50"/>
  <c r="J312" i="50"/>
  <c r="J367" i="50"/>
  <c r="CT154" i="32"/>
  <c r="H349" i="50"/>
  <c r="CV157" i="32"/>
  <c r="J351" i="50"/>
  <c r="T351" i="50" s="1"/>
  <c r="FG351" i="50" s="1"/>
  <c r="CT65" i="32"/>
  <c r="H482" i="50"/>
  <c r="CT66" i="32"/>
  <c r="H483" i="50"/>
  <c r="CT67" i="32"/>
  <c r="H484" i="50"/>
  <c r="CT68" i="32"/>
  <c r="H485" i="50"/>
  <c r="CT69" i="32"/>
  <c r="H486" i="50"/>
  <c r="CT70" i="32"/>
  <c r="H487" i="50"/>
  <c r="CT71" i="32"/>
  <c r="H488" i="50"/>
  <c r="H536" i="50"/>
  <c r="H554" i="50"/>
  <c r="H523" i="50"/>
  <c r="H608" i="50"/>
  <c r="CV72" i="32"/>
  <c r="J489" i="50"/>
  <c r="T489" i="50" s="1"/>
  <c r="FG489" i="50" s="1"/>
  <c r="CV73" i="32"/>
  <c r="J490" i="50"/>
  <c r="T490" i="50" s="1"/>
  <c r="FG490" i="50" s="1"/>
  <c r="CV74" i="32"/>
  <c r="J491" i="50"/>
  <c r="T491" i="50" s="1"/>
  <c r="FG491" i="50" s="1"/>
  <c r="CV75" i="32"/>
  <c r="J492" i="50"/>
  <c r="J614" i="50"/>
  <c r="J555" i="50"/>
  <c r="CT88" i="32"/>
  <c r="H558" i="50"/>
  <c r="H505" i="50"/>
  <c r="H618" i="50"/>
  <c r="CV89" i="32"/>
  <c r="J506" i="50"/>
  <c r="T506" i="50" s="1"/>
  <c r="FG506" i="50" s="1"/>
  <c r="CV90" i="32"/>
  <c r="J507" i="50"/>
  <c r="T507" i="50" s="1"/>
  <c r="FG507" i="50" s="1"/>
  <c r="CV91" i="32"/>
  <c r="J508" i="50"/>
  <c r="J559" i="50"/>
  <c r="J430" i="50"/>
  <c r="J619" i="50"/>
  <c r="CT19" i="32"/>
  <c r="H436" i="50"/>
  <c r="CT20" i="32"/>
  <c r="H437" i="50"/>
  <c r="H543" i="50"/>
  <c r="H512" i="50"/>
  <c r="H584" i="50"/>
  <c r="H528" i="50"/>
  <c r="CV21" i="32"/>
  <c r="J438" i="50"/>
  <c r="J544" i="50"/>
  <c r="J529" i="50"/>
  <c r="BX529" i="50" s="1"/>
  <c r="J585" i="50"/>
  <c r="J513" i="50"/>
  <c r="CT29" i="32"/>
  <c r="H547" i="50"/>
  <c r="H590" i="50"/>
  <c r="H446" i="50"/>
  <c r="CV30" i="32"/>
  <c r="J447" i="50"/>
  <c r="T447" i="50" s="1"/>
  <c r="FG447" i="50" s="1"/>
  <c r="CV31" i="32"/>
  <c r="J448" i="50"/>
  <c r="J548" i="50"/>
  <c r="J593" i="50"/>
  <c r="CT34" i="32"/>
  <c r="H551" i="50"/>
  <c r="H451" i="50"/>
  <c r="H596" i="50"/>
  <c r="CV35" i="32"/>
  <c r="J452" i="50"/>
  <c r="T452" i="50" s="1"/>
  <c r="FG452" i="50" s="1"/>
  <c r="CV37" i="32"/>
  <c r="J454" i="50"/>
  <c r="T454" i="50" s="1"/>
  <c r="FG454" i="50" s="1"/>
  <c r="CV38" i="32"/>
  <c r="J455" i="50"/>
  <c r="T455" i="50" s="1"/>
  <c r="FG455" i="50" s="1"/>
  <c r="CV39" i="32"/>
  <c r="J456" i="50"/>
  <c r="T456" i="50" s="1"/>
  <c r="FG456" i="50" s="1"/>
  <c r="CV40" i="32"/>
  <c r="J457" i="50"/>
  <c r="T457" i="50" s="1"/>
  <c r="FG457" i="50" s="1"/>
  <c r="CV41" i="32"/>
  <c r="J458" i="50"/>
  <c r="T458" i="50" s="1"/>
  <c r="FG458" i="50" s="1"/>
  <c r="CV42" i="32"/>
  <c r="J459" i="50"/>
  <c r="T459" i="50" s="1"/>
  <c r="FG459" i="50" s="1"/>
  <c r="CV44" i="32"/>
  <c r="J461" i="50"/>
  <c r="T461" i="50" s="1"/>
  <c r="FG461" i="50" s="1"/>
  <c r="CV45" i="32"/>
  <c r="J462" i="50"/>
  <c r="T462" i="50" s="1"/>
  <c r="FG462" i="50" s="1"/>
  <c r="CV46" i="32"/>
  <c r="J463" i="50"/>
  <c r="T463" i="50" s="1"/>
  <c r="FG463" i="50" s="1"/>
  <c r="CV47" i="32"/>
  <c r="J464" i="50"/>
  <c r="T464" i="50" s="1"/>
  <c r="FG464" i="50" s="1"/>
  <c r="CV48" i="32"/>
  <c r="J465" i="50"/>
  <c r="T465" i="50" s="1"/>
  <c r="FG465" i="50" s="1"/>
  <c r="J568" i="50"/>
  <c r="CT255" i="32"/>
  <c r="H215" i="50"/>
  <c r="DH215" i="50" s="1"/>
  <c r="CV282" i="32"/>
  <c r="J222" i="50"/>
  <c r="CT256" i="32"/>
  <c r="H216" i="50"/>
  <c r="DH216" i="50" s="1"/>
  <c r="CV281" i="32"/>
  <c r="J221" i="50"/>
  <c r="CT241" i="32"/>
  <c r="H238" i="50"/>
  <c r="DH238" i="50" s="1"/>
  <c r="CV254" i="32"/>
  <c r="J214" i="50"/>
  <c r="CT186" i="32"/>
  <c r="H285" i="50"/>
  <c r="DH285" i="50" s="1"/>
  <c r="CV196" i="32"/>
  <c r="J288" i="50"/>
  <c r="CT378" i="32"/>
  <c r="H93" i="50"/>
  <c r="DH93" i="50" s="1"/>
  <c r="CV284" i="32"/>
  <c r="J224" i="50"/>
  <c r="CT243" i="32"/>
  <c r="H240" i="50"/>
  <c r="DH240" i="50" s="1"/>
  <c r="CV242" i="32"/>
  <c r="J239" i="50"/>
  <c r="CT245" i="32"/>
  <c r="H242" i="50"/>
  <c r="DH242" i="50" s="1"/>
  <c r="CV244" i="32"/>
  <c r="J241" i="50"/>
  <c r="H918" i="50"/>
  <c r="H915" i="50"/>
  <c r="H939" i="50"/>
  <c r="H964" i="50"/>
  <c r="H941" i="50"/>
  <c r="H916" i="50"/>
  <c r="H919" i="50"/>
  <c r="H965" i="50"/>
  <c r="H920" i="50"/>
  <c r="H943" i="50"/>
  <c r="H917" i="50"/>
  <c r="H959" i="50"/>
  <c r="H944" i="50"/>
  <c r="H910" i="50"/>
  <c r="H905" i="50"/>
  <c r="H960" i="50"/>
  <c r="H906" i="50"/>
  <c r="H945" i="50"/>
  <c r="H911" i="50"/>
  <c r="H962" i="50"/>
  <c r="H913" i="50"/>
  <c r="H947" i="50"/>
  <c r="H908" i="50"/>
  <c r="H977" i="50"/>
  <c r="H976" i="50"/>
  <c r="H784" i="50"/>
  <c r="H783" i="50"/>
  <c r="H975" i="50"/>
  <c r="H974" i="50"/>
  <c r="H782" i="50"/>
  <c r="H781" i="50"/>
  <c r="H174" i="50"/>
  <c r="H997" i="50"/>
  <c r="H996" i="50"/>
  <c r="H172" i="50"/>
  <c r="DH172" i="50" s="1"/>
  <c r="H809" i="50"/>
  <c r="H795" i="50"/>
  <c r="H849" i="50"/>
  <c r="H834" i="50"/>
  <c r="H810" i="50"/>
  <c r="H848" i="50"/>
  <c r="H833" i="50"/>
  <c r="H160" i="50"/>
  <c r="DH160" i="50" s="1"/>
  <c r="H157" i="50"/>
  <c r="DH157" i="50" s="1"/>
  <c r="H767" i="50"/>
  <c r="H766" i="50"/>
  <c r="H808" i="50"/>
  <c r="H811" i="50"/>
  <c r="H794" i="50"/>
  <c r="H793" i="50"/>
  <c r="H161" i="50"/>
  <c r="DH161" i="50" s="1"/>
  <c r="H158" i="50"/>
  <c r="DH158" i="50" s="1"/>
  <c r="H859" i="50"/>
  <c r="H163" i="50"/>
  <c r="DH163" i="50" s="1"/>
  <c r="H162" i="50"/>
  <c r="DH162" i="50" s="1"/>
  <c r="H155" i="50"/>
  <c r="DH155" i="50" s="1"/>
  <c r="H835" i="50"/>
  <c r="H775" i="50"/>
  <c r="DH775" i="50" s="1"/>
  <c r="H758" i="50"/>
  <c r="H1037" i="50"/>
  <c r="H759" i="50"/>
  <c r="H159" i="50"/>
  <c r="DH159" i="50" s="1"/>
  <c r="H156" i="50"/>
  <c r="DH156" i="50" s="1"/>
  <c r="H774" i="50"/>
  <c r="DH774" i="50" s="1"/>
  <c r="H1061" i="50"/>
  <c r="H171" i="50"/>
  <c r="DH171" i="50" s="1"/>
  <c r="H957" i="50"/>
  <c r="H950" i="50"/>
  <c r="H868" i="50"/>
  <c r="H955" i="50"/>
  <c r="H1003" i="50"/>
  <c r="H1002" i="50"/>
  <c r="H826" i="50"/>
  <c r="H827" i="50"/>
  <c r="H817" i="50"/>
  <c r="H871" i="50"/>
  <c r="H176" i="50"/>
  <c r="H843" i="50"/>
  <c r="H823" i="50"/>
  <c r="H818" i="50"/>
  <c r="H842" i="50"/>
  <c r="H824" i="50"/>
  <c r="H825" i="50"/>
  <c r="H816" i="50"/>
  <c r="H164" i="50"/>
  <c r="DH164" i="50" s="1"/>
  <c r="H861" i="50"/>
  <c r="H844" i="50"/>
  <c r="H852" i="50"/>
  <c r="H853" i="50"/>
  <c r="CV301" i="32"/>
  <c r="J744" i="50"/>
  <c r="J141" i="50"/>
  <c r="CV300" i="32"/>
  <c r="J743" i="50"/>
  <c r="J140" i="50"/>
  <c r="CV312" i="32"/>
  <c r="J755" i="50"/>
  <c r="J152" i="50"/>
  <c r="CV340" i="32"/>
  <c r="J659" i="50"/>
  <c r="J125" i="50"/>
  <c r="CV268" i="32"/>
  <c r="J900" i="50"/>
  <c r="J229" i="50"/>
  <c r="CT264" i="32"/>
  <c r="H899" i="50"/>
  <c r="H228" i="50"/>
  <c r="CV362" i="32"/>
  <c r="J56" i="50"/>
  <c r="J55" i="50"/>
  <c r="J632" i="50"/>
  <c r="CT372" i="32"/>
  <c r="H625" i="50"/>
  <c r="DH625" i="50" s="1"/>
  <c r="H50" i="50"/>
  <c r="DH50" i="50" s="1"/>
  <c r="H626" i="50"/>
  <c r="DH626" i="50" s="1"/>
  <c r="H63" i="50"/>
  <c r="DH63" i="50" s="1"/>
  <c r="H49" i="50"/>
  <c r="DH49" i="50" s="1"/>
  <c r="H51" i="50"/>
  <c r="DH51" i="50" s="1"/>
  <c r="H624" i="50"/>
  <c r="DH624" i="50" s="1"/>
  <c r="H623" i="50"/>
  <c r="DH623" i="50" s="1"/>
  <c r="CV374" i="32"/>
  <c r="J64" i="50"/>
  <c r="CV270" i="32"/>
  <c r="J1008" i="50"/>
  <c r="CT305" i="32"/>
  <c r="H1058" i="50"/>
  <c r="H738" i="50"/>
  <c r="H737" i="50"/>
  <c r="H1034" i="50"/>
  <c r="CT153" i="32"/>
  <c r="H405" i="50"/>
  <c r="H367" i="50"/>
  <c r="H390" i="50"/>
  <c r="H382" i="50"/>
  <c r="H348" i="50"/>
  <c r="H312" i="50"/>
  <c r="H419" i="50"/>
  <c r="CV64" i="32"/>
  <c r="J481" i="50"/>
  <c r="T481" i="50" s="1"/>
  <c r="FG481" i="50" s="1"/>
  <c r="CV43" i="32"/>
  <c r="J460" i="50"/>
  <c r="J552" i="50"/>
  <c r="J519" i="50"/>
  <c r="J533" i="50"/>
  <c r="BX533" i="50" s="1"/>
  <c r="J598" i="50"/>
  <c r="CV77" i="32"/>
  <c r="J494" i="50"/>
  <c r="T494" i="50" s="1"/>
  <c r="FG494" i="50" s="1"/>
  <c r="CV80" i="32"/>
  <c r="J497" i="50"/>
  <c r="J429" i="50"/>
  <c r="CT89" i="32"/>
  <c r="H506" i="50"/>
  <c r="CV15" i="32"/>
  <c r="J432" i="50"/>
  <c r="T432" i="50" s="1"/>
  <c r="FG432" i="50" s="1"/>
  <c r="CV23" i="32"/>
  <c r="J440" i="50"/>
  <c r="J514" i="50"/>
  <c r="J530" i="50"/>
  <c r="BX530" i="50" s="1"/>
  <c r="J545" i="50"/>
  <c r="J586" i="50"/>
  <c r="CT31" i="32"/>
  <c r="H593" i="50"/>
  <c r="H448" i="50"/>
  <c r="H548" i="50"/>
  <c r="CT38" i="32"/>
  <c r="H455" i="50"/>
  <c r="CT41" i="32"/>
  <c r="H458" i="50"/>
  <c r="CT45" i="32"/>
  <c r="H462" i="50"/>
  <c r="CT48" i="32"/>
  <c r="H568" i="50"/>
  <c r="H465" i="50"/>
  <c r="CV51" i="32"/>
  <c r="J468" i="50"/>
  <c r="T468" i="50" s="1"/>
  <c r="FG468" i="50" s="1"/>
  <c r="CV55" i="32"/>
  <c r="J472" i="50"/>
  <c r="T472" i="50" s="1"/>
  <c r="FG472" i="50" s="1"/>
  <c r="CV178" i="32"/>
  <c r="J275" i="50"/>
  <c r="CV237" i="32"/>
  <c r="J234" i="50"/>
  <c r="CT281" i="32"/>
  <c r="H221" i="50"/>
  <c r="DH221" i="50" s="1"/>
  <c r="CV280" i="32"/>
  <c r="J220" i="50"/>
  <c r="CT284" i="32"/>
  <c r="H224" i="50"/>
  <c r="DH224" i="50" s="1"/>
  <c r="CV240" i="32"/>
  <c r="J237" i="50"/>
  <c r="H973" i="50"/>
  <c r="H972" i="50"/>
  <c r="H779" i="50"/>
  <c r="H971" i="50"/>
  <c r="H970" i="50"/>
  <c r="H778" i="50"/>
  <c r="H777" i="50"/>
  <c r="H780" i="50"/>
  <c r="H1005" i="50"/>
  <c r="H1004" i="50"/>
  <c r="H840" i="50"/>
  <c r="H801" i="50"/>
  <c r="H799" i="50"/>
  <c r="H862" i="50"/>
  <c r="H855" i="50"/>
  <c r="H839" i="50"/>
  <c r="H854" i="50"/>
  <c r="H841" i="50"/>
  <c r="H800" i="50"/>
  <c r="H165" i="50"/>
  <c r="DH165" i="50" s="1"/>
  <c r="H177" i="50"/>
  <c r="H872" i="50"/>
  <c r="H951" i="50"/>
  <c r="H869" i="50"/>
  <c r="H865" i="50"/>
  <c r="H803" i="50"/>
  <c r="H180" i="50"/>
  <c r="H804" i="50"/>
  <c r="H802" i="50"/>
  <c r="H1063" i="50"/>
  <c r="H760" i="50"/>
  <c r="H1039" i="50"/>
  <c r="H761" i="50"/>
  <c r="CT379" i="32"/>
  <c r="H100" i="50"/>
  <c r="H649" i="50"/>
  <c r="H643" i="50"/>
  <c r="CT309" i="32"/>
  <c r="H751" i="50"/>
  <c r="H149" i="50"/>
  <c r="H148" i="50"/>
  <c r="H752" i="50"/>
  <c r="H741" i="50"/>
  <c r="CT310" i="32"/>
  <c r="H753" i="50"/>
  <c r="H150" i="50"/>
  <c r="CV311" i="32"/>
  <c r="J754" i="50"/>
  <c r="J151" i="50"/>
  <c r="CV303" i="32"/>
  <c r="J747" i="50"/>
  <c r="J746" i="50"/>
  <c r="J144" i="50"/>
  <c r="J143" i="50"/>
  <c r="CV299" i="32"/>
  <c r="J742" i="50"/>
  <c r="J139" i="50"/>
  <c r="CV302" i="32"/>
  <c r="J745" i="50"/>
  <c r="J142" i="50"/>
  <c r="CV313" i="32"/>
  <c r="J756" i="50"/>
  <c r="J153" i="50"/>
  <c r="J946" i="50"/>
  <c r="J735" i="50"/>
  <c r="J705" i="50"/>
  <c r="BX705" i="50" s="1"/>
  <c r="J709" i="50"/>
  <c r="J700" i="50"/>
  <c r="J706" i="50"/>
  <c r="BX706" i="50" s="1"/>
  <c r="J690" i="50"/>
  <c r="BX690" i="50" s="1"/>
  <c r="J727" i="50"/>
  <c r="J698" i="50"/>
  <c r="BX698" i="50" s="1"/>
  <c r="J699" i="50"/>
  <c r="J691" i="50"/>
  <c r="J718" i="50"/>
  <c r="J717" i="50"/>
  <c r="J707" i="50"/>
  <c r="BX707" i="50" s="1"/>
  <c r="J708" i="50"/>
  <c r="BX708" i="50" s="1"/>
  <c r="J1056" i="50"/>
  <c r="J674" i="50"/>
  <c r="J952" i="50"/>
  <c r="T952" i="50" s="1"/>
  <c r="J733" i="50"/>
  <c r="J133" i="50"/>
  <c r="J689" i="50"/>
  <c r="J704" i="50"/>
  <c r="BX704" i="50" s="1"/>
  <c r="J673" i="50"/>
  <c r="BX673" i="50" s="1"/>
  <c r="J664" i="50"/>
  <c r="J1032" i="50"/>
  <c r="J663" i="50"/>
  <c r="CT319" i="32"/>
  <c r="H724" i="50"/>
  <c r="H130" i="50"/>
  <c r="H715" i="50"/>
  <c r="H666" i="50"/>
  <c r="H668" i="50"/>
  <c r="H1011" i="50"/>
  <c r="H667" i="50"/>
  <c r="H665" i="50"/>
  <c r="H1057" i="50"/>
  <c r="H716" i="50"/>
  <c r="H1028" i="50"/>
  <c r="H661" i="50"/>
  <c r="H662" i="50"/>
  <c r="H1027" i="50"/>
  <c r="H1012" i="50"/>
  <c r="H1033" i="50"/>
  <c r="CV316" i="32"/>
  <c r="J722" i="50"/>
  <c r="J128" i="50"/>
  <c r="CV317" i="32"/>
  <c r="J723" i="50"/>
  <c r="J129" i="50"/>
  <c r="CT320" i="32"/>
  <c r="H725" i="50"/>
  <c r="H131" i="50"/>
  <c r="CV327" i="32"/>
  <c r="J729" i="50"/>
  <c r="J728" i="50"/>
  <c r="J693" i="50"/>
  <c r="BX693" i="50" s="1"/>
  <c r="J135" i="50"/>
  <c r="J694" i="50"/>
  <c r="J692" i="50"/>
  <c r="J134" i="50"/>
  <c r="CV170" i="32"/>
  <c r="J922" i="50"/>
  <c r="J305" i="50"/>
  <c r="CT339" i="32"/>
  <c r="H658" i="50"/>
  <c r="H124" i="50"/>
  <c r="CV175" i="32"/>
  <c r="J925" i="50"/>
  <c r="J308" i="50"/>
  <c r="CV173" i="32"/>
  <c r="J923" i="50"/>
  <c r="J306" i="50"/>
  <c r="CT331" i="32"/>
  <c r="H650" i="50"/>
  <c r="H116" i="50"/>
  <c r="CV332" i="32"/>
  <c r="J651" i="50"/>
  <c r="J117" i="50"/>
  <c r="CT333" i="32"/>
  <c r="H652" i="50"/>
  <c r="H118" i="50"/>
  <c r="CT341" i="32"/>
  <c r="H660" i="50"/>
  <c r="H126" i="50"/>
  <c r="CV174" i="32"/>
  <c r="J924" i="50"/>
  <c r="J307" i="50"/>
  <c r="CT249" i="32"/>
  <c r="H192" i="50"/>
  <c r="DH192" i="50" s="1"/>
  <c r="J961" i="50"/>
  <c r="W961" i="50" s="1"/>
  <c r="J942" i="50"/>
  <c r="J912" i="50"/>
  <c r="J903" i="50"/>
  <c r="J232" i="50"/>
  <c r="J907" i="50"/>
  <c r="J904" i="50"/>
  <c r="J233" i="50"/>
  <c r="J880" i="50"/>
  <c r="J1068" i="50"/>
  <c r="J881" i="50"/>
  <c r="J1044" i="50"/>
  <c r="CT152" i="32"/>
  <c r="H425" i="50"/>
  <c r="CV258" i="32"/>
  <c r="J226" i="50"/>
  <c r="CT361" i="32"/>
  <c r="H85" i="50"/>
  <c r="DH85" i="50" s="1"/>
  <c r="H630" i="50"/>
  <c r="DH630" i="50" s="1"/>
  <c r="H53" i="50"/>
  <c r="DH53" i="50" s="1"/>
  <c r="H631" i="50"/>
  <c r="DH631" i="50" s="1"/>
  <c r="H627" i="50"/>
  <c r="DH627" i="50" s="1"/>
  <c r="H54" i="50"/>
  <c r="DH54" i="50" s="1"/>
  <c r="H628" i="50"/>
  <c r="DH628" i="50" s="1"/>
  <c r="H629" i="50"/>
  <c r="DH629" i="50" s="1"/>
  <c r="H52" i="50"/>
  <c r="DH52" i="50" s="1"/>
  <c r="H86" i="50"/>
  <c r="DH86" i="50" s="1"/>
  <c r="CV274" i="32"/>
  <c r="J204" i="50"/>
  <c r="J205" i="50"/>
  <c r="J219" i="50"/>
  <c r="CT380" i="32"/>
  <c r="H94" i="50"/>
  <c r="DH94" i="50" s="1"/>
  <c r="H82" i="50"/>
  <c r="DH82" i="50" s="1"/>
  <c r="H640" i="50"/>
  <c r="DH640" i="50" s="1"/>
  <c r="H83" i="50"/>
  <c r="DH83" i="50" s="1"/>
  <c r="H80" i="50"/>
  <c r="DH80" i="50" s="1"/>
  <c r="H81" i="50"/>
  <c r="DH81" i="50" s="1"/>
  <c r="CV366" i="32"/>
  <c r="J58" i="50"/>
  <c r="J59" i="50"/>
  <c r="J909" i="50"/>
  <c r="J914" i="50"/>
  <c r="J895" i="50"/>
  <c r="J963" i="50"/>
  <c r="W963" i="50" s="1"/>
  <c r="J940" i="50"/>
  <c r="J874" i="50"/>
  <c r="J875" i="50"/>
  <c r="J194" i="50"/>
  <c r="J1043" i="50"/>
  <c r="J1067" i="50"/>
  <c r="CT377" i="32"/>
  <c r="H92" i="50"/>
  <c r="DH92" i="50" s="1"/>
  <c r="H639" i="50"/>
  <c r="DH639" i="50" s="1"/>
  <c r="H79" i="50"/>
  <c r="DH79" i="50" s="1"/>
  <c r="H78" i="50"/>
  <c r="DH78" i="50" s="1"/>
  <c r="CV261" i="32"/>
  <c r="J892" i="50"/>
  <c r="J207" i="50"/>
  <c r="J891" i="50"/>
  <c r="J206" i="50"/>
  <c r="CT171" i="32"/>
  <c r="H301" i="50"/>
  <c r="DH301" i="50" s="1"/>
  <c r="H299" i="50"/>
  <c r="DH299" i="50" s="1"/>
  <c r="H302" i="50"/>
  <c r="DH302" i="50" s="1"/>
  <c r="H921" i="50"/>
  <c r="DH921" i="50" s="1"/>
  <c r="H300" i="50"/>
  <c r="DH300" i="50" s="1"/>
  <c r="CV283" i="32"/>
  <c r="J894" i="50"/>
  <c r="J210" i="50"/>
  <c r="CT177" i="32"/>
  <c r="H304" i="50"/>
  <c r="DH304" i="50" s="1"/>
  <c r="CV269" i="32"/>
  <c r="J896" i="50"/>
  <c r="J890" i="50"/>
  <c r="J200" i="50"/>
  <c r="J889" i="50"/>
  <c r="J199" i="50"/>
  <c r="CT250" i="32"/>
  <c r="H885" i="50"/>
  <c r="DH885" i="50" s="1"/>
  <c r="H193" i="50"/>
  <c r="DH193" i="50" s="1"/>
  <c r="CV262" i="32"/>
  <c r="J198" i="50"/>
  <c r="CT276" i="32"/>
  <c r="H878" i="50"/>
  <c r="H1042" i="50"/>
  <c r="H879" i="50"/>
  <c r="H1066" i="50"/>
  <c r="CV307" i="32"/>
  <c r="J739" i="50"/>
  <c r="J1035" i="50"/>
  <c r="J740" i="50"/>
  <c r="J1059" i="50"/>
  <c r="CT260" i="32"/>
  <c r="H876" i="50"/>
  <c r="H1064" i="50"/>
  <c r="H877" i="50"/>
  <c r="H1040" i="50"/>
  <c r="J969" i="50"/>
  <c r="T969" i="50" s="1"/>
  <c r="J681" i="50"/>
  <c r="T681" i="50" s="1"/>
  <c r="FG681" i="50" s="1"/>
  <c r="J679" i="50"/>
  <c r="J734" i="50"/>
  <c r="J680" i="50"/>
  <c r="J956" i="50"/>
  <c r="W956" i="50" s="1"/>
  <c r="J968" i="50"/>
  <c r="T968" i="50" s="1"/>
  <c r="J736" i="50"/>
  <c r="J682" i="50"/>
  <c r="T682" i="50" s="1"/>
  <c r="FG682" i="50" s="1"/>
  <c r="J967" i="50"/>
  <c r="T967" i="50" s="1"/>
  <c r="J948" i="50"/>
  <c r="J688" i="50"/>
  <c r="J686" i="50"/>
  <c r="J687" i="50"/>
  <c r="BX687" i="50" s="1"/>
  <c r="J1026" i="50"/>
  <c r="W1026" i="50" s="1"/>
  <c r="J671" i="50"/>
  <c r="J669" i="50"/>
  <c r="J670" i="50"/>
  <c r="BX670" i="50" s="1"/>
  <c r="J1010" i="50"/>
  <c r="W1010" i="50" s="1"/>
  <c r="J1025" i="50"/>
  <c r="W1025" i="50" s="1"/>
  <c r="J672" i="50"/>
  <c r="BX672" i="50" s="1"/>
  <c r="J1009" i="50"/>
  <c r="W1009" i="50" s="1"/>
  <c r="J966" i="50"/>
  <c r="T966" i="50" s="1"/>
  <c r="CV296" i="32"/>
  <c r="J771" i="50"/>
  <c r="J770" i="50"/>
  <c r="CV165" i="32"/>
  <c r="J358" i="50"/>
  <c r="T358" i="50" s="1"/>
  <c r="FG358" i="50" s="1"/>
  <c r="J397" i="50"/>
  <c r="CT162" i="32"/>
  <c r="H369" i="50"/>
  <c r="H408" i="50"/>
  <c r="H354" i="50"/>
  <c r="H421" i="50"/>
  <c r="H392" i="50"/>
  <c r="CV167" i="32"/>
  <c r="J360" i="50"/>
  <c r="J384" i="50"/>
  <c r="J409" i="50"/>
  <c r="J423" i="50"/>
  <c r="J316" i="50"/>
  <c r="J371" i="50"/>
  <c r="J387" i="50"/>
  <c r="CV143" i="32"/>
  <c r="J341" i="50"/>
  <c r="J400" i="50"/>
  <c r="J362" i="50"/>
  <c r="J415" i="50"/>
  <c r="J377" i="50"/>
  <c r="J386" i="50"/>
  <c r="J389" i="50"/>
  <c r="BX389" i="50" s="1"/>
  <c r="CV161" i="32"/>
  <c r="J353" i="50"/>
  <c r="J411" i="50"/>
  <c r="J420" i="50"/>
  <c r="J368" i="50"/>
  <c r="J314" i="50"/>
  <c r="J407" i="50"/>
  <c r="J396" i="50"/>
  <c r="J383" i="50"/>
  <c r="J391" i="50"/>
  <c r="BX391" i="50" s="1"/>
  <c r="CV168" i="32"/>
  <c r="J361" i="50"/>
  <c r="J388" i="50"/>
  <c r="J424" i="50"/>
  <c r="J317" i="50"/>
  <c r="J412" i="50"/>
  <c r="J372" i="50"/>
  <c r="J385" i="50"/>
  <c r="CV144" i="32"/>
  <c r="J342" i="50"/>
  <c r="J363" i="50"/>
  <c r="J401" i="50"/>
  <c r="J416" i="50"/>
  <c r="J378" i="50"/>
  <c r="J310" i="50"/>
  <c r="CT151" i="32"/>
  <c r="H347" i="50"/>
  <c r="H381" i="50"/>
  <c r="CT149" i="32"/>
  <c r="H345" i="50"/>
  <c r="H366" i="50"/>
  <c r="H311" i="50"/>
  <c r="H402" i="50"/>
  <c r="H379" i="50"/>
  <c r="H394" i="50"/>
  <c r="H410" i="50"/>
  <c r="H417" i="50"/>
  <c r="H343" i="50"/>
  <c r="H364" i="50"/>
  <c r="CT166" i="32"/>
  <c r="H359" i="50"/>
  <c r="H315" i="50"/>
  <c r="H393" i="50"/>
  <c r="CT163" i="32"/>
  <c r="H357" i="50"/>
  <c r="CT150" i="32"/>
  <c r="H346" i="50"/>
  <c r="CT158" i="32"/>
  <c r="H352" i="50"/>
  <c r="CT133" i="32"/>
  <c r="H332" i="50"/>
  <c r="H309" i="50"/>
  <c r="H374" i="50"/>
  <c r="CT125" i="32"/>
  <c r="H324" i="50"/>
  <c r="CT130" i="32"/>
  <c r="H329" i="50"/>
  <c r="CT120" i="32"/>
  <c r="H319" i="50"/>
  <c r="CT122" i="32"/>
  <c r="H321" i="50"/>
  <c r="CT119" i="32"/>
  <c r="H318" i="50"/>
  <c r="CT123" i="32"/>
  <c r="H322" i="50"/>
  <c r="CT129" i="32"/>
  <c r="H328" i="50"/>
  <c r="CT128" i="32"/>
  <c r="H327" i="50"/>
  <c r="CT121" i="32"/>
  <c r="H320" i="50"/>
  <c r="CT124" i="32"/>
  <c r="H323" i="50"/>
  <c r="CT134" i="32"/>
  <c r="H333" i="50"/>
  <c r="CT132" i="32"/>
  <c r="H331" i="50"/>
  <c r="H373" i="50"/>
  <c r="CT126" i="32"/>
  <c r="H325" i="50"/>
  <c r="CT140" i="32"/>
  <c r="H339" i="50"/>
  <c r="CT135" i="32"/>
  <c r="H375" i="50"/>
  <c r="H334" i="50"/>
  <c r="CT131" i="32"/>
  <c r="H330" i="50"/>
  <c r="CT139" i="32"/>
  <c r="H338" i="50"/>
  <c r="H376" i="50"/>
  <c r="CT127" i="32"/>
  <c r="H326" i="50"/>
  <c r="CT138" i="32"/>
  <c r="H337" i="50"/>
  <c r="CT136" i="32"/>
  <c r="H335" i="50"/>
  <c r="CT137" i="32"/>
  <c r="H336" i="50"/>
  <c r="CT155" i="32"/>
  <c r="H350" i="50"/>
  <c r="CV154" i="32"/>
  <c r="J349" i="50"/>
  <c r="T349" i="50" s="1"/>
  <c r="FG349" i="50" s="1"/>
  <c r="CT58" i="32"/>
  <c r="H475" i="50"/>
  <c r="CT59" i="32"/>
  <c r="H476" i="50"/>
  <c r="CT60" i="32"/>
  <c r="H477" i="50"/>
  <c r="CT61" i="32"/>
  <c r="H478" i="50"/>
  <c r="CT62" i="32"/>
  <c r="H479" i="50"/>
  <c r="CT63" i="32"/>
  <c r="H553" i="50"/>
  <c r="H427" i="50"/>
  <c r="H480" i="50"/>
  <c r="H604" i="50"/>
  <c r="CV65" i="32"/>
  <c r="J482" i="50"/>
  <c r="T482" i="50" s="1"/>
  <c r="FG482" i="50" s="1"/>
  <c r="CV66" i="32"/>
  <c r="J483" i="50"/>
  <c r="T483" i="50" s="1"/>
  <c r="FG483" i="50" s="1"/>
  <c r="CV67" i="32"/>
  <c r="J484" i="50"/>
  <c r="T484" i="50" s="1"/>
  <c r="FG484" i="50" s="1"/>
  <c r="CV68" i="32"/>
  <c r="J485" i="50"/>
  <c r="T485" i="50" s="1"/>
  <c r="FG485" i="50" s="1"/>
  <c r="CV69" i="32"/>
  <c r="J486" i="50"/>
  <c r="T486" i="50" s="1"/>
  <c r="FG486" i="50" s="1"/>
  <c r="CV70" i="32"/>
  <c r="J487" i="50"/>
  <c r="T487" i="50" s="1"/>
  <c r="FG487" i="50" s="1"/>
  <c r="CV71" i="32"/>
  <c r="J488" i="50"/>
  <c r="J554" i="50"/>
  <c r="J523" i="50"/>
  <c r="J608" i="50"/>
  <c r="J536" i="50"/>
  <c r="BX536" i="50" s="1"/>
  <c r="CT83" i="32"/>
  <c r="H500" i="50"/>
  <c r="CT84" i="32"/>
  <c r="H501" i="50"/>
  <c r="CT85" i="32"/>
  <c r="H502" i="50"/>
  <c r="CT86" i="32"/>
  <c r="H503" i="50"/>
  <c r="CT87" i="32"/>
  <c r="H504" i="50"/>
  <c r="H617" i="50"/>
  <c r="H557" i="50"/>
  <c r="CV88" i="32"/>
  <c r="J505" i="50"/>
  <c r="J618" i="50"/>
  <c r="J558" i="50"/>
  <c r="CT17" i="32"/>
  <c r="H434" i="50"/>
  <c r="CT18" i="32"/>
  <c r="H435" i="50"/>
  <c r="H542" i="50"/>
  <c r="H527" i="50"/>
  <c r="H583" i="50"/>
  <c r="H511" i="50"/>
  <c r="CV19" i="32"/>
  <c r="J436" i="50"/>
  <c r="T436" i="50" s="1"/>
  <c r="FG436" i="50" s="1"/>
  <c r="CV20" i="32"/>
  <c r="J437" i="50"/>
  <c r="J584" i="50"/>
  <c r="J543" i="50"/>
  <c r="J528" i="50"/>
  <c r="BX528" i="50" s="1"/>
  <c r="J512" i="50"/>
  <c r="BX512" i="50" s="1"/>
  <c r="CT24" i="32"/>
  <c r="H441" i="50"/>
  <c r="CT25" i="32"/>
  <c r="H442" i="50"/>
  <c r="CT26" i="32"/>
  <c r="H443" i="50"/>
  <c r="CT27" i="32"/>
  <c r="H444" i="50"/>
  <c r="CT28" i="32"/>
  <c r="H445" i="50"/>
  <c r="H546" i="50"/>
  <c r="H531" i="50"/>
  <c r="H588" i="50"/>
  <c r="H516" i="50"/>
  <c r="CV29" i="32"/>
  <c r="J446" i="50"/>
  <c r="J547" i="50"/>
  <c r="J590" i="50"/>
  <c r="CT33" i="32"/>
  <c r="H450" i="50"/>
  <c r="H550" i="50"/>
  <c r="H595" i="50"/>
  <c r="CV34" i="32"/>
  <c r="J451" i="50"/>
  <c r="J551" i="50"/>
  <c r="J596" i="50"/>
  <c r="CT251" i="32"/>
  <c r="H212" i="50"/>
  <c r="DH212" i="50" s="1"/>
  <c r="CV255" i="32"/>
  <c r="J215" i="50"/>
  <c r="CT187" i="32"/>
  <c r="H286" i="50"/>
  <c r="DH286" i="50" s="1"/>
  <c r="CV256" i="32"/>
  <c r="J216" i="50"/>
  <c r="CT180" i="32"/>
  <c r="H282" i="50"/>
  <c r="DH282" i="50" s="1"/>
  <c r="CV241" i="32"/>
  <c r="J238" i="50"/>
  <c r="CT253" i="32"/>
  <c r="H213" i="50"/>
  <c r="DH213" i="50" s="1"/>
  <c r="CV186" i="32"/>
  <c r="J285" i="50"/>
  <c r="CT265" i="32"/>
  <c r="H217" i="50"/>
  <c r="DH217" i="50" s="1"/>
  <c r="CV378" i="32"/>
  <c r="J93" i="50"/>
  <c r="CT194" i="32"/>
  <c r="H287" i="50"/>
  <c r="DH287" i="50" s="1"/>
  <c r="CV243" i="32"/>
  <c r="J240" i="50"/>
  <c r="CT185" i="32"/>
  <c r="H284" i="50"/>
  <c r="DH284" i="50" s="1"/>
  <c r="CV245" i="32"/>
  <c r="J242" i="50"/>
  <c r="CT238" i="32"/>
  <c r="H235" i="50"/>
  <c r="DH235" i="50" s="1"/>
  <c r="J939" i="50"/>
  <c r="J915" i="50"/>
  <c r="J918" i="50"/>
  <c r="J941" i="50"/>
  <c r="J964" i="50"/>
  <c r="W964" i="50" s="1"/>
  <c r="J919" i="50"/>
  <c r="J916" i="50"/>
  <c r="J943" i="50"/>
  <c r="J917" i="50"/>
  <c r="J965" i="50"/>
  <c r="W965" i="50" s="1"/>
  <c r="J920" i="50"/>
  <c r="J905" i="50"/>
  <c r="J910" i="50"/>
  <c r="J959" i="50"/>
  <c r="W959" i="50" s="1"/>
  <c r="J944" i="50"/>
  <c r="J945" i="50"/>
  <c r="J960" i="50"/>
  <c r="W960" i="50" s="1"/>
  <c r="J911" i="50"/>
  <c r="J906" i="50"/>
  <c r="J947" i="50"/>
  <c r="J962" i="50"/>
  <c r="W962" i="50" s="1"/>
  <c r="J908" i="50"/>
  <c r="J913" i="50"/>
  <c r="CT364" i="32"/>
  <c r="H98" i="50"/>
  <c r="H90" i="50"/>
  <c r="DH90" i="50" s="1"/>
  <c r="H73" i="50"/>
  <c r="DH73" i="50" s="1"/>
  <c r="H70" i="50"/>
  <c r="DH70" i="50" s="1"/>
  <c r="H637" i="50"/>
  <c r="DH637" i="50" s="1"/>
  <c r="H76" i="50"/>
  <c r="DH76" i="50" s="1"/>
  <c r="H636" i="50"/>
  <c r="DH636" i="50" s="1"/>
  <c r="H71" i="50"/>
  <c r="DH71" i="50" s="1"/>
  <c r="H647" i="50"/>
  <c r="H638" i="50"/>
  <c r="DH638" i="50" s="1"/>
  <c r="H77" i="50"/>
  <c r="DH77" i="50" s="1"/>
  <c r="H74" i="50"/>
  <c r="DH74" i="50" s="1"/>
  <c r="H69" i="50"/>
  <c r="DH69" i="50" s="1"/>
  <c r="H642" i="50"/>
  <c r="H72" i="50"/>
  <c r="DH72" i="50" s="1"/>
  <c r="H91" i="50"/>
  <c r="DH91" i="50" s="1"/>
  <c r="H75" i="50"/>
  <c r="DH75" i="50" s="1"/>
  <c r="CV364" i="32"/>
  <c r="J90" i="50"/>
  <c r="J73" i="50"/>
  <c r="J70" i="50"/>
  <c r="J637" i="50"/>
  <c r="J647" i="50"/>
  <c r="J74" i="50"/>
  <c r="J98" i="50"/>
  <c r="J91" i="50"/>
  <c r="J636" i="50"/>
  <c r="J75" i="50"/>
  <c r="J71" i="50"/>
  <c r="J642" i="50"/>
  <c r="J76" i="50"/>
  <c r="J72" i="50"/>
  <c r="J638" i="50"/>
  <c r="J77" i="50"/>
  <c r="J69" i="50"/>
  <c r="CV357" i="32"/>
  <c r="J644" i="50"/>
  <c r="J95" i="50"/>
  <c r="CV294" i="32"/>
  <c r="J864" i="50"/>
  <c r="J179" i="50"/>
  <c r="CV376" i="32"/>
  <c r="J99" i="50"/>
  <c r="J648" i="50"/>
  <c r="CV360" i="32"/>
  <c r="J620" i="50"/>
  <c r="J621" i="50"/>
  <c r="J645" i="50"/>
  <c r="J1055" i="50"/>
  <c r="J1031" i="50"/>
  <c r="J96" i="50"/>
  <c r="CV293" i="32"/>
  <c r="J178" i="50"/>
  <c r="J863" i="50"/>
  <c r="CV363" i="32"/>
  <c r="J68" i="50"/>
  <c r="J97" i="50"/>
  <c r="J66" i="50"/>
  <c r="J67" i="50"/>
  <c r="J646" i="50"/>
  <c r="CV379" i="32"/>
  <c r="J643" i="50"/>
  <c r="J100" i="50"/>
  <c r="J649" i="50"/>
  <c r="CV147" i="32"/>
  <c r="CT147" i="32"/>
  <c r="CT289" i="32"/>
  <c r="CV292" i="32"/>
  <c r="CT290" i="32"/>
  <c r="CV289" i="32"/>
  <c r="CV290" i="32"/>
  <c r="CT292" i="32"/>
  <c r="CV297" i="32"/>
  <c r="CV295" i="32"/>
  <c r="CT326" i="32"/>
  <c r="CV329" i="32"/>
  <c r="CT188" i="32"/>
  <c r="CT190" i="32"/>
  <c r="CT191" i="32"/>
  <c r="CT246" i="32"/>
  <c r="CT252" i="32"/>
  <c r="CT278" i="32"/>
  <c r="CV257" i="32"/>
  <c r="CT279" i="32"/>
  <c r="CT297" i="32"/>
  <c r="CT295" i="32"/>
  <c r="CT329" i="32"/>
  <c r="CV325" i="32"/>
  <c r="CT291" i="32"/>
  <c r="CV326" i="32"/>
  <c r="CV188" i="32"/>
  <c r="CV190" i="32"/>
  <c r="CV191" i="32"/>
  <c r="CV246" i="32"/>
  <c r="CV252" i="32"/>
  <c r="CV278" i="32"/>
  <c r="CV291" i="32"/>
  <c r="CV279" i="32"/>
  <c r="CT257" i="32"/>
  <c r="CT325" i="32"/>
  <c r="CD164" i="32"/>
  <c r="CD163" i="32"/>
  <c r="CD158" i="32"/>
  <c r="CD125" i="32"/>
  <c r="CD120" i="32"/>
  <c r="CD122" i="32"/>
  <c r="CD123" i="32"/>
  <c r="CD128" i="32"/>
  <c r="CD124" i="32"/>
  <c r="CD132" i="32"/>
  <c r="CD140" i="32"/>
  <c r="CD131" i="32"/>
  <c r="CD127" i="32"/>
  <c r="CD136" i="32"/>
  <c r="CD58" i="32"/>
  <c r="CD60" i="32"/>
  <c r="CD61" i="32"/>
  <c r="CD62" i="32"/>
  <c r="CD83" i="32"/>
  <c r="CD85" i="32"/>
  <c r="CD86" i="32"/>
  <c r="CD17" i="32"/>
  <c r="CD25" i="32"/>
  <c r="CD257" i="32"/>
  <c r="CD78" i="32"/>
  <c r="CD15" i="32"/>
  <c r="CD50" i="32"/>
  <c r="CD52" i="32"/>
  <c r="CD54" i="32"/>
  <c r="CD56" i="32"/>
  <c r="CD295" i="32"/>
  <c r="CD360" i="32"/>
  <c r="CD276" i="32"/>
  <c r="CD260" i="32"/>
  <c r="CD72" i="32"/>
  <c r="CD73" i="32"/>
  <c r="CD74" i="32"/>
  <c r="CD89" i="32"/>
  <c r="CD90" i="32"/>
  <c r="CD30" i="32"/>
  <c r="CD35" i="32"/>
  <c r="CD37" i="32"/>
  <c r="CD38" i="32"/>
  <c r="CD39" i="32"/>
  <c r="CD40" i="32"/>
  <c r="CD41" i="32"/>
  <c r="CD42" i="32"/>
  <c r="CD44" i="32"/>
  <c r="CD45" i="32"/>
  <c r="CD46" i="32"/>
  <c r="CD47" i="32"/>
  <c r="CD319" i="32"/>
  <c r="CD305" i="32"/>
  <c r="CD151" i="32"/>
  <c r="CD149" i="32"/>
  <c r="CD166" i="32"/>
  <c r="CD150" i="32"/>
  <c r="CD133" i="32"/>
  <c r="CD130" i="32"/>
  <c r="CD119" i="32"/>
  <c r="CD129" i="32"/>
  <c r="CD121" i="32"/>
  <c r="CD134" i="32"/>
  <c r="CD126" i="32"/>
  <c r="CD135" i="32"/>
  <c r="CD139" i="32"/>
  <c r="CD138" i="32"/>
  <c r="CD137" i="32"/>
  <c r="CD59" i="32"/>
  <c r="CD84" i="32"/>
  <c r="CD24" i="32"/>
  <c r="CD26" i="32"/>
  <c r="CD27" i="32"/>
  <c r="CD307" i="32"/>
  <c r="CD64" i="32"/>
  <c r="CD76" i="32"/>
  <c r="CD36" i="32"/>
  <c r="CD77" i="32"/>
  <c r="CD79" i="32"/>
  <c r="CD80" i="32"/>
  <c r="CD81" i="32"/>
  <c r="CD92" i="32"/>
  <c r="CD22" i="32"/>
  <c r="CD49" i="32"/>
  <c r="CD51" i="32"/>
  <c r="CD53" i="32"/>
  <c r="CD55" i="32"/>
  <c r="CD57" i="32"/>
  <c r="CD289" i="32"/>
  <c r="CD326" i="32"/>
  <c r="CD286" i="32"/>
  <c r="CD277" i="32"/>
  <c r="CD65" i="32"/>
  <c r="CD66" i="32"/>
  <c r="CD67" i="32"/>
  <c r="CD68" i="32"/>
  <c r="CD69" i="32"/>
  <c r="CD70" i="32"/>
  <c r="CD19" i="32"/>
  <c r="CE293" i="32"/>
  <c r="CG164" i="32"/>
  <c r="CE160" i="32"/>
  <c r="CE379" i="32"/>
  <c r="CE368" i="32"/>
  <c r="CE311" i="32"/>
  <c r="CE300" i="32"/>
  <c r="CE313" i="32"/>
  <c r="CG323" i="32"/>
  <c r="CE324" i="32"/>
  <c r="CG330" i="32"/>
  <c r="CE335" i="32"/>
  <c r="CE268" i="32"/>
  <c r="CE275" i="32"/>
  <c r="CE263" i="32"/>
  <c r="CE362" i="32"/>
  <c r="CE274" i="32"/>
  <c r="CE380" i="32"/>
  <c r="CG176" i="32"/>
  <c r="CG366" i="32"/>
  <c r="CG257" i="32"/>
  <c r="CG261" i="32"/>
  <c r="CE171" i="32"/>
  <c r="CE276" i="32"/>
  <c r="CG307" i="32"/>
  <c r="CE260" i="32"/>
  <c r="CG325" i="32"/>
  <c r="CG296" i="32"/>
  <c r="CE167" i="32"/>
  <c r="CE143" i="32"/>
  <c r="CE154" i="32"/>
  <c r="CE339" i="32"/>
  <c r="CG173" i="32"/>
  <c r="CE332" i="32"/>
  <c r="CG275" i="32"/>
  <c r="CG263" i="32"/>
  <c r="CG380" i="32"/>
  <c r="CE169" i="32"/>
  <c r="CG276" i="32"/>
  <c r="CE277" i="32"/>
  <c r="CG167" i="32"/>
  <c r="CG161" i="32"/>
  <c r="CG168" i="32"/>
  <c r="CE151" i="32"/>
  <c r="CE149" i="32"/>
  <c r="CE166" i="32"/>
  <c r="CE163" i="32"/>
  <c r="CE158" i="32"/>
  <c r="CE125" i="32"/>
  <c r="CE120" i="32"/>
  <c r="CE119" i="32"/>
  <c r="CE128" i="32"/>
  <c r="CE124" i="32"/>
  <c r="CE132" i="32"/>
  <c r="CE140" i="32"/>
  <c r="CE131" i="32"/>
  <c r="CE127" i="32"/>
  <c r="CE136" i="32"/>
  <c r="CE376" i="32"/>
  <c r="CE363" i="32"/>
  <c r="CE357" i="32"/>
  <c r="CE370" i="32"/>
  <c r="CE306" i="32"/>
  <c r="CE301" i="32"/>
  <c r="CG299" i="32"/>
  <c r="CE302" i="32"/>
  <c r="CG314" i="32"/>
  <c r="CG316" i="32"/>
  <c r="CG321" i="32"/>
  <c r="CE170" i="32"/>
  <c r="CG339" i="32"/>
  <c r="CE340" i="32"/>
  <c r="CE333" i="32"/>
  <c r="CG264" i="32"/>
  <c r="CG270" i="32"/>
  <c r="CG169" i="32"/>
  <c r="CG286" i="32"/>
  <c r="CG277" i="32"/>
  <c r="CG151" i="32"/>
  <c r="CG149" i="32"/>
  <c r="CG147" i="32"/>
  <c r="CG166" i="32"/>
  <c r="CG133" i="32"/>
  <c r="CG132" i="32"/>
  <c r="CG135" i="32"/>
  <c r="CG139" i="32"/>
  <c r="CE80" i="32"/>
  <c r="CG188" i="32"/>
  <c r="CG190" i="32"/>
  <c r="CG191" i="32"/>
  <c r="CG246" i="32"/>
  <c r="CG252" i="32"/>
  <c r="CG278" i="32"/>
  <c r="CG293" i="32"/>
  <c r="CG379" i="32"/>
  <c r="CE371" i="32"/>
  <c r="CG309" i="32"/>
  <c r="CG310" i="32"/>
  <c r="CG311" i="32"/>
  <c r="CE299" i="32"/>
  <c r="CG300" i="32"/>
  <c r="CE314" i="32"/>
  <c r="CG328" i="32"/>
  <c r="CE317" i="32"/>
  <c r="CE321" i="32"/>
  <c r="CG324" i="32"/>
  <c r="CE338" i="32"/>
  <c r="CG175" i="32"/>
  <c r="CE331" i="32"/>
  <c r="CG335" i="32"/>
  <c r="CG268" i="32"/>
  <c r="CE367" i="32"/>
  <c r="CG171" i="32"/>
  <c r="CE270" i="32"/>
  <c r="CE286" i="32"/>
  <c r="CG260" i="32"/>
  <c r="CE296" i="32"/>
  <c r="CG143" i="32"/>
  <c r="CE150" i="32"/>
  <c r="CE133" i="32"/>
  <c r="CE130" i="32"/>
  <c r="CE122" i="32"/>
  <c r="CE123" i="32"/>
  <c r="CE129" i="32"/>
  <c r="CE121" i="32"/>
  <c r="CE134" i="32"/>
  <c r="CE126" i="32"/>
  <c r="CE135" i="32"/>
  <c r="CE139" i="32"/>
  <c r="CE138" i="32"/>
  <c r="CE137" i="32"/>
  <c r="CE155" i="32"/>
  <c r="CE295" i="32"/>
  <c r="CG294" i="32"/>
  <c r="CG160" i="32"/>
  <c r="CG376" i="32"/>
  <c r="CE369" i="32"/>
  <c r="CG306" i="32"/>
  <c r="CG308" i="32"/>
  <c r="CG301" i="32"/>
  <c r="CG302" i="32"/>
  <c r="CE323" i="32"/>
  <c r="CG320" i="32"/>
  <c r="CG322" i="32"/>
  <c r="CG336" i="32"/>
  <c r="CE271" i="32"/>
  <c r="CG340" i="32"/>
  <c r="CE337" i="32"/>
  <c r="CG333" i="32"/>
  <c r="CG341" i="32"/>
  <c r="CG274" i="32"/>
  <c r="CE176" i="32"/>
  <c r="CE366" i="32"/>
  <c r="CG372" i="32"/>
  <c r="CE307" i="32"/>
  <c r="CG305" i="32"/>
  <c r="CE325" i="32"/>
  <c r="CE157" i="32"/>
  <c r="CG80" i="32"/>
  <c r="CG218" i="32"/>
  <c r="CG178" i="32"/>
  <c r="CG365" i="32"/>
  <c r="CG272" i="32"/>
  <c r="CG273" i="32"/>
  <c r="CE289" i="32"/>
  <c r="CE292" i="32"/>
  <c r="CH295" i="32"/>
  <c r="CG363" i="32"/>
  <c r="CH326" i="32"/>
  <c r="CG317" i="32"/>
  <c r="CE327" i="32"/>
  <c r="CH336" i="32"/>
  <c r="CH339" i="32"/>
  <c r="CH173" i="32"/>
  <c r="CH271" i="32"/>
  <c r="CH340" i="32"/>
  <c r="CH332" i="32"/>
  <c r="CH337" i="32"/>
  <c r="CH341" i="32"/>
  <c r="CH174" i="32"/>
  <c r="CH249" i="32"/>
  <c r="CH264" i="32"/>
  <c r="CH263" i="32"/>
  <c r="CH152" i="32"/>
  <c r="CH367" i="32"/>
  <c r="CH361" i="32"/>
  <c r="CH269" i="32"/>
  <c r="CE250" i="32"/>
  <c r="CE262" i="32"/>
  <c r="CE273" i="32"/>
  <c r="CD141" i="32"/>
  <c r="CD167" i="32"/>
  <c r="CD161" i="32"/>
  <c r="CD144" i="32"/>
  <c r="CD148" i="32"/>
  <c r="CD43" i="32"/>
  <c r="CD63" i="32"/>
  <c r="CD87" i="32"/>
  <c r="CD91" i="32"/>
  <c r="CD16" i="32"/>
  <c r="CD21" i="32"/>
  <c r="CD23" i="32"/>
  <c r="CD32" i="32"/>
  <c r="CD34" i="32"/>
  <c r="CD48" i="32"/>
  <c r="CG289" i="32"/>
  <c r="CG292" i="32"/>
  <c r="CH360" i="32"/>
  <c r="CE308" i="32"/>
  <c r="CH301" i="32"/>
  <c r="CG313" i="32"/>
  <c r="CE316" i="32"/>
  <c r="CH317" i="32"/>
  <c r="CG327" i="32"/>
  <c r="CD279" i="32"/>
  <c r="CE381" i="32"/>
  <c r="CE257" i="32"/>
  <c r="CE375" i="32"/>
  <c r="CE261" i="32"/>
  <c r="CE358" i="32"/>
  <c r="CE374" i="32"/>
  <c r="CE248" i="32"/>
  <c r="CG262" i="32"/>
  <c r="CE305" i="32"/>
  <c r="CE165" i="32"/>
  <c r="CE162" i="32"/>
  <c r="CE168" i="32"/>
  <c r="CE153" i="32"/>
  <c r="CE147" i="32"/>
  <c r="CE71" i="32"/>
  <c r="CE75" i="32"/>
  <c r="CE87" i="32"/>
  <c r="CE91" i="32"/>
  <c r="CE21" i="32"/>
  <c r="CE23" i="32"/>
  <c r="CE29" i="32"/>
  <c r="CE31" i="32"/>
  <c r="CE33" i="32"/>
  <c r="CH289" i="32"/>
  <c r="CH297" i="32"/>
  <c r="CH292" i="32"/>
  <c r="CE287" i="32"/>
  <c r="CG290" i="32"/>
  <c r="CH294" i="32"/>
  <c r="CH364" i="32"/>
  <c r="CG357" i="32"/>
  <c r="CH309" i="32"/>
  <c r="CE310" i="32"/>
  <c r="CH311" i="32"/>
  <c r="CE303" i="32"/>
  <c r="CG304" i="32"/>
  <c r="CH299" i="32"/>
  <c r="CH313" i="32"/>
  <c r="CE326" i="32"/>
  <c r="CE328" i="32"/>
  <c r="CG319" i="32"/>
  <c r="CH315" i="32"/>
  <c r="CH327" i="32"/>
  <c r="CE322" i="32"/>
  <c r="CE336" i="32"/>
  <c r="CE175" i="32"/>
  <c r="CE173" i="32"/>
  <c r="CE341" i="32"/>
  <c r="CE174" i="32"/>
  <c r="CE247" i="32"/>
  <c r="CE249" i="32"/>
  <c r="CE279" i="32"/>
  <c r="CE264" i="32"/>
  <c r="CE152" i="32"/>
  <c r="CE258" i="32"/>
  <c r="CE361" i="32"/>
  <c r="CE359" i="32"/>
  <c r="CG381" i="32"/>
  <c r="CG375" i="32"/>
  <c r="CG377" i="32"/>
  <c r="CG259" i="32"/>
  <c r="CG172" i="32"/>
  <c r="CG283" i="32"/>
  <c r="CG358" i="32"/>
  <c r="CG177" i="32"/>
  <c r="CG269" i="32"/>
  <c r="CG248" i="32"/>
  <c r="CH250" i="32"/>
  <c r="CH262" i="32"/>
  <c r="CH273" i="32"/>
  <c r="CG162" i="32"/>
  <c r="CG144" i="32"/>
  <c r="CG153" i="32"/>
  <c r="CG148" i="32"/>
  <c r="CG43" i="32"/>
  <c r="CG63" i="32"/>
  <c r="CG71" i="32"/>
  <c r="CG75" i="32"/>
  <c r="CG87" i="32"/>
  <c r="CG88" i="32"/>
  <c r="CG91" i="32"/>
  <c r="CG16" i="32"/>
  <c r="CG18" i="32"/>
  <c r="CG20" i="32"/>
  <c r="CG21" i="32"/>
  <c r="CG23" i="32"/>
  <c r="CG28" i="32"/>
  <c r="CG29" i="32"/>
  <c r="CG31" i="32"/>
  <c r="CG32" i="32"/>
  <c r="CG33" i="32"/>
  <c r="CG34" i="32"/>
  <c r="CE297" i="32"/>
  <c r="CG291" i="32"/>
  <c r="CH287" i="32"/>
  <c r="CE294" i="32"/>
  <c r="CE164" i="32"/>
  <c r="CE364" i="32"/>
  <c r="CG360" i="32"/>
  <c r="CH379" i="32"/>
  <c r="CE309" i="32"/>
  <c r="CH310" i="32"/>
  <c r="CH303" i="32"/>
  <c r="CH302" i="32"/>
  <c r="CG312" i="32"/>
  <c r="CH328" i="32"/>
  <c r="CE315" i="32"/>
  <c r="CG329" i="32"/>
  <c r="CH170" i="32"/>
  <c r="CH338" i="32"/>
  <c r="CH335" i="32"/>
  <c r="CH247" i="32"/>
  <c r="CH279" i="32"/>
  <c r="CH258" i="32"/>
  <c r="CH362" i="32"/>
  <c r="CD165" i="32"/>
  <c r="CD162" i="32"/>
  <c r="CD143" i="32"/>
  <c r="CD168" i="32"/>
  <c r="CD153" i="32"/>
  <c r="CD147" i="32"/>
  <c r="CD71" i="32"/>
  <c r="CD75" i="32"/>
  <c r="CD82" i="32"/>
  <c r="CD88" i="32"/>
  <c r="CD18" i="32"/>
  <c r="CD20" i="32"/>
  <c r="CD28" i="32"/>
  <c r="CD29" i="32"/>
  <c r="CD31" i="32"/>
  <c r="CD33" i="32"/>
  <c r="CG297" i="32"/>
  <c r="CH291" i="32"/>
  <c r="CE290" i="32"/>
  <c r="CG364" i="32"/>
  <c r="CH363" i="32"/>
  <c r="CH306" i="32"/>
  <c r="CE304" i="32"/>
  <c r="CH300" i="32"/>
  <c r="CE319" i="32"/>
  <c r="CG315" i="32"/>
  <c r="CE320" i="32"/>
  <c r="CH329" i="32"/>
  <c r="CE372" i="32"/>
  <c r="CE377" i="32"/>
  <c r="CE259" i="32"/>
  <c r="CE172" i="32"/>
  <c r="CE283" i="32"/>
  <c r="CE177" i="32"/>
  <c r="CG250" i="32"/>
  <c r="CE141" i="32"/>
  <c r="CE161" i="32"/>
  <c r="CE144" i="32"/>
  <c r="CE148" i="32"/>
  <c r="CE43" i="32"/>
  <c r="CE63" i="32"/>
  <c r="CE88" i="32"/>
  <c r="CE16" i="32"/>
  <c r="CE18" i="32"/>
  <c r="CE20" i="32"/>
  <c r="CE28" i="32"/>
  <c r="CE32" i="32"/>
  <c r="CE34" i="32"/>
  <c r="CE48" i="32"/>
  <c r="CD297" i="32"/>
  <c r="CE291" i="32"/>
  <c r="CG295" i="32"/>
  <c r="CG287" i="32"/>
  <c r="CH290" i="32"/>
  <c r="CH376" i="32"/>
  <c r="CE360" i="32"/>
  <c r="CH357" i="32"/>
  <c r="CH308" i="32"/>
  <c r="CG303" i="32"/>
  <c r="CH304" i="32"/>
  <c r="CH314" i="32"/>
  <c r="CE312" i="32"/>
  <c r="CG326" i="32"/>
  <c r="CH319" i="32"/>
  <c r="CH316" i="32"/>
  <c r="CH320" i="32"/>
  <c r="CE329" i="32"/>
  <c r="CE330" i="32"/>
  <c r="CG170" i="32"/>
  <c r="CG338" i="32"/>
  <c r="CG271" i="32"/>
  <c r="CG332" i="32"/>
  <c r="CG337" i="32"/>
  <c r="CG174" i="32"/>
  <c r="CG247" i="32"/>
  <c r="CG249" i="32"/>
  <c r="CG279" i="32"/>
  <c r="CG152" i="32"/>
  <c r="CG258" i="32"/>
  <c r="CG367" i="32"/>
  <c r="CG362" i="32"/>
  <c r="CG361" i="32"/>
  <c r="CH359" i="32"/>
  <c r="CH381" i="32"/>
  <c r="CH380" i="32"/>
  <c r="CH257" i="32"/>
  <c r="CH372" i="32"/>
  <c r="CH375" i="32"/>
  <c r="CH377" i="32"/>
  <c r="CH261" i="32"/>
  <c r="CH259" i="32"/>
  <c r="CH172" i="32"/>
  <c r="CH171" i="32"/>
  <c r="CH283" i="32"/>
  <c r="CH358" i="32"/>
  <c r="CH374" i="32"/>
  <c r="CH177" i="32"/>
  <c r="CE269" i="32"/>
  <c r="CH248" i="32"/>
  <c r="CH286" i="32"/>
  <c r="CH276" i="32"/>
  <c r="CH307" i="32"/>
  <c r="CH305" i="32"/>
  <c r="CH277" i="32"/>
  <c r="CH260" i="32"/>
  <c r="CH165" i="32"/>
  <c r="CH141" i="32"/>
  <c r="CH162" i="32"/>
  <c r="CH144" i="32"/>
  <c r="CH153" i="32"/>
  <c r="CH148" i="32"/>
  <c r="CH43" i="32"/>
  <c r="CH63" i="32"/>
  <c r="CH71" i="32"/>
  <c r="CH75" i="32"/>
  <c r="CH82" i="32"/>
  <c r="CH87" i="32"/>
  <c r="CH88" i="32"/>
  <c r="CH91" i="32"/>
  <c r="CH16" i="32"/>
  <c r="CH18" i="32"/>
  <c r="CH20" i="32"/>
  <c r="CH21" i="32"/>
  <c r="CH23" i="32"/>
  <c r="CH28" i="32"/>
  <c r="CH29" i="32"/>
  <c r="CH31" i="32"/>
  <c r="CH32" i="32"/>
  <c r="CH33" i="32"/>
  <c r="CH34" i="32"/>
  <c r="CH48" i="32"/>
  <c r="AK49" i="34"/>
  <c r="DE50" i="34"/>
  <c r="DF50" i="34" s="1"/>
  <c r="CN86" i="34"/>
  <c r="AE85" i="34"/>
  <c r="DF49" i="34"/>
  <c r="DE52" i="34"/>
  <c r="DF52" i="34" s="1"/>
  <c r="AE79" i="34"/>
  <c r="BC49" i="34"/>
  <c r="BF50" i="34"/>
  <c r="BC51" i="34"/>
  <c r="BC52" i="34"/>
  <c r="BC53" i="34"/>
  <c r="BF57" i="34"/>
  <c r="BF49" i="34"/>
  <c r="BF51" i="34"/>
  <c r="BF53" i="34"/>
  <c r="BG57" i="34"/>
  <c r="BC67" i="34"/>
  <c r="BD68" i="34"/>
  <c r="BE69" i="34"/>
  <c r="BG49" i="34"/>
  <c r="BG51" i="34"/>
  <c r="BG52" i="34"/>
  <c r="BG53" i="34"/>
  <c r="BG55" i="34"/>
  <c r="BC58" i="34"/>
  <c r="BC59" i="34"/>
  <c r="BG61" i="34"/>
  <c r="BF62" i="34"/>
  <c r="BD65" i="34"/>
  <c r="BD67" i="34"/>
  <c r="BE68" i="34"/>
  <c r="BF54" i="34"/>
  <c r="BC55" i="34"/>
  <c r="BG59" i="34"/>
  <c r="BF60" i="34"/>
  <c r="BC61" i="34"/>
  <c r="BD64" i="34"/>
  <c r="BD66" i="34"/>
  <c r="BC68" i="34"/>
  <c r="BD69" i="34"/>
  <c r="BG50" i="34"/>
  <c r="BF52" i="34"/>
  <c r="BG54" i="34"/>
  <c r="BF55" i="34"/>
  <c r="BG60" i="34"/>
  <c r="BF61" i="34"/>
  <c r="BC62" i="34"/>
  <c r="BE64" i="34"/>
  <c r="BC65" i="34"/>
  <c r="BE66" i="34"/>
  <c r="BC50" i="34"/>
  <c r="BC54" i="34"/>
  <c r="BC56" i="34"/>
  <c r="BC57" i="34"/>
  <c r="BF59" i="34"/>
  <c r="BC60" i="34"/>
  <c r="BG62" i="34"/>
  <c r="BC64" i="34"/>
  <c r="BE65" i="34"/>
  <c r="BC66" i="34"/>
  <c r="BE67" i="34"/>
  <c r="BC69" i="34"/>
  <c r="CN77" i="34"/>
  <c r="CN82" i="34"/>
  <c r="DJ50" i="34"/>
  <c r="DJ51" i="34"/>
  <c r="CF79" i="34"/>
  <c r="CM83" i="34"/>
  <c r="CO83" i="34" s="1"/>
  <c r="AD84" i="34"/>
  <c r="CD84" i="34" s="1"/>
  <c r="BK84" i="34"/>
  <c r="BK86" i="34"/>
  <c r="DJ53" i="34"/>
  <c r="DE62" i="34"/>
  <c r="DF62" i="34" s="1"/>
  <c r="DE63" i="34"/>
  <c r="CF77" i="34"/>
  <c r="CR77" i="34" s="1"/>
  <c r="BK78" i="34"/>
  <c r="BI82" i="34"/>
  <c r="BJ83" i="34"/>
  <c r="CL83" i="34" s="1"/>
  <c r="BY83" i="34" s="1"/>
  <c r="DS51" i="34"/>
  <c r="DQ52" i="34"/>
  <c r="DE60" i="34"/>
  <c r="DF60" i="34" s="1"/>
  <c r="AC77" i="34"/>
  <c r="CN78" i="34"/>
  <c r="BI79" i="34"/>
  <c r="CM81" i="34"/>
  <c r="CO81" i="34" s="1"/>
  <c r="CN84" i="34"/>
  <c r="AE77" i="34"/>
  <c r="X65" i="34"/>
  <c r="X66" i="34"/>
  <c r="X67" i="34"/>
  <c r="DP51" i="34"/>
  <c r="CN80" i="34"/>
  <c r="CF83" i="34"/>
  <c r="CF85" i="34"/>
  <c r="Q155" i="34"/>
  <c r="R155" i="34" s="1"/>
  <c r="O160" i="34"/>
  <c r="W64" i="34"/>
  <c r="Y65" i="34"/>
  <c r="Y66" i="34"/>
  <c r="Y67" i="34"/>
  <c r="BK82" i="34"/>
  <c r="Q154" i="34"/>
  <c r="R154" i="34" s="1"/>
  <c r="X64" i="34"/>
  <c r="X68" i="34"/>
  <c r="X69" i="34"/>
  <c r="DK49" i="34"/>
  <c r="DE61" i="34"/>
  <c r="DF61" i="34" s="1"/>
  <c r="CF81" i="34"/>
  <c r="AC83" i="34"/>
  <c r="BI84" i="34"/>
  <c r="AC85" i="34"/>
  <c r="K154" i="34"/>
  <c r="Q156" i="34"/>
  <c r="R156" i="34" s="1"/>
  <c r="Q158" i="34"/>
  <c r="R158" i="34" s="1"/>
  <c r="Y64" i="34"/>
  <c r="Y68" i="34"/>
  <c r="Y69" i="34"/>
  <c r="AA50" i="34"/>
  <c r="W51" i="34"/>
  <c r="Z52" i="34"/>
  <c r="W53" i="34"/>
  <c r="W54" i="34"/>
  <c r="W59" i="34"/>
  <c r="AA61" i="34"/>
  <c r="W49" i="34"/>
  <c r="Z51" i="34"/>
  <c r="AA52" i="34"/>
  <c r="Z53" i="34"/>
  <c r="Z54" i="34"/>
  <c r="W55" i="34"/>
  <c r="W57" i="34"/>
  <c r="Z59" i="34"/>
  <c r="W60" i="34"/>
  <c r="W62" i="34"/>
  <c r="Z49" i="34"/>
  <c r="W50" i="34"/>
  <c r="AA51" i="34"/>
  <c r="AA53" i="34"/>
  <c r="AA54" i="34"/>
  <c r="Z55" i="34"/>
  <c r="W56" i="34"/>
  <c r="Z57" i="34"/>
  <c r="W58" i="34"/>
  <c r="AA59" i="34"/>
  <c r="Z60" i="34"/>
  <c r="W61" i="34"/>
  <c r="Z62" i="34"/>
  <c r="AA49" i="34"/>
  <c r="Z50" i="34"/>
  <c r="W52" i="34"/>
  <c r="AA55" i="34"/>
  <c r="AA57" i="34"/>
  <c r="AA60" i="34"/>
  <c r="AG60" i="34" s="1"/>
  <c r="Z61" i="34"/>
  <c r="AF61" i="34" s="1"/>
  <c r="AA62" i="34"/>
  <c r="AG62" i="34" s="1"/>
  <c r="AN10" i="35"/>
  <c r="AN12" i="35"/>
  <c r="AN14" i="35"/>
  <c r="AN15" i="35"/>
  <c r="AN18" i="35"/>
  <c r="AN17" i="35"/>
  <c r="AN11" i="35"/>
  <c r="AN13" i="35"/>
  <c r="AN16" i="35"/>
  <c r="J104" i="34"/>
  <c r="J52" i="34"/>
  <c r="AL137" i="37"/>
  <c r="AL138" i="37"/>
  <c r="J67" i="34"/>
  <c r="J64" i="34"/>
  <c r="J66" i="34"/>
  <c r="J69" i="34"/>
  <c r="J65" i="34"/>
  <c r="J68" i="34"/>
  <c r="J103" i="34"/>
  <c r="J105" i="34"/>
  <c r="J106" i="34"/>
  <c r="J109" i="34"/>
  <c r="J110" i="34"/>
  <c r="AL131" i="37"/>
  <c r="AL124" i="37"/>
  <c r="AL126" i="37"/>
  <c r="R45" i="39"/>
  <c r="AL128" i="37"/>
  <c r="AL136" i="37"/>
  <c r="AL135" i="37"/>
  <c r="J107" i="34"/>
  <c r="J100" i="34"/>
  <c r="J108" i="34"/>
  <c r="DS49" i="34"/>
  <c r="DT50" i="34"/>
  <c r="AB11" i="15"/>
  <c r="AC11" i="15"/>
  <c r="AA11" i="15"/>
  <c r="AB17" i="15"/>
  <c r="AC17" i="15"/>
  <c r="AA17" i="15"/>
  <c r="AA19" i="15"/>
  <c r="AC19" i="15"/>
  <c r="DT52" i="34"/>
  <c r="DU51" i="34"/>
  <c r="AB8" i="15"/>
  <c r="AC8" i="15"/>
  <c r="AA8" i="15"/>
  <c r="AA10" i="15"/>
  <c r="AC10" i="15"/>
  <c r="K11" i="36"/>
  <c r="CF78" i="34"/>
  <c r="CE78" i="34"/>
  <c r="BQ78" i="34" s="1"/>
  <c r="AD78" i="34"/>
  <c r="CD78" i="34" s="1"/>
  <c r="AB12" i="15"/>
  <c r="AC12" i="15"/>
  <c r="AA12" i="15"/>
  <c r="AB20" i="15"/>
  <c r="AC20" i="15"/>
  <c r="AA20" i="15"/>
  <c r="Y21" i="16"/>
  <c r="DJ52" i="34"/>
  <c r="Y13" i="16"/>
  <c r="Y17" i="16"/>
  <c r="DR52" i="34"/>
  <c r="DN52" i="34"/>
  <c r="DU52" i="34"/>
  <c r="DP52" i="34"/>
  <c r="DS52" i="34"/>
  <c r="DM52" i="34"/>
  <c r="DE59" i="34"/>
  <c r="BI77" i="34"/>
  <c r="CM77" i="34"/>
  <c r="CO77" i="34" s="1"/>
  <c r="BJ77" i="34"/>
  <c r="CL77" i="34" s="1"/>
  <c r="BY77" i="34" s="1"/>
  <c r="CF80" i="34"/>
  <c r="AD80" i="34"/>
  <c r="CD80" i="34" s="1"/>
  <c r="CE80" i="34"/>
  <c r="BQ80" i="34" s="1"/>
  <c r="CE82" i="34"/>
  <c r="BQ82" i="34" s="1"/>
  <c r="AD82" i="34"/>
  <c r="CD82" i="34" s="1"/>
  <c r="CM86" i="34"/>
  <c r="CO86" i="34" s="1"/>
  <c r="BJ86" i="34"/>
  <c r="CL86" i="34" s="1"/>
  <c r="BY86" i="34" s="1"/>
  <c r="BI86" i="34"/>
  <c r="AA7" i="15"/>
  <c r="AC7" i="15"/>
  <c r="AA15" i="15"/>
  <c r="AC15" i="15"/>
  <c r="K7" i="36"/>
  <c r="K16" i="36"/>
  <c r="K14" i="36"/>
  <c r="K9" i="36"/>
  <c r="K13" i="36"/>
  <c r="Y22" i="16"/>
  <c r="DM51" i="34"/>
  <c r="DO52" i="34"/>
  <c r="CM78" i="34"/>
  <c r="CO78" i="34" s="1"/>
  <c r="BJ78" i="34"/>
  <c r="CL78" i="34" s="1"/>
  <c r="BY78" i="34" s="1"/>
  <c r="BI78" i="34"/>
  <c r="BI81" i="34"/>
  <c r="BJ81" i="34"/>
  <c r="CL81" i="34" s="1"/>
  <c r="BY81" i="34" s="1"/>
  <c r="AE83" i="34"/>
  <c r="CN85" i="34"/>
  <c r="BJ85" i="34"/>
  <c r="CL85" i="34" s="1"/>
  <c r="BY85" i="34" s="1"/>
  <c r="CF86" i="34"/>
  <c r="CE86" i="34"/>
  <c r="BQ86" i="34" s="1"/>
  <c r="AD86" i="34"/>
  <c r="CD86" i="34" s="1"/>
  <c r="AC9" i="15"/>
  <c r="AC18" i="15"/>
  <c r="K8" i="36"/>
  <c r="K12" i="36"/>
  <c r="DE51" i="34"/>
  <c r="DF51" i="34" s="1"/>
  <c r="DR51" i="34"/>
  <c r="DN51" i="34"/>
  <c r="DQ51" i="34"/>
  <c r="CN79" i="34"/>
  <c r="BJ79" i="34"/>
  <c r="CL79" i="34" s="1"/>
  <c r="BY79" i="34" s="1"/>
  <c r="BJ80" i="34"/>
  <c r="CL80" i="34" s="1"/>
  <c r="BY80" i="34" s="1"/>
  <c r="CM80" i="34"/>
  <c r="CO80" i="34" s="1"/>
  <c r="BK80" i="34"/>
  <c r="BI80" i="34"/>
  <c r="CE81" i="34"/>
  <c r="BQ81" i="34" s="1"/>
  <c r="AD81" i="34"/>
  <c r="CD81" i="34" s="1"/>
  <c r="AE81" i="34"/>
  <c r="AC81" i="34"/>
  <c r="K157" i="34"/>
  <c r="Q157" i="34"/>
  <c r="R157" i="34" s="1"/>
  <c r="AB10" i="15"/>
  <c r="AB19" i="15"/>
  <c r="K10" i="36"/>
  <c r="DO51" i="34"/>
  <c r="DT51" i="34"/>
  <c r="DE53" i="34"/>
  <c r="CE79" i="34"/>
  <c r="BQ79" i="34" s="1"/>
  <c r="AD79" i="34"/>
  <c r="CD79" i="34" s="1"/>
  <c r="AC79" i="34"/>
  <c r="CM79" i="34"/>
  <c r="CO79" i="34" s="1"/>
  <c r="AE80" i="34"/>
  <c r="BK81" i="34"/>
  <c r="AC82" i="34"/>
  <c r="AC84" i="34"/>
  <c r="CE84" i="34"/>
  <c r="BQ84" i="34" s="1"/>
  <c r="CE77" i="34"/>
  <c r="BQ77" i="34" s="1"/>
  <c r="AD77" i="34"/>
  <c r="CD77" i="34" s="1"/>
  <c r="BK77" i="34"/>
  <c r="AC78" i="34"/>
  <c r="AC80" i="34"/>
  <c r="CN83" i="34"/>
  <c r="CF84" i="34"/>
  <c r="BJ84" i="34"/>
  <c r="CL84" i="34" s="1"/>
  <c r="BY84" i="34" s="1"/>
  <c r="CM84" i="34"/>
  <c r="CO84" i="34" s="1"/>
  <c r="CE85" i="34"/>
  <c r="BQ85" i="34" s="1"/>
  <c r="AD85" i="34"/>
  <c r="CD85" i="34" s="1"/>
  <c r="BK85" i="34"/>
  <c r="AC86" i="34"/>
  <c r="P27" i="14"/>
  <c r="R27" i="14" s="1"/>
  <c r="P12" i="14"/>
  <c r="P10" i="14"/>
  <c r="P8" i="14"/>
  <c r="P9" i="14"/>
  <c r="CN81" i="34"/>
  <c r="CF82" i="34"/>
  <c r="CM82" i="34"/>
  <c r="CO82" i="34" s="1"/>
  <c r="BJ82" i="34"/>
  <c r="CL82" i="34" s="1"/>
  <c r="BY82" i="34" s="1"/>
  <c r="CE83" i="34"/>
  <c r="BQ83" i="34" s="1"/>
  <c r="AD83" i="34"/>
  <c r="CD83" i="34" s="1"/>
  <c r="BI83" i="34"/>
  <c r="AE84" i="34"/>
  <c r="BI85" i="34"/>
  <c r="CM85" i="34"/>
  <c r="CO85" i="34" s="1"/>
  <c r="K298" i="32"/>
  <c r="AE78" i="34"/>
  <c r="BK79" i="34"/>
  <c r="AE82" i="34"/>
  <c r="BK83" i="34"/>
  <c r="AE86" i="34"/>
  <c r="AF20" i="20"/>
  <c r="AD20" i="20"/>
  <c r="S19" i="20"/>
  <c r="J37" i="14"/>
  <c r="Q37" i="14" s="1"/>
  <c r="E38" i="14"/>
  <c r="E80" i="14"/>
  <c r="J79" i="14"/>
  <c r="P79" i="14" s="1"/>
  <c r="E72" i="14"/>
  <c r="P11" i="14"/>
  <c r="Q17" i="20"/>
  <c r="T16" i="20"/>
  <c r="P18" i="14"/>
  <c r="P23" i="14"/>
  <c r="O23" i="13"/>
  <c r="W12" i="13"/>
  <c r="S13" i="13"/>
  <c r="U13" i="13"/>
  <c r="Q12" i="13"/>
  <c r="Q9" i="20"/>
  <c r="T9" i="20" s="1"/>
  <c r="T8" i="20"/>
  <c r="Q21" i="20"/>
  <c r="T20" i="20"/>
  <c r="G8" i="21"/>
  <c r="G10" i="21"/>
  <c r="H11" i="21"/>
  <c r="G11" i="21" s="1"/>
  <c r="I298" i="32"/>
  <c r="O71" i="14"/>
  <c r="O10" i="14"/>
  <c r="O18" i="14"/>
  <c r="P22" i="14"/>
  <c r="P25" i="14"/>
  <c r="P26" i="14"/>
  <c r="R36" i="14"/>
  <c r="U36" i="14" s="1"/>
  <c r="J43" i="14"/>
  <c r="P43" i="14" s="1"/>
  <c r="P49" i="14"/>
  <c r="P69" i="14"/>
  <c r="P78" i="14"/>
  <c r="S7" i="13"/>
  <c r="W6" i="13"/>
  <c r="J6" i="13"/>
  <c r="S8" i="13"/>
  <c r="W7" i="13"/>
  <c r="O21" i="13"/>
  <c r="AF8" i="20"/>
  <c r="AD8" i="20"/>
  <c r="AF7" i="20"/>
  <c r="S7" i="20"/>
  <c r="Z9" i="14"/>
  <c r="P16" i="14"/>
  <c r="P17" i="14"/>
  <c r="O19" i="14"/>
  <c r="O23" i="14"/>
  <c r="R35" i="14"/>
  <c r="E45" i="14"/>
  <c r="J44" i="14"/>
  <c r="P44" i="14" s="1"/>
  <c r="P56" i="14"/>
  <c r="R57" i="14"/>
  <c r="U8" i="13"/>
  <c r="W10" i="13"/>
  <c r="S11" i="13"/>
  <c r="O10" i="13"/>
  <c r="O24" i="13"/>
  <c r="W11" i="13"/>
  <c r="U12" i="13"/>
  <c r="J11" i="13"/>
  <c r="U11" i="13"/>
  <c r="J13" i="13"/>
  <c r="Q13" i="20"/>
  <c r="T13" i="20" s="1"/>
  <c r="T12" i="20"/>
  <c r="AF16" i="20"/>
  <c r="AD16" i="20"/>
  <c r="AF15" i="20"/>
  <c r="S15" i="20"/>
  <c r="AF18" i="20"/>
  <c r="S17" i="20"/>
  <c r="AD18" i="20"/>
  <c r="AF17" i="20"/>
  <c r="G16" i="21"/>
  <c r="H17" i="21"/>
  <c r="G17" i="21" s="1"/>
  <c r="M80" i="14"/>
  <c r="M79" i="14"/>
  <c r="M77" i="14"/>
  <c r="O77" i="14" s="1"/>
  <c r="M75" i="14"/>
  <c r="O75" i="14" s="1"/>
  <c r="N57" i="14"/>
  <c r="Q57" i="14" s="1"/>
  <c r="N56" i="14"/>
  <c r="Q56" i="14" s="1"/>
  <c r="N55" i="14"/>
  <c r="Q55" i="14" s="1"/>
  <c r="M54" i="14"/>
  <c r="P54" i="14" s="1"/>
  <c r="S54" i="14" s="1"/>
  <c r="N51" i="14"/>
  <c r="O49" i="14"/>
  <c r="R49" i="14" s="1"/>
  <c r="M48" i="14"/>
  <c r="P48" i="14" s="1"/>
  <c r="M78" i="14"/>
  <c r="O78" i="14" s="1"/>
  <c r="M73" i="14"/>
  <c r="M72" i="14"/>
  <c r="N58" i="14"/>
  <c r="M57" i="14"/>
  <c r="P57" i="14" s="1"/>
  <c r="M55" i="14"/>
  <c r="P55" i="14" s="1"/>
  <c r="N54" i="14"/>
  <c r="Q54" i="14" s="1"/>
  <c r="M45" i="14"/>
  <c r="O44" i="14"/>
  <c r="R44" i="14" s="1"/>
  <c r="O43" i="14"/>
  <c r="R43" i="14" s="1"/>
  <c r="O42" i="14"/>
  <c r="R42" i="14" s="1"/>
  <c r="N41" i="14"/>
  <c r="Q41" i="14" s="1"/>
  <c r="T41" i="14" s="1"/>
  <c r="O38" i="14"/>
  <c r="M37" i="14"/>
  <c r="N35" i="14"/>
  <c r="Q35" i="14" s="1"/>
  <c r="M27" i="14"/>
  <c r="O27" i="14" s="1"/>
  <c r="M25" i="14"/>
  <c r="O25" i="14" s="1"/>
  <c r="M16" i="14"/>
  <c r="O16" i="14" s="1"/>
  <c r="M13" i="14"/>
  <c r="O13" i="14" s="1"/>
  <c r="Q13" i="14" s="1"/>
  <c r="M11" i="14"/>
  <c r="O11" i="14" s="1"/>
  <c r="P19" i="14"/>
  <c r="R19" i="14" s="1"/>
  <c r="M36" i="14"/>
  <c r="P36" i="14" s="1"/>
  <c r="M38" i="14"/>
  <c r="M41" i="14"/>
  <c r="P41" i="14" s="1"/>
  <c r="S41" i="14" s="1"/>
  <c r="N43" i="14"/>
  <c r="K49" i="14"/>
  <c r="E50" i="14"/>
  <c r="M50" i="14"/>
  <c r="O54" i="14"/>
  <c r="R54" i="14" s="1"/>
  <c r="U54" i="14" s="1"/>
  <c r="M58" i="14"/>
  <c r="P75" i="14"/>
  <c r="M76" i="14"/>
  <c r="O76" i="14" s="1"/>
  <c r="S9" i="13"/>
  <c r="W8" i="13"/>
  <c r="S8" i="20"/>
  <c r="AF12" i="20"/>
  <c r="AD12" i="20"/>
  <c r="AF11" i="20"/>
  <c r="S16" i="20"/>
  <c r="AF22" i="20"/>
  <c r="S21" i="20"/>
  <c r="AD22" i="20"/>
  <c r="AF21" i="20"/>
  <c r="N72" i="14"/>
  <c r="N70" i="14"/>
  <c r="P70" i="14" s="1"/>
  <c r="N15" i="14"/>
  <c r="P15" i="14" s="1"/>
  <c r="N24" i="14"/>
  <c r="P24" i="14" s="1"/>
  <c r="N71" i="14"/>
  <c r="P71" i="14" s="1"/>
  <c r="N76" i="14"/>
  <c r="P76" i="14" s="1"/>
  <c r="N77" i="14"/>
  <c r="P77" i="14" s="1"/>
  <c r="O100" i="23"/>
  <c r="Q9" i="13"/>
  <c r="AD9" i="20"/>
  <c r="AD13" i="20"/>
  <c r="AD17" i="20"/>
  <c r="AD21" i="20"/>
  <c r="S6" i="20"/>
  <c r="S10" i="20"/>
  <c r="S14" i="20"/>
  <c r="O26" i="13" l="1"/>
  <c r="O12" i="13"/>
  <c r="R37" i="14"/>
  <c r="CR86" i="34"/>
  <c r="Q36" i="14"/>
  <c r="T36" i="14" s="1"/>
  <c r="Q43" i="14"/>
  <c r="AD7" i="15"/>
  <c r="AG59" i="34"/>
  <c r="J58" i="14"/>
  <c r="Q58" i="14" s="1"/>
  <c r="K58" i="14"/>
  <c r="K54" i="14"/>
  <c r="O79" i="14"/>
  <c r="AF49" i="34"/>
  <c r="J867" i="50"/>
  <c r="CP84" i="34"/>
  <c r="CR83" i="34"/>
  <c r="CP79" i="34"/>
  <c r="CB863" i="50"/>
  <c r="BY863" i="50"/>
  <c r="BX863" i="50"/>
  <c r="CE863" i="50"/>
  <c r="BX642" i="50"/>
  <c r="CB642" i="50"/>
  <c r="BY642" i="50"/>
  <c r="CE642" i="50"/>
  <c r="BX911" i="50"/>
  <c r="CG911" i="50"/>
  <c r="CD911" i="50"/>
  <c r="BY911" i="50"/>
  <c r="BY596" i="50"/>
  <c r="BX596" i="50"/>
  <c r="CC596" i="50"/>
  <c r="CC590" i="50"/>
  <c r="BX590" i="50"/>
  <c r="BY590" i="50"/>
  <c r="CC505" i="50"/>
  <c r="BY505" i="50"/>
  <c r="BX505" i="50"/>
  <c r="BY523" i="50"/>
  <c r="BX523" i="50"/>
  <c r="CC523" i="50"/>
  <c r="BX363" i="50"/>
  <c r="CB363" i="50"/>
  <c r="BY363" i="50"/>
  <c r="BY388" i="50"/>
  <c r="BX388" i="50"/>
  <c r="CB388" i="50"/>
  <c r="BY368" i="50"/>
  <c r="BX368" i="50"/>
  <c r="CB368" i="50"/>
  <c r="CB423" i="50"/>
  <c r="BX423" i="50"/>
  <c r="BY423" i="50"/>
  <c r="BX671" i="50"/>
  <c r="CA671" i="50"/>
  <c r="BX736" i="50"/>
  <c r="CE736" i="50"/>
  <c r="CB736" i="50"/>
  <c r="BY736" i="50"/>
  <c r="CD896" i="50"/>
  <c r="BY896" i="50"/>
  <c r="BX896" i="50"/>
  <c r="CG896" i="50"/>
  <c r="BY305" i="50"/>
  <c r="BX305" i="50"/>
  <c r="BX728" i="50"/>
  <c r="CE728" i="50"/>
  <c r="CB728" i="50"/>
  <c r="BY728" i="50"/>
  <c r="BX756" i="50"/>
  <c r="CE756" i="50"/>
  <c r="CB756" i="50"/>
  <c r="BY756" i="50"/>
  <c r="BY519" i="50"/>
  <c r="BX519" i="50"/>
  <c r="CC519" i="50"/>
  <c r="BX140" i="50"/>
  <c r="CE140" i="50"/>
  <c r="BY140" i="50"/>
  <c r="CB140" i="50"/>
  <c r="CC593" i="50"/>
  <c r="BY593" i="50"/>
  <c r="BX593" i="50"/>
  <c r="BX619" i="50"/>
  <c r="BY619" i="50"/>
  <c r="CC619" i="50"/>
  <c r="CB382" i="50"/>
  <c r="BY382" i="50"/>
  <c r="BX382" i="50"/>
  <c r="BX120" i="50"/>
  <c r="CG120" i="50"/>
  <c r="CD120" i="50"/>
  <c r="BY120" i="50"/>
  <c r="CD230" i="50"/>
  <c r="BY230" i="50"/>
  <c r="CG230" i="50"/>
  <c r="BX230" i="50"/>
  <c r="CB749" i="50"/>
  <c r="BY749" i="50"/>
  <c r="CE749" i="50"/>
  <c r="BX749" i="50"/>
  <c r="CB861" i="50"/>
  <c r="BY861" i="50"/>
  <c r="BX861" i="50"/>
  <c r="CE861" i="50"/>
  <c r="CA853" i="50"/>
  <c r="BX853" i="50"/>
  <c r="CA138" i="50"/>
  <c r="BX138" i="50"/>
  <c r="CB147" i="50"/>
  <c r="BY147" i="50"/>
  <c r="CE147" i="50"/>
  <c r="BX147" i="50"/>
  <c r="BX769" i="50"/>
  <c r="CA769" i="50"/>
  <c r="CB805" i="50"/>
  <c r="BY805" i="50"/>
  <c r="BX805" i="50"/>
  <c r="BX181" i="50"/>
  <c r="CE181" i="50"/>
  <c r="BY181" i="50"/>
  <c r="CB181" i="50"/>
  <c r="CC450" i="50"/>
  <c r="BX450" i="50"/>
  <c r="BY450" i="50"/>
  <c r="BY588" i="50"/>
  <c r="BX588" i="50"/>
  <c r="CC588" i="50"/>
  <c r="BY511" i="50"/>
  <c r="BX511" i="50"/>
  <c r="CC511" i="50"/>
  <c r="CC617" i="50"/>
  <c r="BY617" i="50"/>
  <c r="BX617" i="50"/>
  <c r="BY604" i="50"/>
  <c r="BX604" i="50"/>
  <c r="CC604" i="50"/>
  <c r="BX379" i="50"/>
  <c r="BY379" i="50"/>
  <c r="CB379" i="50"/>
  <c r="BY311" i="50"/>
  <c r="BX311" i="50"/>
  <c r="CB311" i="50"/>
  <c r="CE311" i="50"/>
  <c r="CB354" i="50"/>
  <c r="BX354" i="50"/>
  <c r="BY354" i="50"/>
  <c r="CB865" i="50"/>
  <c r="BY865" i="50"/>
  <c r="BX865" i="50"/>
  <c r="CE865" i="50"/>
  <c r="CC594" i="50"/>
  <c r="BX594" i="50"/>
  <c r="BY594" i="50"/>
  <c r="CC433" i="50"/>
  <c r="BY433" i="50"/>
  <c r="BX433" i="50"/>
  <c r="BY418" i="50"/>
  <c r="CB418" i="50"/>
  <c r="BX418" i="50"/>
  <c r="CE97" i="50"/>
  <c r="CB97" i="50"/>
  <c r="BY97" i="50"/>
  <c r="BX97" i="50"/>
  <c r="BX644" i="50"/>
  <c r="CE644" i="50"/>
  <c r="CB644" i="50"/>
  <c r="BY644" i="50"/>
  <c r="CE98" i="50"/>
  <c r="CB98" i="50"/>
  <c r="BX98" i="50"/>
  <c r="BY98" i="50"/>
  <c r="BX910" i="50"/>
  <c r="CG910" i="50"/>
  <c r="BY910" i="50"/>
  <c r="CD910" i="50"/>
  <c r="BY584" i="50"/>
  <c r="BX584" i="50"/>
  <c r="CC584" i="50"/>
  <c r="CB378" i="50"/>
  <c r="BY378" i="50"/>
  <c r="BX378" i="50"/>
  <c r="BX387" i="50"/>
  <c r="CB387" i="50"/>
  <c r="BY387" i="50"/>
  <c r="BY679" i="50"/>
  <c r="BX679" i="50"/>
  <c r="CB679" i="50"/>
  <c r="CD232" i="50"/>
  <c r="BY232" i="50"/>
  <c r="CG232" i="50"/>
  <c r="BX232" i="50"/>
  <c r="BY924" i="50"/>
  <c r="BX924" i="50"/>
  <c r="BY922" i="50"/>
  <c r="BX922" i="50"/>
  <c r="BX729" i="50"/>
  <c r="CA729" i="50"/>
  <c r="BX139" i="50"/>
  <c r="CE139" i="50"/>
  <c r="CB139" i="50"/>
  <c r="BY139" i="50"/>
  <c r="BX151" i="50"/>
  <c r="CE151" i="50"/>
  <c r="BY151" i="50"/>
  <c r="CB151" i="50"/>
  <c r="CC429" i="50"/>
  <c r="BY429" i="50"/>
  <c r="BX429" i="50"/>
  <c r="CF429" i="50"/>
  <c r="BX743" i="50"/>
  <c r="CE743" i="50"/>
  <c r="CB743" i="50"/>
  <c r="BY743" i="50"/>
  <c r="BX367" i="50"/>
  <c r="CB367" i="50"/>
  <c r="BY367" i="50"/>
  <c r="BX737" i="50"/>
  <c r="CE737" i="50"/>
  <c r="CB737" i="50"/>
  <c r="BY737" i="50"/>
  <c r="BX654" i="50"/>
  <c r="CG654" i="50"/>
  <c r="CD654" i="50"/>
  <c r="BY654" i="50"/>
  <c r="BX655" i="50"/>
  <c r="BY655" i="50"/>
  <c r="CD655" i="50"/>
  <c r="CG655" i="50"/>
  <c r="CB136" i="50"/>
  <c r="BY136" i="50"/>
  <c r="CE136" i="50"/>
  <c r="BX136" i="50"/>
  <c r="CE827" i="50"/>
  <c r="CB827" i="50"/>
  <c r="BY827" i="50"/>
  <c r="BX827" i="50"/>
  <c r="CB871" i="50"/>
  <c r="BY871" i="50"/>
  <c r="CE871" i="50"/>
  <c r="BX871" i="50"/>
  <c r="CB759" i="50"/>
  <c r="BY759" i="50"/>
  <c r="BX759" i="50"/>
  <c r="CE759" i="50"/>
  <c r="BY834" i="50"/>
  <c r="BX834" i="50"/>
  <c r="CB834" i="50"/>
  <c r="CB848" i="50"/>
  <c r="BY848" i="50"/>
  <c r="BX848" i="50"/>
  <c r="CD897" i="50"/>
  <c r="BY897" i="50"/>
  <c r="CG897" i="50"/>
  <c r="BX897" i="50"/>
  <c r="BY695" i="50"/>
  <c r="BX695" i="50"/>
  <c r="CB695" i="50"/>
  <c r="BX702" i="50"/>
  <c r="CA702" i="50"/>
  <c r="CB731" i="50"/>
  <c r="BY731" i="50"/>
  <c r="BX731" i="50"/>
  <c r="CE731" i="50"/>
  <c r="CB748" i="50"/>
  <c r="BY748" i="50"/>
  <c r="BX748" i="50"/>
  <c r="CE748" i="50"/>
  <c r="CB750" i="50"/>
  <c r="BY750" i="50"/>
  <c r="BX750" i="50"/>
  <c r="CE750" i="50"/>
  <c r="BZ836" i="50"/>
  <c r="BX836" i="50"/>
  <c r="BX851" i="50"/>
  <c r="CA851" i="50"/>
  <c r="CB786" i="50"/>
  <c r="BX786" i="50"/>
  <c r="BY786" i="50"/>
  <c r="CE786" i="50"/>
  <c r="CA807" i="50"/>
  <c r="BX807" i="50"/>
  <c r="BX845" i="50"/>
  <c r="BZ845" i="50"/>
  <c r="CE832" i="50"/>
  <c r="CB832" i="50"/>
  <c r="BY832" i="50"/>
  <c r="BX832" i="50"/>
  <c r="BX480" i="50"/>
  <c r="BY480" i="50"/>
  <c r="CC480" i="50"/>
  <c r="BY376" i="50"/>
  <c r="CB376" i="50"/>
  <c r="BX376" i="50"/>
  <c r="CB373" i="50"/>
  <c r="BY373" i="50"/>
  <c r="BX373" i="50"/>
  <c r="CB345" i="50"/>
  <c r="BY345" i="50"/>
  <c r="BX345" i="50"/>
  <c r="BX421" i="50"/>
  <c r="BY421" i="50"/>
  <c r="CB421" i="50"/>
  <c r="CD877" i="50"/>
  <c r="BY877" i="50"/>
  <c r="CG877" i="50"/>
  <c r="BX877" i="50"/>
  <c r="BX126" i="50"/>
  <c r="CG126" i="50"/>
  <c r="CD126" i="50"/>
  <c r="BY126" i="50"/>
  <c r="BX652" i="50"/>
  <c r="CG652" i="50"/>
  <c r="CD652" i="50"/>
  <c r="BY652" i="50"/>
  <c r="BX658" i="50"/>
  <c r="CG658" i="50"/>
  <c r="BY658" i="50"/>
  <c r="CD658" i="50"/>
  <c r="BX725" i="50"/>
  <c r="CE725" i="50"/>
  <c r="CB725" i="50"/>
  <c r="BY725" i="50"/>
  <c r="BX662" i="50"/>
  <c r="CE662" i="50"/>
  <c r="CB662" i="50"/>
  <c r="BY662" i="50"/>
  <c r="BX741" i="50"/>
  <c r="CE741" i="50"/>
  <c r="CB741" i="50"/>
  <c r="BY741" i="50"/>
  <c r="BX370" i="50"/>
  <c r="CB370" i="50"/>
  <c r="BY370" i="50"/>
  <c r="BY802" i="50"/>
  <c r="BX802" i="50"/>
  <c r="CB802" i="50"/>
  <c r="CB862" i="50"/>
  <c r="BY862" i="50"/>
  <c r="CE862" i="50"/>
  <c r="BX862" i="50"/>
  <c r="CB777" i="50"/>
  <c r="CE777" i="50"/>
  <c r="BX777" i="50"/>
  <c r="BY777" i="50"/>
  <c r="BX854" i="50"/>
  <c r="CB854" i="50"/>
  <c r="BY854" i="50"/>
  <c r="CB778" i="50"/>
  <c r="BX778" i="50"/>
  <c r="CE778" i="50"/>
  <c r="BY778" i="50"/>
  <c r="CC581" i="50"/>
  <c r="BY581" i="50"/>
  <c r="BX581" i="50"/>
  <c r="CD231" i="50"/>
  <c r="BY231" i="50"/>
  <c r="BX231" i="50"/>
  <c r="CG231" i="50"/>
  <c r="CB757" i="50"/>
  <c r="BX757" i="50"/>
  <c r="BY757" i="50"/>
  <c r="CE757" i="50"/>
  <c r="BX649" i="50"/>
  <c r="BY649" i="50"/>
  <c r="CE649" i="50"/>
  <c r="CB649" i="50"/>
  <c r="BX646" i="50"/>
  <c r="CB646" i="50"/>
  <c r="BY646" i="50"/>
  <c r="CE646" i="50"/>
  <c r="BX645" i="50"/>
  <c r="BY645" i="50"/>
  <c r="CB645" i="50"/>
  <c r="CE645" i="50"/>
  <c r="BX648" i="50"/>
  <c r="CE648" i="50"/>
  <c r="BY648" i="50"/>
  <c r="CB648" i="50"/>
  <c r="CB864" i="50"/>
  <c r="BY864" i="50"/>
  <c r="CE864" i="50"/>
  <c r="BX864" i="50"/>
  <c r="CF451" i="50"/>
  <c r="CC451" i="50"/>
  <c r="BY451" i="50"/>
  <c r="BX451" i="50"/>
  <c r="CC446" i="50"/>
  <c r="BY446" i="50"/>
  <c r="BX446" i="50"/>
  <c r="BX437" i="50"/>
  <c r="BY437" i="50"/>
  <c r="CC437" i="50"/>
  <c r="BY488" i="50"/>
  <c r="CC488" i="50"/>
  <c r="BX488" i="50"/>
  <c r="CB416" i="50"/>
  <c r="BX416" i="50"/>
  <c r="BY416" i="50"/>
  <c r="BY317" i="50"/>
  <c r="BX317" i="50"/>
  <c r="CB317" i="50"/>
  <c r="CE317" i="50"/>
  <c r="BY386" i="50"/>
  <c r="CB386" i="50"/>
  <c r="BX386" i="50"/>
  <c r="BX371" i="50"/>
  <c r="CB371" i="50"/>
  <c r="BY371" i="50"/>
  <c r="BY384" i="50"/>
  <c r="CB384" i="50"/>
  <c r="BX384" i="50"/>
  <c r="CB770" i="50"/>
  <c r="BX770" i="50"/>
  <c r="CE770" i="50"/>
  <c r="BY770" i="50"/>
  <c r="BX740" i="50"/>
  <c r="CE740" i="50"/>
  <c r="BY740" i="50"/>
  <c r="CB740" i="50"/>
  <c r="CD875" i="50"/>
  <c r="BY875" i="50"/>
  <c r="BX875" i="50"/>
  <c r="CG875" i="50"/>
  <c r="CD895" i="50"/>
  <c r="BY895" i="50"/>
  <c r="CG895" i="50"/>
  <c r="BX895" i="50"/>
  <c r="BX226" i="50"/>
  <c r="CA226" i="50"/>
  <c r="CA233" i="50"/>
  <c r="BX233" i="50"/>
  <c r="CD903" i="50"/>
  <c r="BY903" i="50"/>
  <c r="CG903" i="50"/>
  <c r="BX903" i="50"/>
  <c r="BX651" i="50"/>
  <c r="CD651" i="50"/>
  <c r="BY651" i="50"/>
  <c r="CG651" i="50"/>
  <c r="BY308" i="50"/>
  <c r="BX308" i="50"/>
  <c r="BX135" i="50"/>
  <c r="CA135" i="50"/>
  <c r="BX129" i="50"/>
  <c r="CE129" i="50"/>
  <c r="BY129" i="50"/>
  <c r="CB129" i="50"/>
  <c r="BX722" i="50"/>
  <c r="CE722" i="50"/>
  <c r="CB722" i="50"/>
  <c r="BY722" i="50"/>
  <c r="CB689" i="50"/>
  <c r="BY689" i="50"/>
  <c r="BX689" i="50"/>
  <c r="BX674" i="50"/>
  <c r="CA674" i="50"/>
  <c r="CB717" i="50"/>
  <c r="BY717" i="50"/>
  <c r="BX717" i="50"/>
  <c r="CA700" i="50"/>
  <c r="BX700" i="50"/>
  <c r="BX142" i="50"/>
  <c r="CE142" i="50"/>
  <c r="BY142" i="50"/>
  <c r="CB142" i="50"/>
  <c r="BX742" i="50"/>
  <c r="CE742" i="50"/>
  <c r="CB742" i="50"/>
  <c r="BY742" i="50"/>
  <c r="BX746" i="50"/>
  <c r="CE746" i="50"/>
  <c r="CB746" i="50"/>
  <c r="BY746" i="50"/>
  <c r="BX754" i="50"/>
  <c r="CE754" i="50"/>
  <c r="CB754" i="50"/>
  <c r="BY754" i="50"/>
  <c r="CC514" i="50"/>
  <c r="BY514" i="50"/>
  <c r="BX514" i="50"/>
  <c r="BX497" i="50"/>
  <c r="CC497" i="50"/>
  <c r="BY497" i="50"/>
  <c r="CC598" i="50"/>
  <c r="BX598" i="50"/>
  <c r="BY598" i="50"/>
  <c r="BY460" i="50"/>
  <c r="BX460" i="50"/>
  <c r="CC460" i="50"/>
  <c r="BX125" i="50"/>
  <c r="CG125" i="50"/>
  <c r="BY125" i="50"/>
  <c r="CD125" i="50"/>
  <c r="BX755" i="50"/>
  <c r="CE755" i="50"/>
  <c r="CB755" i="50"/>
  <c r="BY755" i="50"/>
  <c r="BX448" i="50"/>
  <c r="BY448" i="50"/>
  <c r="CC448" i="50"/>
  <c r="BY513" i="50"/>
  <c r="BX513" i="50"/>
  <c r="CC513" i="50"/>
  <c r="BY438" i="50"/>
  <c r="BX438" i="50"/>
  <c r="CC438" i="50"/>
  <c r="CC614" i="50"/>
  <c r="BX614" i="50"/>
  <c r="BY614" i="50"/>
  <c r="BY312" i="50"/>
  <c r="BX312" i="50"/>
  <c r="CE312" i="50"/>
  <c r="CB312" i="50"/>
  <c r="BX121" i="50"/>
  <c r="CG121" i="50"/>
  <c r="BY121" i="50"/>
  <c r="CD121" i="50"/>
  <c r="CB730" i="50"/>
  <c r="BY730" i="50"/>
  <c r="CE730" i="50"/>
  <c r="BX730" i="50"/>
  <c r="BX843" i="50"/>
  <c r="CE843" i="50"/>
  <c r="CB843" i="50"/>
  <c r="BY843" i="50"/>
  <c r="CA818" i="50"/>
  <c r="BX818" i="50"/>
  <c r="BZ842" i="50"/>
  <c r="BX842" i="50"/>
  <c r="CA767" i="50"/>
  <c r="BX767" i="50"/>
  <c r="CB766" i="50"/>
  <c r="BY766" i="50"/>
  <c r="BX766" i="50"/>
  <c r="CE766" i="50"/>
  <c r="BX849" i="50"/>
  <c r="CA849" i="50"/>
  <c r="BX795" i="50"/>
  <c r="CA795" i="50"/>
  <c r="CB781" i="50"/>
  <c r="BY781" i="50"/>
  <c r="BX781" i="50"/>
  <c r="CE781" i="50"/>
  <c r="CB859" i="50"/>
  <c r="BY859" i="50"/>
  <c r="BX859" i="50"/>
  <c r="CE859" i="50"/>
  <c r="CB782" i="50"/>
  <c r="CE782" i="50"/>
  <c r="BY782" i="50"/>
  <c r="BX782" i="50"/>
  <c r="CD883" i="50"/>
  <c r="BY883" i="50"/>
  <c r="BX883" i="50"/>
  <c r="CG883" i="50"/>
  <c r="CD898" i="50"/>
  <c r="BY898" i="50"/>
  <c r="BX898" i="50"/>
  <c r="CG898" i="50"/>
  <c r="BX225" i="50"/>
  <c r="CG225" i="50"/>
  <c r="CD225" i="50"/>
  <c r="BY225" i="50"/>
  <c r="CB137" i="50"/>
  <c r="BY137" i="50"/>
  <c r="CE137" i="50"/>
  <c r="BX137" i="50"/>
  <c r="CA697" i="50"/>
  <c r="BX697" i="50"/>
  <c r="CE714" i="50"/>
  <c r="CB714" i="50"/>
  <c r="BY714" i="50"/>
  <c r="BX714" i="50"/>
  <c r="BY719" i="50"/>
  <c r="BX719" i="50"/>
  <c r="CB719" i="50"/>
  <c r="CB145" i="50"/>
  <c r="BY145" i="50"/>
  <c r="BX145" i="50"/>
  <c r="CE145" i="50"/>
  <c r="BX796" i="50"/>
  <c r="CB796" i="50"/>
  <c r="BY796" i="50"/>
  <c r="CB850" i="50"/>
  <c r="BY850" i="50"/>
  <c r="BX850" i="50"/>
  <c r="CB785" i="50"/>
  <c r="CE785" i="50"/>
  <c r="BY785" i="50"/>
  <c r="BX785" i="50"/>
  <c r="BX772" i="50"/>
  <c r="CE772" i="50"/>
  <c r="CB772" i="50"/>
  <c r="BY772" i="50"/>
  <c r="CB856" i="50"/>
  <c r="BY856" i="50"/>
  <c r="BX856" i="50"/>
  <c r="CA188" i="50"/>
  <c r="BX188" i="50"/>
  <c r="CB873" i="50"/>
  <c r="BY873" i="50"/>
  <c r="CE873" i="50"/>
  <c r="BX873" i="50"/>
  <c r="BX595" i="50"/>
  <c r="BY595" i="50"/>
  <c r="CC595" i="50"/>
  <c r="CC435" i="50"/>
  <c r="BY435" i="50"/>
  <c r="BX435" i="50"/>
  <c r="BY504" i="50"/>
  <c r="BX504" i="50"/>
  <c r="CC504" i="50"/>
  <c r="BX338" i="50"/>
  <c r="CB338" i="50"/>
  <c r="BY338" i="50"/>
  <c r="BX375" i="50"/>
  <c r="BY375" i="50"/>
  <c r="CB375" i="50"/>
  <c r="BY331" i="50"/>
  <c r="BX331" i="50"/>
  <c r="CB331" i="50"/>
  <c r="BY309" i="50"/>
  <c r="BX309" i="50"/>
  <c r="CB309" i="50"/>
  <c r="CE309" i="50"/>
  <c r="BX359" i="50"/>
  <c r="BY359" i="50"/>
  <c r="CB359" i="50"/>
  <c r="BY364" i="50"/>
  <c r="CB364" i="50"/>
  <c r="BX364" i="50"/>
  <c r="BX343" i="50"/>
  <c r="BY343" i="50"/>
  <c r="CB343" i="50"/>
  <c r="BX425" i="50"/>
  <c r="CA425" i="50"/>
  <c r="BX660" i="50"/>
  <c r="CD660" i="50"/>
  <c r="BY660" i="50"/>
  <c r="CG660" i="50"/>
  <c r="BX665" i="50"/>
  <c r="BY665" i="50"/>
  <c r="CB665" i="50"/>
  <c r="CE665" i="50"/>
  <c r="BX716" i="50"/>
  <c r="CA716" i="50"/>
  <c r="CB751" i="50"/>
  <c r="BY751" i="50"/>
  <c r="CE751" i="50"/>
  <c r="BX751" i="50"/>
  <c r="BY422" i="50"/>
  <c r="BX422" i="50"/>
  <c r="CB422" i="50"/>
  <c r="CA804" i="50"/>
  <c r="BX804" i="50"/>
  <c r="CB840" i="50"/>
  <c r="BY840" i="50"/>
  <c r="CE840" i="50"/>
  <c r="BX840" i="50"/>
  <c r="CB799" i="50"/>
  <c r="BY799" i="50"/>
  <c r="BX799" i="50"/>
  <c r="BX177" i="50"/>
  <c r="CE177" i="50"/>
  <c r="BY177" i="50"/>
  <c r="CB177" i="50"/>
  <c r="CC517" i="50"/>
  <c r="BX517" i="50"/>
  <c r="BY517" i="50"/>
  <c r="BX510" i="50"/>
  <c r="BY510" i="50"/>
  <c r="CC510" i="50"/>
  <c r="BY380" i="50"/>
  <c r="CB380" i="50"/>
  <c r="BX380" i="50"/>
  <c r="BY344" i="50"/>
  <c r="BX344" i="50"/>
  <c r="CB344" i="50"/>
  <c r="CB765" i="50"/>
  <c r="BX765" i="50"/>
  <c r="CE765" i="50"/>
  <c r="BY765" i="50"/>
  <c r="CD902" i="50"/>
  <c r="BY902" i="50"/>
  <c r="BX902" i="50"/>
  <c r="CG902" i="50"/>
  <c r="BX154" i="50"/>
  <c r="CE154" i="50"/>
  <c r="CB154" i="50"/>
  <c r="BY154" i="50"/>
  <c r="BX643" i="50"/>
  <c r="CE643" i="50"/>
  <c r="CB643" i="50"/>
  <c r="BY643" i="50"/>
  <c r="CE95" i="50"/>
  <c r="CB95" i="50"/>
  <c r="BY95" i="50"/>
  <c r="BX95" i="50"/>
  <c r="BY919" i="50"/>
  <c r="BX919" i="50"/>
  <c r="BY310" i="50"/>
  <c r="BX310" i="50"/>
  <c r="CE310" i="50"/>
  <c r="CB310" i="50"/>
  <c r="BY372" i="50"/>
  <c r="BX372" i="50"/>
  <c r="CB372" i="50"/>
  <c r="BX383" i="50"/>
  <c r="BY383" i="50"/>
  <c r="CB383" i="50"/>
  <c r="CB415" i="50"/>
  <c r="BX415" i="50"/>
  <c r="BY415" i="50"/>
  <c r="CA688" i="50"/>
  <c r="BX688" i="50"/>
  <c r="BY307" i="50"/>
  <c r="BX307" i="50"/>
  <c r="BX923" i="50"/>
  <c r="BY923" i="50"/>
  <c r="BY692" i="50"/>
  <c r="CB692" i="50"/>
  <c r="BX692" i="50"/>
  <c r="BX691" i="50"/>
  <c r="CA691" i="50"/>
  <c r="BX143" i="50"/>
  <c r="CE143" i="50"/>
  <c r="CB143" i="50"/>
  <c r="BY143" i="50"/>
  <c r="CD900" i="50"/>
  <c r="BY900" i="50"/>
  <c r="BX900" i="50"/>
  <c r="CG900" i="50"/>
  <c r="BX744" i="50"/>
  <c r="CE744" i="50"/>
  <c r="BY744" i="50"/>
  <c r="CB744" i="50"/>
  <c r="CD899" i="50"/>
  <c r="BY899" i="50"/>
  <c r="CG899" i="50"/>
  <c r="BX899" i="50"/>
  <c r="CA811" i="50"/>
  <c r="BX811" i="50"/>
  <c r="BX726" i="50"/>
  <c r="CE726" i="50"/>
  <c r="CB726" i="50"/>
  <c r="BY726" i="50"/>
  <c r="CE822" i="50"/>
  <c r="CB822" i="50"/>
  <c r="BY822" i="50"/>
  <c r="BX822" i="50"/>
  <c r="BX837" i="50"/>
  <c r="CE837" i="50"/>
  <c r="CB837" i="50"/>
  <c r="BY837" i="50"/>
  <c r="CB860" i="50"/>
  <c r="BY860" i="50"/>
  <c r="CE860" i="50"/>
  <c r="BX860" i="50"/>
  <c r="CF445" i="50"/>
  <c r="CC445" i="50"/>
  <c r="BX445" i="50"/>
  <c r="BY445" i="50"/>
  <c r="CB332" i="50"/>
  <c r="BY332" i="50"/>
  <c r="BX332" i="50"/>
  <c r="BY315" i="50"/>
  <c r="BX315" i="50"/>
  <c r="CB315" i="50"/>
  <c r="CE315" i="50"/>
  <c r="CB347" i="50"/>
  <c r="BX347" i="50"/>
  <c r="BY347" i="50"/>
  <c r="CB369" i="50"/>
  <c r="BY369" i="50"/>
  <c r="BX369" i="50"/>
  <c r="CD879" i="50"/>
  <c r="BY879" i="50"/>
  <c r="BX879" i="50"/>
  <c r="CG879" i="50"/>
  <c r="BX118" i="50"/>
  <c r="CG118" i="50"/>
  <c r="BY118" i="50"/>
  <c r="CD118" i="50"/>
  <c r="BX124" i="50"/>
  <c r="CG124" i="50"/>
  <c r="CD124" i="50"/>
  <c r="BY124" i="50"/>
  <c r="BX131" i="50"/>
  <c r="CE131" i="50"/>
  <c r="BY131" i="50"/>
  <c r="CB131" i="50"/>
  <c r="CA149" i="50"/>
  <c r="BX149" i="50"/>
  <c r="CB761" i="50"/>
  <c r="CE761" i="50"/>
  <c r="BY761" i="50"/>
  <c r="BX761" i="50"/>
  <c r="CA855" i="50"/>
  <c r="BX855" i="50"/>
  <c r="BY449" i="50"/>
  <c r="CC449" i="50"/>
  <c r="BX449" i="50"/>
  <c r="BX656" i="50"/>
  <c r="CD656" i="50"/>
  <c r="BY656" i="50"/>
  <c r="CG656" i="50"/>
  <c r="BX657" i="50"/>
  <c r="CG657" i="50"/>
  <c r="CD657" i="50"/>
  <c r="BY657" i="50"/>
  <c r="BX178" i="50"/>
  <c r="CE178" i="50"/>
  <c r="CB178" i="50"/>
  <c r="BY178" i="50"/>
  <c r="BX179" i="50"/>
  <c r="CE179" i="50"/>
  <c r="BY179" i="50"/>
  <c r="CB179" i="50"/>
  <c r="CB342" i="50"/>
  <c r="BY342" i="50"/>
  <c r="BX342" i="50"/>
  <c r="CB361" i="50"/>
  <c r="BX361" i="50"/>
  <c r="BY361" i="50"/>
  <c r="BY420" i="50"/>
  <c r="CB420" i="50"/>
  <c r="BX420" i="50"/>
  <c r="CB362" i="50"/>
  <c r="BY362" i="50"/>
  <c r="BX362" i="50"/>
  <c r="BX117" i="50"/>
  <c r="CG117" i="50"/>
  <c r="CD117" i="50"/>
  <c r="BY117" i="50"/>
  <c r="CA694" i="50"/>
  <c r="BX694" i="50"/>
  <c r="BX128" i="50"/>
  <c r="CE128" i="50"/>
  <c r="CB128" i="50"/>
  <c r="BY128" i="50"/>
  <c r="BX699" i="50"/>
  <c r="CA699" i="50"/>
  <c r="BX735" i="50"/>
  <c r="CE735" i="50"/>
  <c r="CB735" i="50"/>
  <c r="BY735" i="50"/>
  <c r="BX144" i="50"/>
  <c r="CA144" i="50"/>
  <c r="BX152" i="50"/>
  <c r="CE152" i="50"/>
  <c r="CB152" i="50"/>
  <c r="BY152" i="50"/>
  <c r="CC430" i="50"/>
  <c r="BX430" i="50"/>
  <c r="CF430" i="50"/>
  <c r="BY430" i="50"/>
  <c r="CD901" i="50"/>
  <c r="BY901" i="50"/>
  <c r="CG901" i="50"/>
  <c r="BX901" i="50"/>
  <c r="BZ833" i="50"/>
  <c r="BX833" i="50"/>
  <c r="CE100" i="50"/>
  <c r="CB100" i="50"/>
  <c r="BX100" i="50"/>
  <c r="BY100" i="50"/>
  <c r="CE96" i="50"/>
  <c r="CB96" i="50"/>
  <c r="BX96" i="50"/>
  <c r="BY96" i="50"/>
  <c r="BY621" i="50"/>
  <c r="BX621" i="50"/>
  <c r="CE621" i="50"/>
  <c r="CB621" i="50"/>
  <c r="CE99" i="50"/>
  <c r="CB99" i="50"/>
  <c r="BY99" i="50"/>
  <c r="BX99" i="50"/>
  <c r="BX647" i="50"/>
  <c r="CE647" i="50"/>
  <c r="CB647" i="50"/>
  <c r="BY647" i="50"/>
  <c r="BX913" i="50"/>
  <c r="CG913" i="50"/>
  <c r="CD913" i="50"/>
  <c r="BY913" i="50"/>
  <c r="BX920" i="50"/>
  <c r="BY920" i="50"/>
  <c r="BX918" i="50"/>
  <c r="BY918" i="50"/>
  <c r="CC618" i="50"/>
  <c r="BY618" i="50"/>
  <c r="BX618" i="50"/>
  <c r="BY608" i="50"/>
  <c r="BX608" i="50"/>
  <c r="CC608" i="50"/>
  <c r="CB385" i="50"/>
  <c r="BY385" i="50"/>
  <c r="BX385" i="50"/>
  <c r="BX424" i="50"/>
  <c r="CB424" i="50"/>
  <c r="BY424" i="50"/>
  <c r="BY314" i="50"/>
  <c r="BX314" i="50"/>
  <c r="CE314" i="50"/>
  <c r="CB314" i="50"/>
  <c r="CB353" i="50"/>
  <c r="BY353" i="50"/>
  <c r="BX353" i="50"/>
  <c r="CB377" i="50"/>
  <c r="BX377" i="50"/>
  <c r="BY377" i="50"/>
  <c r="CB341" i="50"/>
  <c r="BY341" i="50"/>
  <c r="BX341" i="50"/>
  <c r="BY316" i="50"/>
  <c r="BX316" i="50"/>
  <c r="CE316" i="50"/>
  <c r="CB316" i="50"/>
  <c r="BY360" i="50"/>
  <c r="CB360" i="50"/>
  <c r="BX360" i="50"/>
  <c r="CA771" i="50"/>
  <c r="BX771" i="50"/>
  <c r="BX669" i="50"/>
  <c r="CE669" i="50"/>
  <c r="CB669" i="50"/>
  <c r="BY669" i="50"/>
  <c r="BY686" i="50"/>
  <c r="CB686" i="50"/>
  <c r="BX686" i="50"/>
  <c r="CB680" i="50"/>
  <c r="BY680" i="50"/>
  <c r="BX680" i="50"/>
  <c r="BX914" i="50"/>
  <c r="CG914" i="50"/>
  <c r="CD914" i="50"/>
  <c r="BY914" i="50"/>
  <c r="CD881" i="50"/>
  <c r="BY881" i="50"/>
  <c r="CG881" i="50"/>
  <c r="BX881" i="50"/>
  <c r="CA904" i="50"/>
  <c r="BX904" i="50"/>
  <c r="BX912" i="50"/>
  <c r="CG912" i="50"/>
  <c r="CD912" i="50"/>
  <c r="BY912" i="50"/>
  <c r="BX306" i="50"/>
  <c r="BY306" i="50"/>
  <c r="BX925" i="50"/>
  <c r="BY925" i="50"/>
  <c r="BX134" i="50"/>
  <c r="CE134" i="50"/>
  <c r="CB134" i="50"/>
  <c r="BY134" i="50"/>
  <c r="BX723" i="50"/>
  <c r="CE723" i="50"/>
  <c r="BY723" i="50"/>
  <c r="CB723" i="50"/>
  <c r="BX664" i="50"/>
  <c r="CE664" i="50"/>
  <c r="CB664" i="50"/>
  <c r="BY664" i="50"/>
  <c r="BX133" i="50"/>
  <c r="CE133" i="50"/>
  <c r="BY133" i="50"/>
  <c r="CB133" i="50"/>
  <c r="BX718" i="50"/>
  <c r="CA718" i="50"/>
  <c r="BX727" i="50"/>
  <c r="CE727" i="50"/>
  <c r="BY727" i="50"/>
  <c r="CB727" i="50"/>
  <c r="CE709" i="50"/>
  <c r="CB709" i="50"/>
  <c r="BY709" i="50"/>
  <c r="BX709" i="50"/>
  <c r="BX153" i="50"/>
  <c r="CE153" i="50"/>
  <c r="BY153" i="50"/>
  <c r="CB153" i="50"/>
  <c r="BX745" i="50"/>
  <c r="CE745" i="50"/>
  <c r="CB745" i="50"/>
  <c r="BY745" i="50"/>
  <c r="BX747" i="50"/>
  <c r="CA747" i="50"/>
  <c r="CC586" i="50"/>
  <c r="BY586" i="50"/>
  <c r="BX586" i="50"/>
  <c r="CC440" i="50"/>
  <c r="BX440" i="50"/>
  <c r="BY440" i="50"/>
  <c r="CD229" i="50"/>
  <c r="BY229" i="50"/>
  <c r="CG229" i="50"/>
  <c r="BX229" i="50"/>
  <c r="BX659" i="50"/>
  <c r="BY659" i="50"/>
  <c r="CG659" i="50"/>
  <c r="CD659" i="50"/>
  <c r="BX141" i="50"/>
  <c r="CE141" i="50"/>
  <c r="CB141" i="50"/>
  <c r="BY141" i="50"/>
  <c r="CC585" i="50"/>
  <c r="BY585" i="50"/>
  <c r="BX585" i="50"/>
  <c r="CC508" i="50"/>
  <c r="BY508" i="50"/>
  <c r="BX508" i="50"/>
  <c r="CC492" i="50"/>
  <c r="BX492" i="50"/>
  <c r="BY492" i="50"/>
  <c r="CB419" i="50"/>
  <c r="BY419" i="50"/>
  <c r="BX419" i="50"/>
  <c r="BX348" i="50"/>
  <c r="CB348" i="50"/>
  <c r="BY348" i="50"/>
  <c r="CD228" i="50"/>
  <c r="BY228" i="50"/>
  <c r="CG228" i="50"/>
  <c r="BX228" i="50"/>
  <c r="CB146" i="50"/>
  <c r="BY146" i="50"/>
  <c r="CE146" i="50"/>
  <c r="BX146" i="50"/>
  <c r="BX176" i="50"/>
  <c r="CE176" i="50"/>
  <c r="CB176" i="50"/>
  <c r="BY176" i="50"/>
  <c r="BY852" i="50"/>
  <c r="BX852" i="50"/>
  <c r="CB852" i="50"/>
  <c r="CB793" i="50"/>
  <c r="BY793" i="50"/>
  <c r="BX793" i="50"/>
  <c r="BX174" i="50"/>
  <c r="CE174" i="50"/>
  <c r="CB174" i="50"/>
  <c r="BY174" i="50"/>
  <c r="CD227" i="50"/>
  <c r="BY227" i="50"/>
  <c r="CG227" i="50"/>
  <c r="BX227" i="50"/>
  <c r="CA732" i="50"/>
  <c r="BX732" i="50"/>
  <c r="CA703" i="50"/>
  <c r="BX703" i="50"/>
  <c r="CA720" i="50"/>
  <c r="BX720" i="50"/>
  <c r="BX132" i="50"/>
  <c r="CE132" i="50"/>
  <c r="CB132" i="50"/>
  <c r="BY132" i="50"/>
  <c r="BX175" i="50"/>
  <c r="CE175" i="50"/>
  <c r="BY175" i="50"/>
  <c r="CB175" i="50"/>
  <c r="BX768" i="50"/>
  <c r="BY768" i="50"/>
  <c r="CE768" i="50"/>
  <c r="CB768" i="50"/>
  <c r="BX798" i="50"/>
  <c r="CA798" i="50"/>
  <c r="CB763" i="50"/>
  <c r="CE763" i="50"/>
  <c r="BY763" i="50"/>
  <c r="BX763" i="50"/>
  <c r="BX773" i="50"/>
  <c r="CA773" i="50"/>
  <c r="BX857" i="50"/>
  <c r="CA857" i="50"/>
  <c r="CB866" i="50"/>
  <c r="BY866" i="50"/>
  <c r="CE866" i="50"/>
  <c r="BX866" i="50"/>
  <c r="CA821" i="50"/>
  <c r="BX821" i="50"/>
  <c r="CA815" i="50"/>
  <c r="BX815" i="50"/>
  <c r="CB846" i="50"/>
  <c r="BY846" i="50"/>
  <c r="BX846" i="50"/>
  <c r="BX583" i="50"/>
  <c r="BY583" i="50"/>
  <c r="CC583" i="50"/>
  <c r="CC427" i="50"/>
  <c r="BY427" i="50"/>
  <c r="CF427" i="50"/>
  <c r="BX427" i="50"/>
  <c r="CB334" i="50"/>
  <c r="BX334" i="50"/>
  <c r="BY334" i="50"/>
  <c r="CB374" i="50"/>
  <c r="BY374" i="50"/>
  <c r="BX374" i="50"/>
  <c r="BX417" i="50"/>
  <c r="CB417" i="50"/>
  <c r="BY417" i="50"/>
  <c r="BY366" i="50"/>
  <c r="BX366" i="50"/>
  <c r="CB366" i="50"/>
  <c r="CB381" i="50"/>
  <c r="BX381" i="50"/>
  <c r="BY381" i="50"/>
  <c r="CB715" i="50"/>
  <c r="BY715" i="50"/>
  <c r="BX715" i="50"/>
  <c r="CA667" i="50"/>
  <c r="BX667" i="50"/>
  <c r="BX130" i="50"/>
  <c r="CE130" i="50"/>
  <c r="CB130" i="50"/>
  <c r="BY130" i="50"/>
  <c r="BX724" i="50"/>
  <c r="CE724" i="50"/>
  <c r="CB724" i="50"/>
  <c r="BY724" i="50"/>
  <c r="CB148" i="50"/>
  <c r="BY148" i="50"/>
  <c r="CE148" i="50"/>
  <c r="BX148" i="50"/>
  <c r="CA752" i="50"/>
  <c r="BX752" i="50"/>
  <c r="CB872" i="50"/>
  <c r="BY872" i="50"/>
  <c r="BX872" i="50"/>
  <c r="CE872" i="50"/>
  <c r="BX180" i="50"/>
  <c r="CE180" i="50"/>
  <c r="CB180" i="50"/>
  <c r="BY180" i="50"/>
  <c r="BX839" i="50"/>
  <c r="BZ839" i="50"/>
  <c r="CA801" i="50"/>
  <c r="BX801" i="50"/>
  <c r="CB365" i="50"/>
  <c r="BX365" i="50"/>
  <c r="BY365" i="50"/>
  <c r="BX122" i="50"/>
  <c r="CG122" i="50"/>
  <c r="CD122" i="50"/>
  <c r="BY122" i="50"/>
  <c r="BX123" i="50"/>
  <c r="CG123" i="50"/>
  <c r="BY123" i="50"/>
  <c r="CD123" i="50"/>
  <c r="K984" i="50"/>
  <c r="K791" i="50"/>
  <c r="K982" i="50"/>
  <c r="AH982" i="50" s="1"/>
  <c r="K789" i="50"/>
  <c r="K189" i="50"/>
  <c r="K867" i="50"/>
  <c r="K790" i="50"/>
  <c r="K985" i="50"/>
  <c r="K792" i="50"/>
  <c r="K983" i="50"/>
  <c r="AH983" i="50" s="1"/>
  <c r="W770" i="50"/>
  <c r="T687" i="50"/>
  <c r="FG687" i="50" s="1"/>
  <c r="T226" i="50"/>
  <c r="FG226" i="50" s="1"/>
  <c r="W903" i="50"/>
  <c r="W129" i="50"/>
  <c r="X129" i="50" s="1"/>
  <c r="FH129" i="50" s="1"/>
  <c r="DH716" i="50"/>
  <c r="DK716" i="50"/>
  <c r="DM716" i="50"/>
  <c r="T689" i="50"/>
  <c r="FG689" i="50" s="1"/>
  <c r="T700" i="50"/>
  <c r="FG700" i="50" s="1"/>
  <c r="W742" i="50"/>
  <c r="X742" i="50" s="1"/>
  <c r="FH742" i="50" s="1"/>
  <c r="DH149" i="50"/>
  <c r="DK149" i="50"/>
  <c r="DM149" i="50"/>
  <c r="DH869" i="50"/>
  <c r="DJ869" i="50"/>
  <c r="DH801" i="50"/>
  <c r="DK801" i="50"/>
  <c r="DM801" i="50"/>
  <c r="T497" i="50"/>
  <c r="FG497" i="50" s="1"/>
  <c r="DH913" i="50"/>
  <c r="DI913" i="50"/>
  <c r="T448" i="50"/>
  <c r="FG448" i="50" s="1"/>
  <c r="DH401" i="50"/>
  <c r="DM401" i="50"/>
  <c r="DL401" i="50"/>
  <c r="DH396" i="50"/>
  <c r="DI396" i="50"/>
  <c r="DH875" i="50"/>
  <c r="DI875" i="50"/>
  <c r="W121" i="50"/>
  <c r="X121" i="50" s="1"/>
  <c r="FH121" i="50" s="1"/>
  <c r="T826" i="50"/>
  <c r="FG826" i="50" s="1"/>
  <c r="T825" i="50"/>
  <c r="FG825" i="50" s="1"/>
  <c r="W767" i="50"/>
  <c r="T781" i="50"/>
  <c r="FG781" i="50" s="1"/>
  <c r="T782" i="50"/>
  <c r="FG782" i="50" s="1"/>
  <c r="W883" i="50"/>
  <c r="W225" i="50"/>
  <c r="X225" i="50" s="1"/>
  <c r="FH225" i="50" s="1"/>
  <c r="W675" i="50"/>
  <c r="W714" i="50"/>
  <c r="T850" i="50"/>
  <c r="FG850" i="50" s="1"/>
  <c r="T830" i="50"/>
  <c r="FG830" i="50" s="1"/>
  <c r="T814" i="50"/>
  <c r="FG814" i="50" s="1"/>
  <c r="T812" i="50"/>
  <c r="FG812" i="50" s="1"/>
  <c r="T828" i="50"/>
  <c r="FG828" i="50" s="1"/>
  <c r="W873" i="50"/>
  <c r="T331" i="50"/>
  <c r="FG331" i="50" s="1"/>
  <c r="T359" i="50"/>
  <c r="FG359" i="50" s="1"/>
  <c r="DH896" i="50"/>
  <c r="DI896" i="50"/>
  <c r="W660" i="50"/>
  <c r="X660" i="50" s="1"/>
  <c r="FH660" i="50" s="1"/>
  <c r="DI683" i="50"/>
  <c r="DH683" i="50"/>
  <c r="AA1028" i="50"/>
  <c r="AB1028" i="50" s="1"/>
  <c r="X1028" i="50"/>
  <c r="T804" i="50"/>
  <c r="FG804" i="50" s="1"/>
  <c r="T799" i="50"/>
  <c r="FG799" i="50" s="1"/>
  <c r="DH772" i="50"/>
  <c r="DI772" i="50"/>
  <c r="T344" i="50"/>
  <c r="FG344" i="50" s="1"/>
  <c r="W902" i="50"/>
  <c r="X902" i="50" s="1"/>
  <c r="FH902" i="50" s="1"/>
  <c r="AO131" i="50"/>
  <c r="AO23" i="50" s="1"/>
  <c r="AI131" i="50"/>
  <c r="AI23" i="50" s="1"/>
  <c r="AH131" i="50"/>
  <c r="AH23" i="50" s="1"/>
  <c r="AL131" i="50"/>
  <c r="W913" i="50"/>
  <c r="W920" i="50"/>
  <c r="W918" i="50"/>
  <c r="DH546" i="50"/>
  <c r="DL546" i="50"/>
  <c r="DN546" i="50"/>
  <c r="DL553" i="50"/>
  <c r="DH553" i="50"/>
  <c r="DN553" i="50"/>
  <c r="T353" i="50"/>
  <c r="FG353" i="50" s="1"/>
  <c r="T341" i="50"/>
  <c r="FG341" i="50" s="1"/>
  <c r="T360" i="50"/>
  <c r="FG360" i="50" s="1"/>
  <c r="W771" i="50"/>
  <c r="W672" i="50"/>
  <c r="W669" i="50"/>
  <c r="T686" i="50"/>
  <c r="FG686" i="50" s="1"/>
  <c r="T680" i="50"/>
  <c r="FG680" i="50" s="1"/>
  <c r="DH876" i="50"/>
  <c r="DJ876" i="50"/>
  <c r="DH879" i="50"/>
  <c r="DI879" i="50"/>
  <c r="W914" i="50"/>
  <c r="W881" i="50"/>
  <c r="T904" i="50"/>
  <c r="FG904" i="50" s="1"/>
  <c r="W912" i="50"/>
  <c r="W306" i="50"/>
  <c r="X306" i="50" s="1"/>
  <c r="FH306" i="50" s="1"/>
  <c r="W925" i="50"/>
  <c r="X925" i="50" s="1"/>
  <c r="FH925" i="50" s="1"/>
  <c r="W134" i="50"/>
  <c r="T693" i="50"/>
  <c r="FG693" i="50" s="1"/>
  <c r="W723" i="50"/>
  <c r="X723" i="50" s="1"/>
  <c r="FH723" i="50" s="1"/>
  <c r="DH662" i="50"/>
  <c r="DI662" i="50"/>
  <c r="W664" i="50"/>
  <c r="W133" i="50"/>
  <c r="X133" i="50" s="1"/>
  <c r="FH133" i="50" s="1"/>
  <c r="T718" i="50"/>
  <c r="FG718" i="50" s="1"/>
  <c r="W727" i="50"/>
  <c r="X727" i="50" s="1"/>
  <c r="FH727" i="50" s="1"/>
  <c r="W709" i="50"/>
  <c r="W153" i="50"/>
  <c r="X153" i="50" s="1"/>
  <c r="FH153" i="50" s="1"/>
  <c r="W745" i="50"/>
  <c r="X745" i="50" s="1"/>
  <c r="FH745" i="50" s="1"/>
  <c r="T747" i="50"/>
  <c r="FG747" i="50" s="1"/>
  <c r="DH741" i="50"/>
  <c r="DI741" i="50"/>
  <c r="DH760" i="50"/>
  <c r="DJ760" i="50"/>
  <c r="DH855" i="50"/>
  <c r="DK855" i="50"/>
  <c r="DM855" i="50"/>
  <c r="DH779" i="50"/>
  <c r="DM779" i="50"/>
  <c r="DK779" i="50"/>
  <c r="DN568" i="50"/>
  <c r="DH568" i="50"/>
  <c r="DL568" i="50"/>
  <c r="DH548" i="50"/>
  <c r="DN548" i="50"/>
  <c r="DL548" i="50"/>
  <c r="T440" i="50"/>
  <c r="FG440" i="50" s="1"/>
  <c r="DH737" i="50"/>
  <c r="DI737" i="50"/>
  <c r="W229" i="50"/>
  <c r="X229" i="50" s="1"/>
  <c r="FH229" i="50" s="1"/>
  <c r="W659" i="50"/>
  <c r="X659" i="50" s="1"/>
  <c r="FH659" i="50" s="1"/>
  <c r="W141" i="50"/>
  <c r="X141" i="50" s="1"/>
  <c r="FH141" i="50" s="1"/>
  <c r="DH818" i="50"/>
  <c r="DK818" i="50"/>
  <c r="DM818" i="50"/>
  <c r="DH871" i="50"/>
  <c r="DI871" i="50"/>
  <c r="DH811" i="50"/>
  <c r="DK811" i="50"/>
  <c r="DM811" i="50"/>
  <c r="DH543" i="50"/>
  <c r="DN543" i="50"/>
  <c r="DL543" i="50"/>
  <c r="T508" i="50"/>
  <c r="FG508" i="50" s="1"/>
  <c r="DH558" i="50"/>
  <c r="DN558" i="50"/>
  <c r="DL558" i="50"/>
  <c r="T492" i="50"/>
  <c r="FG492" i="50" s="1"/>
  <c r="T348" i="50"/>
  <c r="FG348" i="50" s="1"/>
  <c r="DH411" i="50"/>
  <c r="DL411" i="50"/>
  <c r="DM411" i="50"/>
  <c r="DH407" i="50"/>
  <c r="DM407" i="50"/>
  <c r="DL407" i="50"/>
  <c r="DI386" i="50"/>
  <c r="DH386" i="50"/>
  <c r="DH387" i="50"/>
  <c r="DI387" i="50"/>
  <c r="DH397" i="50"/>
  <c r="DI397" i="50"/>
  <c r="DI669" i="50"/>
  <c r="DH669" i="50"/>
  <c r="DH688" i="50"/>
  <c r="DM688" i="50"/>
  <c r="DK688" i="50"/>
  <c r="DH686" i="50"/>
  <c r="DI686" i="50"/>
  <c r="DH740" i="50"/>
  <c r="DI740" i="50"/>
  <c r="DH874" i="50"/>
  <c r="DJ874" i="50"/>
  <c r="DH895" i="50"/>
  <c r="DI895" i="50"/>
  <c r="W228" i="50"/>
  <c r="X228" i="50" s="1"/>
  <c r="FH228" i="50" s="1"/>
  <c r="DH233" i="50"/>
  <c r="DO233" i="50"/>
  <c r="DK233" i="50"/>
  <c r="DH907" i="50"/>
  <c r="DJ907" i="50"/>
  <c r="DH692" i="50"/>
  <c r="DI692" i="50"/>
  <c r="DH134" i="50"/>
  <c r="DI134" i="50"/>
  <c r="DH663" i="50"/>
  <c r="DJ663" i="50"/>
  <c r="DH673" i="50"/>
  <c r="DI673" i="50"/>
  <c r="DH689" i="50"/>
  <c r="DI689" i="50"/>
  <c r="DH733" i="50"/>
  <c r="DJ733" i="50"/>
  <c r="DH144" i="50"/>
  <c r="DM144" i="50"/>
  <c r="DK144" i="50"/>
  <c r="W146" i="50"/>
  <c r="X146" i="50" s="1"/>
  <c r="FH146" i="50" s="1"/>
  <c r="DH621" i="50"/>
  <c r="DI621" i="50"/>
  <c r="W176" i="50"/>
  <c r="X176" i="50" s="1"/>
  <c r="FH176" i="50" s="1"/>
  <c r="T817" i="50"/>
  <c r="FG817" i="50" s="1"/>
  <c r="T852" i="50"/>
  <c r="FG852" i="50" s="1"/>
  <c r="X957" i="50"/>
  <c r="AG957" i="50" s="1"/>
  <c r="AA957" i="50"/>
  <c r="AB957" i="50" s="1"/>
  <c r="T793" i="50"/>
  <c r="FG793" i="50" s="1"/>
  <c r="W174" i="50"/>
  <c r="X174" i="50" s="1"/>
  <c r="FH174" i="50" s="1"/>
  <c r="T810" i="50"/>
  <c r="FG810" i="50" s="1"/>
  <c r="T794" i="50"/>
  <c r="FG794" i="50" s="1"/>
  <c r="DH559" i="50"/>
  <c r="DN559" i="50"/>
  <c r="DL559" i="50"/>
  <c r="W227" i="50"/>
  <c r="X227" i="50" s="1"/>
  <c r="FH227" i="50" s="1"/>
  <c r="AA1029" i="50"/>
  <c r="AB1029" i="50" s="1"/>
  <c r="X1029" i="50"/>
  <c r="W677" i="50"/>
  <c r="T732" i="50"/>
  <c r="FG732" i="50" s="1"/>
  <c r="T703" i="50"/>
  <c r="FG703" i="50" s="1"/>
  <c r="T711" i="50"/>
  <c r="FG711" i="50" s="1"/>
  <c r="T720" i="50"/>
  <c r="FG720" i="50" s="1"/>
  <c r="W132" i="50"/>
  <c r="X132" i="50" s="1"/>
  <c r="FH132" i="50" s="1"/>
  <c r="W175" i="50"/>
  <c r="X175" i="50" s="1"/>
  <c r="FH175" i="50" s="1"/>
  <c r="W768" i="50"/>
  <c r="T797" i="50"/>
  <c r="FG797" i="50" s="1"/>
  <c r="T798" i="50"/>
  <c r="FG798" i="50" s="1"/>
  <c r="W763" i="50"/>
  <c r="W773" i="50"/>
  <c r="T857" i="50"/>
  <c r="FG857" i="50" s="1"/>
  <c r="T813" i="50"/>
  <c r="FG813" i="50" s="1"/>
  <c r="W866" i="50"/>
  <c r="T821" i="50"/>
  <c r="FG821" i="50" s="1"/>
  <c r="T815" i="50"/>
  <c r="FG815" i="50" s="1"/>
  <c r="T846" i="50"/>
  <c r="FG846" i="50" s="1"/>
  <c r="T334" i="50"/>
  <c r="FG334" i="50" s="1"/>
  <c r="DH771" i="50"/>
  <c r="DK771" i="50"/>
  <c r="DH883" i="50"/>
  <c r="DI883" i="50"/>
  <c r="DH764" i="50"/>
  <c r="DJ764" i="50"/>
  <c r="DH138" i="50"/>
  <c r="DK138" i="50"/>
  <c r="DH137" i="50"/>
  <c r="DI137" i="50"/>
  <c r="DH685" i="50"/>
  <c r="DK685" i="50"/>
  <c r="DM685" i="50"/>
  <c r="T715" i="50"/>
  <c r="FG715" i="50" s="1"/>
  <c r="W667" i="50"/>
  <c r="W130" i="50"/>
  <c r="X130" i="50" s="1"/>
  <c r="FH130" i="50" s="1"/>
  <c r="W724" i="50"/>
  <c r="X724" i="50" s="1"/>
  <c r="FH724" i="50" s="1"/>
  <c r="W148" i="50"/>
  <c r="X148" i="50" s="1"/>
  <c r="FH148" i="50" s="1"/>
  <c r="T752" i="50"/>
  <c r="FG752" i="50" s="1"/>
  <c r="DH851" i="50"/>
  <c r="DK851" i="50"/>
  <c r="DM851" i="50"/>
  <c r="DH838" i="50"/>
  <c r="DK838" i="50"/>
  <c r="DH788" i="50"/>
  <c r="DM788" i="50"/>
  <c r="DK788" i="50"/>
  <c r="W872" i="50"/>
  <c r="T803" i="50"/>
  <c r="FG803" i="50" s="1"/>
  <c r="W180" i="50"/>
  <c r="X180" i="50" s="1"/>
  <c r="FH180" i="50" s="1"/>
  <c r="T839" i="50"/>
  <c r="FG839" i="50" s="1"/>
  <c r="T801" i="50"/>
  <c r="FG801" i="50" s="1"/>
  <c r="DH763" i="50"/>
  <c r="DI763" i="50"/>
  <c r="DH773" i="50"/>
  <c r="DK773" i="50"/>
  <c r="DH815" i="50"/>
  <c r="DM815" i="50"/>
  <c r="DK815" i="50"/>
  <c r="DH181" i="50"/>
  <c r="DI181" i="50"/>
  <c r="W122" i="50"/>
  <c r="X122" i="50" s="1"/>
  <c r="FH122" i="50" s="1"/>
  <c r="W123" i="50"/>
  <c r="X123" i="50" s="1"/>
  <c r="FH123" i="50" s="1"/>
  <c r="AO725" i="50"/>
  <c r="AL725" i="50"/>
  <c r="AH725" i="50"/>
  <c r="AI725" i="50"/>
  <c r="T451" i="50"/>
  <c r="FG451" i="50" s="1"/>
  <c r="T437" i="50"/>
  <c r="FG437" i="50" s="1"/>
  <c r="DH557" i="50"/>
  <c r="DN557" i="50"/>
  <c r="DL557" i="50"/>
  <c r="T488" i="50"/>
  <c r="FG488" i="50" s="1"/>
  <c r="X1009" i="50"/>
  <c r="AA1009" i="50"/>
  <c r="AB1009" i="50" s="1"/>
  <c r="X956" i="50"/>
  <c r="AG956" i="50" s="1"/>
  <c r="AA956" i="50"/>
  <c r="AB956" i="50" s="1"/>
  <c r="W740" i="50"/>
  <c r="W895" i="50"/>
  <c r="T233" i="50"/>
  <c r="FG233" i="50" s="1"/>
  <c r="W722" i="50"/>
  <c r="X722" i="50" s="1"/>
  <c r="FH722" i="50" s="1"/>
  <c r="W674" i="50"/>
  <c r="T698" i="50"/>
  <c r="FG698" i="50" s="1"/>
  <c r="W746" i="50"/>
  <c r="W755" i="50"/>
  <c r="X755" i="50" s="1"/>
  <c r="FH755" i="50" s="1"/>
  <c r="DH868" i="50"/>
  <c r="DJ868" i="50"/>
  <c r="DH835" i="50"/>
  <c r="DM835" i="50"/>
  <c r="DK835" i="50"/>
  <c r="DH767" i="50"/>
  <c r="DK767" i="50"/>
  <c r="DH795" i="50"/>
  <c r="DK795" i="50"/>
  <c r="DM795" i="50"/>
  <c r="DH920" i="50"/>
  <c r="DI920" i="50"/>
  <c r="DH412" i="50"/>
  <c r="DM412" i="50"/>
  <c r="DL412" i="50"/>
  <c r="DH400" i="50"/>
  <c r="DM400" i="50"/>
  <c r="DL400" i="50"/>
  <c r="DH682" i="50"/>
  <c r="DM682" i="50"/>
  <c r="DK682" i="50"/>
  <c r="DH881" i="50"/>
  <c r="DI881" i="50"/>
  <c r="W730" i="50"/>
  <c r="X730" i="50" s="1"/>
  <c r="FH730" i="50" s="1"/>
  <c r="T842" i="50"/>
  <c r="FG842" i="50" s="1"/>
  <c r="T849" i="50"/>
  <c r="FG849" i="50" s="1"/>
  <c r="T808" i="50"/>
  <c r="FG808" i="50" s="1"/>
  <c r="W859" i="50"/>
  <c r="X859" i="50" s="1"/>
  <c r="FH859" i="50" s="1"/>
  <c r="T697" i="50"/>
  <c r="FG697" i="50" s="1"/>
  <c r="DN545" i="50"/>
  <c r="DH545" i="50"/>
  <c r="DL545" i="50"/>
  <c r="T338" i="50"/>
  <c r="FG338" i="50" s="1"/>
  <c r="T425" i="50"/>
  <c r="FG425" i="50" s="1"/>
  <c r="T716" i="50"/>
  <c r="FG716" i="50" s="1"/>
  <c r="W751" i="50"/>
  <c r="X751" i="50" s="1"/>
  <c r="FH751" i="50" s="1"/>
  <c r="DH822" i="50"/>
  <c r="DI822" i="50"/>
  <c r="T840" i="50"/>
  <c r="FG840" i="50" s="1"/>
  <c r="W177" i="50"/>
  <c r="X177" i="50" s="1"/>
  <c r="FH177" i="50" s="1"/>
  <c r="DH762" i="50"/>
  <c r="DJ762" i="50"/>
  <c r="DH807" i="50"/>
  <c r="DK807" i="50"/>
  <c r="DM807" i="50"/>
  <c r="DH544" i="50"/>
  <c r="DL544" i="50"/>
  <c r="DN544" i="50"/>
  <c r="W765" i="50"/>
  <c r="W154" i="50"/>
  <c r="X154" i="50" s="1"/>
  <c r="FH154" i="50" s="1"/>
  <c r="X965" i="50"/>
  <c r="AG965" i="50" s="1"/>
  <c r="AA965" i="50"/>
  <c r="AB965" i="50" s="1"/>
  <c r="DH402" i="50"/>
  <c r="DL402" i="50"/>
  <c r="DM402" i="50"/>
  <c r="X1025" i="50"/>
  <c r="AA1025" i="50"/>
  <c r="AB1025" i="50" s="1"/>
  <c r="T688" i="50"/>
  <c r="FG688" i="50" s="1"/>
  <c r="W305" i="50"/>
  <c r="X305" i="50" s="1"/>
  <c r="FH305" i="50" s="1"/>
  <c r="W728" i="50"/>
  <c r="DH665" i="50"/>
  <c r="DI665" i="50"/>
  <c r="W673" i="50"/>
  <c r="T691" i="50"/>
  <c r="FG691" i="50" s="1"/>
  <c r="T705" i="50"/>
  <c r="FG705" i="50" s="1"/>
  <c r="DH872" i="50"/>
  <c r="DI872" i="50"/>
  <c r="DH738" i="50"/>
  <c r="DJ738" i="50"/>
  <c r="W140" i="50"/>
  <c r="X140" i="50" s="1"/>
  <c r="FH140" i="50" s="1"/>
  <c r="DH844" i="50"/>
  <c r="DK844" i="50"/>
  <c r="DH783" i="50"/>
  <c r="DK783" i="50"/>
  <c r="DM783" i="50"/>
  <c r="DH905" i="50"/>
  <c r="DJ905" i="50"/>
  <c r="DH919" i="50"/>
  <c r="DI919" i="50"/>
  <c r="DH547" i="50"/>
  <c r="DL547" i="50"/>
  <c r="DN547" i="50"/>
  <c r="DH409" i="50"/>
  <c r="DL409" i="50"/>
  <c r="DM409" i="50"/>
  <c r="DH734" i="50"/>
  <c r="DJ734" i="50"/>
  <c r="DH909" i="50"/>
  <c r="DJ909" i="50"/>
  <c r="W899" i="50"/>
  <c r="X899" i="50" s="1"/>
  <c r="FH899" i="50" s="1"/>
  <c r="DH880" i="50"/>
  <c r="DJ880" i="50"/>
  <c r="DH912" i="50"/>
  <c r="DI912" i="50"/>
  <c r="W120" i="50"/>
  <c r="X120" i="50" s="1"/>
  <c r="FH120" i="50" s="1"/>
  <c r="W230" i="50"/>
  <c r="X230" i="50" s="1"/>
  <c r="FH230" i="50" s="1"/>
  <c r="DH135" i="50"/>
  <c r="DK135" i="50"/>
  <c r="DM135" i="50"/>
  <c r="DH729" i="50"/>
  <c r="DM729" i="50"/>
  <c r="DK729" i="50"/>
  <c r="DH674" i="50"/>
  <c r="DK674" i="50"/>
  <c r="DH691" i="50"/>
  <c r="DM691" i="50"/>
  <c r="DK691" i="50"/>
  <c r="DH735" i="50"/>
  <c r="DI735" i="50"/>
  <c r="DH718" i="50"/>
  <c r="DK718" i="50"/>
  <c r="DM718" i="50"/>
  <c r="DH747" i="50"/>
  <c r="DM747" i="50"/>
  <c r="DK747" i="50"/>
  <c r="W749" i="50"/>
  <c r="X749" i="50" s="1"/>
  <c r="FH749" i="50" s="1"/>
  <c r="T823" i="50"/>
  <c r="FG823" i="50" s="1"/>
  <c r="W861" i="50"/>
  <c r="X861" i="50" s="1"/>
  <c r="FH861" i="50" s="1"/>
  <c r="T853" i="50"/>
  <c r="FG853" i="50" s="1"/>
  <c r="T809" i="50"/>
  <c r="FG809" i="50" s="1"/>
  <c r="T811" i="50"/>
  <c r="FG811" i="50" s="1"/>
  <c r="DN555" i="50"/>
  <c r="DH555" i="50"/>
  <c r="DL555" i="50"/>
  <c r="X1014" i="50"/>
  <c r="AA1014" i="50"/>
  <c r="AB1014" i="50" s="1"/>
  <c r="AA1013" i="50"/>
  <c r="AB1013" i="50" s="1"/>
  <c r="X1013" i="50"/>
  <c r="W676" i="50"/>
  <c r="T696" i="50"/>
  <c r="FG696" i="50" s="1"/>
  <c r="T701" i="50"/>
  <c r="FG701" i="50" s="1"/>
  <c r="T138" i="50"/>
  <c r="FG138" i="50" s="1"/>
  <c r="W726" i="50"/>
  <c r="X726" i="50" s="1"/>
  <c r="FH726" i="50" s="1"/>
  <c r="W147" i="50"/>
  <c r="X147" i="50" s="1"/>
  <c r="FH147" i="50" s="1"/>
  <c r="W822" i="50"/>
  <c r="W769" i="50"/>
  <c r="T837" i="50"/>
  <c r="FG837" i="50" s="1"/>
  <c r="W860" i="50"/>
  <c r="X860" i="50" s="1"/>
  <c r="FH860" i="50" s="1"/>
  <c r="T186" i="50"/>
  <c r="FG186" i="50" s="1"/>
  <c r="T819" i="50"/>
  <c r="FG819" i="50" s="1"/>
  <c r="T805" i="50"/>
  <c r="FG805" i="50" s="1"/>
  <c r="T829" i="50"/>
  <c r="FG829" i="50" s="1"/>
  <c r="T820" i="50"/>
  <c r="FG820" i="50" s="1"/>
  <c r="W181" i="50"/>
  <c r="T187" i="50"/>
  <c r="FG187" i="50" s="1"/>
  <c r="T450" i="50"/>
  <c r="FG450" i="50" s="1"/>
  <c r="T445" i="50"/>
  <c r="FG445" i="50" s="1"/>
  <c r="DH541" i="50"/>
  <c r="DN541" i="50"/>
  <c r="DL541" i="50"/>
  <c r="DH556" i="50"/>
  <c r="DN556" i="50"/>
  <c r="DL556" i="50"/>
  <c r="T332" i="50"/>
  <c r="FG332" i="50" s="1"/>
  <c r="T347" i="50"/>
  <c r="FG347" i="50" s="1"/>
  <c r="DH403" i="50"/>
  <c r="DM403" i="50"/>
  <c r="DL403" i="50"/>
  <c r="T354" i="50"/>
  <c r="FG354" i="50" s="1"/>
  <c r="W879" i="50"/>
  <c r="W118" i="50"/>
  <c r="X118" i="50" s="1"/>
  <c r="FH118" i="50" s="1"/>
  <c r="W124" i="50"/>
  <c r="X124" i="50" s="1"/>
  <c r="FH124" i="50" s="1"/>
  <c r="DH675" i="50"/>
  <c r="DI675" i="50"/>
  <c r="DH702" i="50"/>
  <c r="DM702" i="50"/>
  <c r="DK702" i="50"/>
  <c r="DH695" i="50"/>
  <c r="DI695" i="50"/>
  <c r="DH703" i="50"/>
  <c r="DK703" i="50"/>
  <c r="DM703" i="50"/>
  <c r="W131" i="50"/>
  <c r="X131" i="50" s="1"/>
  <c r="FH131" i="50" s="1"/>
  <c r="W666" i="50"/>
  <c r="AA1011" i="50"/>
  <c r="AB1011" i="50" s="1"/>
  <c r="X1011" i="50"/>
  <c r="AA1027" i="50"/>
  <c r="AB1027" i="50" s="1"/>
  <c r="X1027" i="50"/>
  <c r="T149" i="50"/>
  <c r="FG149" i="50" s="1"/>
  <c r="DH768" i="50"/>
  <c r="DI768" i="50"/>
  <c r="DH798" i="50"/>
  <c r="DM798" i="50"/>
  <c r="DK798" i="50"/>
  <c r="DH787" i="50"/>
  <c r="DM787" i="50"/>
  <c r="DK787" i="50"/>
  <c r="W761" i="50"/>
  <c r="W865" i="50"/>
  <c r="X865" i="50" s="1"/>
  <c r="FH865" i="50" s="1"/>
  <c r="T855" i="50"/>
  <c r="FG855" i="50" s="1"/>
  <c r="T800" i="50"/>
  <c r="FG800" i="50" s="1"/>
  <c r="DH873" i="50"/>
  <c r="DI873" i="50"/>
  <c r="DH188" i="50"/>
  <c r="DK188" i="50"/>
  <c r="DM188" i="50"/>
  <c r="DH830" i="50"/>
  <c r="DI830" i="50"/>
  <c r="T449" i="50"/>
  <c r="FG449" i="50" s="1"/>
  <c r="T433" i="50"/>
  <c r="FG433" i="50" s="1"/>
  <c r="W656" i="50"/>
  <c r="X656" i="50" s="1"/>
  <c r="FH656" i="50" s="1"/>
  <c r="W657" i="50"/>
  <c r="X657" i="50" s="1"/>
  <c r="FH657" i="50" s="1"/>
  <c r="J985" i="50"/>
  <c r="T985" i="50" s="1"/>
  <c r="J792" i="50"/>
  <c r="T792" i="50" s="1"/>
  <c r="FG792" i="50" s="1"/>
  <c r="J984" i="50"/>
  <c r="T984" i="50" s="1"/>
  <c r="J982" i="50"/>
  <c r="T982" i="50" s="1"/>
  <c r="J983" i="50"/>
  <c r="T983" i="50" s="1"/>
  <c r="J791" i="50"/>
  <c r="T791" i="50" s="1"/>
  <c r="FG791" i="50" s="1"/>
  <c r="J189" i="50"/>
  <c r="W189" i="50" s="1"/>
  <c r="X189" i="50" s="1"/>
  <c r="FH189" i="50" s="1"/>
  <c r="J790" i="50"/>
  <c r="J789" i="50"/>
  <c r="T446" i="50"/>
  <c r="FG446" i="50" s="1"/>
  <c r="DH394" i="50"/>
  <c r="DI394" i="50"/>
  <c r="W670" i="50"/>
  <c r="W875" i="50"/>
  <c r="W651" i="50"/>
  <c r="X651" i="50" s="1"/>
  <c r="FH651" i="50" s="1"/>
  <c r="W308" i="50"/>
  <c r="X308" i="50" s="1"/>
  <c r="FH308" i="50" s="1"/>
  <c r="T135" i="50"/>
  <c r="FG135" i="50" s="1"/>
  <c r="T717" i="50"/>
  <c r="FG717" i="50" s="1"/>
  <c r="W142" i="50"/>
  <c r="X142" i="50" s="1"/>
  <c r="FH142" i="50" s="1"/>
  <c r="W754" i="50"/>
  <c r="X754" i="50" s="1"/>
  <c r="FH754" i="50" s="1"/>
  <c r="DH804" i="50"/>
  <c r="DK804" i="50"/>
  <c r="DM804" i="50"/>
  <c r="DH780" i="50"/>
  <c r="DM780" i="50"/>
  <c r="DK780" i="50"/>
  <c r="T460" i="50"/>
  <c r="FG460" i="50" s="1"/>
  <c r="W125" i="50"/>
  <c r="X125" i="50" s="1"/>
  <c r="FH125" i="50" s="1"/>
  <c r="DH853" i="50"/>
  <c r="DM853" i="50"/>
  <c r="DK853" i="50"/>
  <c r="DH759" i="50"/>
  <c r="DI759" i="50"/>
  <c r="DH906" i="50"/>
  <c r="DJ906" i="50"/>
  <c r="DH918" i="50"/>
  <c r="DI918" i="50"/>
  <c r="DL551" i="50"/>
  <c r="DH551" i="50"/>
  <c r="DN551" i="50"/>
  <c r="T438" i="50"/>
  <c r="FG438" i="50" s="1"/>
  <c r="DH388" i="50"/>
  <c r="DI388" i="50"/>
  <c r="DH739" i="50"/>
  <c r="DJ739" i="50"/>
  <c r="DH904" i="50"/>
  <c r="DO904" i="50"/>
  <c r="DK904" i="50"/>
  <c r="DH746" i="50"/>
  <c r="DI746" i="50"/>
  <c r="T843" i="50"/>
  <c r="FG843" i="50" s="1"/>
  <c r="T818" i="50"/>
  <c r="FG818" i="50" s="1"/>
  <c r="W766" i="50"/>
  <c r="T795" i="50"/>
  <c r="FG795" i="50" s="1"/>
  <c r="W898" i="50"/>
  <c r="X898" i="50" s="1"/>
  <c r="FH898" i="50" s="1"/>
  <c r="T712" i="50"/>
  <c r="FG712" i="50" s="1"/>
  <c r="W137" i="50"/>
  <c r="T719" i="50"/>
  <c r="FG719" i="50" s="1"/>
  <c r="W145" i="50"/>
  <c r="X145" i="50" s="1"/>
  <c r="FH145" i="50" s="1"/>
  <c r="T796" i="50"/>
  <c r="FG796" i="50" s="1"/>
  <c r="T785" i="50"/>
  <c r="FG785" i="50" s="1"/>
  <c r="W772" i="50"/>
  <c r="T856" i="50"/>
  <c r="FG856" i="50" s="1"/>
  <c r="T182" i="50"/>
  <c r="FG182" i="50" s="1"/>
  <c r="T188" i="50"/>
  <c r="FG188" i="50" s="1"/>
  <c r="AA958" i="50"/>
  <c r="AB958" i="50" s="1"/>
  <c r="X958" i="50"/>
  <c r="AG958" i="50" s="1"/>
  <c r="DH549" i="50"/>
  <c r="DN549" i="50"/>
  <c r="DL549" i="50"/>
  <c r="T435" i="50"/>
  <c r="FG435" i="50" s="1"/>
  <c r="T504" i="50"/>
  <c r="FG504" i="50" s="1"/>
  <c r="T343" i="50"/>
  <c r="FG343" i="50" s="1"/>
  <c r="DH770" i="50"/>
  <c r="DI770" i="50"/>
  <c r="DH731" i="50"/>
  <c r="DI731" i="50"/>
  <c r="DH732" i="50"/>
  <c r="DK732" i="50"/>
  <c r="DM732" i="50"/>
  <c r="W665" i="50"/>
  <c r="DH866" i="50"/>
  <c r="DI866" i="50"/>
  <c r="H984" i="50"/>
  <c r="H791" i="50"/>
  <c r="H983" i="50"/>
  <c r="H982" i="50"/>
  <c r="H790" i="50"/>
  <c r="H789" i="50"/>
  <c r="H985" i="50"/>
  <c r="H867" i="50"/>
  <c r="H792" i="50"/>
  <c r="H189" i="50"/>
  <c r="W911" i="50"/>
  <c r="AA959" i="50"/>
  <c r="AB959" i="50" s="1"/>
  <c r="X959" i="50"/>
  <c r="AG959" i="50" s="1"/>
  <c r="W919" i="50"/>
  <c r="T505" i="50"/>
  <c r="FG505" i="50" s="1"/>
  <c r="DH408" i="50"/>
  <c r="DM408" i="50"/>
  <c r="DL408" i="50"/>
  <c r="W671" i="50"/>
  <c r="W736" i="50"/>
  <c r="W896" i="50"/>
  <c r="DH425" i="50"/>
  <c r="DK425" i="50"/>
  <c r="DM425" i="50"/>
  <c r="W307" i="50"/>
  <c r="X307" i="50" s="1"/>
  <c r="FH307" i="50" s="1"/>
  <c r="W923" i="50"/>
  <c r="X923" i="50" s="1"/>
  <c r="FH923" i="50" s="1"/>
  <c r="T692" i="50"/>
  <c r="FG692" i="50" s="1"/>
  <c r="DH661" i="50"/>
  <c r="DJ661" i="50"/>
  <c r="T708" i="50"/>
  <c r="FG708" i="50" s="1"/>
  <c r="T690" i="50"/>
  <c r="FG690" i="50" s="1"/>
  <c r="W756" i="50"/>
  <c r="X756" i="50" s="1"/>
  <c r="FH756" i="50" s="1"/>
  <c r="W143" i="50"/>
  <c r="DH752" i="50"/>
  <c r="DM752" i="50"/>
  <c r="DK752" i="50"/>
  <c r="DH841" i="50"/>
  <c r="DK841" i="50"/>
  <c r="DH405" i="50"/>
  <c r="DM405" i="50"/>
  <c r="DL405" i="50"/>
  <c r="W900" i="50"/>
  <c r="X900" i="50" s="1"/>
  <c r="FH900" i="50" s="1"/>
  <c r="W744" i="50"/>
  <c r="X744" i="50" s="1"/>
  <c r="FH744" i="50" s="1"/>
  <c r="DH825" i="50"/>
  <c r="DI825" i="50"/>
  <c r="DH758" i="50"/>
  <c r="DJ758" i="50"/>
  <c r="DH908" i="50"/>
  <c r="DJ908" i="50"/>
  <c r="DH911" i="50"/>
  <c r="DI911" i="50"/>
  <c r="DH917" i="50"/>
  <c r="DJ917" i="50"/>
  <c r="AA962" i="50"/>
  <c r="AB962" i="50" s="1"/>
  <c r="X962" i="50"/>
  <c r="AG962" i="50" s="1"/>
  <c r="X960" i="50"/>
  <c r="AG960" i="50" s="1"/>
  <c r="AA960" i="50"/>
  <c r="AB960" i="50" s="1"/>
  <c r="W910" i="50"/>
  <c r="X964" i="50"/>
  <c r="AG964" i="50" s="1"/>
  <c r="AA964" i="50"/>
  <c r="AB964" i="50" s="1"/>
  <c r="DH550" i="50"/>
  <c r="DN550" i="50"/>
  <c r="DL550" i="50"/>
  <c r="DH542" i="50"/>
  <c r="DN542" i="50"/>
  <c r="DL542" i="50"/>
  <c r="DH410" i="50"/>
  <c r="DM410" i="50"/>
  <c r="DL410" i="50"/>
  <c r="T342" i="50"/>
  <c r="FG342" i="50" s="1"/>
  <c r="T361" i="50"/>
  <c r="FG361" i="50" s="1"/>
  <c r="AA1010" i="50"/>
  <c r="AB1010" i="50" s="1"/>
  <c r="X1010" i="50"/>
  <c r="X1026" i="50"/>
  <c r="AA1026" i="50"/>
  <c r="AB1026" i="50" s="1"/>
  <c r="T679" i="50"/>
  <c r="FG679" i="50" s="1"/>
  <c r="DH877" i="50"/>
  <c r="DI877" i="50"/>
  <c r="DH878" i="50"/>
  <c r="DJ878" i="50"/>
  <c r="AA963" i="50"/>
  <c r="AB963" i="50" s="1"/>
  <c r="X963" i="50"/>
  <c r="AG963" i="50" s="1"/>
  <c r="W232" i="50"/>
  <c r="AA961" i="50"/>
  <c r="AB961" i="50" s="1"/>
  <c r="X961" i="50"/>
  <c r="AG961" i="50" s="1"/>
  <c r="W924" i="50"/>
  <c r="X924" i="50" s="1"/>
  <c r="FH924" i="50" s="1"/>
  <c r="W117" i="50"/>
  <c r="X117" i="50" s="1"/>
  <c r="FH117" i="50" s="1"/>
  <c r="W922" i="50"/>
  <c r="X922" i="50" s="1"/>
  <c r="FH922" i="50" s="1"/>
  <c r="T694" i="50"/>
  <c r="FG694" i="50" s="1"/>
  <c r="T729" i="50"/>
  <c r="FG729" i="50" s="1"/>
  <c r="W128" i="50"/>
  <c r="X128" i="50" s="1"/>
  <c r="FH128" i="50" s="1"/>
  <c r="DH667" i="50"/>
  <c r="DK667" i="50"/>
  <c r="T704" i="50"/>
  <c r="FG704" i="50" s="1"/>
  <c r="T707" i="50"/>
  <c r="FG707" i="50" s="1"/>
  <c r="T699" i="50"/>
  <c r="FG699" i="50" s="1"/>
  <c r="T706" i="50"/>
  <c r="FG706" i="50" s="1"/>
  <c r="W735" i="50"/>
  <c r="W139" i="50"/>
  <c r="X139" i="50" s="1"/>
  <c r="FH139" i="50" s="1"/>
  <c r="T144" i="50"/>
  <c r="FG144" i="50" s="1"/>
  <c r="W151" i="50"/>
  <c r="X151" i="50" s="1"/>
  <c r="FH151" i="50" s="1"/>
  <c r="DH643" i="50"/>
  <c r="DI643" i="50"/>
  <c r="DH761" i="50"/>
  <c r="DI761" i="50"/>
  <c r="DH802" i="50"/>
  <c r="DI802" i="50"/>
  <c r="DH799" i="50"/>
  <c r="DI799" i="50"/>
  <c r="W152" i="50"/>
  <c r="X152" i="50" s="1"/>
  <c r="FH152" i="50" s="1"/>
  <c r="W743" i="50"/>
  <c r="X743" i="50" s="1"/>
  <c r="FH743" i="50" s="1"/>
  <c r="DH793" i="50"/>
  <c r="DI793" i="50"/>
  <c r="DH766" i="50"/>
  <c r="DI766" i="50"/>
  <c r="DH849" i="50"/>
  <c r="DM849" i="50"/>
  <c r="DK849" i="50"/>
  <c r="DH784" i="50"/>
  <c r="DM784" i="50"/>
  <c r="DK784" i="50"/>
  <c r="DH910" i="50"/>
  <c r="DI910" i="50"/>
  <c r="DH916" i="50"/>
  <c r="DJ916" i="50"/>
  <c r="DH915" i="50"/>
  <c r="DJ915" i="50"/>
  <c r="DH554" i="50"/>
  <c r="DN554" i="50"/>
  <c r="DL554" i="50"/>
  <c r="DH671" i="50"/>
  <c r="DK671" i="50"/>
  <c r="DH736" i="50"/>
  <c r="DI736" i="50"/>
  <c r="DH681" i="50"/>
  <c r="DM681" i="50"/>
  <c r="DK681" i="50"/>
  <c r="W737" i="50"/>
  <c r="DH914" i="50"/>
  <c r="DI914" i="50"/>
  <c r="DO226" i="50"/>
  <c r="DK226" i="50"/>
  <c r="DH226" i="50"/>
  <c r="DH232" i="50"/>
  <c r="DI232" i="50"/>
  <c r="DH903" i="50"/>
  <c r="DI903" i="50"/>
  <c r="W654" i="50"/>
  <c r="X654" i="50" s="1"/>
  <c r="FH654" i="50" s="1"/>
  <c r="W901" i="50"/>
  <c r="X901" i="50" s="1"/>
  <c r="FH901" i="50" s="1"/>
  <c r="W655" i="50"/>
  <c r="X655" i="50" s="1"/>
  <c r="FH655" i="50" s="1"/>
  <c r="DH693" i="50"/>
  <c r="DM693" i="50"/>
  <c r="DK693" i="50"/>
  <c r="DH728" i="50"/>
  <c r="DI728" i="50"/>
  <c r="W136" i="50"/>
  <c r="X136" i="50" s="1"/>
  <c r="FH136" i="50" s="1"/>
  <c r="DH664" i="50"/>
  <c r="DI664" i="50"/>
  <c r="DH700" i="50"/>
  <c r="DM700" i="50"/>
  <c r="DK700" i="50"/>
  <c r="DH706" i="50"/>
  <c r="DI706" i="50"/>
  <c r="DH699" i="50"/>
  <c r="DM699" i="50"/>
  <c r="DK699" i="50"/>
  <c r="DH143" i="50"/>
  <c r="DI143" i="50"/>
  <c r="DH620" i="50"/>
  <c r="DJ620" i="50"/>
  <c r="W827" i="50"/>
  <c r="T816" i="50"/>
  <c r="FG816" i="50" s="1"/>
  <c r="T824" i="50"/>
  <c r="FG824" i="50" s="1"/>
  <c r="W871" i="50"/>
  <c r="W759" i="50"/>
  <c r="T834" i="50"/>
  <c r="FG834" i="50" s="1"/>
  <c r="T848" i="50"/>
  <c r="FG848" i="50" s="1"/>
  <c r="T833" i="50"/>
  <c r="FG833" i="50" s="1"/>
  <c r="W897" i="50"/>
  <c r="X897" i="50" s="1"/>
  <c r="FH897" i="50" s="1"/>
  <c r="T713" i="50"/>
  <c r="FG713" i="50" s="1"/>
  <c r="X1030" i="50"/>
  <c r="AA1030" i="50"/>
  <c r="AB1030" i="50" s="1"/>
  <c r="W678" i="50"/>
  <c r="T695" i="50"/>
  <c r="FG695" i="50" s="1"/>
  <c r="T702" i="50"/>
  <c r="FG702" i="50" s="1"/>
  <c r="T710" i="50"/>
  <c r="FG710" i="50" s="1"/>
  <c r="W731" i="50"/>
  <c r="W748" i="50"/>
  <c r="X748" i="50" s="1"/>
  <c r="FH748" i="50" s="1"/>
  <c r="W750" i="50"/>
  <c r="X750" i="50" s="1"/>
  <c r="FH750" i="50" s="1"/>
  <c r="T836" i="50"/>
  <c r="FG836" i="50" s="1"/>
  <c r="T851" i="50"/>
  <c r="FG851" i="50" s="1"/>
  <c r="T786" i="50"/>
  <c r="FG786" i="50" s="1"/>
  <c r="T831" i="50"/>
  <c r="FG831" i="50" s="1"/>
  <c r="T185" i="50"/>
  <c r="FG185" i="50" s="1"/>
  <c r="T806" i="50"/>
  <c r="FG806" i="50" s="1"/>
  <c r="T807" i="50"/>
  <c r="FG807" i="50" s="1"/>
  <c r="T845" i="50"/>
  <c r="FG845" i="50" s="1"/>
  <c r="W832" i="50"/>
  <c r="T184" i="50"/>
  <c r="FG184" i="50" s="1"/>
  <c r="T183" i="50"/>
  <c r="FG183" i="50" s="1"/>
  <c r="T480" i="50"/>
  <c r="FG480" i="50" s="1"/>
  <c r="DH552" i="50"/>
  <c r="DN552" i="50"/>
  <c r="DL552" i="50"/>
  <c r="T345" i="50"/>
  <c r="FG345" i="50" s="1"/>
  <c r="W877" i="50"/>
  <c r="DH882" i="50"/>
  <c r="DJ882" i="50"/>
  <c r="DH765" i="50"/>
  <c r="DI765" i="50"/>
  <c r="W126" i="50"/>
  <c r="X126" i="50" s="1"/>
  <c r="FH126" i="50" s="1"/>
  <c r="W652" i="50"/>
  <c r="X652" i="50" s="1"/>
  <c r="FH652" i="50" s="1"/>
  <c r="W658" i="50"/>
  <c r="X658" i="50" s="1"/>
  <c r="FH658" i="50" s="1"/>
  <c r="DH677" i="50"/>
  <c r="DK677" i="50"/>
  <c r="DH720" i="50"/>
  <c r="DM720" i="50"/>
  <c r="DK720" i="50"/>
  <c r="DH697" i="50"/>
  <c r="DK697" i="50"/>
  <c r="DM697" i="50"/>
  <c r="DH712" i="50"/>
  <c r="DI712" i="50"/>
  <c r="W725" i="50"/>
  <c r="X725" i="50" s="1"/>
  <c r="FH725" i="50" s="1"/>
  <c r="W662" i="50"/>
  <c r="W668" i="50"/>
  <c r="AA1012" i="50"/>
  <c r="AB1012" i="50" s="1"/>
  <c r="X1012" i="50"/>
  <c r="W741" i="50"/>
  <c r="DH769" i="50"/>
  <c r="DK769" i="50"/>
  <c r="DI796" i="50"/>
  <c r="DH796" i="50"/>
  <c r="T802" i="50"/>
  <c r="FG802" i="50" s="1"/>
  <c r="W862" i="50"/>
  <c r="X862" i="50" s="1"/>
  <c r="FH862" i="50" s="1"/>
  <c r="T777" i="50"/>
  <c r="FG777" i="50" s="1"/>
  <c r="T854" i="50"/>
  <c r="FG854" i="50" s="1"/>
  <c r="T778" i="50"/>
  <c r="FG778" i="50" s="1"/>
  <c r="DH805" i="50"/>
  <c r="DI805" i="50"/>
  <c r="DH821" i="50"/>
  <c r="DM821" i="50"/>
  <c r="DK821" i="50"/>
  <c r="DH870" i="50"/>
  <c r="DJ870" i="50"/>
  <c r="DH847" i="50"/>
  <c r="DM847" i="50"/>
  <c r="DK847" i="50"/>
  <c r="DH857" i="50"/>
  <c r="DM857" i="50"/>
  <c r="DK857" i="50"/>
  <c r="DH398" i="50"/>
  <c r="DM398" i="50"/>
  <c r="DL398" i="50"/>
  <c r="W231" i="50"/>
  <c r="X231" i="50" s="1"/>
  <c r="FH231" i="50" s="1"/>
  <c r="W757" i="50"/>
  <c r="X757" i="50" s="1"/>
  <c r="FH757" i="50" s="1"/>
  <c r="DI642" i="50"/>
  <c r="DH642" i="50"/>
  <c r="W178" i="50"/>
  <c r="X178" i="50" s="1"/>
  <c r="FH178" i="50" s="1"/>
  <c r="W644" i="50"/>
  <c r="X644" i="50" s="1"/>
  <c r="FH644" i="50" s="1"/>
  <c r="W98" i="50"/>
  <c r="X98" i="50" s="1"/>
  <c r="FH98" i="50" s="1"/>
  <c r="W649" i="50"/>
  <c r="X649" i="50" s="1"/>
  <c r="FH649" i="50" s="1"/>
  <c r="W645" i="50"/>
  <c r="X645" i="50" s="1"/>
  <c r="FH645" i="50" s="1"/>
  <c r="W864" i="50"/>
  <c r="X864" i="50" s="1"/>
  <c r="FH864" i="50" s="1"/>
  <c r="W100" i="50"/>
  <c r="X100" i="50" s="1"/>
  <c r="FH100" i="50" s="1"/>
  <c r="W96" i="50"/>
  <c r="X96" i="50" s="1"/>
  <c r="FH96" i="50" s="1"/>
  <c r="W621" i="50"/>
  <c r="W99" i="50"/>
  <c r="X99" i="50" s="1"/>
  <c r="FH99" i="50" s="1"/>
  <c r="W647" i="50"/>
  <c r="X647" i="50" s="1"/>
  <c r="FH647" i="50" s="1"/>
  <c r="W97" i="50"/>
  <c r="X97" i="50" s="1"/>
  <c r="FH97" i="50" s="1"/>
  <c r="W179" i="50"/>
  <c r="X179" i="50" s="1"/>
  <c r="FH179" i="50" s="1"/>
  <c r="W646" i="50"/>
  <c r="X646" i="50" s="1"/>
  <c r="FH646" i="50" s="1"/>
  <c r="W648" i="50"/>
  <c r="X648" i="50" s="1"/>
  <c r="FH648" i="50" s="1"/>
  <c r="W643" i="50"/>
  <c r="W863" i="50"/>
  <c r="X863" i="50" s="1"/>
  <c r="FH863" i="50" s="1"/>
  <c r="W95" i="50"/>
  <c r="X95" i="50" s="1"/>
  <c r="FH95" i="50" s="1"/>
  <c r="W642" i="50"/>
  <c r="K66" i="37"/>
  <c r="K77" i="37"/>
  <c r="K78" i="37"/>
  <c r="K80" i="37"/>
  <c r="K111" i="37"/>
  <c r="K88" i="37"/>
  <c r="K17" i="37"/>
  <c r="K38" i="37"/>
  <c r="K59" i="37"/>
  <c r="K106" i="37"/>
  <c r="K107" i="37"/>
  <c r="K18" i="37"/>
  <c r="K81" i="37"/>
  <c r="K114" i="37"/>
  <c r="K14" i="37"/>
  <c r="K31" i="37"/>
  <c r="K94" i="37"/>
  <c r="K102" i="37"/>
  <c r="K71" i="37"/>
  <c r="K65" i="37"/>
  <c r="K112" i="37"/>
  <c r="K85" i="37"/>
  <c r="K63" i="37"/>
  <c r="K105" i="37"/>
  <c r="K16" i="37"/>
  <c r="K75" i="37"/>
  <c r="K39" i="37"/>
  <c r="K61" i="37"/>
  <c r="K69" i="37"/>
  <c r="K20" i="37"/>
  <c r="K72" i="37"/>
  <c r="K103" i="37"/>
  <c r="K97" i="37"/>
  <c r="CX298" i="32"/>
  <c r="AK54" i="34"/>
  <c r="AK53" i="34"/>
  <c r="CT298" i="32"/>
  <c r="CV298" i="32"/>
  <c r="K4" i="38"/>
  <c r="K3" i="38"/>
  <c r="K2" i="38"/>
  <c r="CH298" i="32"/>
  <c r="CG298" i="32"/>
  <c r="CE298" i="32"/>
  <c r="J61" i="34"/>
  <c r="AN61" i="34"/>
  <c r="K92" i="37"/>
  <c r="K95" i="37"/>
  <c r="K104" i="37"/>
  <c r="K68" i="37"/>
  <c r="K110" i="37"/>
  <c r="BY110" i="37" s="1"/>
  <c r="K84" i="37"/>
  <c r="K87" i="37"/>
  <c r="K101" i="37"/>
  <c r="CP86" i="34"/>
  <c r="AN54" i="34"/>
  <c r="BJ53" i="34"/>
  <c r="CL53" i="34" s="1"/>
  <c r="BY53" i="34" s="1"/>
  <c r="AF60" i="34"/>
  <c r="BK60" i="34"/>
  <c r="BK51" i="34"/>
  <c r="AD60" i="34"/>
  <c r="CD60" i="34" s="1"/>
  <c r="BQ60" i="34" s="1"/>
  <c r="CQ83" i="34"/>
  <c r="CR81" i="34"/>
  <c r="CP81" i="34"/>
  <c r="CR85" i="34"/>
  <c r="CP85" i="34"/>
  <c r="CR84" i="34"/>
  <c r="K160" i="34"/>
  <c r="CQ81" i="34"/>
  <c r="BI49" i="34"/>
  <c r="CR78" i="34"/>
  <c r="AG55" i="34"/>
  <c r="AG52" i="34"/>
  <c r="AG68" i="34"/>
  <c r="BI65" i="34"/>
  <c r="BK59" i="34"/>
  <c r="BI68" i="34"/>
  <c r="AG69" i="34"/>
  <c r="BJ62" i="34"/>
  <c r="CL62" i="34" s="1"/>
  <c r="BJ54" i="34"/>
  <c r="CL54" i="34" s="1"/>
  <c r="BY54" i="34" s="1"/>
  <c r="BJ60" i="34"/>
  <c r="CL60" i="34" s="1"/>
  <c r="BJ61" i="34"/>
  <c r="CL61" i="34" s="1"/>
  <c r="BI53" i="34"/>
  <c r="CM49" i="34"/>
  <c r="AE59" i="34"/>
  <c r="BI69" i="34"/>
  <c r="BJ57" i="34"/>
  <c r="CL57" i="34" s="1"/>
  <c r="BY57" i="34" s="1"/>
  <c r="BJ66" i="34"/>
  <c r="CL66" i="34" s="1"/>
  <c r="BJ67" i="34"/>
  <c r="CL67" i="34" s="1"/>
  <c r="BY67" i="34" s="1"/>
  <c r="BJ52" i="34"/>
  <c r="CL52" i="34" s="1"/>
  <c r="BY52" i="34" s="1"/>
  <c r="AF54" i="34"/>
  <c r="AG50" i="34"/>
  <c r="BJ55" i="34"/>
  <c r="CL55" i="34" s="1"/>
  <c r="BY55" i="34" s="1"/>
  <c r="BI59" i="34"/>
  <c r="BI52" i="34"/>
  <c r="BI57" i="34"/>
  <c r="BK52" i="34"/>
  <c r="BJ69" i="34"/>
  <c r="CL69" i="34" s="1"/>
  <c r="BI66" i="34"/>
  <c r="AE52" i="34"/>
  <c r="AD57" i="34"/>
  <c r="CD57" i="34" s="1"/>
  <c r="BQ57" i="34" s="1"/>
  <c r="AG53" i="34"/>
  <c r="AD62" i="34"/>
  <c r="CD62" i="34" s="1"/>
  <c r="BQ62" i="34" s="1"/>
  <c r="AC55" i="34"/>
  <c r="AC51" i="34"/>
  <c r="AE64" i="34"/>
  <c r="BK65" i="34"/>
  <c r="BI50" i="34"/>
  <c r="BK64" i="34"/>
  <c r="BJ51" i="34"/>
  <c r="CL51" i="34" s="1"/>
  <c r="AD59" i="34"/>
  <c r="CD59" i="34" s="1"/>
  <c r="AF59" i="34"/>
  <c r="BI60" i="34"/>
  <c r="AC59" i="34"/>
  <c r="BK54" i="34"/>
  <c r="AG54" i="34"/>
  <c r="BK66" i="34"/>
  <c r="BK53" i="34"/>
  <c r="BK68" i="34"/>
  <c r="BI67" i="34"/>
  <c r="BI51" i="34"/>
  <c r="BI54" i="34"/>
  <c r="BJ68" i="34"/>
  <c r="CL68" i="34" s="1"/>
  <c r="BY68" i="34" s="1"/>
  <c r="BK69" i="34"/>
  <c r="BK61" i="34"/>
  <c r="BI62" i="34"/>
  <c r="BK57" i="34"/>
  <c r="BJ50" i="34"/>
  <c r="CL50" i="34" s="1"/>
  <c r="AE61" i="34"/>
  <c r="R160" i="34"/>
  <c r="AO49" i="34"/>
  <c r="CQ86" i="34"/>
  <c r="CR80" i="34"/>
  <c r="BK49" i="34"/>
  <c r="BK50" i="34"/>
  <c r="BK67" i="34"/>
  <c r="AG67" i="34"/>
  <c r="BI61" i="34"/>
  <c r="BK55" i="34"/>
  <c r="BI55" i="34"/>
  <c r="BK62" i="34"/>
  <c r="DG49" i="34"/>
  <c r="AN49" i="34"/>
  <c r="CP83" i="34"/>
  <c r="CQ79" i="34"/>
  <c r="BJ64" i="34"/>
  <c r="CL64" i="34" s="1"/>
  <c r="BY64" i="34" s="1"/>
  <c r="AE51" i="34"/>
  <c r="BJ65" i="34"/>
  <c r="CL65" i="34" s="1"/>
  <c r="BY65" i="34" s="1"/>
  <c r="BJ59" i="34"/>
  <c r="CL59" i="34" s="1"/>
  <c r="BI64" i="34"/>
  <c r="DF63" i="34"/>
  <c r="AD54" i="34"/>
  <c r="CD54" i="34" s="1"/>
  <c r="BQ54" i="34" s="1"/>
  <c r="AD50" i="34"/>
  <c r="CD50" i="34" s="1"/>
  <c r="AG51" i="34"/>
  <c r="AC60" i="34"/>
  <c r="AD49" i="34"/>
  <c r="CE49" i="34" s="1"/>
  <c r="BQ49" i="34" s="1"/>
  <c r="AD53" i="34"/>
  <c r="CD53" i="34" s="1"/>
  <c r="BQ53" i="34" s="1"/>
  <c r="CR82" i="34"/>
  <c r="AC52" i="34"/>
  <c r="AO54" i="34"/>
  <c r="AG65" i="34"/>
  <c r="AG66" i="34"/>
  <c r="AC61" i="34"/>
  <c r="AE53" i="34"/>
  <c r="AC54" i="34"/>
  <c r="AE62" i="34"/>
  <c r="AE55" i="34"/>
  <c r="CR79" i="34"/>
  <c r="AE60" i="34"/>
  <c r="AE54" i="34"/>
  <c r="AF62" i="34"/>
  <c r="AG57" i="34"/>
  <c r="AC49" i="34"/>
  <c r="AE50" i="34"/>
  <c r="AC53" i="34"/>
  <c r="AG61" i="34"/>
  <c r="AG64" i="34"/>
  <c r="AF50" i="34"/>
  <c r="AC62" i="34"/>
  <c r="AF64" i="34"/>
  <c r="AF52" i="34"/>
  <c r="CH49" i="34"/>
  <c r="BV49" i="34" s="1"/>
  <c r="CQ84" i="34"/>
  <c r="W67" i="34"/>
  <c r="AD67" i="34" s="1"/>
  <c r="CD67" i="34" s="1"/>
  <c r="BQ67" i="34" s="1"/>
  <c r="AD52" i="34"/>
  <c r="CD52" i="34" s="1"/>
  <c r="BQ52" i="34" s="1"/>
  <c r="AD61" i="34"/>
  <c r="CD61" i="34" s="1"/>
  <c r="AC57" i="34"/>
  <c r="AC64" i="34"/>
  <c r="AE57" i="34"/>
  <c r="AD64" i="34"/>
  <c r="CD64" i="34" s="1"/>
  <c r="BQ64" i="34" s="1"/>
  <c r="AF57" i="34"/>
  <c r="W65" i="34"/>
  <c r="AE65" i="34" s="1"/>
  <c r="AD51" i="34"/>
  <c r="CD51" i="34" s="1"/>
  <c r="BQ51" i="34" s="1"/>
  <c r="AC50" i="34"/>
  <c r="AF53" i="34"/>
  <c r="AF51" i="34"/>
  <c r="AG49" i="34"/>
  <c r="AO53" i="34"/>
  <c r="AN53" i="34"/>
  <c r="W66" i="34"/>
  <c r="AD66" i="34" s="1"/>
  <c r="CD66" i="34" s="1"/>
  <c r="BQ66" i="34" s="1"/>
  <c r="W68" i="34"/>
  <c r="AF68" i="34" s="1"/>
  <c r="AF55" i="34"/>
  <c r="W69" i="34"/>
  <c r="AE69" i="34" s="1"/>
  <c r="AD55" i="34"/>
  <c r="CD55" i="34" s="1"/>
  <c r="BQ55" i="34" s="1"/>
  <c r="CL75" i="34"/>
  <c r="AE49" i="34"/>
  <c r="J58" i="34"/>
  <c r="K93" i="37"/>
  <c r="AL123" i="37"/>
  <c r="L71" i="37"/>
  <c r="J50" i="34"/>
  <c r="J49" i="34"/>
  <c r="AL122" i="37"/>
  <c r="K96" i="37"/>
  <c r="K98" i="37"/>
  <c r="BY98" i="37" s="1"/>
  <c r="S45" i="39"/>
  <c r="Q45" i="39"/>
  <c r="P45" i="39"/>
  <c r="J59" i="34"/>
  <c r="K19" i="37"/>
  <c r="U45" i="39"/>
  <c r="T45" i="39"/>
  <c r="J55" i="34"/>
  <c r="J62" i="34"/>
  <c r="V45" i="39"/>
  <c r="J60" i="34"/>
  <c r="T11" i="39"/>
  <c r="U11" i="39"/>
  <c r="K12" i="37"/>
  <c r="J56" i="34"/>
  <c r="K45" i="37"/>
  <c r="J57" i="34"/>
  <c r="J51" i="34"/>
  <c r="J54" i="34"/>
  <c r="K30" i="37"/>
  <c r="J53" i="34"/>
  <c r="R11" i="39"/>
  <c r="V11" i="39"/>
  <c r="Q11" i="39"/>
  <c r="S11" i="39"/>
  <c r="P11" i="39"/>
  <c r="K57" i="37"/>
  <c r="K40" i="37"/>
  <c r="M40" i="37" s="1"/>
  <c r="AL134" i="37"/>
  <c r="K46" i="37"/>
  <c r="DR49" i="34"/>
  <c r="DN49" i="34"/>
  <c r="K15" i="37"/>
  <c r="K58" i="37"/>
  <c r="K37" i="37"/>
  <c r="K13" i="37"/>
  <c r="K62" i="37"/>
  <c r="K32" i="37"/>
  <c r="K60" i="37"/>
  <c r="DU49" i="34"/>
  <c r="DO49" i="34"/>
  <c r="DS50" i="34"/>
  <c r="DN50" i="34"/>
  <c r="AL132" i="37"/>
  <c r="DM50" i="34"/>
  <c r="K116" i="37"/>
  <c r="DP50" i="34"/>
  <c r="DR50" i="34"/>
  <c r="DQ50" i="34"/>
  <c r="DT49" i="34"/>
  <c r="DV49" i="34"/>
  <c r="K115" i="37"/>
  <c r="DO50" i="34"/>
  <c r="DW61" i="34" s="1"/>
  <c r="DU50" i="34"/>
  <c r="DP49" i="34"/>
  <c r="DW60" i="34" s="1"/>
  <c r="DQ49" i="34"/>
  <c r="R38" i="14"/>
  <c r="K6" i="13"/>
  <c r="Q6" i="13"/>
  <c r="DF53" i="34"/>
  <c r="CQ82" i="34"/>
  <c r="CN75" i="34"/>
  <c r="CP78" i="34"/>
  <c r="Q8" i="13"/>
  <c r="Q27" i="14"/>
  <c r="K45" i="14"/>
  <c r="K36" i="14"/>
  <c r="K41" i="14"/>
  <c r="J45" i="14"/>
  <c r="Q19" i="14"/>
  <c r="S49" i="14"/>
  <c r="T21" i="20"/>
  <c r="Q22" i="20"/>
  <c r="T22" i="20" s="1"/>
  <c r="T17" i="20"/>
  <c r="Q18" i="20"/>
  <c r="T18" i="20" s="1"/>
  <c r="J80" i="14"/>
  <c r="K80" i="14"/>
  <c r="CQ85" i="34"/>
  <c r="CD75" i="34"/>
  <c r="CP77" i="34"/>
  <c r="CF75" i="34"/>
  <c r="CQ80" i="34"/>
  <c r="CM75" i="34"/>
  <c r="CQ78" i="34"/>
  <c r="K13" i="13"/>
  <c r="Q13" i="13"/>
  <c r="J50" i="14"/>
  <c r="P50" i="14" s="1"/>
  <c r="E51" i="14"/>
  <c r="T54" i="14"/>
  <c r="T49" i="14"/>
  <c r="U49" i="14"/>
  <c r="K11" i="13"/>
  <c r="Q11" i="13"/>
  <c r="CQ77" i="34"/>
  <c r="CE75" i="34"/>
  <c r="CP80" i="34"/>
  <c r="DF59" i="34"/>
  <c r="Q7" i="13"/>
  <c r="S36" i="14"/>
  <c r="P37" i="14"/>
  <c r="O80" i="14"/>
  <c r="Q44" i="14"/>
  <c r="J72" i="14"/>
  <c r="O72" i="14" s="1"/>
  <c r="E73" i="14"/>
  <c r="J73" i="14" s="1"/>
  <c r="P73" i="14" s="1"/>
  <c r="R73" i="14" s="1"/>
  <c r="K38" i="14"/>
  <c r="J38" i="14"/>
  <c r="CP82" i="34"/>
  <c r="DM24" i="50" l="1"/>
  <c r="DM19" i="50"/>
  <c r="O73" i="14"/>
  <c r="Q73" i="14" s="1"/>
  <c r="L58" i="14"/>
  <c r="R58" i="14"/>
  <c r="P58" i="14"/>
  <c r="DM21" i="50"/>
  <c r="CO66" i="34"/>
  <c r="BY66" i="34"/>
  <c r="CO62" i="34"/>
  <c r="BY62" i="34"/>
  <c r="CO60" i="34"/>
  <c r="BY60" i="34"/>
  <c r="CO69" i="34"/>
  <c r="BY69" i="34"/>
  <c r="CI50" i="34"/>
  <c r="CJ50" i="34" s="1"/>
  <c r="BW50" i="34" s="1"/>
  <c r="BQ50" i="34"/>
  <c r="CI59" i="34"/>
  <c r="CT59" i="34" s="1"/>
  <c r="BQ59" i="34"/>
  <c r="CO59" i="34"/>
  <c r="BY59" i="34"/>
  <c r="CO50" i="34"/>
  <c r="BY50" i="34"/>
  <c r="CI61" i="34"/>
  <c r="CT61" i="34" s="1"/>
  <c r="BQ61" i="34"/>
  <c r="CO51" i="34"/>
  <c r="BY51" i="34"/>
  <c r="CO61" i="34"/>
  <c r="BY61" i="34"/>
  <c r="CP49" i="34"/>
  <c r="CA49" i="34"/>
  <c r="M116" i="37"/>
  <c r="BY116" i="37"/>
  <c r="M32" i="37"/>
  <c r="BY32" i="37"/>
  <c r="M58" i="37"/>
  <c r="BY58" i="37"/>
  <c r="M46" i="37"/>
  <c r="BY46" i="37"/>
  <c r="M12" i="37"/>
  <c r="BY12" i="37"/>
  <c r="AM101" i="37"/>
  <c r="AN101" i="37" s="1"/>
  <c r="BY101" i="37"/>
  <c r="M68" i="37"/>
  <c r="BY68" i="37"/>
  <c r="M20" i="37"/>
  <c r="BY20" i="37"/>
  <c r="M75" i="37"/>
  <c r="BY75" i="37"/>
  <c r="M85" i="37"/>
  <c r="BY85" i="37"/>
  <c r="M102" i="37"/>
  <c r="BY102" i="37"/>
  <c r="M114" i="37"/>
  <c r="BY114" i="37"/>
  <c r="M106" i="37"/>
  <c r="BY106" i="37"/>
  <c r="M88" i="37"/>
  <c r="BY88" i="37"/>
  <c r="M77" i="37"/>
  <c r="BY77" i="37"/>
  <c r="M62" i="37"/>
  <c r="BY62" i="37"/>
  <c r="M15" i="37"/>
  <c r="BY15" i="37"/>
  <c r="M19" i="37"/>
  <c r="BY19" i="37"/>
  <c r="M93" i="37"/>
  <c r="BY93" i="37"/>
  <c r="M87" i="37"/>
  <c r="AI87" i="37" s="1"/>
  <c r="BY87" i="37"/>
  <c r="M104" i="37"/>
  <c r="BY104" i="37"/>
  <c r="M97" i="37"/>
  <c r="BY97" i="37"/>
  <c r="M69" i="37"/>
  <c r="BY69" i="37"/>
  <c r="M16" i="37"/>
  <c r="BY16" i="37"/>
  <c r="M112" i="37"/>
  <c r="BY112" i="37"/>
  <c r="M94" i="37"/>
  <c r="BY94" i="37"/>
  <c r="M81" i="37"/>
  <c r="BY81" i="37"/>
  <c r="M59" i="37"/>
  <c r="BY59" i="37"/>
  <c r="M111" i="37"/>
  <c r="BY111" i="37"/>
  <c r="M66" i="37"/>
  <c r="BY66" i="37"/>
  <c r="M115" i="37"/>
  <c r="BY115" i="37"/>
  <c r="M13" i="37"/>
  <c r="BY13" i="37"/>
  <c r="M30" i="37"/>
  <c r="BY30" i="37"/>
  <c r="M45" i="37"/>
  <c r="BY45" i="37"/>
  <c r="M84" i="37"/>
  <c r="BY84" i="37"/>
  <c r="M95" i="37"/>
  <c r="BY95" i="37"/>
  <c r="M103" i="37"/>
  <c r="BY103" i="37"/>
  <c r="M61" i="37"/>
  <c r="BY61" i="37"/>
  <c r="M105" i="37"/>
  <c r="BY105" i="37"/>
  <c r="M65" i="37"/>
  <c r="BY65" i="37"/>
  <c r="M31" i="37"/>
  <c r="BY31" i="37"/>
  <c r="M18" i="37"/>
  <c r="BY18" i="37"/>
  <c r="M38" i="37"/>
  <c r="BY38" i="37"/>
  <c r="M80" i="37"/>
  <c r="BY80" i="37"/>
  <c r="M60" i="37"/>
  <c r="BY60" i="37"/>
  <c r="M37" i="37"/>
  <c r="BY37" i="37"/>
  <c r="M57" i="37"/>
  <c r="BY57" i="37"/>
  <c r="M96" i="37"/>
  <c r="BY96" i="37"/>
  <c r="M92" i="37"/>
  <c r="AH92" i="37" s="1"/>
  <c r="BY92" i="37"/>
  <c r="M72" i="37"/>
  <c r="BY72" i="37"/>
  <c r="M39" i="37"/>
  <c r="BY39" i="37"/>
  <c r="M63" i="37"/>
  <c r="BY63" i="37"/>
  <c r="M71" i="37"/>
  <c r="BY71" i="37"/>
  <c r="M14" i="37"/>
  <c r="BY14" i="37"/>
  <c r="M107" i="37"/>
  <c r="BY107" i="37"/>
  <c r="M17" i="37"/>
  <c r="BY17" i="37"/>
  <c r="M78" i="37"/>
  <c r="Z77" i="37" s="1"/>
  <c r="BY78" i="37"/>
  <c r="L65" i="37"/>
  <c r="L77" i="37"/>
  <c r="Y68" i="37"/>
  <c r="L80" i="37"/>
  <c r="AB110" i="37"/>
  <c r="AB137" i="37" s="1"/>
  <c r="BZ137" i="37" s="1"/>
  <c r="AG97" i="50"/>
  <c r="AG649" i="50"/>
  <c r="AG655" i="50"/>
  <c r="AG152" i="50"/>
  <c r="AG924" i="50"/>
  <c r="AG923" i="50"/>
  <c r="AG230" i="50"/>
  <c r="AG177" i="50"/>
  <c r="AG859" i="50"/>
  <c r="AG730" i="50"/>
  <c r="AG722" i="50"/>
  <c r="AG229" i="50"/>
  <c r="AG727" i="50"/>
  <c r="AG902" i="50"/>
  <c r="AG129" i="50"/>
  <c r="AG648" i="50"/>
  <c r="AG100" i="50"/>
  <c r="AG750" i="50"/>
  <c r="AG125" i="50"/>
  <c r="AG754" i="50"/>
  <c r="AG120" i="50"/>
  <c r="AG130" i="50"/>
  <c r="AG745" i="50"/>
  <c r="AG925" i="50"/>
  <c r="AG646" i="50"/>
  <c r="AG99" i="50"/>
  <c r="AG864" i="50"/>
  <c r="AG644" i="50"/>
  <c r="AG757" i="50"/>
  <c r="AG725" i="50"/>
  <c r="AG652" i="50"/>
  <c r="AG748" i="50"/>
  <c r="AG136" i="50"/>
  <c r="AG654" i="50"/>
  <c r="AG922" i="50"/>
  <c r="AG756" i="50"/>
  <c r="AG145" i="50"/>
  <c r="AG898" i="50"/>
  <c r="AG142" i="50"/>
  <c r="AG651" i="50"/>
  <c r="AG657" i="50"/>
  <c r="AG124" i="50"/>
  <c r="AG860" i="50"/>
  <c r="AG147" i="50"/>
  <c r="AG861" i="50"/>
  <c r="AG899" i="50"/>
  <c r="AG140" i="50"/>
  <c r="AG154" i="50"/>
  <c r="AG123" i="50"/>
  <c r="AG175" i="50"/>
  <c r="AG146" i="50"/>
  <c r="AG141" i="50"/>
  <c r="AG153" i="50"/>
  <c r="AG133" i="50"/>
  <c r="AG723" i="50"/>
  <c r="AG306" i="50"/>
  <c r="AG660" i="50"/>
  <c r="AG121" i="50"/>
  <c r="AG742" i="50"/>
  <c r="AG96" i="50"/>
  <c r="AG900" i="50"/>
  <c r="AG749" i="50"/>
  <c r="AG751" i="50"/>
  <c r="AG755" i="50"/>
  <c r="AG724" i="50"/>
  <c r="AL23" i="50"/>
  <c r="F8" i="50" s="1"/>
  <c r="AG647" i="50"/>
  <c r="AG98" i="50"/>
  <c r="AG658" i="50"/>
  <c r="AG901" i="50"/>
  <c r="AG151" i="50"/>
  <c r="AG307" i="50"/>
  <c r="AG308" i="50"/>
  <c r="AG305" i="50"/>
  <c r="AG174" i="50"/>
  <c r="AG863" i="50"/>
  <c r="AG179" i="50"/>
  <c r="AG645" i="50"/>
  <c r="AG178" i="50"/>
  <c r="AG231" i="50"/>
  <c r="AG862" i="50"/>
  <c r="AG126" i="50"/>
  <c r="AG897" i="50"/>
  <c r="AG743" i="50"/>
  <c r="AG139" i="50"/>
  <c r="AG128" i="50"/>
  <c r="AG117" i="50"/>
  <c r="AG744" i="50"/>
  <c r="AG656" i="50"/>
  <c r="AG865" i="50"/>
  <c r="AG131" i="50"/>
  <c r="AG118" i="50"/>
  <c r="AG726" i="50"/>
  <c r="AG122" i="50"/>
  <c r="AG180" i="50"/>
  <c r="AG148" i="50"/>
  <c r="AG132" i="50"/>
  <c r="AG227" i="50"/>
  <c r="AG176" i="50"/>
  <c r="AG228" i="50"/>
  <c r="AG659" i="50"/>
  <c r="AG225" i="50"/>
  <c r="CF23" i="50"/>
  <c r="AG95" i="50"/>
  <c r="CC23" i="50"/>
  <c r="CA37" i="50"/>
  <c r="CG23" i="50"/>
  <c r="CB23" i="50"/>
  <c r="DO37" i="50"/>
  <c r="DO39" i="50"/>
  <c r="DO38" i="50"/>
  <c r="DO33" i="50"/>
  <c r="DO35" i="50"/>
  <c r="CE23" i="50"/>
  <c r="CA23" i="50"/>
  <c r="CG37" i="50"/>
  <c r="BX23" i="50"/>
  <c r="DJ38" i="50"/>
  <c r="DJ35" i="50"/>
  <c r="DJ33" i="50"/>
  <c r="DJ37" i="50"/>
  <c r="DJ39" i="50"/>
  <c r="DI35" i="50"/>
  <c r="DI33" i="50"/>
  <c r="DI37" i="50"/>
  <c r="DI39" i="50"/>
  <c r="DI38" i="50"/>
  <c r="BZ37" i="50"/>
  <c r="CD23" i="50"/>
  <c r="BY23" i="50"/>
  <c r="CD37" i="50"/>
  <c r="DH19" i="50"/>
  <c r="CB789" i="50"/>
  <c r="BY789" i="50"/>
  <c r="BX789" i="50"/>
  <c r="CE789" i="50"/>
  <c r="CB867" i="50"/>
  <c r="BY867" i="50"/>
  <c r="BX867" i="50"/>
  <c r="CE867" i="50"/>
  <c r="CB790" i="50"/>
  <c r="CE790" i="50"/>
  <c r="BY790" i="50"/>
  <c r="BX790" i="50"/>
  <c r="DH24" i="50"/>
  <c r="AL790" i="50"/>
  <c r="AO790" i="50"/>
  <c r="AK790" i="50"/>
  <c r="AH790" i="50"/>
  <c r="AO867" i="50"/>
  <c r="AL867" i="50"/>
  <c r="AH867" i="50"/>
  <c r="AI867" i="50"/>
  <c r="AI37" i="50" s="1"/>
  <c r="AL789" i="50"/>
  <c r="AH789" i="50"/>
  <c r="AO789" i="50"/>
  <c r="AK789" i="50"/>
  <c r="DO19" i="50"/>
  <c r="AA741" i="50"/>
  <c r="AB741" i="50" s="1"/>
  <c r="X741" i="50"/>
  <c r="FH741" i="50" s="1"/>
  <c r="AA668" i="50"/>
  <c r="AB668" i="50" s="1"/>
  <c r="X668" i="50"/>
  <c r="FH668" i="50" s="1"/>
  <c r="X737" i="50"/>
  <c r="FH737" i="50" s="1"/>
  <c r="AA737" i="50"/>
  <c r="AB737" i="50" s="1"/>
  <c r="AA910" i="50"/>
  <c r="AB910" i="50" s="1"/>
  <c r="X910" i="50"/>
  <c r="FH910" i="50" s="1"/>
  <c r="AA143" i="50"/>
  <c r="AB143" i="50" s="1"/>
  <c r="X143" i="50"/>
  <c r="FH143" i="50" s="1"/>
  <c r="AA671" i="50"/>
  <c r="AB671" i="50" s="1"/>
  <c r="X671" i="50"/>
  <c r="FH671" i="50" s="1"/>
  <c r="AA919" i="50"/>
  <c r="AB919" i="50" s="1"/>
  <c r="X919" i="50"/>
  <c r="FH919" i="50" s="1"/>
  <c r="T790" i="50"/>
  <c r="FG790" i="50" s="1"/>
  <c r="DN24" i="50"/>
  <c r="C9" i="50" s="1"/>
  <c r="DN19" i="50"/>
  <c r="DN21" i="50"/>
  <c r="DN25" i="50"/>
  <c r="C10" i="50" s="1"/>
  <c r="DN23" i="50"/>
  <c r="C8" i="50" s="1"/>
  <c r="AA822" i="50"/>
  <c r="AB822" i="50" s="1"/>
  <c r="X822" i="50"/>
  <c r="FH822" i="50" s="1"/>
  <c r="AA673" i="50"/>
  <c r="AB673" i="50" s="1"/>
  <c r="X673" i="50"/>
  <c r="FH673" i="50" s="1"/>
  <c r="AA866" i="50"/>
  <c r="AB866" i="50" s="1"/>
  <c r="X866" i="50"/>
  <c r="FH866" i="50" s="1"/>
  <c r="DH25" i="50"/>
  <c r="DH21" i="50"/>
  <c r="X832" i="50"/>
  <c r="FH832" i="50" s="1"/>
  <c r="AA832" i="50"/>
  <c r="AB832" i="50" s="1"/>
  <c r="AA731" i="50"/>
  <c r="AB731" i="50" s="1"/>
  <c r="X731" i="50"/>
  <c r="FH731" i="50" s="1"/>
  <c r="DH23" i="50"/>
  <c r="DL23" i="50"/>
  <c r="DL19" i="50"/>
  <c r="DL24" i="50"/>
  <c r="DL21" i="50"/>
  <c r="DL25" i="50"/>
  <c r="AA662" i="50"/>
  <c r="AB662" i="50" s="1"/>
  <c r="X662" i="50"/>
  <c r="FH662" i="50" s="1"/>
  <c r="AA871" i="50"/>
  <c r="AB871" i="50" s="1"/>
  <c r="X871" i="50"/>
  <c r="FH871" i="50" s="1"/>
  <c r="X827" i="50"/>
  <c r="FH827" i="50" s="1"/>
  <c r="AA827" i="50"/>
  <c r="AB827" i="50" s="1"/>
  <c r="DO23" i="50"/>
  <c r="DO25" i="50"/>
  <c r="DO21" i="50"/>
  <c r="DO24" i="50"/>
  <c r="AA735" i="50"/>
  <c r="AB735" i="50" s="1"/>
  <c r="X735" i="50"/>
  <c r="FH735" i="50" s="1"/>
  <c r="X736" i="50"/>
  <c r="FH736" i="50" s="1"/>
  <c r="AA736" i="50"/>
  <c r="AB736" i="50" s="1"/>
  <c r="AA911" i="50"/>
  <c r="AB911" i="50" s="1"/>
  <c r="X911" i="50"/>
  <c r="FH911" i="50" s="1"/>
  <c r="DH792" i="50"/>
  <c r="DM792" i="50"/>
  <c r="DK792" i="50"/>
  <c r="X665" i="50"/>
  <c r="FH665" i="50" s="1"/>
  <c r="AA665" i="50"/>
  <c r="AB665" i="50" s="1"/>
  <c r="AA875" i="50"/>
  <c r="AB875" i="50" s="1"/>
  <c r="X875" i="50"/>
  <c r="FH875" i="50" s="1"/>
  <c r="AA670" i="50"/>
  <c r="AB670" i="50" s="1"/>
  <c r="X670" i="50"/>
  <c r="FH670" i="50" s="1"/>
  <c r="T789" i="50"/>
  <c r="FG789" i="50" s="1"/>
  <c r="AA761" i="50"/>
  <c r="AB761" i="50" s="1"/>
  <c r="X761" i="50"/>
  <c r="FH761" i="50" s="1"/>
  <c r="X769" i="50"/>
  <c r="FH769" i="50" s="1"/>
  <c r="AA769" i="50"/>
  <c r="AB769" i="50" s="1"/>
  <c r="AA676" i="50"/>
  <c r="AB676" i="50" s="1"/>
  <c r="X676" i="50"/>
  <c r="FH676" i="50" s="1"/>
  <c r="X674" i="50"/>
  <c r="FH674" i="50" s="1"/>
  <c r="AA674" i="50"/>
  <c r="AB674" i="50" s="1"/>
  <c r="AA872" i="50"/>
  <c r="AB872" i="50" s="1"/>
  <c r="X872" i="50"/>
  <c r="FH872" i="50" s="1"/>
  <c r="AA667" i="50"/>
  <c r="AB667" i="50" s="1"/>
  <c r="X667" i="50"/>
  <c r="FH667" i="50" s="1"/>
  <c r="AA763" i="50"/>
  <c r="AB763" i="50" s="1"/>
  <c r="X763" i="50"/>
  <c r="FH763" i="50" s="1"/>
  <c r="X768" i="50"/>
  <c r="FH768" i="50" s="1"/>
  <c r="AA768" i="50"/>
  <c r="AB768" i="50" s="1"/>
  <c r="AA709" i="50"/>
  <c r="AB709" i="50" s="1"/>
  <c r="X709" i="50"/>
  <c r="FH709" i="50" s="1"/>
  <c r="X664" i="50"/>
  <c r="FH664" i="50" s="1"/>
  <c r="AA664" i="50"/>
  <c r="AB664" i="50" s="1"/>
  <c r="AA672" i="50"/>
  <c r="AB672" i="50" s="1"/>
  <c r="X672" i="50"/>
  <c r="FH672" i="50" s="1"/>
  <c r="X903" i="50"/>
  <c r="FH903" i="50" s="1"/>
  <c r="AA903" i="50"/>
  <c r="AB903" i="50" s="1"/>
  <c r="X881" i="50"/>
  <c r="FH881" i="50" s="1"/>
  <c r="AA881" i="50"/>
  <c r="AB881" i="50" s="1"/>
  <c r="X920" i="50"/>
  <c r="FH920" i="50" s="1"/>
  <c r="AA920" i="50"/>
  <c r="AB920" i="50" s="1"/>
  <c r="X913" i="50"/>
  <c r="FH913" i="50" s="1"/>
  <c r="AA913" i="50"/>
  <c r="AB913" i="50" s="1"/>
  <c r="AA873" i="50"/>
  <c r="AB873" i="50" s="1"/>
  <c r="X873" i="50"/>
  <c r="FH873" i="50" s="1"/>
  <c r="AA877" i="50"/>
  <c r="AB877" i="50" s="1"/>
  <c r="X877" i="50"/>
  <c r="FH877" i="50" s="1"/>
  <c r="AA678" i="50"/>
  <c r="AB678" i="50" s="1"/>
  <c r="X678" i="50"/>
  <c r="FH678" i="50" s="1"/>
  <c r="X759" i="50"/>
  <c r="FH759" i="50" s="1"/>
  <c r="AA759" i="50"/>
  <c r="AB759" i="50" s="1"/>
  <c r="X772" i="50"/>
  <c r="FH772" i="50" s="1"/>
  <c r="AA772" i="50"/>
  <c r="AB772" i="50" s="1"/>
  <c r="AA766" i="50"/>
  <c r="AB766" i="50" s="1"/>
  <c r="X766" i="50"/>
  <c r="FH766" i="50" s="1"/>
  <c r="X879" i="50"/>
  <c r="FH879" i="50" s="1"/>
  <c r="AA879" i="50"/>
  <c r="AB879" i="50" s="1"/>
  <c r="DK21" i="50"/>
  <c r="DK24" i="50"/>
  <c r="DK25" i="50"/>
  <c r="DK23" i="50"/>
  <c r="DK19" i="50"/>
  <c r="X740" i="50"/>
  <c r="FH740" i="50" s="1"/>
  <c r="AA740" i="50"/>
  <c r="AB740" i="50" s="1"/>
  <c r="X677" i="50"/>
  <c r="FH677" i="50" s="1"/>
  <c r="AA677" i="50"/>
  <c r="AB677" i="50" s="1"/>
  <c r="DI24" i="50"/>
  <c r="DI25" i="50"/>
  <c r="DI23" i="50"/>
  <c r="DI21" i="50"/>
  <c r="DI19" i="50"/>
  <c r="AA134" i="50"/>
  <c r="AB134" i="50" s="1"/>
  <c r="X134" i="50"/>
  <c r="FH134" i="50" s="1"/>
  <c r="X912" i="50"/>
  <c r="FH912" i="50" s="1"/>
  <c r="AA912" i="50"/>
  <c r="AB912" i="50" s="1"/>
  <c r="X771" i="50"/>
  <c r="FH771" i="50" s="1"/>
  <c r="AA771" i="50"/>
  <c r="AB771" i="50" s="1"/>
  <c r="X918" i="50"/>
  <c r="FH918" i="50" s="1"/>
  <c r="AA918" i="50"/>
  <c r="AB918" i="50" s="1"/>
  <c r="AA714" i="50"/>
  <c r="AB714" i="50" s="1"/>
  <c r="X714" i="50"/>
  <c r="FH714" i="50" s="1"/>
  <c r="X883" i="50"/>
  <c r="FH883" i="50" s="1"/>
  <c r="AA883" i="50"/>
  <c r="AB883" i="50" s="1"/>
  <c r="AA767" i="50"/>
  <c r="AB767" i="50" s="1"/>
  <c r="X767" i="50"/>
  <c r="FH767" i="50" s="1"/>
  <c r="X770" i="50"/>
  <c r="FH770" i="50" s="1"/>
  <c r="AA770" i="50"/>
  <c r="AB770" i="50" s="1"/>
  <c r="X232" i="50"/>
  <c r="FH232" i="50" s="1"/>
  <c r="AA232" i="50"/>
  <c r="AB232" i="50" s="1"/>
  <c r="B10" i="50"/>
  <c r="DM23" i="50"/>
  <c r="B8" i="50" s="1"/>
  <c r="B9" i="50"/>
  <c r="AA728" i="50"/>
  <c r="AB728" i="50" s="1"/>
  <c r="X728" i="50"/>
  <c r="FH728" i="50" s="1"/>
  <c r="X896" i="50"/>
  <c r="FH896" i="50" s="1"/>
  <c r="AA896" i="50"/>
  <c r="AB896" i="50" s="1"/>
  <c r="DH791" i="50"/>
  <c r="DM791" i="50"/>
  <c r="DK791" i="50"/>
  <c r="X137" i="50"/>
  <c r="FH137" i="50" s="1"/>
  <c r="AA137" i="50"/>
  <c r="AB137" i="50" s="1"/>
  <c r="W867" i="50"/>
  <c r="X867" i="50" s="1"/>
  <c r="FH867" i="50" s="1"/>
  <c r="AA666" i="50"/>
  <c r="AB666" i="50" s="1"/>
  <c r="X666" i="50"/>
  <c r="FH666" i="50" s="1"/>
  <c r="AA181" i="50"/>
  <c r="AB181" i="50" s="1"/>
  <c r="X181" i="50"/>
  <c r="FH181" i="50" s="1"/>
  <c r="X765" i="50"/>
  <c r="FH765" i="50" s="1"/>
  <c r="AA765" i="50"/>
  <c r="AB765" i="50" s="1"/>
  <c r="AA746" i="50"/>
  <c r="AB746" i="50" s="1"/>
  <c r="X746" i="50"/>
  <c r="FH746" i="50" s="1"/>
  <c r="AA895" i="50"/>
  <c r="AB895" i="50" s="1"/>
  <c r="X895" i="50"/>
  <c r="FH895" i="50" s="1"/>
  <c r="AA773" i="50"/>
  <c r="AB773" i="50" s="1"/>
  <c r="X773" i="50"/>
  <c r="FH773" i="50" s="1"/>
  <c r="X914" i="50"/>
  <c r="FH914" i="50" s="1"/>
  <c r="AA914" i="50"/>
  <c r="AB914" i="50" s="1"/>
  <c r="X669" i="50"/>
  <c r="FH669" i="50" s="1"/>
  <c r="AA669" i="50"/>
  <c r="AB669" i="50" s="1"/>
  <c r="X675" i="50"/>
  <c r="FH675" i="50" s="1"/>
  <c r="AA675" i="50"/>
  <c r="AB675" i="50" s="1"/>
  <c r="X642" i="50"/>
  <c r="FH642" i="50" s="1"/>
  <c r="AA642" i="50"/>
  <c r="AB642" i="50" s="1"/>
  <c r="X643" i="50"/>
  <c r="FH643" i="50" s="1"/>
  <c r="AA643" i="50"/>
  <c r="AB643" i="50" s="1"/>
  <c r="X621" i="50"/>
  <c r="FH621" i="50" s="1"/>
  <c r="AA621" i="50"/>
  <c r="AB621" i="50" s="1"/>
  <c r="K9" i="37"/>
  <c r="AK61" i="34"/>
  <c r="AO61" i="34"/>
  <c r="AE101" i="37"/>
  <c r="AF101" i="37" s="1"/>
  <c r="AK101" i="37"/>
  <c r="AC101" i="37"/>
  <c r="AC135" i="37" s="1"/>
  <c r="U68" i="37"/>
  <c r="U126" i="37" s="1"/>
  <c r="BX126" i="37" s="1"/>
  <c r="T68" i="37"/>
  <c r="T126" i="37" s="1"/>
  <c r="BW126" i="37" s="1"/>
  <c r="V84" i="37"/>
  <c r="V131" i="37" s="1"/>
  <c r="BY131" i="37" s="1"/>
  <c r="AC68" i="37"/>
  <c r="AC126" i="37" s="1"/>
  <c r="L101" i="37"/>
  <c r="V101" i="37"/>
  <c r="V135" i="37" s="1"/>
  <c r="BY135" i="37" s="1"/>
  <c r="AB84" i="37"/>
  <c r="AB131" i="37" s="1"/>
  <c r="BZ131" i="37" s="1"/>
  <c r="L84" i="37"/>
  <c r="T101" i="37"/>
  <c r="T135" i="37" s="1"/>
  <c r="BW135" i="37" s="1"/>
  <c r="AD84" i="37"/>
  <c r="AD131" i="37" s="1"/>
  <c r="CB131" i="37" s="1"/>
  <c r="L68" i="37"/>
  <c r="AA104" i="37"/>
  <c r="AD87" i="37"/>
  <c r="AD132" i="37" s="1"/>
  <c r="CB132" i="37" s="1"/>
  <c r="W101" i="37"/>
  <c r="X101" i="37" s="1"/>
  <c r="AD110" i="37"/>
  <c r="AD137" i="37" s="1"/>
  <c r="CB137" i="37" s="1"/>
  <c r="AL101" i="37"/>
  <c r="U101" i="37"/>
  <c r="U135" i="37" s="1"/>
  <c r="BX135" i="37" s="1"/>
  <c r="M101" i="37"/>
  <c r="AC84" i="37"/>
  <c r="AC131" i="37" s="1"/>
  <c r="AB101" i="37"/>
  <c r="AB135" i="37" s="1"/>
  <c r="BZ135" i="37" s="1"/>
  <c r="AE110" i="37"/>
  <c r="AF110" i="37" s="1"/>
  <c r="AM110" i="37"/>
  <c r="AN110" i="37" s="1"/>
  <c r="AJ101" i="37"/>
  <c r="AD101" i="37"/>
  <c r="AD135" i="37" s="1"/>
  <c r="CB135" i="37" s="1"/>
  <c r="V68" i="37"/>
  <c r="V126" i="37" s="1"/>
  <c r="BY126" i="37" s="1"/>
  <c r="AD68" i="37"/>
  <c r="AD126" i="37" s="1"/>
  <c r="CB126" i="37" s="1"/>
  <c r="AB68" i="37"/>
  <c r="AB126" i="37" s="1"/>
  <c r="BZ126" i="37" s="1"/>
  <c r="T84" i="37"/>
  <c r="T131" i="37" s="1"/>
  <c r="BW131" i="37" s="1"/>
  <c r="U84" i="37"/>
  <c r="U131" i="37" s="1"/>
  <c r="BX131" i="37" s="1"/>
  <c r="AK68" i="37"/>
  <c r="AJ84" i="37"/>
  <c r="AL104" i="37"/>
  <c r="V87" i="37"/>
  <c r="V132" i="37" s="1"/>
  <c r="BY132" i="37" s="1"/>
  <c r="L92" i="37"/>
  <c r="AL110" i="37"/>
  <c r="AK104" i="37"/>
  <c r="AQ104" i="37"/>
  <c r="V110" i="37"/>
  <c r="V137" i="37" s="1"/>
  <c r="BY137" i="37" s="1"/>
  <c r="AJ104" i="37"/>
  <c r="AB87" i="37"/>
  <c r="AB132" i="37" s="1"/>
  <c r="BZ132" i="37" s="1"/>
  <c r="T87" i="37"/>
  <c r="T132" i="37" s="1"/>
  <c r="BW132" i="37" s="1"/>
  <c r="AB104" i="37"/>
  <c r="AB136" i="37" s="1"/>
  <c r="BZ136" i="37" s="1"/>
  <c r="AK110" i="37"/>
  <c r="T104" i="37"/>
  <c r="T136" i="37" s="1"/>
  <c r="BW136" i="37" s="1"/>
  <c r="AE104" i="37"/>
  <c r="AF104" i="37" s="1"/>
  <c r="M110" i="37"/>
  <c r="T110" i="37"/>
  <c r="T137" i="37" s="1"/>
  <c r="BW137" i="37" s="1"/>
  <c r="U110" i="37"/>
  <c r="U137" i="37" s="1"/>
  <c r="BX137" i="37" s="1"/>
  <c r="U104" i="37"/>
  <c r="U136" i="37" s="1"/>
  <c r="BX136" i="37" s="1"/>
  <c r="AD104" i="37"/>
  <c r="AD136" i="37" s="1"/>
  <c r="CB136" i="37" s="1"/>
  <c r="L110" i="37"/>
  <c r="L87" i="37"/>
  <c r="W110" i="37"/>
  <c r="X110" i="37" s="1"/>
  <c r="K113" i="37"/>
  <c r="AI104" i="37"/>
  <c r="AC110" i="37"/>
  <c r="AC137" i="37" s="1"/>
  <c r="AJ110" i="37"/>
  <c r="U87" i="37"/>
  <c r="U132" i="37" s="1"/>
  <c r="BX132" i="37" s="1"/>
  <c r="AC87" i="37"/>
  <c r="AC132" i="37" s="1"/>
  <c r="V104" i="37"/>
  <c r="V136" i="37" s="1"/>
  <c r="BY136" i="37" s="1"/>
  <c r="AC104" i="37"/>
  <c r="AC136" i="37" s="1"/>
  <c r="L104" i="37"/>
  <c r="W104" i="37"/>
  <c r="X104" i="37" s="1"/>
  <c r="AM104" i="37"/>
  <c r="AN104" i="37" s="1"/>
  <c r="K74" i="37"/>
  <c r="CO68" i="34"/>
  <c r="CT68" i="34"/>
  <c r="CJ59" i="34"/>
  <c r="BW59" i="34" s="1"/>
  <c r="CO57" i="34"/>
  <c r="CT57" i="34"/>
  <c r="CO53" i="34"/>
  <c r="CT53" i="34"/>
  <c r="CO64" i="34"/>
  <c r="CT64" i="34"/>
  <c r="CO52" i="34"/>
  <c r="CT52" i="34"/>
  <c r="CO65" i="34"/>
  <c r="CT65" i="34"/>
  <c r="CO54" i="34"/>
  <c r="CT54" i="34"/>
  <c r="CO55" i="34"/>
  <c r="CT55" i="34"/>
  <c r="CO67" i="34"/>
  <c r="CT67" i="34"/>
  <c r="AK65" i="34"/>
  <c r="AK58" i="34"/>
  <c r="AK56" i="34"/>
  <c r="AK68" i="34"/>
  <c r="AK69" i="34"/>
  <c r="CJ49" i="34"/>
  <c r="CR75" i="34"/>
  <c r="CQ75" i="34"/>
  <c r="AF65" i="34"/>
  <c r="AC65" i="34"/>
  <c r="AD65" i="34"/>
  <c r="CD65" i="34" s="1"/>
  <c r="BQ65" i="34" s="1"/>
  <c r="P35" i="34"/>
  <c r="W35" i="34" s="1"/>
  <c r="AG63" i="34"/>
  <c r="AG70" i="34" s="1"/>
  <c r="AF66" i="34"/>
  <c r="AC66" i="34"/>
  <c r="Q35" i="34"/>
  <c r="X35" i="34" s="1"/>
  <c r="AE67" i="34"/>
  <c r="AF69" i="34"/>
  <c r="AD68" i="34"/>
  <c r="CD68" i="34" s="1"/>
  <c r="BQ68" i="34" s="1"/>
  <c r="AC68" i="34"/>
  <c r="AF63" i="34"/>
  <c r="R35" i="34"/>
  <c r="Y35" i="34" s="1"/>
  <c r="AE68" i="34"/>
  <c r="AK52" i="34"/>
  <c r="AN52" i="34"/>
  <c r="AO52" i="34"/>
  <c r="AD69" i="34"/>
  <c r="CD69" i="34" s="1"/>
  <c r="BQ69" i="34" s="1"/>
  <c r="AC69" i="34"/>
  <c r="AM67" i="34"/>
  <c r="AL67" i="34"/>
  <c r="AL64" i="34"/>
  <c r="AM64" i="34"/>
  <c r="AK64" i="34"/>
  <c r="AM65" i="34"/>
  <c r="AL65" i="34"/>
  <c r="AN60" i="34"/>
  <c r="AK60" i="34"/>
  <c r="AO60" i="34"/>
  <c r="AK50" i="34"/>
  <c r="AO50" i="34"/>
  <c r="AN50" i="34"/>
  <c r="AF67" i="34"/>
  <c r="AE66" i="34"/>
  <c r="AK57" i="34"/>
  <c r="AN57" i="34"/>
  <c r="AO57" i="34"/>
  <c r="AC67" i="34"/>
  <c r="AL68" i="34"/>
  <c r="AM68" i="34"/>
  <c r="AL69" i="34"/>
  <c r="AM69" i="34"/>
  <c r="AO59" i="34"/>
  <c r="AK59" i="34"/>
  <c r="AN59" i="34"/>
  <c r="AK55" i="34"/>
  <c r="AN55" i="34"/>
  <c r="AO55" i="34"/>
  <c r="AK62" i="34"/>
  <c r="AN62" i="34"/>
  <c r="AO62" i="34"/>
  <c r="AL66" i="34"/>
  <c r="AM66" i="34"/>
  <c r="AK66" i="34"/>
  <c r="AK67" i="34"/>
  <c r="K27" i="37"/>
  <c r="K24" i="37"/>
  <c r="Z92" i="37"/>
  <c r="AO92" i="37"/>
  <c r="K56" i="37"/>
  <c r="AG87" i="37"/>
  <c r="M98" i="37"/>
  <c r="V95" i="37"/>
  <c r="V134" i="37" s="1"/>
  <c r="BY134" i="37" s="1"/>
  <c r="AD95" i="37"/>
  <c r="AD134" i="37" s="1"/>
  <c r="CB134" i="37" s="1"/>
  <c r="AC95" i="37"/>
  <c r="AC134" i="37" s="1"/>
  <c r="AK95" i="37"/>
  <c r="AB95" i="37"/>
  <c r="AB134" i="37" s="1"/>
  <c r="BZ134" i="37" s="1"/>
  <c r="AL95" i="37"/>
  <c r="AE95" i="37"/>
  <c r="AF95" i="37" s="1"/>
  <c r="AJ95" i="37"/>
  <c r="U95" i="37"/>
  <c r="U134" i="37" s="1"/>
  <c r="BX134" i="37" s="1"/>
  <c r="T95" i="37"/>
  <c r="T134" i="37" s="1"/>
  <c r="BW134" i="37" s="1"/>
  <c r="W95" i="37"/>
  <c r="X95" i="37" s="1"/>
  <c r="AM95" i="37"/>
  <c r="AN95" i="37" s="1"/>
  <c r="L95" i="37"/>
  <c r="AA68" i="37"/>
  <c r="AI68" i="37"/>
  <c r="AQ77" i="37"/>
  <c r="AP71" i="37"/>
  <c r="AK87" i="37"/>
  <c r="AJ87" i="37"/>
  <c r="AL87" i="37"/>
  <c r="AL84" i="37"/>
  <c r="W45" i="39"/>
  <c r="X45" i="39" s="1"/>
  <c r="Z45" i="39" s="1"/>
  <c r="AK84" i="37"/>
  <c r="AO84" i="37"/>
  <c r="K8" i="37"/>
  <c r="BY8" i="37" s="1"/>
  <c r="K48" i="37"/>
  <c r="Y45" i="39"/>
  <c r="AL68" i="37"/>
  <c r="AJ68" i="37"/>
  <c r="K6" i="38"/>
  <c r="Y11" i="39"/>
  <c r="W11" i="39"/>
  <c r="X11" i="39" s="1"/>
  <c r="Z11" i="39" s="1"/>
  <c r="K7" i="38"/>
  <c r="K49" i="37"/>
  <c r="K26" i="37"/>
  <c r="K21" i="37"/>
  <c r="K11" i="37"/>
  <c r="K47" i="37"/>
  <c r="K25" i="37"/>
  <c r="K10" i="37"/>
  <c r="O25" i="13"/>
  <c r="O11" i="13"/>
  <c r="L45" i="14"/>
  <c r="Q45" i="14"/>
  <c r="R45" i="14"/>
  <c r="P45" i="14"/>
  <c r="L38" i="14"/>
  <c r="Q38" i="14"/>
  <c r="Q80" i="14"/>
  <c r="P38" i="14"/>
  <c r="O27" i="13"/>
  <c r="O13" i="13"/>
  <c r="T13" i="13" s="1"/>
  <c r="P72" i="14"/>
  <c r="J51" i="14"/>
  <c r="K51" i="14"/>
  <c r="R50" i="14"/>
  <c r="Q50" i="14"/>
  <c r="CP75" i="34"/>
  <c r="L80" i="14"/>
  <c r="P80" i="14"/>
  <c r="R80" i="14" s="1"/>
  <c r="O20" i="13"/>
  <c r="O6" i="13"/>
  <c r="T7" i="13" s="1"/>
  <c r="O8" i="13"/>
  <c r="T9" i="13" s="1"/>
  <c r="O9" i="13"/>
  <c r="O7" i="13"/>
  <c r="DL20" i="50" l="1"/>
  <c r="DL22" i="50"/>
  <c r="DQ40" i="50"/>
  <c r="DM26" i="50"/>
  <c r="DQ25" i="50"/>
  <c r="DM20" i="50"/>
  <c r="DQ20" i="50" s="1"/>
  <c r="DM22" i="50"/>
  <c r="DQ22" i="50" s="1"/>
  <c r="AA87" i="37"/>
  <c r="AO87" i="37"/>
  <c r="Z87" i="37"/>
  <c r="Y87" i="37"/>
  <c r="AP104" i="37"/>
  <c r="AI84" i="37"/>
  <c r="Z68" i="37"/>
  <c r="AQ87" i="37"/>
  <c r="AP87" i="37"/>
  <c r="AH87" i="37"/>
  <c r="DP401" i="50"/>
  <c r="DQ401" i="50" s="1"/>
  <c r="DR401" i="50" s="1"/>
  <c r="DP402" i="50"/>
  <c r="DQ402" i="50" s="1"/>
  <c r="DR402" i="50" s="1"/>
  <c r="DP400" i="50"/>
  <c r="DQ400" i="50" s="1"/>
  <c r="DR400" i="50" s="1"/>
  <c r="DP399" i="50"/>
  <c r="DQ399" i="50" s="1"/>
  <c r="DR399" i="50" s="1"/>
  <c r="DP398" i="50"/>
  <c r="DQ398" i="50" s="1"/>
  <c r="DR398" i="50" s="1"/>
  <c r="DP409" i="50"/>
  <c r="DQ409" i="50" s="1"/>
  <c r="DR409" i="50" s="1"/>
  <c r="DP425" i="50"/>
  <c r="DQ425" i="50" s="1"/>
  <c r="DR425" i="50" s="1"/>
  <c r="DP410" i="50"/>
  <c r="DQ410" i="50" s="1"/>
  <c r="DR410" i="50" s="1"/>
  <c r="DP135" i="50"/>
  <c r="DP403" i="50"/>
  <c r="DQ403" i="50" s="1"/>
  <c r="DR403" i="50" s="1"/>
  <c r="DP411" i="50"/>
  <c r="DQ411" i="50" s="1"/>
  <c r="DR411" i="50" s="1"/>
  <c r="DP404" i="50"/>
  <c r="DQ404" i="50" s="1"/>
  <c r="DR404" i="50" s="1"/>
  <c r="DP412" i="50"/>
  <c r="DQ412" i="50" s="1"/>
  <c r="DR412" i="50" s="1"/>
  <c r="DP405" i="50"/>
  <c r="DQ405" i="50" s="1"/>
  <c r="DR405" i="50" s="1"/>
  <c r="DP188" i="50"/>
  <c r="DQ188" i="50" s="1"/>
  <c r="DR188" i="50" s="1"/>
  <c r="DP406" i="50"/>
  <c r="DQ406" i="50" s="1"/>
  <c r="DR406" i="50" s="1"/>
  <c r="DP149" i="50"/>
  <c r="DQ149" i="50" s="1"/>
  <c r="DR149" i="50" s="1"/>
  <c r="DP407" i="50"/>
  <c r="DQ407" i="50" s="1"/>
  <c r="DR407" i="50" s="1"/>
  <c r="DP144" i="50"/>
  <c r="DQ144" i="50" s="1"/>
  <c r="DR144" i="50" s="1"/>
  <c r="DP408" i="50"/>
  <c r="DQ408" i="50" s="1"/>
  <c r="DR408" i="50" s="1"/>
  <c r="DP138" i="50"/>
  <c r="DQ138" i="50" s="1"/>
  <c r="DR138" i="50" s="1"/>
  <c r="CT50" i="34"/>
  <c r="CO121" i="34"/>
  <c r="M11" i="37"/>
  <c r="BY11" i="37"/>
  <c r="AC52" i="37"/>
  <c r="AC124" i="37" s="1"/>
  <c r="AJ124" i="37" s="1"/>
  <c r="BY56" i="37"/>
  <c r="AH71" i="37"/>
  <c r="Y71" i="37"/>
  <c r="AG71" i="37"/>
  <c r="AA71" i="37"/>
  <c r="AI71" i="37"/>
  <c r="Z71" i="37"/>
  <c r="Y77" i="37"/>
  <c r="AH77" i="37"/>
  <c r="AQ71" i="37"/>
  <c r="AH68" i="37"/>
  <c r="AA84" i="37"/>
  <c r="Y84" i="37"/>
  <c r="AI92" i="37"/>
  <c r="L74" i="37"/>
  <c r="BY74" i="37"/>
  <c r="M9" i="37"/>
  <c r="BY9" i="37"/>
  <c r="AA77" i="37"/>
  <c r="AH84" i="37"/>
  <c r="M25" i="37"/>
  <c r="BY25" i="37"/>
  <c r="M26" i="37"/>
  <c r="BY26" i="37"/>
  <c r="AQ68" i="37"/>
  <c r="M48" i="37"/>
  <c r="BY48" i="37"/>
  <c r="AQ84" i="37"/>
  <c r="AP84" i="37"/>
  <c r="AO77" i="37"/>
  <c r="Z84" i="37"/>
  <c r="AG84" i="37"/>
  <c r="AQ92" i="37"/>
  <c r="Y92" i="37"/>
  <c r="M27" i="37"/>
  <c r="BY27" i="37"/>
  <c r="AG104" i="37"/>
  <c r="AO104" i="37"/>
  <c r="Z104" i="37"/>
  <c r="Y104" i="37"/>
  <c r="AG77" i="37"/>
  <c r="AI77" i="37"/>
  <c r="M10" i="37"/>
  <c r="BY10" i="37"/>
  <c r="M21" i="37"/>
  <c r="BY21" i="37"/>
  <c r="AA92" i="37"/>
  <c r="M24" i="37"/>
  <c r="BY24" i="37"/>
  <c r="AM113" i="37"/>
  <c r="AN113" i="37" s="1"/>
  <c r="BY113" i="37"/>
  <c r="M47" i="37"/>
  <c r="BY47" i="37"/>
  <c r="M49" i="37"/>
  <c r="BY49" i="37"/>
  <c r="AP68" i="37"/>
  <c r="AO68" i="37"/>
  <c r="AO71" i="37"/>
  <c r="AP77" i="37"/>
  <c r="AG68" i="37"/>
  <c r="AP92" i="37"/>
  <c r="AG92" i="37"/>
  <c r="AH104" i="37"/>
  <c r="AG95" i="37"/>
  <c r="AJ134" i="37"/>
  <c r="AK134" i="37" s="1"/>
  <c r="CA134" i="37"/>
  <c r="AJ131" i="37"/>
  <c r="CA131" i="37"/>
  <c r="AJ126" i="37"/>
  <c r="CA126" i="37"/>
  <c r="AJ135" i="37"/>
  <c r="AK135" i="37" s="1"/>
  <c r="CA135" i="37"/>
  <c r="AJ132" i="37"/>
  <c r="AK132" i="37" s="1"/>
  <c r="CA132" i="37"/>
  <c r="AJ137" i="37"/>
  <c r="AK137" i="37" s="1"/>
  <c r="CA137" i="37"/>
  <c r="AJ136" i="37"/>
  <c r="AK136" i="37" s="1"/>
  <c r="CA136" i="37"/>
  <c r="AP110" i="37"/>
  <c r="AA101" i="37"/>
  <c r="FK188" i="50"/>
  <c r="FK226" i="50"/>
  <c r="FK542" i="50"/>
  <c r="FK541" i="50"/>
  <c r="FK552" i="50"/>
  <c r="FK556" i="50"/>
  <c r="FK400" i="50"/>
  <c r="FK398" i="50"/>
  <c r="FK149" i="50"/>
  <c r="FK403" i="50"/>
  <c r="FK411" i="50"/>
  <c r="FK412" i="50"/>
  <c r="FK410" i="50"/>
  <c r="FK144" i="50"/>
  <c r="FK568" i="50"/>
  <c r="FK559" i="50"/>
  <c r="FK404" i="50"/>
  <c r="FK406" i="50"/>
  <c r="FK399" i="50"/>
  <c r="FK405" i="50"/>
  <c r="FK407" i="50"/>
  <c r="FK233" i="50"/>
  <c r="FK135" i="50"/>
  <c r="FK408" i="50"/>
  <c r="FK569" i="50"/>
  <c r="FK563" i="50"/>
  <c r="FK566" i="50"/>
  <c r="FK577" i="50"/>
  <c r="FK562" i="50"/>
  <c r="FK567" i="50"/>
  <c r="FK573" i="50"/>
  <c r="FK561" i="50"/>
  <c r="FK578" i="50"/>
  <c r="FK570" i="50"/>
  <c r="FK564" i="50"/>
  <c r="FK565" i="50"/>
  <c r="FK579" i="50"/>
  <c r="FK571" i="50"/>
  <c r="FK572" i="50"/>
  <c r="FK574" i="50"/>
  <c r="FK576" i="50"/>
  <c r="FK575" i="50"/>
  <c r="FK560" i="50"/>
  <c r="FK553" i="50"/>
  <c r="FK409" i="50"/>
  <c r="FK558" i="50"/>
  <c r="FK138" i="50"/>
  <c r="FK545" i="50"/>
  <c r="FK555" i="50"/>
  <c r="FK401" i="50"/>
  <c r="FK549" i="50"/>
  <c r="FK548" i="50"/>
  <c r="FK402" i="50"/>
  <c r="FK551" i="50"/>
  <c r="FK550" i="50"/>
  <c r="FK546" i="50"/>
  <c r="FK557" i="50"/>
  <c r="FK547" i="50"/>
  <c r="FK425" i="50"/>
  <c r="FK543" i="50"/>
  <c r="FK544" i="50"/>
  <c r="FK554" i="50"/>
  <c r="AG643" i="50"/>
  <c r="AG675" i="50"/>
  <c r="AG914" i="50"/>
  <c r="AG765" i="50"/>
  <c r="AG896" i="50"/>
  <c r="AG767" i="50"/>
  <c r="AG714" i="50"/>
  <c r="AG134" i="50"/>
  <c r="AG677" i="50"/>
  <c r="AG678" i="50"/>
  <c r="AG873" i="50"/>
  <c r="AG667" i="50"/>
  <c r="AG671" i="50"/>
  <c r="AG910" i="50"/>
  <c r="AG668" i="50"/>
  <c r="AG232" i="50"/>
  <c r="AG771" i="50"/>
  <c r="AG879" i="50"/>
  <c r="AG772" i="50"/>
  <c r="AG920" i="50"/>
  <c r="AG903" i="50"/>
  <c r="AG664" i="50"/>
  <c r="AG768" i="50"/>
  <c r="AG674" i="50"/>
  <c r="AG769" i="50"/>
  <c r="AG670" i="50"/>
  <c r="AG736" i="50"/>
  <c r="AG827" i="50"/>
  <c r="AG642" i="50"/>
  <c r="AG669" i="50"/>
  <c r="AG740" i="50"/>
  <c r="AG766" i="50"/>
  <c r="AG877" i="50"/>
  <c r="AG672" i="50"/>
  <c r="AG709" i="50"/>
  <c r="AG763" i="50"/>
  <c r="AG872" i="50"/>
  <c r="AG676" i="50"/>
  <c r="AG761" i="50"/>
  <c r="AG665" i="50"/>
  <c r="AG911" i="50"/>
  <c r="AG735" i="50"/>
  <c r="AG871" i="50"/>
  <c r="AG866" i="50"/>
  <c r="AG822" i="50"/>
  <c r="AG919" i="50"/>
  <c r="AG143" i="50"/>
  <c r="AG741" i="50"/>
  <c r="AG662" i="50"/>
  <c r="AG731" i="50"/>
  <c r="AG673" i="50"/>
  <c r="AG773" i="50"/>
  <c r="AG746" i="50"/>
  <c r="AG181" i="50"/>
  <c r="AG867" i="50"/>
  <c r="AG728" i="50"/>
  <c r="AG895" i="50"/>
  <c r="AG666" i="50"/>
  <c r="AG137" i="50"/>
  <c r="AG770" i="50"/>
  <c r="AG883" i="50"/>
  <c r="AG918" i="50"/>
  <c r="AG912" i="50"/>
  <c r="AG759" i="50"/>
  <c r="AG913" i="50"/>
  <c r="AG881" i="50"/>
  <c r="AG875" i="50"/>
  <c r="AG832" i="50"/>
  <c r="AG737" i="50"/>
  <c r="BY37" i="50"/>
  <c r="AG621" i="50"/>
  <c r="H1132" i="50" a="1"/>
  <c r="H1132" i="50" s="1"/>
  <c r="I1132" i="50" s="1" a="1"/>
  <c r="I1132" i="50" s="1"/>
  <c r="H1126" i="50" a="1"/>
  <c r="H1126" i="50" s="1"/>
  <c r="I1126" i="50" s="1" a="1"/>
  <c r="I1126" i="50" s="1"/>
  <c r="H1124" i="50" a="1"/>
  <c r="H1124" i="50" s="1"/>
  <c r="I1124" i="50" s="1" a="1"/>
  <c r="I1124" i="50" s="1"/>
  <c r="H1122" i="50" a="1"/>
  <c r="H1122" i="50" s="1"/>
  <c r="I1122" i="50" s="1" a="1"/>
  <c r="I1122" i="50" s="1"/>
  <c r="H1120" i="50" a="1"/>
  <c r="H1120" i="50" s="1"/>
  <c r="I1120" i="50" s="1" a="1"/>
  <c r="I1120" i="50" s="1"/>
  <c r="H1118" i="50" a="1"/>
  <c r="H1118" i="50" s="1"/>
  <c r="I1118" i="50" s="1" a="1"/>
  <c r="I1118" i="50" s="1"/>
  <c r="H1116" i="50" a="1"/>
  <c r="H1116" i="50" s="1"/>
  <c r="I1116" i="50" s="1" a="1"/>
  <c r="I1116" i="50" s="1"/>
  <c r="H1131" i="50" a="1"/>
  <c r="H1131" i="50" s="1"/>
  <c r="I1131" i="50" s="1" a="1"/>
  <c r="I1131" i="50" s="1"/>
  <c r="H1130" i="50" a="1"/>
  <c r="H1130" i="50" s="1"/>
  <c r="I1130" i="50" s="1" a="1"/>
  <c r="I1130" i="50" s="1"/>
  <c r="H1129" i="50" a="1"/>
  <c r="H1129" i="50" s="1"/>
  <c r="I1129" i="50" s="1" a="1"/>
  <c r="I1129" i="50" s="1"/>
  <c r="H1128" i="50" a="1"/>
  <c r="H1128" i="50" s="1"/>
  <c r="I1128" i="50" s="1" a="1"/>
  <c r="I1128" i="50" s="1"/>
  <c r="H1127" i="50" a="1"/>
  <c r="H1127" i="50" s="1"/>
  <c r="I1127" i="50" s="1" a="1"/>
  <c r="I1127" i="50" s="1"/>
  <c r="H1125" i="50" a="1"/>
  <c r="H1125" i="50" s="1"/>
  <c r="I1125" i="50" s="1" a="1"/>
  <c r="I1125" i="50" s="1"/>
  <c r="H1123" i="50" a="1"/>
  <c r="H1123" i="50" s="1"/>
  <c r="I1123" i="50" s="1" a="1"/>
  <c r="I1123" i="50" s="1"/>
  <c r="H1121" i="50" a="1"/>
  <c r="H1121" i="50" s="1"/>
  <c r="I1121" i="50" s="1" a="1"/>
  <c r="I1121" i="50" s="1"/>
  <c r="H1119" i="50" a="1"/>
  <c r="H1119" i="50" s="1"/>
  <c r="I1119" i="50" s="1" a="1"/>
  <c r="I1119" i="50" s="1"/>
  <c r="H1117" i="50" a="1"/>
  <c r="H1117" i="50" s="1"/>
  <c r="I1117" i="50" s="1" a="1"/>
  <c r="I1117" i="50" s="1"/>
  <c r="H1100" i="50" a="1"/>
  <c r="H1100" i="50" s="1"/>
  <c r="I1100" i="50" s="1" a="1"/>
  <c r="I1100" i="50" s="1"/>
  <c r="H1096" i="50" a="1"/>
  <c r="H1096" i="50" s="1"/>
  <c r="I1096" i="50" s="1" a="1"/>
  <c r="I1096" i="50" s="1"/>
  <c r="H1112" i="50" a="1"/>
  <c r="H1112" i="50" s="1"/>
  <c r="I1112" i="50" s="1" a="1"/>
  <c r="I1112" i="50" s="1"/>
  <c r="H1110" i="50" a="1"/>
  <c r="H1110" i="50" s="1"/>
  <c r="I1110" i="50" s="1" a="1"/>
  <c r="I1110" i="50" s="1"/>
  <c r="DM33" i="50"/>
  <c r="DO16" i="50"/>
  <c r="H1103" i="50" a="1"/>
  <c r="H1103" i="50" s="1"/>
  <c r="I1103" i="50" s="1" a="1"/>
  <c r="I1103" i="50" s="1"/>
  <c r="H1104" i="50" a="1"/>
  <c r="H1104" i="50" s="1"/>
  <c r="I1104" i="50" s="1" a="1"/>
  <c r="I1104" i="50" s="1"/>
  <c r="H1101" i="50" a="1"/>
  <c r="H1101" i="50" s="1"/>
  <c r="I1101" i="50" s="1" a="1"/>
  <c r="I1101" i="50" s="1"/>
  <c r="H1102" i="50" a="1"/>
  <c r="H1102" i="50" s="1"/>
  <c r="I1102" i="50" s="1" a="1"/>
  <c r="I1102" i="50" s="1"/>
  <c r="DH33" i="50"/>
  <c r="AO37" i="50"/>
  <c r="H1107" i="50" a="1"/>
  <c r="H1107" i="50" s="1"/>
  <c r="I1107" i="50" s="1" a="1"/>
  <c r="I1107" i="50" s="1"/>
  <c r="H1108" i="50" a="1"/>
  <c r="H1108" i="50" s="1"/>
  <c r="I1108" i="50" s="1" a="1"/>
  <c r="I1108" i="50" s="1"/>
  <c r="H1105" i="50" a="1"/>
  <c r="H1105" i="50" s="1"/>
  <c r="I1105" i="50" s="1" a="1"/>
  <c r="I1105" i="50" s="1"/>
  <c r="H1106" i="50" a="1"/>
  <c r="H1106" i="50" s="1"/>
  <c r="I1106" i="50" s="1" a="1"/>
  <c r="I1106" i="50" s="1"/>
  <c r="H1111" i="50" a="1"/>
  <c r="H1111" i="50" s="1"/>
  <c r="I1111" i="50" s="1" a="1"/>
  <c r="I1111" i="50" s="1"/>
  <c r="H1109" i="50" a="1"/>
  <c r="H1109" i="50" s="1"/>
  <c r="I1109" i="50" s="1" a="1"/>
  <c r="I1109" i="50" s="1"/>
  <c r="DK33" i="50"/>
  <c r="AL37" i="50"/>
  <c r="I8" i="50" s="1"/>
  <c r="H1099" i="50" a="1"/>
  <c r="H1099" i="50" s="1"/>
  <c r="I1099" i="50" s="1" a="1"/>
  <c r="I1099" i="50" s="1"/>
  <c r="H1097" i="50" a="1"/>
  <c r="H1097" i="50" s="1"/>
  <c r="I1097" i="50" s="1" a="1"/>
  <c r="I1097" i="50" s="1"/>
  <c r="H1098" i="50" a="1"/>
  <c r="H1098" i="50" s="1"/>
  <c r="I1098" i="50" s="1" a="1"/>
  <c r="I1098" i="50" s="1"/>
  <c r="CE37" i="50"/>
  <c r="DP35" i="50"/>
  <c r="D7" i="50" s="1"/>
  <c r="BX37" i="50"/>
  <c r="DK38" i="50"/>
  <c r="DK39" i="50"/>
  <c r="DH38" i="50"/>
  <c r="AK37" i="50"/>
  <c r="AH37" i="50"/>
  <c r="CB37" i="50"/>
  <c r="DM35" i="50"/>
  <c r="DM39" i="50"/>
  <c r="DH39" i="50"/>
  <c r="DJ34" i="50"/>
  <c r="DJ40" i="50"/>
  <c r="DO36" i="50"/>
  <c r="DO40" i="50"/>
  <c r="DO34" i="50"/>
  <c r="DM37" i="50"/>
  <c r="DK35" i="50"/>
  <c r="DK37" i="50"/>
  <c r="DH37" i="50"/>
  <c r="DM38" i="50"/>
  <c r="DI40" i="50"/>
  <c r="DI34" i="50"/>
  <c r="DI36" i="50"/>
  <c r="DH35" i="50"/>
  <c r="DH26" i="50"/>
  <c r="DH20" i="50"/>
  <c r="DH22" i="50"/>
  <c r="DO26" i="50"/>
  <c r="DO22" i="50"/>
  <c r="DO20" i="50"/>
  <c r="DL26" i="50"/>
  <c r="DI26" i="50"/>
  <c r="DI20" i="50"/>
  <c r="DI22" i="50"/>
  <c r="DK26" i="50"/>
  <c r="DK22" i="50"/>
  <c r="DK20" i="50"/>
  <c r="DN26" i="50"/>
  <c r="C11" i="50" s="1"/>
  <c r="DN22" i="50"/>
  <c r="C7" i="50" s="1"/>
  <c r="DN20" i="50"/>
  <c r="C6" i="50" s="1"/>
  <c r="B11" i="50"/>
  <c r="DH17" i="50"/>
  <c r="DO17" i="50"/>
  <c r="DH16" i="50"/>
  <c r="DK17" i="50"/>
  <c r="DK16" i="50"/>
  <c r="DN16" i="50"/>
  <c r="DN17" i="50"/>
  <c r="DI17" i="50"/>
  <c r="DI16" i="50"/>
  <c r="DJ30" i="50"/>
  <c r="DJ31" i="50"/>
  <c r="DO31" i="50"/>
  <c r="DO30" i="50"/>
  <c r="DP33" i="50"/>
  <c r="DM17" i="50"/>
  <c r="DM16" i="50"/>
  <c r="DL17" i="50"/>
  <c r="DL16" i="50"/>
  <c r="DI30" i="50"/>
  <c r="DI31" i="50"/>
  <c r="K8" i="38"/>
  <c r="K9" i="38" s="1"/>
  <c r="AK126" i="37"/>
  <c r="AK131" i="37"/>
  <c r="Z101" i="37"/>
  <c r="Y101" i="37"/>
  <c r="AI101" i="37"/>
  <c r="AQ101" i="37"/>
  <c r="AP101" i="37"/>
  <c r="AO101" i="37"/>
  <c r="AG101" i="37"/>
  <c r="AH101" i="37"/>
  <c r="AD74" i="37"/>
  <c r="AD128" i="37" s="1"/>
  <c r="CB128" i="37" s="1"/>
  <c r="AG110" i="37"/>
  <c r="AQ110" i="37"/>
  <c r="CO124" i="34"/>
  <c r="V113" i="37"/>
  <c r="V138" i="37" s="1"/>
  <c r="BY138" i="37" s="1"/>
  <c r="V74" i="37"/>
  <c r="V128" i="37" s="1"/>
  <c r="BY128" i="37" s="1"/>
  <c r="T113" i="37"/>
  <c r="T138" i="37" s="1"/>
  <c r="BW138" i="37" s="1"/>
  <c r="AL74" i="37"/>
  <c r="M74" i="37"/>
  <c r="AC74" i="37"/>
  <c r="AC128" i="37" s="1"/>
  <c r="AJ113" i="37"/>
  <c r="AC113" i="37"/>
  <c r="AC138" i="37" s="1"/>
  <c r="AE52" i="37"/>
  <c r="AF52" i="37" s="1"/>
  <c r="W113" i="37"/>
  <c r="X113" i="37" s="1"/>
  <c r="U113" i="37"/>
  <c r="U138" i="37" s="1"/>
  <c r="BX138" i="37" s="1"/>
  <c r="Y110" i="37"/>
  <c r="AH110" i="37"/>
  <c r="M113" i="37"/>
  <c r="AL113" i="37"/>
  <c r="AK113" i="37"/>
  <c r="AO110" i="37"/>
  <c r="AI110" i="37"/>
  <c r="L113" i="37"/>
  <c r="AE113" i="37"/>
  <c r="AF113" i="37" s="1"/>
  <c r="AB113" i="37"/>
  <c r="AB138" i="37" s="1"/>
  <c r="BZ138" i="37" s="1"/>
  <c r="AD113" i="37"/>
  <c r="AD138" i="37" s="1"/>
  <c r="CB138" i="37" s="1"/>
  <c r="Z110" i="37"/>
  <c r="AA110" i="37"/>
  <c r="AJ74" i="37"/>
  <c r="T74" i="37"/>
  <c r="T128" i="37" s="1"/>
  <c r="BW128" i="37" s="1"/>
  <c r="AB74" i="37"/>
  <c r="AB128" i="37" s="1"/>
  <c r="BZ128" i="37" s="1"/>
  <c r="U74" i="37"/>
  <c r="U128" i="37" s="1"/>
  <c r="BX128" i="37" s="1"/>
  <c r="AK74" i="37"/>
  <c r="CO123" i="34"/>
  <c r="CK49" i="34"/>
  <c r="BY49" i="34" s="1"/>
  <c r="CU49" i="34"/>
  <c r="CO125" i="34"/>
  <c r="AD35" i="34"/>
  <c r="AE35" i="34" s="1"/>
  <c r="AC35" i="34"/>
  <c r="AF70" i="34"/>
  <c r="M56" i="37"/>
  <c r="AB52" i="37"/>
  <c r="AB124" i="37" s="1"/>
  <c r="AD52" i="37"/>
  <c r="AD124" i="37" s="1"/>
  <c r="CB124" i="37" s="1"/>
  <c r="L52" i="37"/>
  <c r="U55" i="39"/>
  <c r="T55" i="39"/>
  <c r="U50" i="39"/>
  <c r="T50" i="39"/>
  <c r="AI95" i="37"/>
  <c r="AK52" i="37"/>
  <c r="AM52" i="37"/>
  <c r="AN52" i="37" s="1"/>
  <c r="AP95" i="37"/>
  <c r="AH95" i="37"/>
  <c r="AQ95" i="37"/>
  <c r="Z95" i="37"/>
  <c r="AO95" i="37"/>
  <c r="AA95" i="37"/>
  <c r="Y95" i="37"/>
  <c r="T52" i="37"/>
  <c r="T124" i="37" s="1"/>
  <c r="BW124" i="37" s="1"/>
  <c r="W52" i="37"/>
  <c r="X52" i="37" s="1"/>
  <c r="AF8" i="37"/>
  <c r="AD8" i="37"/>
  <c r="AD122" i="37" s="1"/>
  <c r="CB122" i="37" s="1"/>
  <c r="AE24" i="37"/>
  <c r="AF24" i="37" s="1"/>
  <c r="L8" i="37"/>
  <c r="L24" i="37"/>
  <c r="M8" i="37"/>
  <c r="AJ52" i="37"/>
  <c r="CG51" i="34"/>
  <c r="BT51" i="34" s="1"/>
  <c r="AL52" i="37"/>
  <c r="Q46" i="39"/>
  <c r="Q47" i="39"/>
  <c r="Q12" i="39"/>
  <c r="Q13" i="39"/>
  <c r="U52" i="37"/>
  <c r="U124" i="37" s="1"/>
  <c r="BX124" i="37" s="1"/>
  <c r="V52" i="37"/>
  <c r="V124" i="37" s="1"/>
  <c r="BY124" i="37" s="1"/>
  <c r="AH24" i="37"/>
  <c r="AD24" i="37"/>
  <c r="AD123" i="37" s="1"/>
  <c r="CB123" i="37" s="1"/>
  <c r="AC24" i="37"/>
  <c r="AC123" i="37" s="1"/>
  <c r="AB24" i="37"/>
  <c r="AB123" i="37" s="1"/>
  <c r="BZ123" i="37" s="1"/>
  <c r="AB8" i="37"/>
  <c r="AB122" i="37" s="1"/>
  <c r="BZ122" i="37" s="1"/>
  <c r="AC8" i="37"/>
  <c r="AC122" i="37" s="1"/>
  <c r="CA122" i="37" s="1"/>
  <c r="T8" i="13"/>
  <c r="T12" i="13"/>
  <c r="T11" i="13"/>
  <c r="L51" i="14"/>
  <c r="P51" i="14"/>
  <c r="R51" i="14"/>
  <c r="Q51" i="14"/>
  <c r="B7" i="50" l="1"/>
  <c r="B6" i="50"/>
  <c r="DQ42" i="50"/>
  <c r="DQ41" i="50"/>
  <c r="DQ135" i="50"/>
  <c r="AG24" i="37"/>
  <c r="CA124" i="37"/>
  <c r="CO120" i="34"/>
  <c r="AI24" i="37"/>
  <c r="CO126" i="34"/>
  <c r="AH8" i="37"/>
  <c r="AO52" i="37"/>
  <c r="AQ113" i="37"/>
  <c r="AJ128" i="37"/>
  <c r="AK128" i="37" s="1"/>
  <c r="CA128" i="37"/>
  <c r="AJ138" i="37"/>
  <c r="AK138" i="37" s="1"/>
  <c r="CA138" i="37"/>
  <c r="AG74" i="37"/>
  <c r="AK124" i="37"/>
  <c r="BZ124" i="37"/>
  <c r="AJ123" i="37"/>
  <c r="CA123" i="37"/>
  <c r="AL33" i="50"/>
  <c r="AH19" i="50"/>
  <c r="CG21" i="50"/>
  <c r="CB25" i="50"/>
  <c r="CB26" i="50" s="1"/>
  <c r="AN19" i="50"/>
  <c r="AH25" i="50"/>
  <c r="AH26" i="50" s="1"/>
  <c r="BY21" i="50"/>
  <c r="CF19" i="50"/>
  <c r="AP25" i="50"/>
  <c r="AP20" i="50" s="1"/>
  <c r="BY24" i="50"/>
  <c r="AN25" i="50"/>
  <c r="H10" i="50" s="1"/>
  <c r="CF24" i="50"/>
  <c r="FK791" i="50"/>
  <c r="D6" i="50"/>
  <c r="FK857" i="50"/>
  <c r="FK835" i="50"/>
  <c r="FK697" i="50"/>
  <c r="FK732" i="50"/>
  <c r="FK783" i="50"/>
  <c r="FK688" i="50"/>
  <c r="FK716" i="50"/>
  <c r="FK681" i="50"/>
  <c r="FK702" i="50"/>
  <c r="FK752" i="50"/>
  <c r="FK729" i="50"/>
  <c r="FK815" i="50"/>
  <c r="FK779" i="50"/>
  <c r="FK855" i="50"/>
  <c r="FK818" i="50"/>
  <c r="FK685" i="50"/>
  <c r="FK720" i="50"/>
  <c r="FK849" i="50"/>
  <c r="FK682" i="50"/>
  <c r="FK784" i="50"/>
  <c r="FK904" i="50"/>
  <c r="FK801" i="50"/>
  <c r="FK853" i="50"/>
  <c r="FK788" i="50"/>
  <c r="FK703" i="50"/>
  <c r="FK693" i="50"/>
  <c r="FK787" i="50"/>
  <c r="FK691" i="50"/>
  <c r="FK795" i="50"/>
  <c r="FK811" i="50"/>
  <c r="FK780" i="50"/>
  <c r="FK699" i="50"/>
  <c r="FK798" i="50"/>
  <c r="FK700" i="50"/>
  <c r="FK804" i="50"/>
  <c r="FK747" i="50"/>
  <c r="FK821" i="50"/>
  <c r="FK847" i="50"/>
  <c r="FK807" i="50"/>
  <c r="FK851" i="50"/>
  <c r="FK718" i="50"/>
  <c r="FK792" i="50"/>
  <c r="AK24" i="50"/>
  <c r="AH24" i="50"/>
  <c r="AK19" i="50"/>
  <c r="CG24" i="50"/>
  <c r="CE24" i="50"/>
  <c r="CA21" i="50"/>
  <c r="CG25" i="50"/>
  <c r="CG22" i="50" s="1"/>
  <c r="AM21" i="50"/>
  <c r="AP19" i="50"/>
  <c r="AI21" i="50"/>
  <c r="BZ25" i="50"/>
  <c r="BZ26" i="50" s="1"/>
  <c r="AN24" i="50"/>
  <c r="H9" i="50" s="1"/>
  <c r="CC21" i="50"/>
  <c r="CE21" i="50"/>
  <c r="AJ21" i="50"/>
  <c r="CF21" i="50"/>
  <c r="CF17" i="50" s="1"/>
  <c r="AM24" i="50"/>
  <c r="G9" i="50" s="1"/>
  <c r="CD25" i="50"/>
  <c r="CD26" i="50" s="1"/>
  <c r="AL19" i="50"/>
  <c r="CC19" i="50"/>
  <c r="F10" i="50"/>
  <c r="AH21" i="50"/>
  <c r="AH16" i="50" s="1"/>
  <c r="AO19" i="50"/>
  <c r="CA25" i="50"/>
  <c r="CA20" i="50" s="1"/>
  <c r="CF25" i="50"/>
  <c r="CF22" i="50" s="1"/>
  <c r="BX19" i="50"/>
  <c r="AJ19" i="50"/>
  <c r="CB21" i="50"/>
  <c r="AJ25" i="50"/>
  <c r="AJ26" i="50" s="1"/>
  <c r="BZ24" i="50"/>
  <c r="AL21" i="50"/>
  <c r="AL24" i="50"/>
  <c r="F9" i="50" s="1"/>
  <c r="AI19" i="50"/>
  <c r="CC25" i="50"/>
  <c r="CC20" i="50" s="1"/>
  <c r="CD19" i="50"/>
  <c r="AO25" i="50"/>
  <c r="AO22" i="50" s="1"/>
  <c r="CD21" i="50"/>
  <c r="AK21" i="50"/>
  <c r="CC24" i="50"/>
  <c r="AI24" i="50"/>
  <c r="AP39" i="50"/>
  <c r="AP40" i="50" s="1"/>
  <c r="AQ25" i="50"/>
  <c r="AQ26" i="50" s="1"/>
  <c r="CB19" i="50"/>
  <c r="CA19" i="50"/>
  <c r="AN21" i="50"/>
  <c r="BY25" i="50"/>
  <c r="BY26" i="50" s="1"/>
  <c r="AM25" i="50"/>
  <c r="G10" i="50" s="1"/>
  <c r="CE19" i="50"/>
  <c r="BY19" i="50"/>
  <c r="AJ24" i="50"/>
  <c r="CE25" i="50"/>
  <c r="CE20" i="50" s="1"/>
  <c r="AP21" i="50"/>
  <c r="AP24" i="50"/>
  <c r="AQ19" i="50"/>
  <c r="BX21" i="50"/>
  <c r="BZ21" i="50"/>
  <c r="AO21" i="50"/>
  <c r="CD24" i="50"/>
  <c r="AK25" i="50"/>
  <c r="AK20" i="50" s="1"/>
  <c r="BZ19" i="50"/>
  <c r="AQ24" i="50"/>
  <c r="AM19" i="50"/>
  <c r="AI25" i="50"/>
  <c r="AI20" i="50" s="1"/>
  <c r="CA24" i="50"/>
  <c r="BX25" i="50"/>
  <c r="BX22" i="50" s="1"/>
  <c r="AO24" i="50"/>
  <c r="CB24" i="50"/>
  <c r="CG19" i="50"/>
  <c r="AQ21" i="50"/>
  <c r="BX24" i="50"/>
  <c r="CO122" i="34"/>
  <c r="BZ33" i="50"/>
  <c r="CF33" i="50"/>
  <c r="AJ38" i="50"/>
  <c r="DK36" i="50"/>
  <c r="AO38" i="50"/>
  <c r="BY39" i="50"/>
  <c r="BY40" i="50" s="1"/>
  <c r="AM33" i="50"/>
  <c r="AP33" i="50"/>
  <c r="BX38" i="50"/>
  <c r="CA39" i="50"/>
  <c r="CA36" i="50" s="1"/>
  <c r="AL38" i="50"/>
  <c r="I9" i="50" s="1"/>
  <c r="CB35" i="50"/>
  <c r="CA35" i="50"/>
  <c r="BZ38" i="50"/>
  <c r="AK33" i="50"/>
  <c r="AN33" i="50"/>
  <c r="CG35" i="50"/>
  <c r="CC35" i="50"/>
  <c r="AM39" i="50"/>
  <c r="AM34" i="50" s="1"/>
  <c r="AH35" i="50"/>
  <c r="AM38" i="50"/>
  <c r="CB39" i="50"/>
  <c r="CB36" i="50" s="1"/>
  <c r="BY33" i="50"/>
  <c r="CA33" i="50"/>
  <c r="BX33" i="50"/>
  <c r="BZ35" i="50"/>
  <c r="AQ35" i="50"/>
  <c r="AN39" i="50"/>
  <c r="J10" i="50" s="1"/>
  <c r="AK39" i="50"/>
  <c r="AK40" i="50" s="1"/>
  <c r="AQ39" i="50"/>
  <c r="AQ34" i="50" s="1"/>
  <c r="AP35" i="50"/>
  <c r="CF35" i="50"/>
  <c r="CC39" i="50"/>
  <c r="CC36" i="50" s="1"/>
  <c r="CA38" i="50"/>
  <c r="BX35" i="50"/>
  <c r="BZ39" i="50"/>
  <c r="BZ34" i="50" s="1"/>
  <c r="AJ35" i="50"/>
  <c r="AK35" i="50"/>
  <c r="AQ33" i="50"/>
  <c r="AH33" i="50"/>
  <c r="AL39" i="50"/>
  <c r="AL40" i="50" s="1"/>
  <c r="I11" i="50" s="1"/>
  <c r="CF38" i="50"/>
  <c r="CB38" i="50"/>
  <c r="CF39" i="50"/>
  <c r="CF40" i="50" s="1"/>
  <c r="CC38" i="50"/>
  <c r="BY38" i="50"/>
  <c r="CE35" i="50"/>
  <c r="CE39" i="50"/>
  <c r="CE36" i="50" s="1"/>
  <c r="CG38" i="50"/>
  <c r="CD33" i="50"/>
  <c r="CD38" i="50"/>
  <c r="AI35" i="50"/>
  <c r="AJ33" i="50"/>
  <c r="AJ30" i="50" s="1"/>
  <c r="AJ39" i="50"/>
  <c r="AJ34" i="50" s="1"/>
  <c r="AO33" i="50"/>
  <c r="AP38" i="50"/>
  <c r="AI33" i="50"/>
  <c r="AI39" i="50"/>
  <c r="AI40" i="50" s="1"/>
  <c r="AN35" i="50"/>
  <c r="AL35" i="50"/>
  <c r="AQ38" i="50"/>
  <c r="CB33" i="50"/>
  <c r="BX39" i="50"/>
  <c r="BX34" i="50" s="1"/>
  <c r="CC33" i="50"/>
  <c r="CG39" i="50"/>
  <c r="CG40" i="50" s="1"/>
  <c r="CE33" i="50"/>
  <c r="CE38" i="50"/>
  <c r="CG33" i="50"/>
  <c r="BY35" i="50"/>
  <c r="CD35" i="50"/>
  <c r="CD39" i="50"/>
  <c r="CD40" i="50" s="1"/>
  <c r="AN38" i="50"/>
  <c r="J9" i="50" s="1"/>
  <c r="AK38" i="50"/>
  <c r="AH39" i="50"/>
  <c r="AH36" i="50" s="1"/>
  <c r="AO35" i="50"/>
  <c r="AO39" i="50"/>
  <c r="AO40" i="50" s="1"/>
  <c r="AM35" i="50"/>
  <c r="AH38" i="50"/>
  <c r="AI38" i="50"/>
  <c r="J1118" i="50" a="1"/>
  <c r="J1118" i="50" s="1"/>
  <c r="K1118" i="50" a="1"/>
  <c r="K1118" i="50" s="1"/>
  <c r="J1117" i="50" a="1"/>
  <c r="J1117" i="50" s="1"/>
  <c r="K1117" i="50" a="1"/>
  <c r="K1117" i="50" s="1"/>
  <c r="J1125" i="50" a="1"/>
  <c r="J1125" i="50" s="1"/>
  <c r="K1125" i="50" a="1"/>
  <c r="K1125" i="50" s="1"/>
  <c r="J1130" i="50" a="1"/>
  <c r="J1130" i="50" s="1"/>
  <c r="K1130" i="50" a="1"/>
  <c r="K1130" i="50" s="1"/>
  <c r="J1120" i="50" a="1"/>
  <c r="J1120" i="50" s="1"/>
  <c r="K1120" i="50" a="1"/>
  <c r="K1120" i="50" s="1"/>
  <c r="J1132" i="50" a="1"/>
  <c r="J1132" i="50" s="1"/>
  <c r="K1132" i="50" a="1"/>
  <c r="K1132" i="50" s="1"/>
  <c r="J1129" i="50" a="1"/>
  <c r="J1129" i="50" s="1"/>
  <c r="K1129" i="50" a="1"/>
  <c r="K1129" i="50" s="1"/>
  <c r="J1119" i="50" a="1"/>
  <c r="J1119" i="50" s="1"/>
  <c r="K1119" i="50" a="1"/>
  <c r="K1119" i="50" s="1"/>
  <c r="J1127" i="50" a="1"/>
  <c r="J1127" i="50" s="1"/>
  <c r="K1127" i="50" a="1"/>
  <c r="K1127" i="50" s="1"/>
  <c r="J1131" i="50" a="1"/>
  <c r="J1131" i="50" s="1"/>
  <c r="K1131" i="50" a="1"/>
  <c r="K1131" i="50" s="1"/>
  <c r="J1122" i="50" a="1"/>
  <c r="J1122" i="50" s="1"/>
  <c r="K1122" i="50" a="1"/>
  <c r="K1122" i="50" s="1"/>
  <c r="J1123" i="50" a="1"/>
  <c r="J1123" i="50" s="1"/>
  <c r="K1123" i="50" a="1"/>
  <c r="K1123" i="50" s="1"/>
  <c r="J1126" i="50" a="1"/>
  <c r="J1126" i="50" s="1"/>
  <c r="K1126" i="50" a="1"/>
  <c r="K1126" i="50" s="1"/>
  <c r="J1121" i="50" a="1"/>
  <c r="J1121" i="50" s="1"/>
  <c r="K1121" i="50" a="1"/>
  <c r="K1121" i="50" s="1"/>
  <c r="J1128" i="50" a="1"/>
  <c r="J1128" i="50" s="1"/>
  <c r="K1128" i="50" a="1"/>
  <c r="K1128" i="50" s="1"/>
  <c r="J1116" i="50" a="1"/>
  <c r="J1116" i="50" s="1"/>
  <c r="K1116" i="50" a="1"/>
  <c r="K1116" i="50" s="1"/>
  <c r="J1124" i="50" a="1"/>
  <c r="J1124" i="50" s="1"/>
  <c r="K1124" i="50" a="1"/>
  <c r="K1124" i="50" s="1"/>
  <c r="DK34" i="50"/>
  <c r="J1098" i="50" a="1"/>
  <c r="J1098" i="50" s="1"/>
  <c r="K1098" i="50" a="1"/>
  <c r="K1098" i="50" s="1"/>
  <c r="J1101" i="50" a="1"/>
  <c r="J1101" i="50" s="1"/>
  <c r="K1101" i="50" a="1"/>
  <c r="K1101" i="50" s="1"/>
  <c r="K1097" i="50" a="1"/>
  <c r="K1097" i="50" s="1"/>
  <c r="J1097" i="50" a="1"/>
  <c r="J1097" i="50" s="1"/>
  <c r="K1104" i="50" a="1"/>
  <c r="K1104" i="50" s="1"/>
  <c r="J1104" i="50" a="1"/>
  <c r="J1104" i="50" s="1"/>
  <c r="DK40" i="50"/>
  <c r="K1100" i="50" a="1"/>
  <c r="K1100" i="50" s="1"/>
  <c r="J1100" i="50" a="1"/>
  <c r="J1100" i="50" s="1"/>
  <c r="K1109" i="50" a="1"/>
  <c r="K1109" i="50" s="1"/>
  <c r="J1109" i="50" a="1"/>
  <c r="J1109" i="50" s="1"/>
  <c r="K1108" i="50" a="1"/>
  <c r="K1108" i="50" s="1"/>
  <c r="J1108" i="50" a="1"/>
  <c r="J1108" i="50" s="1"/>
  <c r="K1103" i="50" a="1"/>
  <c r="K1103" i="50" s="1"/>
  <c r="J1103" i="50" a="1"/>
  <c r="J1103" i="50" s="1"/>
  <c r="K1112" i="50" a="1"/>
  <c r="K1112" i="50" s="1"/>
  <c r="J1112" i="50" a="1"/>
  <c r="J1112" i="50" s="1"/>
  <c r="K1106" i="50" a="1"/>
  <c r="K1106" i="50" s="1"/>
  <c r="J1106" i="50" a="1"/>
  <c r="J1106" i="50" s="1"/>
  <c r="J1105" i="50" a="1"/>
  <c r="J1105" i="50" s="1"/>
  <c r="K1105" i="50" a="1"/>
  <c r="K1105" i="50" s="1"/>
  <c r="K1110" i="50" a="1"/>
  <c r="K1110" i="50" s="1"/>
  <c r="J1110" i="50" a="1"/>
  <c r="J1110" i="50" s="1"/>
  <c r="K1099" i="50" a="1"/>
  <c r="K1099" i="50" s="1"/>
  <c r="J1099" i="50" a="1"/>
  <c r="J1099" i="50" s="1"/>
  <c r="K1111" i="50" a="1"/>
  <c r="K1111" i="50" s="1"/>
  <c r="J1111" i="50" a="1"/>
  <c r="J1111" i="50" s="1"/>
  <c r="J1107" i="50" a="1"/>
  <c r="J1107" i="50" s="1"/>
  <c r="K1107" i="50" a="1"/>
  <c r="K1107" i="50" s="1"/>
  <c r="K1102" i="50" a="1"/>
  <c r="K1102" i="50" s="1"/>
  <c r="J1102" i="50" a="1"/>
  <c r="J1102" i="50" s="1"/>
  <c r="K1096" i="50" a="1"/>
  <c r="K1096" i="50" s="1"/>
  <c r="J1096" i="50" a="1"/>
  <c r="J1096" i="50" s="1"/>
  <c r="BY22" i="50"/>
  <c r="DH34" i="50"/>
  <c r="DH36" i="50"/>
  <c r="DH40" i="50"/>
  <c r="AH20" i="50"/>
  <c r="AH22" i="50"/>
  <c r="CC26" i="50"/>
  <c r="DM34" i="50"/>
  <c r="DM36" i="50"/>
  <c r="DM40" i="50"/>
  <c r="CD22" i="50"/>
  <c r="DH30" i="50"/>
  <c r="AH17" i="50"/>
  <c r="DH31" i="50"/>
  <c r="DM30" i="50"/>
  <c r="DP30" i="50"/>
  <c r="DP31" i="50"/>
  <c r="DK30" i="50"/>
  <c r="DK31" i="50"/>
  <c r="DM31" i="50"/>
  <c r="CO129" i="34"/>
  <c r="AI74" i="37"/>
  <c r="CO128" i="34"/>
  <c r="CQ104" i="34"/>
  <c r="AO113" i="37"/>
  <c r="AJ122" i="37"/>
  <c r="AK122" i="37" s="1"/>
  <c r="AC140" i="37"/>
  <c r="CA140" i="37" s="1"/>
  <c r="AD140" i="37"/>
  <c r="CB140" i="37" s="1"/>
  <c r="AI113" i="37"/>
  <c r="AB140" i="37"/>
  <c r="BZ140" i="37" s="1"/>
  <c r="Y74" i="37"/>
  <c r="AO74" i="37"/>
  <c r="AH74" i="37"/>
  <c r="AP74" i="37"/>
  <c r="AA74" i="37"/>
  <c r="AQ74" i="37"/>
  <c r="Z74" i="37"/>
  <c r="AH113" i="37"/>
  <c r="Z113" i="37"/>
  <c r="AA113" i="37"/>
  <c r="AG113" i="37"/>
  <c r="Y113" i="37"/>
  <c r="AP113" i="37"/>
  <c r="AK123" i="37"/>
  <c r="AO39" i="34"/>
  <c r="AO51" i="34"/>
  <c r="AN39" i="34"/>
  <c r="AN51" i="34"/>
  <c r="AK39" i="34"/>
  <c r="R38" i="34"/>
  <c r="Y38" i="34" s="1"/>
  <c r="AK51" i="34"/>
  <c r="AI52" i="37"/>
  <c r="AP52" i="37"/>
  <c r="AG52" i="37"/>
  <c r="AA52" i="37"/>
  <c r="Z52" i="37"/>
  <c r="Y52" i="37"/>
  <c r="AH52" i="37"/>
  <c r="AQ52" i="37"/>
  <c r="AW6" i="37"/>
  <c r="X8" i="37"/>
  <c r="T24" i="37"/>
  <c r="T123" i="37" s="1"/>
  <c r="BW123" i="37" s="1"/>
  <c r="AE5" i="37"/>
  <c r="AE3" i="37"/>
  <c r="AI8" i="37"/>
  <c r="AF4" i="37"/>
  <c r="AF3" i="37"/>
  <c r="AG8" i="37"/>
  <c r="AC3" i="37"/>
  <c r="AC4" i="37"/>
  <c r="AC5" i="37"/>
  <c r="AD5" i="37"/>
  <c r="AD4" i="37"/>
  <c r="AD3" i="37"/>
  <c r="AB5" i="37"/>
  <c r="AB4" i="37"/>
  <c r="AB6" i="37"/>
  <c r="AB3" i="37"/>
  <c r="CI51" i="34"/>
  <c r="Q38" i="34"/>
  <c r="X38" i="34" s="1"/>
  <c r="P38" i="34"/>
  <c r="W38" i="34" s="1"/>
  <c r="I2" i="38"/>
  <c r="I4" i="38"/>
  <c r="I3" i="38"/>
  <c r="AH31" i="50" l="1"/>
  <c r="DR135" i="50"/>
  <c r="DQ43" i="50" s="1" a="1"/>
  <c r="DQ43" i="50" s="1"/>
  <c r="DQ45" i="50"/>
  <c r="AQ30" i="50"/>
  <c r="FI914" i="50"/>
  <c r="AM40" i="50"/>
  <c r="AI26" i="50"/>
  <c r="AM22" i="50"/>
  <c r="G7" i="50" s="1"/>
  <c r="CB22" i="50"/>
  <c r="CG26" i="50"/>
  <c r="BZ22" i="50"/>
  <c r="CB20" i="50"/>
  <c r="CF16" i="50"/>
  <c r="FI232" i="50"/>
  <c r="FI229" i="50"/>
  <c r="FI123" i="50"/>
  <c r="FI227" i="50"/>
  <c r="FI124" i="50"/>
  <c r="FI121" i="50"/>
  <c r="FI118" i="50"/>
  <c r="FI122" i="50"/>
  <c r="FI117" i="50"/>
  <c r="FI125" i="50"/>
  <c r="FI231" i="50"/>
  <c r="FI120" i="50"/>
  <c r="FI126" i="50"/>
  <c r="FI228" i="50"/>
  <c r="FI225" i="50"/>
  <c r="FI230" i="50"/>
  <c r="AJ20" i="50"/>
  <c r="AL20" i="50"/>
  <c r="F6" i="50" s="1"/>
  <c r="CB17" i="50"/>
  <c r="FI313" i="50"/>
  <c r="FI414" i="50"/>
  <c r="FI175" i="50"/>
  <c r="FI348" i="50"/>
  <c r="FI375" i="50"/>
  <c r="FI127" i="50"/>
  <c r="FI140" i="50"/>
  <c r="FI376" i="50"/>
  <c r="FI343" i="50"/>
  <c r="FI100" i="50"/>
  <c r="FI142" i="50"/>
  <c r="FI129" i="50"/>
  <c r="FI128" i="50"/>
  <c r="FI423" i="50"/>
  <c r="FI379" i="50"/>
  <c r="FI365" i="50"/>
  <c r="FI354" i="50"/>
  <c r="FI332" i="50"/>
  <c r="FI150" i="50"/>
  <c r="FI317" i="50"/>
  <c r="FI333" i="50"/>
  <c r="FI179" i="50"/>
  <c r="FI97" i="50"/>
  <c r="FI337" i="50"/>
  <c r="FI132" i="50"/>
  <c r="FI314" i="50"/>
  <c r="FI130" i="50"/>
  <c r="FI322" i="50"/>
  <c r="FI319" i="50"/>
  <c r="FI415" i="50"/>
  <c r="FI360" i="50"/>
  <c r="FI330" i="50"/>
  <c r="FI381" i="50"/>
  <c r="FI176" i="50"/>
  <c r="FI366" i="50"/>
  <c r="FI134" i="50"/>
  <c r="FI378" i="50"/>
  <c r="FI416" i="50"/>
  <c r="FI139" i="50"/>
  <c r="FI147" i="50"/>
  <c r="FI418" i="50"/>
  <c r="FI310" i="50"/>
  <c r="FI384" i="50"/>
  <c r="FI347" i="50"/>
  <c r="FI312" i="50"/>
  <c r="FI364" i="50"/>
  <c r="FI141" i="50"/>
  <c r="FI346" i="50"/>
  <c r="FI136" i="50"/>
  <c r="FI368" i="50"/>
  <c r="FI352" i="50"/>
  <c r="FI420" i="50"/>
  <c r="FI99" i="50"/>
  <c r="FI359" i="50"/>
  <c r="FI325" i="50"/>
  <c r="FI344" i="50"/>
  <c r="FI338" i="50"/>
  <c r="FI96" i="50"/>
  <c r="FI424" i="50"/>
  <c r="FI146" i="50"/>
  <c r="FI174" i="50"/>
  <c r="FI323" i="50"/>
  <c r="FI334" i="50"/>
  <c r="FI380" i="50"/>
  <c r="FI316" i="50"/>
  <c r="FI371" i="50"/>
  <c r="FI153" i="50"/>
  <c r="FI177" i="50"/>
  <c r="FI137" i="50"/>
  <c r="FI315" i="50"/>
  <c r="FI417" i="50"/>
  <c r="FI361" i="50"/>
  <c r="FI143" i="50"/>
  <c r="FI342" i="50"/>
  <c r="FI387" i="50"/>
  <c r="FI309" i="50"/>
  <c r="FI362" i="50"/>
  <c r="FI374" i="50"/>
  <c r="FI357" i="50"/>
  <c r="FI181" i="50"/>
  <c r="FI321" i="50"/>
  <c r="FI320" i="50"/>
  <c r="FI311" i="50"/>
  <c r="FI331" i="50"/>
  <c r="FI329" i="50"/>
  <c r="FI148" i="50"/>
  <c r="FI178" i="50"/>
  <c r="FI152" i="50"/>
  <c r="FI339" i="50"/>
  <c r="FI363" i="50"/>
  <c r="FI358" i="50"/>
  <c r="FI326" i="50"/>
  <c r="FI372" i="50"/>
  <c r="FI386" i="50"/>
  <c r="FI173" i="50"/>
  <c r="FI373" i="50"/>
  <c r="FI353" i="50"/>
  <c r="FI318" i="50"/>
  <c r="FI145" i="50"/>
  <c r="FI369" i="50"/>
  <c r="FI341" i="50"/>
  <c r="FI327" i="50"/>
  <c r="FI419" i="50"/>
  <c r="FI383" i="50"/>
  <c r="FI421" i="50"/>
  <c r="FI422" i="50"/>
  <c r="FI95" i="50"/>
  <c r="FI388" i="50"/>
  <c r="FI328" i="50"/>
  <c r="FI180" i="50"/>
  <c r="FI336" i="50"/>
  <c r="FI324" i="50"/>
  <c r="FI98" i="50"/>
  <c r="FI345" i="50"/>
  <c r="FI151" i="50"/>
  <c r="FI385" i="50"/>
  <c r="FI133" i="50"/>
  <c r="FI340" i="50"/>
  <c r="FI367" i="50"/>
  <c r="FI370" i="50"/>
  <c r="FI377" i="50"/>
  <c r="FI154" i="50"/>
  <c r="FI335" i="50"/>
  <c r="FI413" i="50"/>
  <c r="FI382" i="50"/>
  <c r="FI131" i="50"/>
  <c r="AH30" i="50"/>
  <c r="AO26" i="50"/>
  <c r="FI592" i="50"/>
  <c r="FI603" i="50"/>
  <c r="FI607" i="50"/>
  <c r="FI602" i="50"/>
  <c r="FI605" i="50"/>
  <c r="FI599" i="50"/>
  <c r="FI597" i="50"/>
  <c r="FI589" i="50"/>
  <c r="FI591" i="50"/>
  <c r="FI524" i="50"/>
  <c r="FI612" i="50"/>
  <c r="FI587" i="50"/>
  <c r="FI426" i="50"/>
  <c r="FI610" i="50"/>
  <c r="FI582" i="50"/>
  <c r="FI613" i="50"/>
  <c r="FI525" i="50"/>
  <c r="FI616" i="50"/>
  <c r="FI522" i="50"/>
  <c r="FI601" i="50"/>
  <c r="FI518" i="50"/>
  <c r="FI580" i="50"/>
  <c r="FI611" i="50"/>
  <c r="FI520" i="50"/>
  <c r="FI428" i="50"/>
  <c r="FI615" i="50"/>
  <c r="FI521" i="50"/>
  <c r="FI609" i="50"/>
  <c r="FI600" i="50"/>
  <c r="FI515" i="50"/>
  <c r="FI606" i="50"/>
  <c r="FI430" i="50"/>
  <c r="FI472" i="50"/>
  <c r="FI583" i="50"/>
  <c r="FI468" i="50"/>
  <c r="FI469" i="50"/>
  <c r="FI504" i="50"/>
  <c r="FI508" i="50"/>
  <c r="FI464" i="50"/>
  <c r="FI523" i="50"/>
  <c r="FI493" i="50"/>
  <c r="FI446" i="50"/>
  <c r="FI485" i="50"/>
  <c r="FI471" i="50"/>
  <c r="FI506" i="50"/>
  <c r="FI514" i="50"/>
  <c r="FI458" i="50"/>
  <c r="FI459" i="50"/>
  <c r="FI480" i="50"/>
  <c r="FI507" i="50"/>
  <c r="FI614" i="50"/>
  <c r="FI455" i="50"/>
  <c r="FI498" i="50"/>
  <c r="FI501" i="50"/>
  <c r="FI467" i="50"/>
  <c r="FI450" i="50"/>
  <c r="FI453" i="50"/>
  <c r="FI619" i="50"/>
  <c r="FI440" i="50"/>
  <c r="FI581" i="50"/>
  <c r="FI598" i="50"/>
  <c r="FI618" i="50"/>
  <c r="FI473" i="50"/>
  <c r="FI502" i="50"/>
  <c r="FI505" i="50"/>
  <c r="FI584" i="50"/>
  <c r="FI442" i="50"/>
  <c r="FI586" i="50"/>
  <c r="FI439" i="50"/>
  <c r="FI482" i="50"/>
  <c r="FI617" i="50"/>
  <c r="FI457" i="50"/>
  <c r="FI477" i="50"/>
  <c r="FI478" i="50"/>
  <c r="FI447" i="50"/>
  <c r="FI509" i="50"/>
  <c r="FI451" i="50"/>
  <c r="FI495" i="50"/>
  <c r="FI590" i="50"/>
  <c r="FI596" i="50"/>
  <c r="FI445" i="50"/>
  <c r="FI604" i="50"/>
  <c r="FI484" i="50"/>
  <c r="FI585" i="50"/>
  <c r="FI456" i="50"/>
  <c r="FI460" i="50"/>
  <c r="FI432" i="50"/>
  <c r="FI463" i="50"/>
  <c r="FI491" i="50"/>
  <c r="FI433" i="50"/>
  <c r="FI497" i="50"/>
  <c r="FI427" i="50"/>
  <c r="FI489" i="50"/>
  <c r="FI462" i="50"/>
  <c r="FI588" i="50"/>
  <c r="FI476" i="50"/>
  <c r="FI436" i="50"/>
  <c r="FI500" i="50"/>
  <c r="FI443" i="50"/>
  <c r="FI448" i="50"/>
  <c r="FI435" i="50"/>
  <c r="FI517" i="50"/>
  <c r="FI519" i="50"/>
  <c r="FI490" i="50"/>
  <c r="FI483" i="50"/>
  <c r="FI486" i="50"/>
  <c r="FI434" i="50"/>
  <c r="FI466" i="50"/>
  <c r="FI608" i="50"/>
  <c r="FI441" i="50"/>
  <c r="FI452" i="50"/>
  <c r="FI437" i="50"/>
  <c r="FI496" i="50"/>
  <c r="FI511" i="50"/>
  <c r="FI594" i="50"/>
  <c r="FI444" i="50"/>
  <c r="FI513" i="50"/>
  <c r="FI492" i="50"/>
  <c r="FI449" i="50"/>
  <c r="FI488" i="50"/>
  <c r="FI494" i="50"/>
  <c r="FI510" i="50"/>
  <c r="FI503" i="50"/>
  <c r="FI429" i="50"/>
  <c r="FI454" i="50"/>
  <c r="FI593" i="50"/>
  <c r="FI487" i="50"/>
  <c r="FI470" i="50"/>
  <c r="FI499" i="50"/>
  <c r="FI431" i="50"/>
  <c r="FI595" i="50"/>
  <c r="FI475" i="50"/>
  <c r="FI479" i="50"/>
  <c r="FI438" i="50"/>
  <c r="FI481" i="50"/>
  <c r="FI465" i="50"/>
  <c r="FI461" i="50"/>
  <c r="FI474" i="50"/>
  <c r="AL17" i="50"/>
  <c r="AK22" i="50"/>
  <c r="AN22" i="50"/>
  <c r="H7" i="50" s="1"/>
  <c r="CE22" i="50"/>
  <c r="AN20" i="50"/>
  <c r="H6" i="50" s="1"/>
  <c r="CG20" i="50"/>
  <c r="FI648" i="50"/>
  <c r="FI805" i="50"/>
  <c r="FI864" i="50"/>
  <c r="FI726" i="50"/>
  <c r="FI850" i="50"/>
  <c r="FI861" i="50"/>
  <c r="FI843" i="50"/>
  <c r="FI749" i="50"/>
  <c r="FI646" i="50"/>
  <c r="FI778" i="50"/>
  <c r="FI862" i="50"/>
  <c r="FI714" i="50"/>
  <c r="FI793" i="50"/>
  <c r="FI859" i="50"/>
  <c r="FI777" i="50"/>
  <c r="FI643" i="50"/>
  <c r="FI692" i="50"/>
  <c r="FI740" i="50"/>
  <c r="FI647" i="50"/>
  <c r="FI724" i="50"/>
  <c r="FI709" i="50"/>
  <c r="FI846" i="50"/>
  <c r="FI768" i="50"/>
  <c r="FI731" i="50"/>
  <c r="FI802" i="50"/>
  <c r="FI781" i="50"/>
  <c r="FI866" i="50"/>
  <c r="FI746" i="50"/>
  <c r="FI840" i="50"/>
  <c r="FI796" i="50"/>
  <c r="FI722" i="50"/>
  <c r="FI642" i="50"/>
  <c r="FI765" i="50"/>
  <c r="FI822" i="50"/>
  <c r="FI680" i="50"/>
  <c r="FI761" i="50"/>
  <c r="FI727" i="50"/>
  <c r="FI721" i="50"/>
  <c r="FI834" i="50"/>
  <c r="FI854" i="50"/>
  <c r="FI715" i="50"/>
  <c r="FI753" i="50"/>
  <c r="FI759" i="50"/>
  <c r="FI736" i="50"/>
  <c r="FI856" i="50"/>
  <c r="FI730" i="50"/>
  <c r="FI786" i="50"/>
  <c r="FI735" i="50"/>
  <c r="FI756" i="50"/>
  <c r="FI757" i="50"/>
  <c r="FI741" i="50"/>
  <c r="FI621" i="50"/>
  <c r="FI686" i="50"/>
  <c r="FI644" i="50"/>
  <c r="FI679" i="50"/>
  <c r="FI743" i="50"/>
  <c r="FI649" i="50"/>
  <c r="FI872" i="50"/>
  <c r="FI785" i="50"/>
  <c r="FI837" i="50"/>
  <c r="FI689" i="50"/>
  <c r="FI770" i="50"/>
  <c r="FI737" i="50"/>
  <c r="FI827" i="50"/>
  <c r="FI763" i="50"/>
  <c r="FI754" i="50"/>
  <c r="FI748" i="50"/>
  <c r="FI745" i="50"/>
  <c r="FI852" i="50"/>
  <c r="FI662" i="50"/>
  <c r="FI728" i="50"/>
  <c r="FI848" i="50"/>
  <c r="FI744" i="50"/>
  <c r="FI665" i="50"/>
  <c r="FI799" i="50"/>
  <c r="FI871" i="50"/>
  <c r="FI860" i="50"/>
  <c r="FI865" i="50"/>
  <c r="FI863" i="50"/>
  <c r="FI782" i="50"/>
  <c r="FI695" i="50"/>
  <c r="FI664" i="50"/>
  <c r="FI750" i="50"/>
  <c r="FI772" i="50"/>
  <c r="FI858" i="50"/>
  <c r="FI723" i="50"/>
  <c r="FI742" i="50"/>
  <c r="FI873" i="50"/>
  <c r="FI755" i="50"/>
  <c r="FI766" i="50"/>
  <c r="FI683" i="50"/>
  <c r="FI669" i="50"/>
  <c r="FI751" i="50"/>
  <c r="FI717" i="50"/>
  <c r="FI645" i="50"/>
  <c r="FI832" i="50"/>
  <c r="FI719" i="50"/>
  <c r="FI725" i="50"/>
  <c r="FI789" i="50"/>
  <c r="FI867" i="50"/>
  <c r="FI790" i="50"/>
  <c r="FI899" i="50"/>
  <c r="FI896" i="50"/>
  <c r="FI660" i="50"/>
  <c r="FI883" i="50"/>
  <c r="FI654" i="50"/>
  <c r="FI879" i="50"/>
  <c r="FI901" i="50"/>
  <c r="FI898" i="50"/>
  <c r="FI913" i="50"/>
  <c r="FI658" i="50"/>
  <c r="FI875" i="50"/>
  <c r="FI910" i="50"/>
  <c r="FI881" i="50"/>
  <c r="FI902" i="50"/>
  <c r="FI656" i="50"/>
  <c r="FI903" i="50"/>
  <c r="FI655" i="50"/>
  <c r="FI652" i="50"/>
  <c r="FI900" i="50"/>
  <c r="FI911" i="50"/>
  <c r="FI657" i="50"/>
  <c r="FI659" i="50"/>
  <c r="FI651" i="50"/>
  <c r="FI912" i="50"/>
  <c r="FI895" i="50"/>
  <c r="FI897" i="50"/>
  <c r="FI877" i="50"/>
  <c r="CG17" i="50"/>
  <c r="CE26" i="50"/>
  <c r="AK26" i="50"/>
  <c r="BZ20" i="50"/>
  <c r="AN26" i="50"/>
  <c r="H11" i="50" s="1"/>
  <c r="AK16" i="50"/>
  <c r="BY16" i="50"/>
  <c r="AN36" i="50"/>
  <c r="J7" i="50" s="1"/>
  <c r="AQ22" i="50"/>
  <c r="AI17" i="50"/>
  <c r="BY17" i="50"/>
  <c r="AL22" i="50"/>
  <c r="F7" i="50" s="1"/>
  <c r="CF26" i="50"/>
  <c r="AP26" i="50"/>
  <c r="AM17" i="50"/>
  <c r="AQ16" i="50"/>
  <c r="BX17" i="50"/>
  <c r="CE16" i="50"/>
  <c r="AP36" i="50"/>
  <c r="AP22" i="50"/>
  <c r="AL26" i="50"/>
  <c r="F11" i="50" s="1"/>
  <c r="AN17" i="50"/>
  <c r="CE40" i="50"/>
  <c r="AQ17" i="50"/>
  <c r="AI16" i="50"/>
  <c r="CC16" i="50"/>
  <c r="AP16" i="50"/>
  <c r="BX16" i="50"/>
  <c r="AK17" i="50"/>
  <c r="CE17" i="50"/>
  <c r="BY20" i="50"/>
  <c r="AQ20" i="50"/>
  <c r="CA17" i="50"/>
  <c r="AM16" i="50"/>
  <c r="CD20" i="50"/>
  <c r="CC22" i="50"/>
  <c r="CF20" i="50"/>
  <c r="BX26" i="50"/>
  <c r="AJ22" i="50"/>
  <c r="AP34" i="50"/>
  <c r="BX20" i="50"/>
  <c r="CA30" i="50"/>
  <c r="AP17" i="50"/>
  <c r="CC17" i="50"/>
  <c r="AN16" i="50"/>
  <c r="AK36" i="50"/>
  <c r="CB16" i="50"/>
  <c r="CD16" i="50"/>
  <c r="AO17" i="50"/>
  <c r="AL16" i="50"/>
  <c r="BZ30" i="50"/>
  <c r="CG16" i="50"/>
  <c r="CF36" i="50"/>
  <c r="CA26" i="50"/>
  <c r="AO16" i="50"/>
  <c r="CA16" i="50"/>
  <c r="CD17" i="50"/>
  <c r="AM20" i="50"/>
  <c r="G6" i="50" s="1"/>
  <c r="CA22" i="50"/>
  <c r="AO20" i="50"/>
  <c r="AI22" i="50"/>
  <c r="AM26" i="50"/>
  <c r="G11" i="50" s="1"/>
  <c r="CE34" i="50"/>
  <c r="AO34" i="50"/>
  <c r="AM30" i="50"/>
  <c r="BZ36" i="50"/>
  <c r="AN34" i="50"/>
  <c r="J6" i="50" s="1"/>
  <c r="CB31" i="50"/>
  <c r="AK31" i="50"/>
  <c r="CF31" i="50"/>
  <c r="BZ40" i="50"/>
  <c r="CC40" i="50"/>
  <c r="BY36" i="50"/>
  <c r="CC30" i="50"/>
  <c r="CA31" i="50"/>
  <c r="CF30" i="50"/>
  <c r="AJ36" i="50"/>
  <c r="CB40" i="50"/>
  <c r="CA34" i="50"/>
  <c r="AQ36" i="50"/>
  <c r="AN40" i="50"/>
  <c r="J11" i="50" s="1"/>
  <c r="AN31" i="50"/>
  <c r="AO30" i="50"/>
  <c r="AP30" i="50"/>
  <c r="AH34" i="50"/>
  <c r="AI31" i="50"/>
  <c r="CG30" i="50"/>
  <c r="CG31" i="50"/>
  <c r="AL36" i="50"/>
  <c r="I7" i="50" s="1"/>
  <c r="CC34" i="50"/>
  <c r="I10" i="50"/>
  <c r="CD30" i="50"/>
  <c r="BZ31" i="50"/>
  <c r="AI36" i="50"/>
  <c r="CB30" i="50"/>
  <c r="CD31" i="50"/>
  <c r="AI34" i="50"/>
  <c r="AJ40" i="50"/>
  <c r="AH40" i="50"/>
  <c r="CB34" i="50"/>
  <c r="CA40" i="50"/>
  <c r="AQ40" i="50"/>
  <c r="BY34" i="50"/>
  <c r="AL30" i="50"/>
  <c r="CE31" i="50"/>
  <c r="BX31" i="50"/>
  <c r="AK30" i="50"/>
  <c r="AP31" i="50"/>
  <c r="BX36" i="50"/>
  <c r="AQ31" i="50"/>
  <c r="AM36" i="50"/>
  <c r="CC31" i="50"/>
  <c r="BY30" i="50"/>
  <c r="AN30" i="50"/>
  <c r="BX30" i="50"/>
  <c r="CE30" i="50"/>
  <c r="CD36" i="50"/>
  <c r="AO31" i="50"/>
  <c r="BX40" i="50"/>
  <c r="AJ31" i="50"/>
  <c r="CD34" i="50"/>
  <c r="AL34" i="50"/>
  <c r="I6" i="50" s="1"/>
  <c r="AK34" i="50"/>
  <c r="AL31" i="50"/>
  <c r="AM31" i="50"/>
  <c r="BY31" i="50"/>
  <c r="CG36" i="50"/>
  <c r="AI30" i="50"/>
  <c r="CF34" i="50"/>
  <c r="AO36" i="50"/>
  <c r="CG34" i="50"/>
  <c r="AH5" i="37"/>
  <c r="AH4" i="37"/>
  <c r="CJ51" i="34"/>
  <c r="BW51" i="34" s="1"/>
  <c r="CT51" i="34"/>
  <c r="T8" i="37"/>
  <c r="AI3" i="37"/>
  <c r="AH3" i="37"/>
  <c r="AG6" i="37"/>
  <c r="V24" i="37"/>
  <c r="V123" i="37" s="1"/>
  <c r="BY123" i="37" s="1"/>
  <c r="Z8" i="37"/>
  <c r="U24" i="37"/>
  <c r="U123" i="37" s="1"/>
  <c r="BX123" i="37" s="1"/>
  <c r="Z24" i="37"/>
  <c r="S50" i="39"/>
  <c r="U8" i="37"/>
  <c r="U122" i="37" s="1"/>
  <c r="BX122" i="37" s="1"/>
  <c r="AA8" i="37"/>
  <c r="Y8" i="37"/>
  <c r="AV6" i="37"/>
  <c r="AX6" i="37" s="1"/>
  <c r="V8" i="37"/>
  <c r="V122" i="37" s="1"/>
  <c r="BY122" i="37" s="1"/>
  <c r="V50" i="39"/>
  <c r="W24" i="37"/>
  <c r="X24" i="37" s="1"/>
  <c r="X3" i="37" s="1"/>
  <c r="Q50" i="39"/>
  <c r="AA24" i="37"/>
  <c r="Y24" i="37"/>
  <c r="P50" i="39"/>
  <c r="R50" i="39"/>
  <c r="AM8" i="37"/>
  <c r="AN8" i="37" s="1"/>
  <c r="AI4" i="37"/>
  <c r="AG3" i="37"/>
  <c r="AI5" i="37"/>
  <c r="AG4" i="37"/>
  <c r="AG5" i="37"/>
  <c r="AC38" i="34"/>
  <c r="AD38" i="34"/>
  <c r="AE38" i="34" s="1"/>
  <c r="I7" i="38"/>
  <c r="I6" i="38"/>
  <c r="AK8" i="37"/>
  <c r="AJ8" i="37"/>
  <c r="AQ8" i="37"/>
  <c r="AP8" i="37"/>
  <c r="AO8" i="37"/>
  <c r="AL8" i="37"/>
  <c r="CJ124" i="34" l="1"/>
  <c r="CJ119" i="34"/>
  <c r="I8" i="38"/>
  <c r="I9" i="38" s="1"/>
  <c r="V140" i="37"/>
  <c r="BY140" i="37" s="1"/>
  <c r="U140" i="37"/>
  <c r="BX140" i="37" s="1"/>
  <c r="T6" i="37"/>
  <c r="T122" i="37"/>
  <c r="CJ121" i="34"/>
  <c r="CJ123" i="34"/>
  <c r="T3" i="37"/>
  <c r="T5" i="37"/>
  <c r="T4" i="37"/>
  <c r="Z4" i="37"/>
  <c r="AA3" i="37"/>
  <c r="V3" i="37"/>
  <c r="U4" i="37"/>
  <c r="Z3" i="37"/>
  <c r="Z5" i="37"/>
  <c r="Y3" i="37"/>
  <c r="V5" i="37"/>
  <c r="W50" i="39"/>
  <c r="X50" i="39" s="1"/>
  <c r="Z50" i="39" s="1"/>
  <c r="Y5" i="37"/>
  <c r="V4" i="37"/>
  <c r="Y4" i="37"/>
  <c r="Y6" i="37"/>
  <c r="U3" i="37"/>
  <c r="W3" i="37"/>
  <c r="U5" i="37"/>
  <c r="AA4" i="37"/>
  <c r="X4" i="37"/>
  <c r="AA5" i="37"/>
  <c r="Y50" i="39"/>
  <c r="S55" i="39"/>
  <c r="V55" i="39"/>
  <c r="P55" i="39"/>
  <c r="R55" i="39"/>
  <c r="Q55" i="39"/>
  <c r="AM24" i="37"/>
  <c r="AN24" i="37" s="1"/>
  <c r="AN3" i="37" s="1"/>
  <c r="AJ24" i="37"/>
  <c r="AJ4" i="37" s="1"/>
  <c r="AO24" i="37"/>
  <c r="AO6" i="37" s="1"/>
  <c r="AQ24" i="37"/>
  <c r="AQ4" i="37" s="1"/>
  <c r="AK24" i="37"/>
  <c r="AK5" i="37" s="1"/>
  <c r="AP24" i="37"/>
  <c r="AP4" i="37" s="1"/>
  <c r="AL24" i="37"/>
  <c r="AL4" i="37" s="1"/>
  <c r="T140" i="37" l="1"/>
  <c r="BW140" i="37" s="1"/>
  <c r="BW122" i="37"/>
  <c r="CU56" i="34"/>
  <c r="CJ126" i="34"/>
  <c r="CJ122" i="34"/>
  <c r="CV49" i="34"/>
  <c r="CU51" i="34"/>
  <c r="CU97" i="34"/>
  <c r="CU98" i="34"/>
  <c r="CU99" i="34"/>
  <c r="CU58" i="34"/>
  <c r="CU65" i="34"/>
  <c r="CU103" i="34"/>
  <c r="CU102" i="34"/>
  <c r="CU104" i="34"/>
  <c r="CU62" i="34"/>
  <c r="CU54" i="34"/>
  <c r="CU106" i="34"/>
  <c r="CU112" i="34"/>
  <c r="CU96" i="34"/>
  <c r="CU100" i="34"/>
  <c r="CU68" i="34"/>
  <c r="CU67" i="34"/>
  <c r="CU95" i="34"/>
  <c r="CU107" i="34"/>
  <c r="CU108" i="34"/>
  <c r="CU110" i="34"/>
  <c r="CU64" i="34"/>
  <c r="CU50" i="34"/>
  <c r="CU109" i="34"/>
  <c r="CU113" i="34"/>
  <c r="CU101" i="34"/>
  <c r="CU114" i="34"/>
  <c r="CU105" i="34"/>
  <c r="CU60" i="34"/>
  <c r="CU52" i="34"/>
  <c r="CU66" i="34"/>
  <c r="CU55" i="34"/>
  <c r="CU53" i="34"/>
  <c r="CU59" i="34"/>
  <c r="CU57" i="34"/>
  <c r="CU69" i="34"/>
  <c r="CU61" i="34"/>
  <c r="Q52" i="39"/>
  <c r="Q51" i="39"/>
  <c r="AJ5" i="37"/>
  <c r="AQ3" i="37"/>
  <c r="AP3" i="37"/>
  <c r="AJ3" i="37"/>
  <c r="AQ5" i="37"/>
  <c r="AK3" i="37"/>
  <c r="AM3" i="37"/>
  <c r="AL3" i="37"/>
  <c r="AJ6" i="37"/>
  <c r="AL5" i="37"/>
  <c r="AP5" i="37"/>
  <c r="AO3" i="37"/>
  <c r="AO5" i="37"/>
  <c r="AK4" i="37"/>
  <c r="AO4" i="37"/>
  <c r="AN4" i="37"/>
  <c r="AM5" i="37"/>
  <c r="AM4" i="37"/>
  <c r="W55" i="39"/>
  <c r="X55" i="39" s="1"/>
  <c r="Z55" i="39" s="1"/>
  <c r="Y55" i="39"/>
  <c r="CU121" i="34" l="1"/>
  <c r="CU122" i="34"/>
  <c r="CU123" i="34"/>
  <c r="Q57" i="39"/>
  <c r="Q56"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CH51" authorId="0" shapeId="0" xr:uid="{00000000-0006-0000-0600-000001000000}">
      <text>
        <r>
          <rPr>
            <b/>
            <sz val="9"/>
            <color indexed="81"/>
            <rFont val="Tahoma"/>
            <family val="2"/>
          </rPr>
          <t>Schans, Martin van der:</t>
        </r>
        <r>
          <rPr>
            <sz val="9"/>
            <color indexed="81"/>
            <rFont val="Tahoma"/>
            <family val="2"/>
          </rPr>
          <t xml:space="preserve">
Solubility data 299 tot 346 K uit tabel 1 </t>
        </r>
      </text>
    </comment>
    <comment ref="I95" authorId="0" shapeId="0" xr:uid="{00000000-0006-0000-0600-000002000000}">
      <text>
        <r>
          <rPr>
            <b/>
            <sz val="9"/>
            <color indexed="81"/>
            <rFont val="Tahoma"/>
            <family val="2"/>
          </rPr>
          <t>Schans, Martin van der:</t>
        </r>
        <r>
          <rPr>
            <sz val="9"/>
            <color indexed="81"/>
            <rFont val="Tahoma"/>
            <family val="2"/>
          </rPr>
          <t xml:space="preserve">
uit CompDbase (eigen gegevens)</t>
        </r>
      </text>
    </comment>
    <comment ref="I112" authorId="0" shapeId="0" xr:uid="{00000000-0006-0000-0600-000003000000}">
      <text>
        <r>
          <rPr>
            <b/>
            <sz val="9"/>
            <color indexed="81"/>
            <rFont val="Tahoma"/>
            <family val="2"/>
          </rPr>
          <t>Schans, Martin van der:</t>
        </r>
        <r>
          <rPr>
            <sz val="9"/>
            <color indexed="81"/>
            <rFont val="Tahoma"/>
            <family val="2"/>
          </rPr>
          <t xml:space="preserve">
uit CompDbase (eigen gegevens)</t>
        </r>
      </text>
    </comment>
    <comment ref="CH120" authorId="0" shapeId="0" xr:uid="{00000000-0006-0000-0600-000004000000}">
      <text>
        <r>
          <rPr>
            <b/>
            <sz val="9"/>
            <color indexed="81"/>
            <rFont val="Tahoma"/>
            <family val="2"/>
          </rPr>
          <t>(Standard error of intercept)</t>
        </r>
      </text>
    </comment>
    <comment ref="CM120" authorId="0" shapeId="0" xr:uid="{00000000-0006-0000-0600-000005000000}">
      <text>
        <r>
          <rPr>
            <b/>
            <sz val="9"/>
            <color indexed="81"/>
            <rFont val="Tahoma"/>
            <family val="2"/>
          </rPr>
          <t>(Standard error of intercept)</t>
        </r>
      </text>
    </comment>
    <comment ref="CH122" authorId="0" shapeId="0" xr:uid="{00000000-0006-0000-0600-000006000000}">
      <text>
        <r>
          <rPr>
            <b/>
            <sz val="9"/>
            <color indexed="81"/>
            <rFont val="Tahoma"/>
            <family val="2"/>
          </rPr>
          <t>Standard error of slope</t>
        </r>
        <r>
          <rPr>
            <sz val="9"/>
            <color indexed="81"/>
            <rFont val="Tahoma"/>
            <family val="2"/>
          </rPr>
          <t xml:space="preserve">
</t>
        </r>
      </text>
    </comment>
    <comment ref="CM122" authorId="0" shapeId="0" xr:uid="{00000000-0006-0000-0600-000007000000}">
      <text>
        <r>
          <rPr>
            <b/>
            <sz val="9"/>
            <color indexed="81"/>
            <rFont val="Tahoma"/>
            <family val="2"/>
          </rPr>
          <t>Standard error of slope</t>
        </r>
        <r>
          <rPr>
            <sz val="9"/>
            <color indexed="81"/>
            <rFont val="Tahoma"/>
            <family val="2"/>
          </rPr>
          <t xml:space="preserve">
</t>
        </r>
      </text>
    </comment>
    <comment ref="CH125" authorId="0" shapeId="0" xr:uid="{00000000-0006-0000-0600-000008000000}">
      <text>
        <r>
          <rPr>
            <b/>
            <sz val="9"/>
            <color indexed="81"/>
            <rFont val="Tahoma"/>
            <family val="2"/>
          </rPr>
          <t>Standard error of regression</t>
        </r>
        <r>
          <rPr>
            <sz val="9"/>
            <color indexed="81"/>
            <rFont val="Tahoma"/>
            <family val="2"/>
          </rPr>
          <t xml:space="preserve">
</t>
        </r>
      </text>
    </comment>
    <comment ref="CM125" authorId="0" shapeId="0" xr:uid="{00000000-0006-0000-0600-000009000000}">
      <text>
        <r>
          <rPr>
            <b/>
            <sz val="9"/>
            <color indexed="81"/>
            <rFont val="Tahoma"/>
            <family val="2"/>
          </rPr>
          <t>Standard error of regression</t>
        </r>
        <r>
          <rPr>
            <sz val="9"/>
            <color indexed="81"/>
            <rFont val="Tahoma"/>
            <family val="2"/>
          </rPr>
          <t xml:space="preserve">
</t>
        </r>
      </text>
    </comment>
    <comment ref="CH126" authorId="0" shapeId="0" xr:uid="{00000000-0006-0000-0600-00000A000000}">
      <text>
        <r>
          <rPr>
            <b/>
            <sz val="9"/>
            <color indexed="81"/>
            <rFont val="Tahoma"/>
            <family val="2"/>
          </rPr>
          <t>Standard error of forecast</t>
        </r>
        <r>
          <rPr>
            <sz val="9"/>
            <color indexed="81"/>
            <rFont val="Tahoma"/>
            <family val="2"/>
          </rPr>
          <t xml:space="preserve">
</t>
        </r>
      </text>
    </comment>
    <comment ref="CM126" authorId="0" shapeId="0" xr:uid="{00000000-0006-0000-0600-00000B000000}">
      <text>
        <r>
          <rPr>
            <b/>
            <sz val="9"/>
            <color indexed="81"/>
            <rFont val="Tahoma"/>
            <family val="2"/>
          </rPr>
          <t>Standard error of forecast</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AF20" authorId="0" shapeId="0" xr:uid="{00000000-0006-0000-0900-000001000000}">
      <text>
        <r>
          <rPr>
            <b/>
            <sz val="9"/>
            <color indexed="81"/>
            <rFont val="Tahoma"/>
            <family val="2"/>
          </rPr>
          <t>(Standard error of intercept)</t>
        </r>
      </text>
    </comment>
    <comment ref="BV20" authorId="0" shapeId="0" xr:uid="{00000000-0006-0000-0900-000002000000}">
      <text>
        <r>
          <rPr>
            <b/>
            <sz val="9"/>
            <color indexed="81"/>
            <rFont val="Tahoma"/>
            <family val="2"/>
          </rPr>
          <t>(Standard error of intercept)</t>
        </r>
      </text>
    </comment>
    <comment ref="DF20" authorId="0" shapeId="0" xr:uid="{00000000-0006-0000-0900-000003000000}">
      <text>
        <r>
          <rPr>
            <b/>
            <sz val="9"/>
            <color indexed="81"/>
            <rFont val="Tahoma"/>
            <family val="2"/>
          </rPr>
          <t>(Standard error of intercept)</t>
        </r>
      </text>
    </comment>
    <comment ref="AF22" authorId="0" shapeId="0" xr:uid="{00000000-0006-0000-0900-000004000000}">
      <text>
        <r>
          <rPr>
            <b/>
            <sz val="9"/>
            <color indexed="81"/>
            <rFont val="Tahoma"/>
            <family val="2"/>
          </rPr>
          <t>Standard error of slope</t>
        </r>
        <r>
          <rPr>
            <sz val="9"/>
            <color indexed="81"/>
            <rFont val="Tahoma"/>
            <family val="2"/>
          </rPr>
          <t xml:space="preserve">
</t>
        </r>
      </text>
    </comment>
    <comment ref="BV22" authorId="0" shapeId="0" xr:uid="{00000000-0006-0000-0900-000005000000}">
      <text>
        <r>
          <rPr>
            <b/>
            <sz val="9"/>
            <color indexed="81"/>
            <rFont val="Tahoma"/>
            <family val="2"/>
          </rPr>
          <t>Standard error of slope</t>
        </r>
        <r>
          <rPr>
            <sz val="9"/>
            <color indexed="81"/>
            <rFont val="Tahoma"/>
            <family val="2"/>
          </rPr>
          <t xml:space="preserve">
</t>
        </r>
      </text>
    </comment>
    <comment ref="DF22" authorId="0" shapeId="0" xr:uid="{00000000-0006-0000-0900-000006000000}">
      <text>
        <r>
          <rPr>
            <b/>
            <sz val="9"/>
            <color indexed="81"/>
            <rFont val="Tahoma"/>
            <family val="2"/>
          </rPr>
          <t>Standard error of slope</t>
        </r>
        <r>
          <rPr>
            <sz val="9"/>
            <color indexed="81"/>
            <rFont val="Tahoma"/>
            <family val="2"/>
          </rPr>
          <t xml:space="preserve">
</t>
        </r>
      </text>
    </comment>
    <comment ref="AF25" authorId="0" shapeId="0" xr:uid="{00000000-0006-0000-0900-000007000000}">
      <text>
        <r>
          <rPr>
            <b/>
            <sz val="9"/>
            <color indexed="81"/>
            <rFont val="Tahoma"/>
            <family val="2"/>
          </rPr>
          <t>Standard error of regression</t>
        </r>
        <r>
          <rPr>
            <sz val="9"/>
            <color indexed="81"/>
            <rFont val="Tahoma"/>
            <family val="2"/>
          </rPr>
          <t xml:space="preserve">
</t>
        </r>
      </text>
    </comment>
    <comment ref="BV25" authorId="0" shapeId="0" xr:uid="{00000000-0006-0000-0900-000008000000}">
      <text>
        <r>
          <rPr>
            <b/>
            <sz val="9"/>
            <color indexed="81"/>
            <rFont val="Tahoma"/>
            <family val="2"/>
          </rPr>
          <t>Standard error of regression</t>
        </r>
        <r>
          <rPr>
            <sz val="9"/>
            <color indexed="81"/>
            <rFont val="Tahoma"/>
            <family val="2"/>
          </rPr>
          <t xml:space="preserve">
</t>
        </r>
      </text>
    </comment>
    <comment ref="DF25" authorId="0" shapeId="0" xr:uid="{00000000-0006-0000-0900-000009000000}">
      <text>
        <r>
          <rPr>
            <b/>
            <sz val="9"/>
            <color indexed="81"/>
            <rFont val="Tahoma"/>
            <family val="2"/>
          </rPr>
          <t>Standard error of regression</t>
        </r>
        <r>
          <rPr>
            <sz val="9"/>
            <color indexed="81"/>
            <rFont val="Tahoma"/>
            <family val="2"/>
          </rPr>
          <t xml:space="preserve">
</t>
        </r>
      </text>
    </comment>
    <comment ref="AF26" authorId="0" shapeId="0" xr:uid="{00000000-0006-0000-0900-00000A000000}">
      <text>
        <r>
          <rPr>
            <b/>
            <sz val="9"/>
            <color indexed="81"/>
            <rFont val="Tahoma"/>
            <family val="2"/>
          </rPr>
          <t>Standard error of forecast</t>
        </r>
        <r>
          <rPr>
            <sz val="9"/>
            <color indexed="81"/>
            <rFont val="Tahoma"/>
            <family val="2"/>
          </rPr>
          <t xml:space="preserve">
</t>
        </r>
      </text>
    </comment>
    <comment ref="BV26" authorId="0" shapeId="0" xr:uid="{00000000-0006-0000-0900-00000B000000}">
      <text>
        <r>
          <rPr>
            <b/>
            <sz val="9"/>
            <color indexed="81"/>
            <rFont val="Tahoma"/>
            <family val="2"/>
          </rPr>
          <t>Standard error of forecast</t>
        </r>
        <r>
          <rPr>
            <sz val="9"/>
            <color indexed="81"/>
            <rFont val="Tahoma"/>
            <family val="2"/>
          </rPr>
          <t xml:space="preserve">
</t>
        </r>
      </text>
    </comment>
    <comment ref="DF26" authorId="0" shapeId="0" xr:uid="{00000000-0006-0000-0900-00000C000000}">
      <text>
        <r>
          <rPr>
            <b/>
            <sz val="9"/>
            <color indexed="81"/>
            <rFont val="Tahoma"/>
            <family val="2"/>
          </rPr>
          <t>Standard error of forecast</t>
        </r>
        <r>
          <rPr>
            <sz val="9"/>
            <color indexed="81"/>
            <rFont val="Tahoma"/>
            <family val="2"/>
          </rPr>
          <t xml:space="preserve">
</t>
        </r>
      </text>
    </comment>
    <comment ref="AF34" authorId="0" shapeId="0" xr:uid="{00000000-0006-0000-0900-00000D000000}">
      <text>
        <r>
          <rPr>
            <b/>
            <sz val="9"/>
            <color indexed="81"/>
            <rFont val="Tahoma"/>
            <family val="2"/>
          </rPr>
          <t>(Standard error of intercept)</t>
        </r>
      </text>
    </comment>
    <comment ref="BV34" authorId="0" shapeId="0" xr:uid="{00000000-0006-0000-0900-00000E000000}">
      <text>
        <r>
          <rPr>
            <b/>
            <sz val="9"/>
            <color indexed="81"/>
            <rFont val="Tahoma"/>
            <family val="2"/>
          </rPr>
          <t>(Standard error of intercept)</t>
        </r>
      </text>
    </comment>
    <comment ref="DF34" authorId="0" shapeId="0" xr:uid="{00000000-0006-0000-0900-00000F000000}">
      <text>
        <r>
          <rPr>
            <b/>
            <sz val="9"/>
            <color indexed="81"/>
            <rFont val="Tahoma"/>
            <family val="2"/>
          </rPr>
          <t>(Standard error of intercept)</t>
        </r>
      </text>
    </comment>
    <comment ref="DP35" authorId="0" shapeId="0" xr:uid="{00000000-0006-0000-0900-000010000000}">
      <text>
        <r>
          <rPr>
            <b/>
            <sz val="9"/>
            <color indexed="81"/>
            <rFont val="Tahoma"/>
            <family val="2"/>
          </rPr>
          <t>Schans, Martin van der:</t>
        </r>
        <r>
          <rPr>
            <sz val="9"/>
            <color indexed="81"/>
            <rFont val="Tahoma"/>
            <family val="2"/>
          </rPr>
          <t xml:space="preserve">
PE80 = PE40 - 0.4 (zie tabblad PE)</t>
        </r>
      </text>
    </comment>
    <comment ref="AF36" authorId="0" shapeId="0" xr:uid="{00000000-0006-0000-0900-000011000000}">
      <text>
        <r>
          <rPr>
            <b/>
            <sz val="9"/>
            <color indexed="81"/>
            <rFont val="Tahoma"/>
            <family val="2"/>
          </rPr>
          <t>Standard error of slope</t>
        </r>
        <r>
          <rPr>
            <sz val="9"/>
            <color indexed="81"/>
            <rFont val="Tahoma"/>
            <family val="2"/>
          </rPr>
          <t xml:space="preserve">
</t>
        </r>
      </text>
    </comment>
    <comment ref="BV36" authorId="0" shapeId="0" xr:uid="{00000000-0006-0000-0900-000012000000}">
      <text>
        <r>
          <rPr>
            <b/>
            <sz val="9"/>
            <color indexed="81"/>
            <rFont val="Tahoma"/>
            <family val="2"/>
          </rPr>
          <t>Standard error of slope</t>
        </r>
        <r>
          <rPr>
            <sz val="9"/>
            <color indexed="81"/>
            <rFont val="Tahoma"/>
            <family val="2"/>
          </rPr>
          <t xml:space="preserve">
</t>
        </r>
      </text>
    </comment>
    <comment ref="DF36" authorId="0" shapeId="0" xr:uid="{00000000-0006-0000-0900-000013000000}">
      <text>
        <r>
          <rPr>
            <b/>
            <sz val="9"/>
            <color indexed="81"/>
            <rFont val="Tahoma"/>
            <family val="2"/>
          </rPr>
          <t>Standard error of slope</t>
        </r>
        <r>
          <rPr>
            <sz val="9"/>
            <color indexed="81"/>
            <rFont val="Tahoma"/>
            <family val="2"/>
          </rPr>
          <t xml:space="preserve">
</t>
        </r>
      </text>
    </comment>
    <comment ref="AF39" authorId="0" shapeId="0" xr:uid="{00000000-0006-0000-0900-000014000000}">
      <text>
        <r>
          <rPr>
            <b/>
            <sz val="9"/>
            <color indexed="81"/>
            <rFont val="Tahoma"/>
            <family val="2"/>
          </rPr>
          <t>Standard error of regression</t>
        </r>
        <r>
          <rPr>
            <sz val="9"/>
            <color indexed="81"/>
            <rFont val="Tahoma"/>
            <family val="2"/>
          </rPr>
          <t xml:space="preserve">
</t>
        </r>
      </text>
    </comment>
    <comment ref="BV39" authorId="0" shapeId="0" xr:uid="{00000000-0006-0000-0900-000015000000}">
      <text>
        <r>
          <rPr>
            <b/>
            <sz val="9"/>
            <color indexed="81"/>
            <rFont val="Tahoma"/>
            <family val="2"/>
          </rPr>
          <t>Standard error of regression</t>
        </r>
        <r>
          <rPr>
            <sz val="9"/>
            <color indexed="81"/>
            <rFont val="Tahoma"/>
            <family val="2"/>
          </rPr>
          <t xml:space="preserve">
</t>
        </r>
      </text>
    </comment>
    <comment ref="DF39" authorId="0" shapeId="0" xr:uid="{00000000-0006-0000-0900-000016000000}">
      <text>
        <r>
          <rPr>
            <b/>
            <sz val="9"/>
            <color indexed="81"/>
            <rFont val="Tahoma"/>
            <family val="2"/>
          </rPr>
          <t>Standard error of regression</t>
        </r>
        <r>
          <rPr>
            <sz val="9"/>
            <color indexed="81"/>
            <rFont val="Tahoma"/>
            <family val="2"/>
          </rPr>
          <t xml:space="preserve">
</t>
        </r>
      </text>
    </comment>
    <comment ref="AF40" authorId="0" shapeId="0" xr:uid="{00000000-0006-0000-0900-000017000000}">
      <text>
        <r>
          <rPr>
            <b/>
            <sz val="9"/>
            <color indexed="81"/>
            <rFont val="Tahoma"/>
            <family val="2"/>
          </rPr>
          <t>Standard error of forecast</t>
        </r>
        <r>
          <rPr>
            <sz val="9"/>
            <color indexed="81"/>
            <rFont val="Tahoma"/>
            <family val="2"/>
          </rPr>
          <t xml:space="preserve">
</t>
        </r>
      </text>
    </comment>
    <comment ref="BV40" authorId="0" shapeId="0" xr:uid="{00000000-0006-0000-0900-000018000000}">
      <text>
        <r>
          <rPr>
            <b/>
            <sz val="9"/>
            <color indexed="81"/>
            <rFont val="Tahoma"/>
            <family val="2"/>
          </rPr>
          <t>Standard error of forecast</t>
        </r>
        <r>
          <rPr>
            <sz val="9"/>
            <color indexed="81"/>
            <rFont val="Tahoma"/>
            <family val="2"/>
          </rPr>
          <t xml:space="preserve">
</t>
        </r>
      </text>
    </comment>
    <comment ref="DF40" authorId="0" shapeId="0" xr:uid="{00000000-0006-0000-0900-000019000000}">
      <text>
        <r>
          <rPr>
            <b/>
            <sz val="9"/>
            <color indexed="81"/>
            <rFont val="Tahoma"/>
            <family val="2"/>
          </rPr>
          <t>Standard error of forecast</t>
        </r>
        <r>
          <rPr>
            <sz val="9"/>
            <color indexed="81"/>
            <rFont val="Tahoma"/>
            <family val="2"/>
          </rPr>
          <t xml:space="preserve">
</t>
        </r>
      </text>
    </comment>
    <comment ref="V129" authorId="0" shapeId="0" xr:uid="{00000000-0006-0000-0900-00001A000000}">
      <text>
        <r>
          <rPr>
            <b/>
            <sz val="9"/>
            <color indexed="81"/>
            <rFont val="Tahoma"/>
            <family val="2"/>
          </rPr>
          <t xml:space="preserve">Schans, Martin van der:
</t>
        </r>
        <r>
          <rPr>
            <sz val="9"/>
            <color indexed="81"/>
            <rFont val="Tahoma"/>
            <family val="2"/>
          </rPr>
          <t>alleen meting voor verzadigde H2O oplossing</t>
        </r>
      </text>
    </comment>
    <comment ref="V134" authorId="0" shapeId="0" xr:uid="{00000000-0006-0000-0900-00001B000000}">
      <text>
        <r>
          <rPr>
            <b/>
            <sz val="9"/>
            <color indexed="81"/>
            <rFont val="Tahoma"/>
            <family val="2"/>
          </rPr>
          <t>Schans, Martin van der:</t>
        </r>
        <r>
          <rPr>
            <sz val="9"/>
            <color indexed="81"/>
            <rFont val="Tahoma"/>
            <family val="2"/>
          </rPr>
          <t xml:space="preserve">
oplosbaarheid van verzadigde oplossing</t>
        </r>
      </text>
    </comment>
    <comment ref="V137" authorId="0" shapeId="0" xr:uid="{00000000-0006-0000-0900-00001C000000}">
      <text>
        <r>
          <rPr>
            <b/>
            <sz val="9"/>
            <color indexed="81"/>
            <rFont val="Tahoma"/>
            <family val="2"/>
          </rPr>
          <t>Schans, Martin van der:</t>
        </r>
        <r>
          <rPr>
            <sz val="9"/>
            <color indexed="81"/>
            <rFont val="Tahoma"/>
            <family val="2"/>
          </rPr>
          <t xml:space="preserve">
oplosbaarheid van verzadigde oplossing</t>
        </r>
      </text>
    </comment>
    <comment ref="V153" authorId="0" shapeId="0" xr:uid="{00000000-0006-0000-0900-00001D000000}">
      <text>
        <r>
          <rPr>
            <b/>
            <sz val="9"/>
            <color indexed="81"/>
            <rFont val="Tahoma"/>
            <family val="2"/>
          </rPr>
          <t>Schans, Martin van der:</t>
        </r>
        <r>
          <rPr>
            <sz val="9"/>
            <color indexed="81"/>
            <rFont val="Tahoma"/>
            <family val="2"/>
          </rPr>
          <t xml:space="preserve">
vaste stof: 0.035 g/g
opgelost maximaal 0.007 g/g</t>
        </r>
      </text>
    </comment>
    <comment ref="V189" authorId="0" shapeId="0" xr:uid="{00000000-0006-0000-0900-00001E000000}">
      <text>
        <r>
          <rPr>
            <b/>
            <sz val="9"/>
            <color indexed="81"/>
            <rFont val="Tahoma"/>
            <family val="2"/>
          </rPr>
          <t>Schans, Martin van der:</t>
        </r>
        <r>
          <rPr>
            <sz val="9"/>
            <color indexed="81"/>
            <rFont val="Tahoma"/>
            <family val="2"/>
          </rPr>
          <t xml:space="preserve">
gemiddelde van o-, m- en p-xyleen</t>
        </r>
      </text>
    </comment>
    <comment ref="V723" authorId="0" shapeId="0" xr:uid="{00000000-0006-0000-0900-00001F000000}">
      <text>
        <r>
          <rPr>
            <b/>
            <sz val="9"/>
            <color indexed="81"/>
            <rFont val="Tahoma"/>
            <family val="2"/>
          </rPr>
          <t xml:space="preserve">Schans, Martin van der:
</t>
        </r>
        <r>
          <rPr>
            <sz val="9"/>
            <color indexed="81"/>
            <rFont val="Tahoma"/>
            <family val="2"/>
          </rPr>
          <t>alleen meting voor verzadigde H2O oplossing</t>
        </r>
      </text>
    </comment>
    <comment ref="V728" authorId="0" shapeId="0" xr:uid="{00000000-0006-0000-0900-000020000000}">
      <text>
        <r>
          <rPr>
            <b/>
            <sz val="9"/>
            <color indexed="81"/>
            <rFont val="Tahoma"/>
            <family val="2"/>
          </rPr>
          <t>Schans, Martin van der:</t>
        </r>
        <r>
          <rPr>
            <sz val="9"/>
            <color indexed="81"/>
            <rFont val="Tahoma"/>
            <family val="2"/>
          </rPr>
          <t xml:space="preserve">
oplosbaarheid van verzadigde oplossing</t>
        </r>
      </text>
    </comment>
    <comment ref="V731" authorId="0" shapeId="0" xr:uid="{00000000-0006-0000-0900-000021000000}">
      <text>
        <r>
          <rPr>
            <b/>
            <sz val="9"/>
            <color indexed="81"/>
            <rFont val="Tahoma"/>
            <family val="2"/>
          </rPr>
          <t>Schans, Martin van der:</t>
        </r>
        <r>
          <rPr>
            <sz val="9"/>
            <color indexed="81"/>
            <rFont val="Tahoma"/>
            <family val="2"/>
          </rPr>
          <t xml:space="preserve">
oplosbaarheid van verzadigde oplossing</t>
        </r>
      </text>
    </comment>
    <comment ref="V756" authorId="0" shapeId="0" xr:uid="{00000000-0006-0000-0900-000022000000}">
      <text>
        <r>
          <rPr>
            <b/>
            <sz val="9"/>
            <color indexed="81"/>
            <rFont val="Tahoma"/>
            <family val="2"/>
          </rPr>
          <t>Schans, Martin van der:</t>
        </r>
        <r>
          <rPr>
            <sz val="9"/>
            <color indexed="81"/>
            <rFont val="Tahoma"/>
            <family val="2"/>
          </rPr>
          <t xml:space="preserve">
vaste stof: 0.033 g/g
opgelost maximaal 0.007 g/g</t>
        </r>
      </text>
    </comment>
    <comment ref="J867" authorId="0" shapeId="0" xr:uid="{00000000-0006-0000-0900-000023000000}">
      <text>
        <r>
          <rPr>
            <b/>
            <sz val="9"/>
            <color indexed="81"/>
            <rFont val="Tahoma"/>
            <family val="2"/>
          </rPr>
          <t>Schans, Martin van der:</t>
        </r>
        <r>
          <rPr>
            <sz val="9"/>
            <color indexed="81"/>
            <rFont val="Tahoma"/>
            <family val="2"/>
          </rPr>
          <t xml:space="preserve">
gemiddelde van o-, m- en p-xyleen</t>
        </r>
      </text>
    </comment>
    <comment ref="V867" authorId="0" shapeId="0" xr:uid="{00000000-0006-0000-0900-000024000000}">
      <text>
        <r>
          <rPr>
            <b/>
            <sz val="9"/>
            <color indexed="81"/>
            <rFont val="Tahoma"/>
            <family val="2"/>
          </rPr>
          <t>Schans, Martin van der:</t>
        </r>
        <r>
          <rPr>
            <sz val="9"/>
            <color indexed="81"/>
            <rFont val="Tahoma"/>
            <family val="2"/>
          </rPr>
          <t xml:space="preserve">
gemiddelde van o-, m- en p-xyleen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S257" authorId="0" shapeId="0" xr:uid="{00000000-0006-0000-0A00-000001000000}">
      <text>
        <r>
          <rPr>
            <b/>
            <sz val="9"/>
            <color indexed="81"/>
            <rFont val="Tahoma"/>
            <family val="2"/>
          </rPr>
          <t>Schans, Martin van der:</t>
        </r>
        <r>
          <rPr>
            <sz val="9"/>
            <color indexed="81"/>
            <rFont val="Tahoma"/>
            <family val="2"/>
          </rPr>
          <t xml:space="preserve">
volledig oplosbaar</t>
        </r>
      </text>
    </comment>
    <comment ref="BT279" authorId="0" shapeId="0" xr:uid="{00000000-0006-0000-0A00-000002000000}">
      <text>
        <r>
          <rPr>
            <b/>
            <sz val="9"/>
            <color indexed="81"/>
            <rFont val="Tahoma"/>
            <family val="2"/>
          </rPr>
          <t>Schans, Martin van der:</t>
        </r>
        <r>
          <rPr>
            <sz val="9"/>
            <color indexed="81"/>
            <rFont val="Tahoma"/>
            <family val="2"/>
          </rPr>
          <t xml:space="preserve">
http://www.epa.gov/ttnatw01/hlthef/methylet.html</t>
        </r>
      </text>
    </comment>
    <comment ref="S287" authorId="0" shapeId="0" xr:uid="{00000000-0006-0000-0A00-000003000000}">
      <text>
        <r>
          <rPr>
            <b/>
            <sz val="9"/>
            <color indexed="81"/>
            <rFont val="Tahoma"/>
            <family val="2"/>
          </rPr>
          <t>Schans, Martin van der:</t>
        </r>
        <r>
          <rPr>
            <sz val="9"/>
            <color indexed="81"/>
            <rFont val="Tahoma"/>
            <family val="2"/>
          </rPr>
          <t xml:space="preserve">
20 Celcius</t>
        </r>
      </text>
    </comment>
    <comment ref="S293" authorId="0" shapeId="0" xr:uid="{00000000-0006-0000-0A00-000004000000}">
      <text>
        <r>
          <rPr>
            <b/>
            <sz val="9"/>
            <color indexed="81"/>
            <rFont val="Tahoma"/>
            <family val="2"/>
          </rPr>
          <t>Schans, Martin van der:</t>
        </r>
        <r>
          <rPr>
            <sz val="9"/>
            <color indexed="81"/>
            <rFont val="Tahoma"/>
            <family val="2"/>
          </rPr>
          <t xml:space="preserve">
25 Celcius</t>
        </r>
      </text>
    </comment>
    <comment ref="S294" authorId="0" shapeId="0" xr:uid="{00000000-0006-0000-0A00-000005000000}">
      <text>
        <r>
          <rPr>
            <b/>
            <sz val="9"/>
            <color indexed="81"/>
            <rFont val="Tahoma"/>
            <family val="2"/>
          </rPr>
          <t>Schans, Martin van der:</t>
        </r>
        <r>
          <rPr>
            <sz val="9"/>
            <color indexed="81"/>
            <rFont val="Tahoma"/>
            <family val="2"/>
          </rPr>
          <t xml:space="preserve">
20 Celcius</t>
        </r>
      </text>
    </comment>
    <comment ref="I298" authorId="0" shapeId="0" xr:uid="{00000000-0006-0000-0A00-000006000000}">
      <text>
        <r>
          <rPr>
            <b/>
            <sz val="9"/>
            <color indexed="81"/>
            <rFont val="Tahoma"/>
            <family val="2"/>
          </rPr>
          <t>Schans, Martin van der:</t>
        </r>
        <r>
          <rPr>
            <sz val="9"/>
            <color indexed="81"/>
            <rFont val="Tahoma"/>
            <family val="2"/>
          </rPr>
          <t xml:space="preserve">
gemiddelde van o-, m- en p-xyleen</t>
        </r>
      </text>
    </comment>
    <comment ref="K298" authorId="0" shapeId="0" xr:uid="{00000000-0006-0000-0A00-000007000000}">
      <text>
        <r>
          <rPr>
            <b/>
            <sz val="9"/>
            <color indexed="81"/>
            <rFont val="Tahoma"/>
            <family val="2"/>
          </rPr>
          <t>Schans, Martin van der:</t>
        </r>
        <r>
          <rPr>
            <sz val="9"/>
            <color indexed="81"/>
            <rFont val="Tahoma"/>
            <family val="2"/>
          </rPr>
          <t xml:space="preserve">
gemiddelde van o-, m- en p-xyleen</t>
        </r>
      </text>
    </comment>
    <comment ref="S299" authorId="0" shapeId="0" xr:uid="{00000000-0006-0000-0A00-000008000000}">
      <text>
        <r>
          <rPr>
            <b/>
            <sz val="9"/>
            <color indexed="81"/>
            <rFont val="Tahoma"/>
            <family val="2"/>
          </rPr>
          <t>Schans, Martin van der:</t>
        </r>
        <r>
          <rPr>
            <sz val="9"/>
            <color indexed="81"/>
            <rFont val="Tahoma"/>
            <family val="2"/>
          </rPr>
          <t xml:space="preserve">
20 Celcius</t>
        </r>
      </text>
    </comment>
    <comment ref="S300" authorId="0" shapeId="0" xr:uid="{00000000-0006-0000-0A00-000009000000}">
      <text>
        <r>
          <rPr>
            <b/>
            <sz val="9"/>
            <color indexed="81"/>
            <rFont val="Tahoma"/>
            <family val="2"/>
          </rPr>
          <t>Schans, Martin van der:</t>
        </r>
        <r>
          <rPr>
            <sz val="9"/>
            <color indexed="81"/>
            <rFont val="Tahoma"/>
            <family val="2"/>
          </rPr>
          <t xml:space="preserve">
25 Celcius</t>
        </r>
      </text>
    </comment>
    <comment ref="S301" authorId="0" shapeId="0" xr:uid="{00000000-0006-0000-0A00-00000A000000}">
      <text>
        <r>
          <rPr>
            <b/>
            <sz val="9"/>
            <color indexed="81"/>
            <rFont val="Tahoma"/>
            <family val="2"/>
          </rPr>
          <t>Schans, Martin van der:</t>
        </r>
        <r>
          <rPr>
            <sz val="9"/>
            <color indexed="81"/>
            <rFont val="Tahoma"/>
            <family val="2"/>
          </rPr>
          <t xml:space="preserve">
20 Celcius</t>
        </r>
      </text>
    </comment>
    <comment ref="S302" authorId="0" shapeId="0" xr:uid="{00000000-0006-0000-0A00-00000B000000}">
      <text>
        <r>
          <rPr>
            <b/>
            <sz val="9"/>
            <color indexed="81"/>
            <rFont val="Tahoma"/>
            <family val="2"/>
          </rPr>
          <t>Schans, Martin van der:</t>
        </r>
        <r>
          <rPr>
            <sz val="9"/>
            <color indexed="81"/>
            <rFont val="Tahoma"/>
            <family val="2"/>
          </rPr>
          <t xml:space="preserve">
20 Celcius</t>
        </r>
      </text>
    </comment>
    <comment ref="S303" authorId="0" shapeId="0" xr:uid="{00000000-0006-0000-0A00-00000C000000}">
      <text>
        <r>
          <rPr>
            <b/>
            <sz val="9"/>
            <color indexed="81"/>
            <rFont val="Tahoma"/>
            <family val="2"/>
          </rPr>
          <t>Schans, Martin van der:</t>
        </r>
        <r>
          <rPr>
            <sz val="9"/>
            <color indexed="81"/>
            <rFont val="Tahoma"/>
            <family val="2"/>
          </rPr>
          <t xml:space="preserve">
20 Celcius</t>
        </r>
      </text>
    </comment>
    <comment ref="S304" authorId="0" shapeId="0" xr:uid="{00000000-0006-0000-0A00-00000D000000}">
      <text>
        <r>
          <rPr>
            <b/>
            <sz val="9"/>
            <color indexed="81"/>
            <rFont val="Tahoma"/>
            <family val="2"/>
          </rPr>
          <t>Schans, Martin van der:</t>
        </r>
        <r>
          <rPr>
            <sz val="9"/>
            <color indexed="81"/>
            <rFont val="Tahoma"/>
            <family val="2"/>
          </rPr>
          <t xml:space="preserve">
20 Celcius</t>
        </r>
      </text>
    </comment>
    <comment ref="S306" authorId="0" shapeId="0" xr:uid="{00000000-0006-0000-0A00-00000E000000}">
      <text>
        <r>
          <rPr>
            <b/>
            <sz val="9"/>
            <color indexed="81"/>
            <rFont val="Tahoma"/>
            <family val="2"/>
          </rPr>
          <t>Schans, Martin van der:</t>
        </r>
        <r>
          <rPr>
            <sz val="9"/>
            <color indexed="81"/>
            <rFont val="Tahoma"/>
            <family val="2"/>
          </rPr>
          <t xml:space="preserve">
30 Celcius</t>
        </r>
      </text>
    </comment>
    <comment ref="AE308" authorId="0" shapeId="0" xr:uid="{00000000-0006-0000-0A00-00000F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BT308" authorId="0" shapeId="0" xr:uid="{00000000-0006-0000-0A00-000010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S309" authorId="0" shapeId="0" xr:uid="{00000000-0006-0000-0A00-000011000000}">
      <text>
        <r>
          <rPr>
            <b/>
            <sz val="9"/>
            <color indexed="81"/>
            <rFont val="Tahoma"/>
            <family val="2"/>
          </rPr>
          <t>Schans, Martin van der:</t>
        </r>
        <r>
          <rPr>
            <sz val="9"/>
            <color indexed="81"/>
            <rFont val="Tahoma"/>
            <family val="2"/>
          </rPr>
          <t xml:space="preserve">
20 Celcius</t>
        </r>
      </text>
    </comment>
    <comment ref="AE311" authorId="0" shapeId="0" xr:uid="{00000000-0006-0000-0A00-000012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BT311" authorId="0" shapeId="0" xr:uid="{00000000-0006-0000-0A00-000013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S312" authorId="0" shapeId="0" xr:uid="{00000000-0006-0000-0A00-000014000000}">
      <text>
        <r>
          <rPr>
            <b/>
            <sz val="9"/>
            <color indexed="81"/>
            <rFont val="Tahoma"/>
            <family val="2"/>
          </rPr>
          <t>Schans, Martin van der:</t>
        </r>
        <r>
          <rPr>
            <sz val="9"/>
            <color indexed="81"/>
            <rFont val="Tahoma"/>
            <family val="2"/>
          </rPr>
          <t xml:space="preserve">
25 celcius</t>
        </r>
      </text>
    </comment>
    <comment ref="AE312" authorId="0" shapeId="0" xr:uid="{00000000-0006-0000-0A00-000015000000}">
      <text>
        <r>
          <rPr>
            <b/>
            <sz val="9"/>
            <color indexed="81"/>
            <rFont val="Tahoma"/>
            <family val="2"/>
          </rPr>
          <t>Schans, Martin van der:</t>
        </r>
        <r>
          <rPr>
            <sz val="9"/>
            <color indexed="81"/>
            <rFont val="Tahoma"/>
            <family val="2"/>
          </rPr>
          <t xml:space="preserve">
Wikipedia</t>
        </r>
      </text>
    </comment>
    <comment ref="BT312" authorId="0" shapeId="0" xr:uid="{00000000-0006-0000-0A00-000016000000}">
      <text>
        <r>
          <rPr>
            <b/>
            <sz val="9"/>
            <color indexed="81"/>
            <rFont val="Tahoma"/>
            <family val="2"/>
          </rPr>
          <t>Schans, Martin van der:</t>
        </r>
        <r>
          <rPr>
            <sz val="9"/>
            <color indexed="81"/>
            <rFont val="Tahoma"/>
            <family val="2"/>
          </rPr>
          <t xml:space="preserve">
gsi-net= 5.2155; Deltares 2010= 4.89 (1202337-004-BGS-0021, 12 oktober 2010, definitief)</t>
        </r>
      </text>
    </comment>
    <comment ref="AB313" authorId="0" shapeId="0" xr:uid="{00000000-0006-0000-0A00-000017000000}">
      <text>
        <r>
          <rPr>
            <b/>
            <sz val="9"/>
            <color indexed="81"/>
            <rFont val="Tahoma"/>
            <family val="2"/>
          </rPr>
          <t>Schans, Martin van der:</t>
        </r>
        <r>
          <rPr>
            <sz val="9"/>
            <color indexed="81"/>
            <rFont val="Tahoma"/>
            <family val="2"/>
          </rPr>
          <t xml:space="preserve">
1,2,3,4-tetrachloorbenzeen = 3,5 mg/l
1,2,3,5-tetrachloorbenzeen = 2,4 mg/l
1,2,4,5-tetrachloorbenzeen = 0.3 mg/l</t>
        </r>
      </text>
    </comment>
    <comment ref="AE314" authorId="0" shapeId="0" xr:uid="{00000000-0006-0000-0A00-000018000000}">
      <text>
        <r>
          <rPr>
            <b/>
            <sz val="9"/>
            <color indexed="81"/>
            <rFont val="Tahoma"/>
            <family val="2"/>
          </rPr>
          <t>Schans, Martin van der:</t>
        </r>
        <r>
          <rPr>
            <sz val="9"/>
            <color indexed="81"/>
            <rFont val="Tahoma"/>
            <family val="2"/>
          </rPr>
          <t xml:space="preserve">
Wikipedia</t>
        </r>
      </text>
    </comment>
    <comment ref="BT314" authorId="0" shapeId="0" xr:uid="{00000000-0006-0000-0A00-000019000000}">
      <text>
        <r>
          <rPr>
            <b/>
            <sz val="9"/>
            <color indexed="81"/>
            <rFont val="Tahoma"/>
            <family val="2"/>
          </rPr>
          <t>Schans, Martin van der:</t>
        </r>
        <r>
          <rPr>
            <sz val="9"/>
            <color indexed="81"/>
            <rFont val="Tahoma"/>
            <family val="2"/>
          </rPr>
          <t xml:space="preserve">
http://www.inchem.org/documents/icsc/icsc/eics0105.htm</t>
        </r>
      </text>
    </comment>
    <comment ref="S315" authorId="0" shapeId="0" xr:uid="{00000000-0006-0000-0A00-00001A000000}">
      <text>
        <r>
          <rPr>
            <b/>
            <sz val="9"/>
            <color indexed="81"/>
            <rFont val="Tahoma"/>
            <family val="2"/>
          </rPr>
          <t>Schans, Martin van der:</t>
        </r>
        <r>
          <rPr>
            <sz val="9"/>
            <color indexed="81"/>
            <rFont val="Tahoma"/>
            <family val="2"/>
          </rPr>
          <t xml:space="preserve">
20 Celcius</t>
        </r>
      </text>
    </comment>
    <comment ref="S316" authorId="0" shapeId="0" xr:uid="{00000000-0006-0000-0A00-00001B000000}">
      <text>
        <r>
          <rPr>
            <b/>
            <sz val="9"/>
            <color indexed="81"/>
            <rFont val="Tahoma"/>
            <family val="2"/>
          </rPr>
          <t>Schans, Martin van der:</t>
        </r>
        <r>
          <rPr>
            <sz val="9"/>
            <color indexed="81"/>
            <rFont val="Tahoma"/>
            <family val="2"/>
          </rPr>
          <t xml:space="preserve">
20 Celcius</t>
        </r>
      </text>
    </comment>
    <comment ref="S317" authorId="0" shapeId="0" xr:uid="{00000000-0006-0000-0A00-00001C000000}">
      <text>
        <r>
          <rPr>
            <b/>
            <sz val="9"/>
            <color indexed="81"/>
            <rFont val="Tahoma"/>
            <family val="2"/>
          </rPr>
          <t>Schans, Martin van der:</t>
        </r>
        <r>
          <rPr>
            <sz val="9"/>
            <color indexed="81"/>
            <rFont val="Tahoma"/>
            <family val="2"/>
          </rPr>
          <t xml:space="preserve">
20 Celcius</t>
        </r>
      </text>
    </comment>
    <comment ref="S319" authorId="0" shapeId="0" xr:uid="{00000000-0006-0000-0A00-00001D000000}">
      <text>
        <r>
          <rPr>
            <b/>
            <sz val="9"/>
            <color indexed="81"/>
            <rFont val="Tahoma"/>
            <family val="2"/>
          </rPr>
          <t>Schans, Martin van der:</t>
        </r>
        <r>
          <rPr>
            <sz val="9"/>
            <color indexed="81"/>
            <rFont val="Tahoma"/>
            <family val="2"/>
          </rPr>
          <t xml:space="preserve">
20 Celcius</t>
        </r>
      </text>
    </comment>
    <comment ref="S320" authorId="0" shapeId="0" xr:uid="{00000000-0006-0000-0A00-00001E000000}">
      <text>
        <r>
          <rPr>
            <b/>
            <sz val="9"/>
            <color indexed="81"/>
            <rFont val="Tahoma"/>
            <family val="2"/>
          </rPr>
          <t>Schans, Martin van der:</t>
        </r>
        <r>
          <rPr>
            <sz val="9"/>
            <color indexed="81"/>
            <rFont val="Tahoma"/>
            <family val="2"/>
          </rPr>
          <t xml:space="preserve">
20 Celcius</t>
        </r>
      </text>
    </comment>
    <comment ref="BT320" authorId="0" shapeId="0" xr:uid="{00000000-0006-0000-0A00-00001F000000}">
      <text>
        <r>
          <rPr>
            <b/>
            <sz val="9"/>
            <color indexed="81"/>
            <rFont val="Tahoma"/>
            <family val="2"/>
          </rPr>
          <t>Schans, Martin van der:</t>
        </r>
        <r>
          <rPr>
            <sz val="9"/>
            <color indexed="81"/>
            <rFont val="Tahoma"/>
            <family val="2"/>
          </rPr>
          <t xml:space="preserve">
Wikipedia
</t>
        </r>
      </text>
    </comment>
    <comment ref="S323" authorId="0" shapeId="0" xr:uid="{00000000-0006-0000-0A00-000020000000}">
      <text>
        <r>
          <rPr>
            <b/>
            <sz val="9"/>
            <color indexed="81"/>
            <rFont val="Tahoma"/>
            <family val="2"/>
          </rPr>
          <t>Schans, Martin van der:</t>
        </r>
        <r>
          <rPr>
            <sz val="9"/>
            <color indexed="81"/>
            <rFont val="Tahoma"/>
            <family val="2"/>
          </rPr>
          <t xml:space="preserve">
20 Celcius</t>
        </r>
      </text>
    </comment>
    <comment ref="S327" authorId="0" shapeId="0" xr:uid="{00000000-0006-0000-0A00-000021000000}">
      <text>
        <r>
          <rPr>
            <b/>
            <sz val="9"/>
            <color indexed="81"/>
            <rFont val="Tahoma"/>
            <family val="2"/>
          </rPr>
          <t>Schans, Martin van der:</t>
        </r>
        <r>
          <rPr>
            <sz val="9"/>
            <color indexed="81"/>
            <rFont val="Tahoma"/>
            <family val="2"/>
          </rPr>
          <t xml:space="preserve">
20 Celcius</t>
        </r>
      </text>
    </comment>
    <comment ref="BT327" authorId="0" shapeId="0" xr:uid="{00000000-0006-0000-0A00-000022000000}">
      <text>
        <r>
          <rPr>
            <b/>
            <sz val="9"/>
            <color indexed="81"/>
            <rFont val="Tahoma"/>
            <family val="2"/>
          </rPr>
          <t>Schans, Martin van der:</t>
        </r>
        <r>
          <rPr>
            <sz val="9"/>
            <color indexed="81"/>
            <rFont val="Tahoma"/>
            <family val="2"/>
          </rPr>
          <t xml:space="preserve">
EPA 1999= 2.67; gsi-net= 2.9654; Deltares 2010= 3.18 (1202337-004-BGS-0021, 12 oktober 2010, definitief)</t>
        </r>
      </text>
    </comment>
    <comment ref="S328" authorId="0" shapeId="0" xr:uid="{00000000-0006-0000-0A00-000023000000}">
      <text>
        <r>
          <rPr>
            <b/>
            <sz val="9"/>
            <color indexed="81"/>
            <rFont val="Tahoma"/>
            <family val="2"/>
          </rPr>
          <t>Schans, Martin van der:</t>
        </r>
        <r>
          <rPr>
            <sz val="9"/>
            <color indexed="81"/>
            <rFont val="Tahoma"/>
            <family val="2"/>
          </rPr>
          <t xml:space="preserve">
20 Celcius</t>
        </r>
      </text>
    </comment>
    <comment ref="S329" authorId="0" shapeId="0" xr:uid="{00000000-0006-0000-0A00-000024000000}">
      <text>
        <r>
          <rPr>
            <b/>
            <sz val="9"/>
            <color indexed="81"/>
            <rFont val="Tahoma"/>
            <family val="2"/>
          </rPr>
          <t>Schans, Martin van der:</t>
        </r>
        <r>
          <rPr>
            <sz val="9"/>
            <color indexed="81"/>
            <rFont val="Tahoma"/>
            <family val="2"/>
          </rPr>
          <t xml:space="preserve">
20 Celcius</t>
        </r>
      </text>
    </comment>
    <comment ref="S357" authorId="0" shapeId="0" xr:uid="{00000000-0006-0000-0A00-000025000000}">
      <text>
        <r>
          <rPr>
            <b/>
            <sz val="9"/>
            <color indexed="81"/>
            <rFont val="Tahoma"/>
            <family val="2"/>
          </rPr>
          <t>Schans, Martin van der:</t>
        </r>
        <r>
          <rPr>
            <sz val="9"/>
            <color indexed="81"/>
            <rFont val="Tahoma"/>
            <family val="2"/>
          </rPr>
          <t xml:space="preserve">
22 Celcius</t>
        </r>
      </text>
    </comment>
    <comment ref="BT357" authorId="0" shapeId="0" xr:uid="{00000000-0006-0000-0A00-000026000000}">
      <text>
        <r>
          <rPr>
            <b/>
            <sz val="9"/>
            <color indexed="81"/>
            <rFont val="Tahoma"/>
            <family val="2"/>
          </rPr>
          <t>Schans, Martin van der:</t>
        </r>
        <r>
          <rPr>
            <sz val="9"/>
            <color indexed="81"/>
            <rFont val="Tahoma"/>
            <family val="2"/>
          </rPr>
          <t xml:space="preserve">
wikipedia</t>
        </r>
      </text>
    </comment>
    <comment ref="S364" authorId="0" shapeId="0" xr:uid="{00000000-0006-0000-0A00-000027000000}">
      <text>
        <r>
          <rPr>
            <b/>
            <sz val="9"/>
            <color indexed="81"/>
            <rFont val="Tahoma"/>
            <family val="2"/>
          </rPr>
          <t>Schans, Martin van der:</t>
        </r>
        <r>
          <rPr>
            <sz val="9"/>
            <color indexed="81"/>
            <rFont val="Tahoma"/>
            <family val="2"/>
          </rPr>
          <t xml:space="preserve">
n-hexane</t>
        </r>
      </text>
    </comment>
    <comment ref="AE364" authorId="0" shapeId="0" xr:uid="{00000000-0006-0000-0A00-000028000000}">
      <text>
        <r>
          <rPr>
            <b/>
            <sz val="9"/>
            <color indexed="81"/>
            <rFont val="Tahoma"/>
            <family val="2"/>
          </rPr>
          <t>Schans, Martin van der:</t>
        </r>
        <r>
          <rPr>
            <sz val="9"/>
            <color indexed="81"/>
            <rFont val="Tahoma"/>
            <family val="2"/>
          </rPr>
          <t xml:space="preserve">
wikipedia</t>
        </r>
      </text>
    </comment>
    <comment ref="AL364" authorId="0" shapeId="0" xr:uid="{00000000-0006-0000-0A00-000029000000}">
      <text>
        <r>
          <rPr>
            <b/>
            <sz val="9"/>
            <color indexed="81"/>
            <rFont val="Tahoma"/>
            <family val="2"/>
          </rPr>
          <t>Schans, Martin van der:</t>
        </r>
        <r>
          <rPr>
            <sz val="9"/>
            <color indexed="81"/>
            <rFont val="Tahoma"/>
            <family val="2"/>
          </rPr>
          <t xml:space="preserve">
n-hexane</t>
        </r>
      </text>
    </comment>
    <comment ref="BB364" authorId="0" shapeId="0" xr:uid="{00000000-0006-0000-0A00-00002A000000}">
      <text>
        <r>
          <rPr>
            <b/>
            <sz val="9"/>
            <color indexed="81"/>
            <rFont val="Tahoma"/>
            <family val="2"/>
          </rPr>
          <t>Schans, Martin van der:</t>
        </r>
        <r>
          <rPr>
            <sz val="9"/>
            <color indexed="81"/>
            <rFont val="Tahoma"/>
            <family val="2"/>
          </rPr>
          <t xml:space="preserve">
n-hexane</t>
        </r>
      </text>
    </comment>
    <comment ref="BT364" authorId="0" shapeId="0" xr:uid="{00000000-0006-0000-0A00-00002B000000}">
      <text>
        <r>
          <rPr>
            <b/>
            <sz val="9"/>
            <color indexed="81"/>
            <rFont val="Tahoma"/>
            <family val="2"/>
          </rPr>
          <t>Schans, Martin van der:</t>
        </r>
        <r>
          <rPr>
            <sz val="9"/>
            <color indexed="81"/>
            <rFont val="Tahoma"/>
            <family val="2"/>
          </rPr>
          <t xml:space="preserve">
wikipedia</t>
        </r>
      </text>
    </comment>
    <comment ref="S367" authorId="0" shapeId="0" xr:uid="{00000000-0006-0000-0A00-00002C000000}">
      <text>
        <r>
          <rPr>
            <b/>
            <sz val="9"/>
            <color indexed="81"/>
            <rFont val="Tahoma"/>
            <family val="2"/>
          </rPr>
          <t>Schans, Martin van der:</t>
        </r>
        <r>
          <rPr>
            <sz val="9"/>
            <color indexed="81"/>
            <rFont val="Tahoma"/>
            <family val="2"/>
          </rPr>
          <t xml:space="preserve">
ml/l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G5" authorId="0" shapeId="0" xr:uid="{00000000-0006-0000-1A00-000001000000}">
      <text>
        <r>
          <rPr>
            <b/>
            <sz val="9"/>
            <color indexed="81"/>
            <rFont val="Tahoma"/>
            <family val="2"/>
          </rPr>
          <t>Schans, Martin van der:</t>
        </r>
        <r>
          <rPr>
            <sz val="9"/>
            <color indexed="81"/>
            <rFont val="Tahoma"/>
            <family val="2"/>
          </rPr>
          <t xml:space="preserve">
Er is uitgegaan van de partitiecoefficient bij zuivere stof. De partitiecoefficient van een niet zuivere oplossing met H2O zal lager zijn, zeker als de oplossing niet verzadigd is. Deze waarde geeft derhalve een worst case benadering voor de partitie</t>
        </r>
      </text>
    </comment>
    <comment ref="H5" authorId="0" shapeId="0" xr:uid="{00000000-0006-0000-1A00-000002000000}">
      <text>
        <r>
          <rPr>
            <b/>
            <sz val="9"/>
            <color indexed="81"/>
            <rFont val="Tahoma"/>
            <family val="2"/>
          </rPr>
          <t>Schans, Martin van der:</t>
        </r>
        <r>
          <rPr>
            <sz val="9"/>
            <color indexed="81"/>
            <rFont val="Tahoma"/>
            <family val="2"/>
          </rPr>
          <t xml:space="preserve">
Er is uitgegaan van de partitiecoefficient bij zuivere stof. De partitiecoefficient van een niet zuivere oplossing met H2O zal lager zijn, zeker als de oplossing niet verzadigd is. Deze waarde geeft derhalve een worst case benadering voor de partitie</t>
        </r>
      </text>
    </comment>
    <comment ref="M10" authorId="0" shapeId="0" xr:uid="{00000000-0006-0000-1A00-000003000000}">
      <text>
        <r>
          <rPr>
            <b/>
            <sz val="9"/>
            <color indexed="81"/>
            <rFont val="Tahoma"/>
            <family val="2"/>
          </rPr>
          <t>Schans, Martin van der:</t>
        </r>
        <r>
          <rPr>
            <sz val="9"/>
            <color indexed="81"/>
            <rFont val="Tahoma"/>
            <family val="2"/>
          </rPr>
          <t xml:space="preserve">
waarde gemeten bij de langste totale looptijd van het expoeriment</t>
        </r>
      </text>
    </comment>
    <comment ref="G18" authorId="0" shapeId="0" xr:uid="{00000000-0006-0000-1A00-000004000000}">
      <text>
        <r>
          <rPr>
            <b/>
            <sz val="9"/>
            <color indexed="81"/>
            <rFont val="Tahoma"/>
            <family val="2"/>
          </rPr>
          <t>Schans, Martin van der:</t>
        </r>
        <r>
          <rPr>
            <sz val="9"/>
            <color indexed="81"/>
            <rFont val="Tahoma"/>
            <family val="2"/>
          </rPr>
          <t xml:space="preserve">
gemiddelde van o-, m- en p-xyleen</t>
        </r>
      </text>
    </comment>
    <comment ref="H18" authorId="0" shapeId="0" xr:uid="{00000000-0006-0000-1A00-000005000000}">
      <text>
        <r>
          <rPr>
            <b/>
            <sz val="9"/>
            <color indexed="81"/>
            <rFont val="Tahoma"/>
            <family val="2"/>
          </rPr>
          <t>Schans, Martin van der:</t>
        </r>
        <r>
          <rPr>
            <sz val="9"/>
            <color indexed="81"/>
            <rFont val="Tahoma"/>
            <family val="2"/>
          </rPr>
          <t xml:space="preserve">
gemiddelde van o-, m- en p-xyleen</t>
        </r>
      </text>
    </comment>
    <comment ref="G37" authorId="0" shapeId="0" xr:uid="{00000000-0006-0000-1A00-000006000000}">
      <text>
        <r>
          <rPr>
            <b/>
            <sz val="9"/>
            <color indexed="81"/>
            <rFont val="Tahoma"/>
            <family val="2"/>
          </rPr>
          <t>Schans, Martin van der:</t>
        </r>
        <r>
          <rPr>
            <sz val="9"/>
            <color indexed="81"/>
            <rFont val="Tahoma"/>
            <family val="2"/>
          </rPr>
          <t xml:space="preserve">
vaste stof: 0.035 g/g
opgelost maximaal 0.007 g/g</t>
        </r>
      </text>
    </comment>
    <comment ref="H37" authorId="0" shapeId="0" xr:uid="{00000000-0006-0000-1A00-000007000000}">
      <text>
        <r>
          <rPr>
            <b/>
            <sz val="9"/>
            <color indexed="81"/>
            <rFont val="Tahoma"/>
            <family val="2"/>
          </rPr>
          <t>Schans, Martin van der:</t>
        </r>
        <r>
          <rPr>
            <sz val="9"/>
            <color indexed="81"/>
            <rFont val="Tahoma"/>
            <family val="2"/>
          </rPr>
          <t xml:space="preserve">
vaste stof: 0.033 g/g
opgelost maximaal 0.007 g/g</t>
        </r>
      </text>
    </comment>
    <comment ref="U37" authorId="0" shapeId="0" xr:uid="{00000000-0006-0000-1A00-000008000000}">
      <text>
        <r>
          <rPr>
            <b/>
            <sz val="9"/>
            <color indexed="81"/>
            <rFont val="Tahoma"/>
            <family val="2"/>
          </rPr>
          <t>Schans, Martin van der:</t>
        </r>
        <r>
          <rPr>
            <sz val="9"/>
            <color indexed="81"/>
            <rFont val="Tahoma"/>
            <family val="2"/>
          </rPr>
          <t xml:space="preserve">
1,2,3,4-tetrachloorbenzeen = 3,5 mg/l
1,2,3,5-tetrachloorbenzeen = 2,4 mg/l
1,2,4,5-tetrachloorbenzeen = 0.3 mg/l</t>
        </r>
      </text>
    </comment>
    <comment ref="G44" authorId="0" shapeId="0" xr:uid="{00000000-0006-0000-1A00-000009000000}">
      <text>
        <r>
          <rPr>
            <b/>
            <sz val="9"/>
            <color indexed="81"/>
            <rFont val="Tahoma"/>
            <family val="2"/>
          </rPr>
          <t xml:space="preserve">Schans, Martin van der:
</t>
        </r>
        <r>
          <rPr>
            <sz val="9"/>
            <color indexed="81"/>
            <rFont val="Tahoma"/>
            <family val="2"/>
          </rPr>
          <t>alleen meting voor verzadigde H2O oplossing</t>
        </r>
      </text>
    </comment>
    <comment ref="H44" authorId="0" shapeId="0" xr:uid="{00000000-0006-0000-1A00-00000A000000}">
      <text>
        <r>
          <rPr>
            <b/>
            <sz val="9"/>
            <color indexed="81"/>
            <rFont val="Tahoma"/>
            <family val="2"/>
          </rPr>
          <t xml:space="preserve">Schans, Martin van der:
</t>
        </r>
        <r>
          <rPr>
            <sz val="9"/>
            <color indexed="81"/>
            <rFont val="Tahoma"/>
            <family val="2"/>
          </rPr>
          <t>alleen meting voor verzadigde H2O oplossing</t>
        </r>
      </text>
    </comment>
    <comment ref="G47" authorId="0" shapeId="0" xr:uid="{00000000-0006-0000-1A00-00000B000000}">
      <text>
        <r>
          <rPr>
            <b/>
            <sz val="9"/>
            <color indexed="81"/>
            <rFont val="Tahoma"/>
            <family val="2"/>
          </rPr>
          <t>Schans, Martin van der:</t>
        </r>
        <r>
          <rPr>
            <sz val="9"/>
            <color indexed="81"/>
            <rFont val="Tahoma"/>
            <family val="2"/>
          </rPr>
          <t xml:space="preserve">
oplosbaarheid van verzadigde oplossing</t>
        </r>
      </text>
    </comment>
    <comment ref="H47" authorId="0" shapeId="0" xr:uid="{00000000-0006-0000-1A00-00000C000000}">
      <text>
        <r>
          <rPr>
            <b/>
            <sz val="9"/>
            <color indexed="81"/>
            <rFont val="Tahoma"/>
            <family val="2"/>
          </rPr>
          <t>Schans, Martin van der:</t>
        </r>
        <r>
          <rPr>
            <sz val="9"/>
            <color indexed="81"/>
            <rFont val="Tahoma"/>
            <family val="2"/>
          </rPr>
          <t xml:space="preserve">
oplosbaarheid van verzadigde oplossing</t>
        </r>
      </text>
    </comment>
    <comment ref="G48" authorId="0" shapeId="0" xr:uid="{00000000-0006-0000-1A00-00000D000000}">
      <text>
        <r>
          <rPr>
            <b/>
            <sz val="9"/>
            <color indexed="81"/>
            <rFont val="Tahoma"/>
            <family val="2"/>
          </rPr>
          <t>Schans, Martin van der:</t>
        </r>
        <r>
          <rPr>
            <sz val="9"/>
            <color indexed="81"/>
            <rFont val="Tahoma"/>
            <family val="2"/>
          </rPr>
          <t xml:space="preserve">
oplosbaarheid van verzadigde oplossing</t>
        </r>
      </text>
    </comment>
    <comment ref="H48" authorId="0" shapeId="0" xr:uid="{00000000-0006-0000-1A00-00000E000000}">
      <text>
        <r>
          <rPr>
            <b/>
            <sz val="9"/>
            <color indexed="81"/>
            <rFont val="Tahoma"/>
            <family val="2"/>
          </rPr>
          <t>Schans, Martin van der:</t>
        </r>
        <r>
          <rPr>
            <sz val="9"/>
            <color indexed="81"/>
            <rFont val="Tahoma"/>
            <family val="2"/>
          </rPr>
          <t xml:space="preserve">
oplosbaarheid van verzadigde oplossing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<sst xmlns="http://schemas.openxmlformats.org/spreadsheetml/2006/main" count="14388" uniqueCount="2140">
  <si>
    <t>Benzeen</t>
  </si>
  <si>
    <t>tau</t>
  </si>
  <si>
    <t>Polymeer</t>
  </si>
  <si>
    <t>Ethylbenzeen</t>
  </si>
  <si>
    <t>Naftaleen</t>
  </si>
  <si>
    <t>Vinylchloride</t>
  </si>
  <si>
    <t>Dp</t>
  </si>
  <si>
    <t>m</t>
  </si>
  <si>
    <t>Tetrachlooretheen</t>
  </si>
  <si>
    <t>a</t>
  </si>
  <si>
    <t>b</t>
  </si>
  <si>
    <t>PE40</t>
  </si>
  <si>
    <t>PE80</t>
  </si>
  <si>
    <t>ID</t>
  </si>
  <si>
    <t>Xyleen</t>
  </si>
  <si>
    <t>85-01-8</t>
  </si>
  <si>
    <t>13-30-2-07</t>
  </si>
  <si>
    <t>Partitie coefficient</t>
  </si>
  <si>
    <t>71-43-2</t>
  </si>
  <si>
    <t>100-41-4</t>
  </si>
  <si>
    <t>Tolueen</t>
  </si>
  <si>
    <t>108-88-3</t>
  </si>
  <si>
    <t>1,2-dichloorethaan</t>
  </si>
  <si>
    <t>107-06-2</t>
  </si>
  <si>
    <t>1,1-dichlooretheen</t>
  </si>
  <si>
    <t>156-59-2</t>
  </si>
  <si>
    <t>1,1,1-trichloorethaan</t>
  </si>
  <si>
    <t>71-55-6</t>
  </si>
  <si>
    <t>Trichlooretheen</t>
  </si>
  <si>
    <t>79-01-6</t>
  </si>
  <si>
    <t>127-18-4</t>
  </si>
  <si>
    <t>Octaan</t>
  </si>
  <si>
    <t>111-65-9</t>
  </si>
  <si>
    <t>LOG Kow</t>
  </si>
  <si>
    <t>d</t>
  </si>
  <si>
    <t>(bij 20- 25 °C)</t>
  </si>
  <si>
    <t>chloorethaan</t>
  </si>
  <si>
    <t>ID_NAAM</t>
  </si>
  <si>
    <t>CAS</t>
  </si>
  <si>
    <t>SID</t>
  </si>
  <si>
    <t>FNAAM</t>
  </si>
  <si>
    <t>SNAAM</t>
  </si>
  <si>
    <t>stof</t>
  </si>
  <si>
    <t>M</t>
  </si>
  <si>
    <t>S</t>
  </si>
  <si>
    <t>Vp</t>
  </si>
  <si>
    <t>logKow</t>
  </si>
  <si>
    <t>logKoc</t>
  </si>
  <si>
    <t>pKa</t>
  </si>
  <si>
    <t>Dpe</t>
  </si>
  <si>
    <t>DARw</t>
  </si>
  <si>
    <t>MTR-AB</t>
  </si>
  <si>
    <t>INT</t>
  </si>
  <si>
    <t>BCFaard</t>
  </si>
  <si>
    <t>BCFgroent</t>
  </si>
  <si>
    <t>Tranche</t>
  </si>
  <si>
    <t>Kp</t>
  </si>
  <si>
    <t>TCL</t>
  </si>
  <si>
    <t>geurdrempel</t>
  </si>
  <si>
    <t>MTR</t>
  </si>
  <si>
    <t>H</t>
  </si>
  <si>
    <t>Da</t>
  </si>
  <si>
    <t>Arseen</t>
  </si>
  <si>
    <t>1e</t>
  </si>
  <si>
    <t>Barium</t>
  </si>
  <si>
    <t>Cadmium</t>
  </si>
  <si>
    <t>Chroom</t>
  </si>
  <si>
    <t>Chroom(VI)</t>
  </si>
  <si>
    <t/>
  </si>
  <si>
    <t>Kobalt</t>
  </si>
  <si>
    <t>Koper</t>
  </si>
  <si>
    <t>Kwik</t>
  </si>
  <si>
    <t>Lood</t>
  </si>
  <si>
    <t>Molybdeen</t>
  </si>
  <si>
    <t>Nikkel</t>
  </si>
  <si>
    <t>Tin</t>
  </si>
  <si>
    <t>4e</t>
  </si>
  <si>
    <t>Zink</t>
  </si>
  <si>
    <t>Zilver</t>
  </si>
  <si>
    <t>Tellurium</t>
  </si>
  <si>
    <t>Antimoon</t>
  </si>
  <si>
    <t>2e</t>
  </si>
  <si>
    <t>Vanadium</t>
  </si>
  <si>
    <t>Seleen</t>
  </si>
  <si>
    <t>Thallium</t>
  </si>
  <si>
    <t>Beryllium</t>
  </si>
  <si>
    <t>Cyanide(vrij)</t>
  </si>
  <si>
    <t>Cyanide(complex)</t>
  </si>
  <si>
    <t>Thiocyanaat</t>
  </si>
  <si>
    <t>Fenol</t>
  </si>
  <si>
    <t>p-Cresol</t>
  </si>
  <si>
    <t>m-Xyleen</t>
  </si>
  <si>
    <t>Catechol(o-dihydroxybenzeen)</t>
  </si>
  <si>
    <t>Resorcinol(m-dihydroxybenzeen)</t>
  </si>
  <si>
    <t>Hydroquinone(p-dihydroxybenzeen)</t>
  </si>
  <si>
    <t>dodecylbenzeen</t>
  </si>
  <si>
    <t>o-Cresol</t>
  </si>
  <si>
    <t>m-Cresol</t>
  </si>
  <si>
    <t>o-Xyleen</t>
  </si>
  <si>
    <t>p-Xyleen</t>
  </si>
  <si>
    <t>Anthraceen</t>
  </si>
  <si>
    <t>Benzo(a)anthraceen</t>
  </si>
  <si>
    <t>Benzo(k)fluorantheen</t>
  </si>
  <si>
    <t>Benzo(a)pyreen</t>
  </si>
  <si>
    <t>Chryseen</t>
  </si>
  <si>
    <t>Fenanthreen</t>
  </si>
  <si>
    <t>Fluorantheen</t>
  </si>
  <si>
    <t>Indeno(123cd)pyreen</t>
  </si>
  <si>
    <t>Benzo(ghi)peryleen</t>
  </si>
  <si>
    <t>Pyreen</t>
  </si>
  <si>
    <t>Acenaphtheen</t>
  </si>
  <si>
    <t>Benzo(b)fluorantheen</t>
  </si>
  <si>
    <t>Benzo(j)fluorantheen</t>
  </si>
  <si>
    <t>Dibenz(a,h)anthraceen</t>
  </si>
  <si>
    <t>9H-fluoreen</t>
  </si>
  <si>
    <t>Acenaphthyleen</t>
  </si>
  <si>
    <t>Dichloormethaan(methylenechloride)</t>
  </si>
  <si>
    <t>Tetrachloormethaan(carbontetrachloride)</t>
  </si>
  <si>
    <t>Trichloormethaan(chloorform)</t>
  </si>
  <si>
    <t>Monochlooretheen(vinylchloride)</t>
  </si>
  <si>
    <t>1,1-dichloorethaan</t>
  </si>
  <si>
    <t>1,1,2-trichloorethaan</t>
  </si>
  <si>
    <t>1,2-dichlooretheen(cis)</t>
  </si>
  <si>
    <t>1,2-dichlooretheen(trans)</t>
  </si>
  <si>
    <t>1,2-dichlooretheen(cisentrans)</t>
  </si>
  <si>
    <t>1,2-dichloorpropaan</t>
  </si>
  <si>
    <t>1,3-dichloorpropaan</t>
  </si>
  <si>
    <t>Monochloorbenzeen</t>
  </si>
  <si>
    <t>1,4-dichloorbenzeen</t>
  </si>
  <si>
    <t>1,2,4-trichloorbenzeen</t>
  </si>
  <si>
    <t>1,2,3,4-tetrachloorbenzeen</t>
  </si>
  <si>
    <t>Pentachloorbenzeen</t>
  </si>
  <si>
    <t>Hexachloorbenzeen</t>
  </si>
  <si>
    <t>2-chloorfenol</t>
  </si>
  <si>
    <t>2,4-dichloorfenol</t>
  </si>
  <si>
    <t>2,3,4-Trichloorfenol</t>
  </si>
  <si>
    <t>2,3,4,5-Tetrachloorfenol</t>
  </si>
  <si>
    <t>Pentachloorfenol</t>
  </si>
  <si>
    <t>1-chloornaftaleen</t>
  </si>
  <si>
    <t>PCB28</t>
  </si>
  <si>
    <t>PCB52</t>
  </si>
  <si>
    <t>PCB101</t>
  </si>
  <si>
    <t>PCB118</t>
  </si>
  <si>
    <t>PCB138</t>
  </si>
  <si>
    <t>PCB153</t>
  </si>
  <si>
    <t>PCB180</t>
  </si>
  <si>
    <t>1,2-dichloorbenzeen</t>
  </si>
  <si>
    <t>1,2,3-trichloorbenzeen</t>
  </si>
  <si>
    <t>1,3,5-trichloorbenzeen</t>
  </si>
  <si>
    <t>1,2,4,5-tetrachloorbenzeen</t>
  </si>
  <si>
    <t>1,2,3,5-tetrachloorbenzeen</t>
  </si>
  <si>
    <t>3-chloorfenol</t>
  </si>
  <si>
    <t>4-chloorfenol</t>
  </si>
  <si>
    <t>2,3-dichloorfenol</t>
  </si>
  <si>
    <t>2,5-dichloorfenol</t>
  </si>
  <si>
    <t>2,6-dichloorfenol</t>
  </si>
  <si>
    <t>3,4-dichloorfenol</t>
  </si>
  <si>
    <t>3,5-dichloorfenol</t>
  </si>
  <si>
    <t>2,3,5-Trichloorfenol</t>
  </si>
  <si>
    <t>2,3,6-Trichloorfenol</t>
  </si>
  <si>
    <t>3,4,5-Trichloorfenol</t>
  </si>
  <si>
    <t>2,4,6-Trichloorfenol</t>
  </si>
  <si>
    <t>2,4,5-Trichloorfenol</t>
  </si>
  <si>
    <t>2,3,4,6-Tetrachloorfenol</t>
  </si>
  <si>
    <t>2,3,5,6-Tetrachloorfenol</t>
  </si>
  <si>
    <t>PCB77</t>
  </si>
  <si>
    <t>PCB169</t>
  </si>
  <si>
    <t>2-chloornaftaleen</t>
  </si>
  <si>
    <t>PCB105</t>
  </si>
  <si>
    <t>PCB126</t>
  </si>
  <si>
    <t>PCB156</t>
  </si>
  <si>
    <t>PCB157</t>
  </si>
  <si>
    <t>DDT</t>
  </si>
  <si>
    <t>DDE</t>
  </si>
  <si>
    <t>Aldrin</t>
  </si>
  <si>
    <t>Dieldrin</t>
  </si>
  <si>
    <t>Endrin</t>
  </si>
  <si>
    <t>alfa-HCH</t>
  </si>
  <si>
    <t>beta-HCH</t>
  </si>
  <si>
    <t>gamma-HCH(lindaan)</t>
  </si>
  <si>
    <t>carbaryl</t>
  </si>
  <si>
    <t>carbofuran</t>
  </si>
  <si>
    <t>propoxur</t>
  </si>
  <si>
    <t>maneb</t>
  </si>
  <si>
    <t>atrazine</t>
  </si>
  <si>
    <t>Tri-fenyltin-(stoffen)</t>
  </si>
  <si>
    <t>Tri-butyltinoxide</t>
  </si>
  <si>
    <t>trifenyltinhydroxide</t>
  </si>
  <si>
    <t>Tri-fenyltinhydroxide</t>
  </si>
  <si>
    <t>Chloordaan</t>
  </si>
  <si>
    <t>Heptachloorepoxide</t>
  </si>
  <si>
    <t>alfa-endosulfaan</t>
  </si>
  <si>
    <t>Heptachloor</t>
  </si>
  <si>
    <t>DDD</t>
  </si>
  <si>
    <t>cyclohexanon</t>
  </si>
  <si>
    <t>butylbenzylftalaat(BBP)</t>
  </si>
  <si>
    <t>di(2-ethylhexyl)ftalaat</t>
  </si>
  <si>
    <t>pyridine</t>
  </si>
  <si>
    <t>styrene</t>
  </si>
  <si>
    <t>tetrahydrofuran</t>
  </si>
  <si>
    <t>tetrahydrothiophene</t>
  </si>
  <si>
    <t>dihexylftalaat(DHP)</t>
  </si>
  <si>
    <t>dimethylftalaat(DMP)</t>
  </si>
  <si>
    <t>dibuthylftalaat(DBP)</t>
  </si>
  <si>
    <t>diethylftalaat(DEP)</t>
  </si>
  <si>
    <t>TPHalifaten&gt;EC5-EC6</t>
  </si>
  <si>
    <t>TPHalifaten&gt;EC6-EC8</t>
  </si>
  <si>
    <t>TPHalifaten&gt;EC8-EC10</t>
  </si>
  <si>
    <t>TPHalifaten&gt;EC10-EC12</t>
  </si>
  <si>
    <t>TPHalifaten&gt;EC12-EC16</t>
  </si>
  <si>
    <t>TPHalifaten&gt;EC16-EC21</t>
  </si>
  <si>
    <t>TPHaromaten&gt;EC5-EC7</t>
  </si>
  <si>
    <t>TPHaromaten&gt;EC7-EC8</t>
  </si>
  <si>
    <t>TPHaromaten&gt;EC8-EC10</t>
  </si>
  <si>
    <t>TPHaromaten&gt;EC10-EC12</t>
  </si>
  <si>
    <t>TPHaromaten&gt;EC12-EC16</t>
  </si>
  <si>
    <t>TPHaromaten&gt;EC16-EC21</t>
  </si>
  <si>
    <t>TPHaromaten&gt;EC21-EC35</t>
  </si>
  <si>
    <t>di-isobutylftalaat(DIBP)</t>
  </si>
  <si>
    <t>2,3,7,8-TCDD</t>
  </si>
  <si>
    <t>PCDD</t>
  </si>
  <si>
    <t>HxCDD</t>
  </si>
  <si>
    <t>HpCDD</t>
  </si>
  <si>
    <t>OCDD</t>
  </si>
  <si>
    <t>2,3,7,8-TetraCDF</t>
  </si>
  <si>
    <t>1,2,3,7,8-PentaCDF</t>
  </si>
  <si>
    <t>2,3,4,7,8,-PentaCDF</t>
  </si>
  <si>
    <t>1,2,3,4,7,8-HexaCDF</t>
  </si>
  <si>
    <t>1,2,3,6,7,8-HexaCDF</t>
  </si>
  <si>
    <t>1,2,3,7,8,9-HexaCDF</t>
  </si>
  <si>
    <t>2,3,4,6,7,8-HexaCDF</t>
  </si>
  <si>
    <t>1,2,3,4,6,7,8-HeptaCDF</t>
  </si>
  <si>
    <t>1,2,3,4,7,8,9-HeptaCDF</t>
  </si>
  <si>
    <t>OctaCDF</t>
  </si>
  <si>
    <t>methylethylketon</t>
  </si>
  <si>
    <t>azinphosmethyl</t>
  </si>
  <si>
    <t>methyl-t-butylether</t>
  </si>
  <si>
    <t>ethyleenglycol</t>
  </si>
  <si>
    <t>diethyleenglycol</t>
  </si>
  <si>
    <t>acrylonitril</t>
  </si>
  <si>
    <t>formaldehyde</t>
  </si>
  <si>
    <t>methanol</t>
  </si>
  <si>
    <t>butanol</t>
  </si>
  <si>
    <t>butylacetaat(1,2)</t>
  </si>
  <si>
    <t>Monochlooranilinen</t>
  </si>
  <si>
    <t>Dichlooranilinen</t>
  </si>
  <si>
    <t>Trichlooranilinen</t>
  </si>
  <si>
    <t>Tetrachlooranilinen</t>
  </si>
  <si>
    <t>Pentachlooranilinen</t>
  </si>
  <si>
    <t>4-chloor-2-methylfenol</t>
  </si>
  <si>
    <t>MCPA</t>
  </si>
  <si>
    <t>isopropanol</t>
  </si>
  <si>
    <t>Tribroommethaan</t>
  </si>
  <si>
    <t>ethylacetaat</t>
  </si>
  <si>
    <t>NAAM</t>
  </si>
  <si>
    <t>Oplosbaarheid S (g/g)</t>
  </si>
  <si>
    <t>Oplosbaarheid in water</t>
  </si>
  <si>
    <t>Molgewicht</t>
  </si>
  <si>
    <t>(g/mol)</t>
  </si>
  <si>
    <t>(bij 20 °C)</t>
  </si>
  <si>
    <t>cas nr</t>
  </si>
  <si>
    <t>Vonk 1985, tabel 8.5</t>
  </si>
  <si>
    <t>Sanscrit, jan 2014</t>
  </si>
  <si>
    <t>GESTIS</t>
  </si>
  <si>
    <t>EPA 1995, table 36</t>
  </si>
  <si>
    <t>Vonk 1985, tabel 14.1</t>
  </si>
  <si>
    <t>Sangster 1989</t>
  </si>
  <si>
    <t>Aromaten</t>
  </si>
  <si>
    <t>1,3,5-Trimethylbenzeen</t>
  </si>
  <si>
    <t>108-67-8</t>
  </si>
  <si>
    <t>no data</t>
  </si>
  <si>
    <t>Propylbenzeen</t>
  </si>
  <si>
    <t xml:space="preserve"> 103-65-1</t>
  </si>
  <si>
    <t>Pentylbenzeen</t>
  </si>
  <si>
    <t>Alkanen</t>
  </si>
  <si>
    <t>n-Pentaan</t>
  </si>
  <si>
    <t>109-66-0</t>
  </si>
  <si>
    <t>Hexaan</t>
  </si>
  <si>
    <t>Cyclohexaan</t>
  </si>
  <si>
    <t>110-82-7</t>
  </si>
  <si>
    <t>142-82-5</t>
  </si>
  <si>
    <t>2,2,4-Trimethylpentaan</t>
  </si>
  <si>
    <t>25167-70-8</t>
  </si>
  <si>
    <t>Gechloreerde aromaten</t>
  </si>
  <si>
    <t>108-90-7</t>
  </si>
  <si>
    <t>Benzylchloride</t>
  </si>
  <si>
    <t>100-44-7</t>
  </si>
  <si>
    <t>o-Chloortolueen</t>
  </si>
  <si>
    <t>95-49-8</t>
  </si>
  <si>
    <t>-</t>
  </si>
  <si>
    <t>m-Chloortolueen</t>
  </si>
  <si>
    <t>108-41-8</t>
  </si>
  <si>
    <t>p-Chloortolueen</t>
  </si>
  <si>
    <t>106-43-4</t>
  </si>
  <si>
    <t>1,2-Dichloorbenzeen</t>
  </si>
  <si>
    <t>95-50-1</t>
  </si>
  <si>
    <t>1,3-Dichloorbenzeen</t>
  </si>
  <si>
    <t>541-73-1</t>
  </si>
  <si>
    <t>1,4-Dichloorbenzeen</t>
  </si>
  <si>
    <t>106-46-7</t>
  </si>
  <si>
    <t>1,2,3-Trichloorbenzeen</t>
  </si>
  <si>
    <t>87-61-6</t>
  </si>
  <si>
    <t>1,2,4-Trichloorbenzeen</t>
  </si>
  <si>
    <t>120-82-1</t>
  </si>
  <si>
    <t>1,3,5-Trichloorbenzeen</t>
  </si>
  <si>
    <t>108-70-3</t>
  </si>
  <si>
    <t>α,α,α-Trichloortolueen</t>
  </si>
  <si>
    <t>98-07-7</t>
  </si>
  <si>
    <t>Tetrachloorbenzeen</t>
  </si>
  <si>
    <t>608-93-5</t>
  </si>
  <si>
    <t>Gechloreerde alkanen en alkenen</t>
  </si>
  <si>
    <t>Dichloormethaan</t>
  </si>
  <si>
    <t>75-09-2</t>
  </si>
  <si>
    <t>Tetrachloormethaan</t>
  </si>
  <si>
    <t>56-23-5</t>
  </si>
  <si>
    <t>1,2-Dichloorethaan</t>
  </si>
  <si>
    <t>1,1,2,2-Tetrachloorethaan</t>
  </si>
  <si>
    <t>79-34-5</t>
  </si>
  <si>
    <t>1,1,1-Trichloorethaan</t>
  </si>
  <si>
    <t>1,1,2-Trichloorethaan</t>
  </si>
  <si>
    <t>79-00-5</t>
  </si>
  <si>
    <t>78-87-5</t>
  </si>
  <si>
    <t>1,2-Dichlooretheen(cis)</t>
  </si>
  <si>
    <t>Diverse gechloreerde verbindingen</t>
  </si>
  <si>
    <t>Aniline</t>
  </si>
  <si>
    <t>2-Chlooraniline</t>
  </si>
  <si>
    <t>3-Chlooraniline</t>
  </si>
  <si>
    <t>4-Chlooraniline</t>
  </si>
  <si>
    <t>n-Methylaniline</t>
  </si>
  <si>
    <t>m-Nitroaniline</t>
  </si>
  <si>
    <t>p-Chloorfenol</t>
  </si>
  <si>
    <t>1,2-Dichloorfenol</t>
  </si>
  <si>
    <t>Nitrobenzeen</t>
  </si>
  <si>
    <t>2,3-Dichloor-5-nitrotolueen</t>
  </si>
  <si>
    <t>Ethanol</t>
  </si>
  <si>
    <t>oneindig</t>
  </si>
  <si>
    <t>1-Hexanol</t>
  </si>
  <si>
    <t>Methylethylketon</t>
  </si>
  <si>
    <t>Di-isopropylketon</t>
  </si>
  <si>
    <t>Methoxybenzeen</t>
  </si>
  <si>
    <t>Di-isopropylether</t>
  </si>
  <si>
    <t>g/g</t>
  </si>
  <si>
    <t>g/L</t>
  </si>
  <si>
    <t>Sanscrit, januari 2014</t>
  </si>
  <si>
    <t>Wikipedia</t>
  </si>
  <si>
    <t>overige</t>
  </si>
  <si>
    <t>opmerking</t>
  </si>
  <si>
    <t>http://www.inchem.org/documents/icsc/icsc/eics0105.htm</t>
  </si>
  <si>
    <t>Particie coefficient Ocatonol-Water</t>
  </si>
  <si>
    <t>(-)</t>
  </si>
  <si>
    <t>LOG KOW</t>
  </si>
  <si>
    <t>Cwmax</t>
  </si>
  <si>
    <t>(g/l)</t>
  </si>
  <si>
    <t>diversen</t>
  </si>
  <si>
    <t>VELD</t>
  </si>
  <si>
    <t>SYSBOOL</t>
  </si>
  <si>
    <t>EENHEID</t>
  </si>
  <si>
    <t>INFOBRON</t>
  </si>
  <si>
    <t>RANDVOORWAARDE</t>
  </si>
  <si>
    <t>Partitie coefficient PE-Water (Time Lag methode)</t>
  </si>
  <si>
    <t>Minerale olie (C10-C12)</t>
  </si>
  <si>
    <t>Minerale olie (C12-C16)</t>
  </si>
  <si>
    <t>Minerale olie (C16-C21)</t>
  </si>
  <si>
    <t>Minerale olie (C21-C30)</t>
  </si>
  <si>
    <t>www.gsi-net.com</t>
  </si>
  <si>
    <t>Sw</t>
  </si>
  <si>
    <t>Spe</t>
  </si>
  <si>
    <t>Diffusie coefficient</t>
  </si>
  <si>
    <t>concentratie in drinkwater</t>
  </si>
  <si>
    <t>Bifenly</t>
  </si>
  <si>
    <t>bifenly ether</t>
  </si>
  <si>
    <t xml:space="preserve"> 92-52-4 </t>
  </si>
  <si>
    <t>Eigenschappen</t>
  </si>
  <si>
    <t>liquid immersion</t>
  </si>
  <si>
    <t>Tolueen (Mao 2008)</t>
  </si>
  <si>
    <t>benzeen (Mao 2008)</t>
  </si>
  <si>
    <t>benzeen</t>
  </si>
  <si>
    <t>Kpw</t>
  </si>
  <si>
    <t>Cw</t>
  </si>
  <si>
    <t>JRC-model</t>
  </si>
  <si>
    <t>(m2/s)</t>
  </si>
  <si>
    <t>Cexp</t>
  </si>
  <si>
    <t>Bifenyl</t>
  </si>
  <si>
    <t>Vonk 1985, tabel 8.1</t>
  </si>
  <si>
    <t>108-95-2</t>
  </si>
  <si>
    <t>78-93-3</t>
  </si>
  <si>
    <t>model</t>
  </si>
  <si>
    <t>101-84-8  (= bifenyl oxide ??)</t>
  </si>
  <si>
    <t>Diffusie coefficient PE (Time Lag methode)</t>
  </si>
  <si>
    <t>Dpw</t>
  </si>
  <si>
    <t xml:space="preserve">Kpw </t>
  </si>
  <si>
    <t>(10^+8 m2/d)</t>
  </si>
  <si>
    <t>&lt;3.4</t>
  </si>
  <si>
    <t>g/m3</t>
  </si>
  <si>
    <t>T</t>
  </si>
  <si>
    <t>Diffusie coefficient PE (liquid immersion methode)</t>
  </si>
  <si>
    <t>Permeatie coefficienten</t>
  </si>
  <si>
    <t>P</t>
  </si>
  <si>
    <t>D</t>
  </si>
  <si>
    <t>Kw</t>
  </si>
  <si>
    <t>g/l</t>
  </si>
  <si>
    <t>ug/cm2/d</t>
  </si>
  <si>
    <r>
      <t>m2/d 10</t>
    </r>
    <r>
      <rPr>
        <vertAlign val="superscript"/>
        <sz val="10"/>
        <rFont val="Times New Roman"/>
        <family val="1"/>
      </rPr>
      <t>-8</t>
    </r>
  </si>
  <si>
    <t>0.117 inch</t>
  </si>
  <si>
    <t>Tabel 1: Alifaten</t>
  </si>
  <si>
    <t>r</t>
  </si>
  <si>
    <t>Average</t>
  </si>
  <si>
    <t>Diameter(binnen)</t>
  </si>
  <si>
    <t>log Kow</t>
  </si>
  <si>
    <t>Diameter (buiten</t>
  </si>
  <si>
    <t>kw</t>
  </si>
  <si>
    <t>Oppervlak</t>
  </si>
  <si>
    <t>Cbodem</t>
  </si>
  <si>
    <t>expositietijd</t>
  </si>
  <si>
    <t>Cgrondwater</t>
  </si>
  <si>
    <t>Q</t>
  </si>
  <si>
    <t>LDPE 25 mm</t>
  </si>
  <si>
    <t>LDPE 32 mm</t>
  </si>
  <si>
    <t>g/kg</t>
  </si>
  <si>
    <t>dag</t>
  </si>
  <si>
    <t>mg/l</t>
  </si>
  <si>
    <t>relatief</t>
  </si>
  <si>
    <t>g/m2/d</t>
  </si>
  <si>
    <t>*10-8 m2/d</t>
  </si>
  <si>
    <t>tabel 2: gechloreerde koolwaterstoffen</t>
  </si>
  <si>
    <t>1,1,1 trichloorethaan</t>
  </si>
  <si>
    <t>tri</t>
  </si>
  <si>
    <t>per</t>
  </si>
  <si>
    <t>Is C-bodem omgewisseld?</t>
  </si>
  <si>
    <t>Bij het bemonsteren van de LDPE buizen is zeer veel contaminanten verwijderd. De concentraties lopen daarom na verloop van tijd af. Alleen metingen na 14 dage zijn geschikt voor interpretatie</t>
  </si>
  <si>
    <t>Vonk 1985</t>
  </si>
  <si>
    <t>Methaan</t>
  </si>
  <si>
    <t>Ethylene</t>
  </si>
  <si>
    <t xml:space="preserve"> 74-82-8 </t>
  </si>
  <si>
    <t>74-85-1</t>
  </si>
  <si>
    <t>Methanol</t>
  </si>
  <si>
    <t>67-56-1</t>
  </si>
  <si>
    <t>Allene</t>
  </si>
  <si>
    <t>463-49-0</t>
  </si>
  <si>
    <t>praktically non-soluble</t>
  </si>
  <si>
    <t>Propylene (Propeen??)</t>
  </si>
  <si>
    <t>Propaan</t>
  </si>
  <si>
    <t xml:space="preserve"> 74-98-6 </t>
  </si>
  <si>
    <t>107-12-0</t>
  </si>
  <si>
    <t>Propionitrile</t>
  </si>
  <si>
    <t>115-11-7</t>
  </si>
  <si>
    <t>Isobutyleen</t>
  </si>
  <si>
    <t>67-64-1</t>
  </si>
  <si>
    <t>Acetone</t>
  </si>
  <si>
    <t>106-97-8</t>
  </si>
  <si>
    <t>n-Pentane</t>
  </si>
  <si>
    <t>123-72-8</t>
  </si>
  <si>
    <t>Butylalcohol</t>
  </si>
  <si>
    <t>71-36-3</t>
  </si>
  <si>
    <t>Dimethyl sulfoxide</t>
  </si>
  <si>
    <t xml:space="preserve"> 67-68-5 </t>
  </si>
  <si>
    <t>Pentanal</t>
  </si>
  <si>
    <t>110-62-3</t>
  </si>
  <si>
    <t>3-Methylpentane</t>
  </si>
  <si>
    <t xml:space="preserve"> 96-14-0 </t>
  </si>
  <si>
    <t xml:space="preserve"> 75-83-2 </t>
  </si>
  <si>
    <t>Tetrafluoromethane</t>
  </si>
  <si>
    <t xml:space="preserve"> 75-73-0 </t>
  </si>
  <si>
    <t>Ethylacetaat</t>
  </si>
  <si>
    <t xml:space="preserve">141-78-6 </t>
  </si>
  <si>
    <t>1-Pentanol</t>
  </si>
  <si>
    <t>71-41-0</t>
  </si>
  <si>
    <t>2-Pentanol</t>
  </si>
  <si>
    <t>6032-29-7</t>
  </si>
  <si>
    <t>Heptaan (n-heptaan)</t>
  </si>
  <si>
    <t>cis-Hex-3-en-1-ol</t>
  </si>
  <si>
    <t xml:space="preserve"> 928-96-1 </t>
  </si>
  <si>
    <t xml:space="preserve"> 66-25-1 </t>
  </si>
  <si>
    <t>Ethylpropionate</t>
  </si>
  <si>
    <t xml:space="preserve"> 105-37-3 </t>
  </si>
  <si>
    <t xml:space="preserve"> 111-27-3 </t>
  </si>
  <si>
    <t>2-Hexanol</t>
  </si>
  <si>
    <t xml:space="preserve"> 626-93-7</t>
  </si>
  <si>
    <t xml:space="preserve"> 108-38-3 </t>
  </si>
  <si>
    <t xml:space="preserve"> 95-47-6 </t>
  </si>
  <si>
    <t>Ethane</t>
  </si>
  <si>
    <t>74-84-0</t>
  </si>
  <si>
    <t>Cyclopopane</t>
  </si>
  <si>
    <t xml:space="preserve"> 75-19-4 </t>
  </si>
  <si>
    <t>Butyraldehyde (butanal)</t>
  </si>
  <si>
    <t>66-25-1</t>
  </si>
  <si>
    <t>c</t>
  </si>
  <si>
    <t>e</t>
  </si>
  <si>
    <t>temperatuur</t>
  </si>
  <si>
    <t>onbekend</t>
  </si>
  <si>
    <t>Liquid</t>
  </si>
  <si>
    <t>benzene</t>
  </si>
  <si>
    <t>Toluene</t>
  </si>
  <si>
    <t>p-Xylene</t>
  </si>
  <si>
    <t>kJ/mol</t>
  </si>
  <si>
    <r>
      <t>cm</t>
    </r>
    <r>
      <rPr>
        <vertAlign val="superscript"/>
        <sz val="10"/>
        <rFont val="Arial"/>
        <family val="2"/>
      </rPr>
      <t>3</t>
    </r>
    <r>
      <rPr>
        <sz val="10"/>
        <rFont val="Arial"/>
        <family val="2"/>
      </rPr>
      <t>/g</t>
    </r>
  </si>
  <si>
    <r>
      <t>E</t>
    </r>
    <r>
      <rPr>
        <vertAlign val="subscript"/>
        <sz val="10"/>
        <rFont val="Arial"/>
        <family val="2"/>
      </rPr>
      <t>D, HDPE</t>
    </r>
  </si>
  <si>
    <r>
      <t>E</t>
    </r>
    <r>
      <rPr>
        <vertAlign val="subscript"/>
        <sz val="10"/>
        <rFont val="Arial"/>
        <family val="2"/>
      </rPr>
      <t>P, HDPE</t>
    </r>
  </si>
  <si>
    <r>
      <rPr>
        <sz val="10"/>
        <rFont val="Calibri"/>
        <family val="2"/>
      </rPr>
      <t>Δ</t>
    </r>
    <r>
      <rPr>
        <sz val="10"/>
        <rFont val="Arial"/>
        <family val="2"/>
      </rPr>
      <t>H</t>
    </r>
    <r>
      <rPr>
        <vertAlign val="subscript"/>
        <sz val="10"/>
        <rFont val="Arial"/>
        <family val="2"/>
      </rPr>
      <t>S, HDPE</t>
    </r>
  </si>
  <si>
    <r>
      <rPr>
        <sz val="10"/>
        <rFont val="Calibri"/>
        <family val="2"/>
      </rPr>
      <t>α</t>
    </r>
    <r>
      <rPr>
        <vertAlign val="subscript"/>
        <sz val="10"/>
        <rFont val="Arial"/>
        <family val="2"/>
      </rPr>
      <t>HDPE</t>
    </r>
  </si>
  <si>
    <r>
      <rPr>
        <sz val="10"/>
        <rFont val="Calibri"/>
        <family val="2"/>
      </rPr>
      <t>X</t>
    </r>
    <r>
      <rPr>
        <vertAlign val="subscript"/>
        <sz val="10"/>
        <rFont val="Arial"/>
        <family val="2"/>
      </rPr>
      <t>HDPE</t>
    </r>
  </si>
  <si>
    <t>Trimethylbenzene</t>
  </si>
  <si>
    <t>Methoxybenzene</t>
  </si>
  <si>
    <t>Chlorobenzene</t>
  </si>
  <si>
    <t>1-Chloronpphtalene</t>
  </si>
  <si>
    <t>Dichlormethane</t>
  </si>
  <si>
    <t>1,2-Dichlroethane</t>
  </si>
  <si>
    <t>Methyl Ethyl Ketone</t>
  </si>
  <si>
    <t>Methyl iso-Buthyl Ketone</t>
  </si>
  <si>
    <t>Cyclohexanone</t>
  </si>
  <si>
    <t>Butyraldehyde</t>
  </si>
  <si>
    <t>NA</t>
  </si>
  <si>
    <t>interaction parameter</t>
  </si>
  <si>
    <t>Activation energy for Diffusion</t>
  </si>
  <si>
    <t>Activation energy for Permeation</t>
  </si>
  <si>
    <t>Heat of Sorption (K)</t>
  </si>
  <si>
    <t>Swelling index (immerion test)</t>
  </si>
  <si>
    <t>table 7: Activation energy of HDPE (Temperatuurafhankelijkheid)</t>
  </si>
  <si>
    <t>Table 3: Sorption</t>
  </si>
  <si>
    <t>(mol %)</t>
  </si>
  <si>
    <r>
      <t xml:space="preserve">S (25 </t>
    </r>
    <r>
      <rPr>
        <sz val="10"/>
        <rFont val="Calibri"/>
        <family val="2"/>
      </rPr>
      <t>°</t>
    </r>
    <r>
      <rPr>
        <sz val="10"/>
        <rFont val="Arial"/>
        <family val="2"/>
      </rPr>
      <t>C)</t>
    </r>
  </si>
  <si>
    <r>
      <t xml:space="preserve">D (25 </t>
    </r>
    <r>
      <rPr>
        <sz val="10"/>
        <rFont val="Calibri"/>
        <family val="2"/>
      </rPr>
      <t>°</t>
    </r>
    <r>
      <rPr>
        <sz val="10"/>
        <rFont val="Arial"/>
        <family val="2"/>
      </rPr>
      <t>C)</t>
    </r>
  </si>
  <si>
    <t>10^7 cm/s2</t>
  </si>
  <si>
    <t>g/cm3</t>
  </si>
  <si>
    <r>
      <t>(10</t>
    </r>
    <r>
      <rPr>
        <vertAlign val="superscript"/>
        <sz val="10"/>
        <rFont val="Arial"/>
        <family val="2"/>
      </rPr>
      <t>+8</t>
    </r>
    <r>
      <rPr>
        <sz val="10"/>
        <rFont val="Arial"/>
        <family val="2"/>
      </rPr>
      <t xml:space="preserve"> m2/d)</t>
    </r>
  </si>
  <si>
    <t>Table 6: Desorption</t>
  </si>
  <si>
    <t>K</t>
  </si>
  <si>
    <r>
      <t xml:space="preserve">K (25 </t>
    </r>
    <r>
      <rPr>
        <sz val="10"/>
        <rFont val="Calibri"/>
        <family val="2"/>
      </rPr>
      <t>°</t>
    </r>
    <r>
      <rPr>
        <sz val="10"/>
        <rFont val="Arial"/>
        <family val="2"/>
      </rPr>
      <t>C)</t>
    </r>
  </si>
  <si>
    <t>D-desorption</t>
  </si>
  <si>
    <r>
      <t>Interaction parameter (Ct/C</t>
    </r>
    <r>
      <rPr>
        <sz val="10"/>
        <rFont val="Calibri"/>
        <family val="2"/>
      </rPr>
      <t>∞</t>
    </r>
    <r>
      <rPr>
        <sz val="10"/>
        <rFont val="Arial"/>
        <family val="2"/>
      </rPr>
      <t xml:space="preserve"> = Kt^n) 25 Celcius)</t>
    </r>
  </si>
  <si>
    <t>Temperatuursafhankelijkheid</t>
  </si>
  <si>
    <t>Afname parameters bij daling temperatuur</t>
  </si>
  <si>
    <t>Analyse</t>
  </si>
  <si>
    <t>Interactie parameter K geeft aan hoe snel permeatie verloopt bij immerion experiment. Dit blijkt slecht gecorreleerd met permeatie coefficient. Oorzaak is niet duidelijk. Swelling?</t>
  </si>
  <si>
    <t>Diffusie coefficienten van Sorptie en Desorptie experimenten zijn vergelijkbaar, iets lager bij desorptie.</t>
  </si>
  <si>
    <t>Chao 2007 Diffusion and solubility coefficients determined by permeation and immersion expertiments - JHM</t>
  </si>
  <si>
    <t>Table 1: properties</t>
  </si>
  <si>
    <t>Dichloromethane</t>
  </si>
  <si>
    <t>1,2-Dicholoethane</t>
  </si>
  <si>
    <t>Chloroform</t>
  </si>
  <si>
    <t>Trichloroethylene</t>
  </si>
  <si>
    <t>Styrene</t>
  </si>
  <si>
    <t>Ethyl Benzene</t>
  </si>
  <si>
    <t>Chemical</t>
  </si>
  <si>
    <t>WS</t>
  </si>
  <si>
    <t>Molar Mass</t>
  </si>
  <si>
    <t>g/mol</t>
  </si>
  <si>
    <t>10^7 cm2/s</t>
  </si>
  <si>
    <t>Benzene</t>
  </si>
  <si>
    <t>Pi = KD</t>
  </si>
  <si>
    <t>Pp = KD</t>
  </si>
  <si>
    <t>Immersion / Permatie</t>
  </si>
  <si>
    <t>Pi / Pp</t>
  </si>
  <si>
    <t>Permeation experiment resulteerd in vergelijkbare parameters als immerion experiment</t>
  </si>
  <si>
    <t>Conclusie:</t>
  </si>
  <si>
    <t>Conclusie</t>
  </si>
  <si>
    <t xml:space="preserve"> log Khdw(SPARC)</t>
  </si>
  <si>
    <t>Vm(SPARC)</t>
  </si>
  <si>
    <t xml:space="preserve">Parent-PAHs </t>
  </si>
  <si>
    <t>naphthalene</t>
  </si>
  <si>
    <t>acenaphthene</t>
  </si>
  <si>
    <t>fluorene</t>
  </si>
  <si>
    <t>phenanthrene</t>
  </si>
  <si>
    <t>anthracene</t>
  </si>
  <si>
    <t>fluoranthene</t>
  </si>
  <si>
    <t>pyrene</t>
  </si>
  <si>
    <t>benz[a]anthracene</t>
  </si>
  <si>
    <t>chrysene</t>
  </si>
  <si>
    <t>benzo[b]fluoranthene</t>
  </si>
  <si>
    <t>benzo[k]fluoranthene</t>
  </si>
  <si>
    <t>benzo[e]pyrene</t>
  </si>
  <si>
    <t>benzo[a]pyrene</t>
  </si>
  <si>
    <t>perylene</t>
  </si>
  <si>
    <t>indeno[1,2,3-cd]pyrene</t>
  </si>
  <si>
    <t>benzo[ghi]perylene</t>
  </si>
  <si>
    <t>dibenz[ah]anthracene</t>
  </si>
  <si>
    <t>Alkylated-PAHs</t>
  </si>
  <si>
    <t>C1-naphthalenes</t>
  </si>
  <si>
    <t>2-methylnaphthalene</t>
  </si>
  <si>
    <t>1-methylnaphthalene</t>
  </si>
  <si>
    <t>C2-naphthalenes</t>
  </si>
  <si>
    <t>2,6-dimethylnaphthalene</t>
  </si>
  <si>
    <t>1,3-dimethylnaphthalene</t>
  </si>
  <si>
    <t>1,4-dimethylnaphthalene</t>
  </si>
  <si>
    <t>1,2-dimethylnaphthalene</t>
  </si>
  <si>
    <t>1,8-dimethylnaphthalene</t>
  </si>
  <si>
    <t>C3-naphthalenes</t>
  </si>
  <si>
    <t>2,3,6-trimethylnaphthalene</t>
  </si>
  <si>
    <t>2,3,5-trimethylnaphthalene</t>
  </si>
  <si>
    <t>C4-naphthalenes</t>
  </si>
  <si>
    <t>1,4,6,7-tetramethylnaphthalene</t>
  </si>
  <si>
    <t>C1-fluorenes</t>
  </si>
  <si>
    <t>1-methylfluorene</t>
  </si>
  <si>
    <t>C1-phenanthrenes/anthracenes</t>
  </si>
  <si>
    <t>2-methylphenanthrene</t>
  </si>
  <si>
    <t>2-methylanthracene</t>
  </si>
  <si>
    <t>1-methylphenanthrene</t>
  </si>
  <si>
    <t>9-methylanthracene</t>
  </si>
  <si>
    <t>C2-phenanthrenes/anthracenes</t>
  </si>
  <si>
    <t>3,6-dimethylphenanthrene</t>
  </si>
  <si>
    <t>2-ethylanthracene</t>
  </si>
  <si>
    <t>9,10-dimethylanthracene</t>
  </si>
  <si>
    <t>C1-fluoranthenes/pyrenes</t>
  </si>
  <si>
    <t>1-methylpyrene</t>
  </si>
  <si>
    <t>C1-benz[a]anthracenes/chrysenes</t>
  </si>
  <si>
    <t>7-methylbenz[a]anthracene</t>
  </si>
  <si>
    <t>6-methylchrysene</t>
  </si>
  <si>
    <t>C2-benz[a]anthracenes/chrysenes</t>
  </si>
  <si>
    <t>7,12-dimethylbenz[a]anthracene</t>
  </si>
  <si>
    <t>d10-fluorene</t>
  </si>
  <si>
    <t>d10-fluoranthene</t>
  </si>
  <si>
    <t>d12-perylene</t>
  </si>
  <si>
    <t xml:space="preserve"> Molecular weight</t>
  </si>
  <si>
    <t>Compound</t>
  </si>
  <si>
    <t>cm3/mol</t>
  </si>
  <si>
    <t xml:space="preserve"> PCB Congener</t>
  </si>
  <si>
    <t>+</t>
  </si>
  <si>
    <t>#53</t>
  </si>
  <si>
    <t>#147</t>
  </si>
  <si>
    <t>#176</t>
  </si>
  <si>
    <t>Literature values</t>
  </si>
  <si>
    <t>No of Chlorines</t>
  </si>
  <si>
    <t>#C</t>
  </si>
  <si>
    <t>Perdeuterated Parent-PAHs</t>
  </si>
  <si>
    <t xml:space="preserve">3.01c 2.81g   </t>
  </si>
  <si>
    <t xml:space="preserve">3.67b 3.62g   </t>
  </si>
  <si>
    <t xml:space="preserve">3.75c 3.77g   </t>
  </si>
  <si>
    <t xml:space="preserve">4.11-4.3a-e g   </t>
  </si>
  <si>
    <t xml:space="preserve">4.33-4.55c e-g   </t>
  </si>
  <si>
    <t xml:space="preserve">4.81-4.93a-d f g  </t>
  </si>
  <si>
    <t>4.7-5.10a b d e g</t>
  </si>
  <si>
    <t xml:space="preserve">5.5-5.73a-d g   </t>
  </si>
  <si>
    <t xml:space="preserve">5.5-5.78a-d f g  </t>
  </si>
  <si>
    <t xml:space="preserve">6.03c 6.3d   </t>
  </si>
  <si>
    <t xml:space="preserve">6.3d 5.76b   </t>
  </si>
  <si>
    <t xml:space="preserve">6.2a    </t>
  </si>
  <si>
    <t xml:space="preserve">5.90-6.75b d g  </t>
  </si>
  <si>
    <t xml:space="preserve">6.5a 5.85f   </t>
  </si>
  <si>
    <t xml:space="preserve">7.40g    </t>
  </si>
  <si>
    <t xml:space="preserve">7.27g    </t>
  </si>
  <si>
    <t xml:space="preserve">7.32g    </t>
  </si>
  <si>
    <t xml:space="preserve">    </t>
  </si>
  <si>
    <t xml:space="preserve">4.8a    </t>
  </si>
  <si>
    <t xml:space="preserve">5.0d    </t>
  </si>
  <si>
    <t xml:space="preserve">4.7d    </t>
  </si>
  <si>
    <t xml:space="preserve">5.2d    </t>
  </si>
  <si>
    <t xml:space="preserve">5.3d    </t>
  </si>
  <si>
    <t xml:space="preserve">3.77g    </t>
  </si>
  <si>
    <t xml:space="preserve">4.83g    </t>
  </si>
  <si>
    <t xml:space="preserve">6.20g    </t>
  </si>
  <si>
    <t xml:space="preserve">4.9c 4.90e   </t>
  </si>
  <si>
    <t xml:space="preserve">5.1a 5.31e   </t>
  </si>
  <si>
    <t xml:space="preserve">5.45-5.5c-e    </t>
  </si>
  <si>
    <t xml:space="preserve">5.90e    </t>
  </si>
  <si>
    <t xml:space="preserve">6.14e    </t>
  </si>
  <si>
    <t xml:space="preserve">6.18e    </t>
  </si>
  <si>
    <t xml:space="preserve">6.10e    </t>
  </si>
  <si>
    <t xml:space="preserve">6.61d 6.38e   </t>
  </si>
  <si>
    <t xml:space="preserve">6.18-6.27c-e    </t>
  </si>
  <si>
    <t xml:space="preserve">6.3-6.72c-e    </t>
  </si>
  <si>
    <t xml:space="preserve">6.1-6.35c-e    </t>
  </si>
  <si>
    <t xml:space="preserve">6.4-6.97c-e    </t>
  </si>
  <si>
    <t xml:space="preserve">6.5-6.92c-e    </t>
  </si>
  <si>
    <t xml:space="preserve">6.6-6.86c-e    </t>
  </si>
  <si>
    <t xml:space="preserve">6.74e    </t>
  </si>
  <si>
    <t xml:space="preserve">6.55e    </t>
  </si>
  <si>
    <t xml:space="preserve">6.4-6.81c-e    </t>
  </si>
  <si>
    <t xml:space="preserve">6.88e    </t>
  </si>
  <si>
    <t xml:space="preserve">6.96e    </t>
  </si>
  <si>
    <t xml:space="preserve">7.00-7.49c-e    </t>
  </si>
  <si>
    <t xml:space="preserve">5.16±0.02 5.35±0.06   </t>
  </si>
  <si>
    <t xml:space="preserve">6.59±0.02 6.44±0.04   </t>
  </si>
  <si>
    <t xml:space="preserve">6.98±0.08 6.80±0.09   </t>
  </si>
  <si>
    <t>STDEV</t>
  </si>
  <si>
    <t>.0.02</t>
  </si>
  <si>
    <t>S1-S2: Moleculaire eigenschappen</t>
  </si>
  <si>
    <t>Group</t>
  </si>
  <si>
    <t>Choi 2013 PE water partition coefficients - EST</t>
  </si>
  <si>
    <t>S3-S4: Measured Log Kpe (20 Celcius)</t>
  </si>
  <si>
    <t>20 Celcius</t>
  </si>
  <si>
    <t>LDPE (0.92 g/cm3)</t>
  </si>
  <si>
    <r>
      <t>logK</t>
    </r>
    <r>
      <rPr>
        <vertAlign val="subscript"/>
        <sz val="10"/>
        <rFont val="Arial"/>
        <family val="2"/>
      </rPr>
      <t>pe</t>
    </r>
    <r>
      <rPr>
        <sz val="10"/>
        <rFont val="Arial"/>
        <family val="2"/>
      </rPr>
      <t xml:space="preserve"> (DI-water)</t>
    </r>
  </si>
  <si>
    <r>
      <t>logK</t>
    </r>
    <r>
      <rPr>
        <vertAlign val="subscript"/>
        <sz val="10"/>
        <rFont val="Arial"/>
        <family val="2"/>
      </rPr>
      <t>pe</t>
    </r>
    <r>
      <rPr>
        <sz val="10"/>
        <rFont val="Arial"/>
        <family val="2"/>
      </rPr>
      <t xml:space="preserve"> (sea water)</t>
    </r>
  </si>
  <si>
    <t xml:space="preserve">Concusie: Metingen uitgevoerd bij hogere logKow dan Vonk 1985. Kpe is lager dan Vonk 1985. </t>
  </si>
  <si>
    <t>Immersion test</t>
  </si>
  <si>
    <t>LET OP: Dit is deels permeatie via de GASFASE</t>
  </si>
  <si>
    <t>Organic compound</t>
  </si>
  <si>
    <t>table 1: impact of concentration, Permeation test (MDCA)</t>
  </si>
  <si>
    <t>Aquaous solubility</t>
  </si>
  <si>
    <r>
      <t>K</t>
    </r>
    <r>
      <rPr>
        <vertAlign val="subscript"/>
        <sz val="10"/>
        <rFont val="Arial"/>
        <family val="2"/>
      </rPr>
      <t>HDPE,p</t>
    </r>
    <r>
      <rPr>
        <sz val="10"/>
        <rFont val="Arial"/>
        <family val="2"/>
      </rPr>
      <t xml:space="preserve"> (50 mg/l) </t>
    </r>
  </si>
  <si>
    <r>
      <t>K</t>
    </r>
    <r>
      <rPr>
        <vertAlign val="subscript"/>
        <sz val="10"/>
        <rFont val="Arial"/>
        <family val="2"/>
      </rPr>
      <t>HDPE,p</t>
    </r>
    <r>
      <rPr>
        <sz val="10"/>
        <rFont val="Arial"/>
        <family val="2"/>
      </rPr>
      <t xml:space="preserve"> (100 mg/l) </t>
    </r>
  </si>
  <si>
    <t xml:space="preserve">- </t>
  </si>
  <si>
    <t>Partition coefficient (50 mg/l) permeation experiment</t>
  </si>
  <si>
    <t>Partition coefficient (100 mg/l) permeation experiment</t>
  </si>
  <si>
    <t>Ethylbenzene</t>
  </si>
  <si>
    <t>Tetrachloroethylene</t>
  </si>
  <si>
    <t>1,1,1-trichloroethane</t>
  </si>
  <si>
    <t>trichloroethylene</t>
  </si>
  <si>
    <t>o-xylene</t>
  </si>
  <si>
    <t>p-xylene</t>
  </si>
  <si>
    <t>BZ</t>
  </si>
  <si>
    <t>CF</t>
  </si>
  <si>
    <t>EB</t>
  </si>
  <si>
    <t>Methylene chloride</t>
  </si>
  <si>
    <t>MC</t>
  </si>
  <si>
    <t>PCE</t>
  </si>
  <si>
    <t>TOL</t>
  </si>
  <si>
    <t>1,1,1-TCA</t>
  </si>
  <si>
    <t>TCE</t>
  </si>
  <si>
    <t>o-XYL</t>
  </si>
  <si>
    <t>p-XYL</t>
  </si>
  <si>
    <t>10-9 cm2/s</t>
  </si>
  <si>
    <t>Joo 2005 Estimation of mass transfer parameters - ASCE</t>
  </si>
  <si>
    <t>partitie is niet afhankelijk van concentratie</t>
  </si>
  <si>
    <t>Diffusie neemt toe met hogere concentratie volgens exponentiele curve</t>
  </si>
  <si>
    <t>%</t>
  </si>
  <si>
    <t>increase D 50 --&gt; 100 mg</t>
  </si>
  <si>
    <t>HDPE</t>
  </si>
  <si>
    <t>0,94 mg/l</t>
  </si>
  <si>
    <t>table 4: Immersiontest</t>
  </si>
  <si>
    <r>
      <t>K</t>
    </r>
    <r>
      <rPr>
        <vertAlign val="subscript"/>
        <sz val="10"/>
        <rFont val="Arial"/>
        <family val="2"/>
      </rPr>
      <t>HDPE,i</t>
    </r>
    <r>
      <rPr>
        <sz val="10"/>
        <rFont val="Arial"/>
        <family val="2"/>
      </rPr>
      <t xml:space="preserve"> (50 mg/l) </t>
    </r>
  </si>
  <si>
    <t>Partition coefficient (50 mg/l) immersion experiment</t>
  </si>
  <si>
    <r>
      <t>D</t>
    </r>
    <r>
      <rPr>
        <vertAlign val="subscript"/>
        <sz val="10"/>
        <rFont val="Arial"/>
        <family val="2"/>
      </rPr>
      <t>i</t>
    </r>
    <r>
      <rPr>
        <sz val="10"/>
        <rFont val="Arial"/>
        <family val="2"/>
      </rPr>
      <t xml:space="preserve"> (50 mg/l)</t>
    </r>
  </si>
  <si>
    <r>
      <t>D</t>
    </r>
    <r>
      <rPr>
        <vertAlign val="subscript"/>
        <sz val="10"/>
        <rFont val="Arial"/>
        <family val="2"/>
      </rPr>
      <t>p</t>
    </r>
    <r>
      <rPr>
        <sz val="10"/>
        <rFont val="Arial"/>
        <family val="2"/>
      </rPr>
      <t xml:space="preserve"> (50 mg/l)</t>
    </r>
  </si>
  <si>
    <r>
      <t>D</t>
    </r>
    <r>
      <rPr>
        <vertAlign val="subscript"/>
        <sz val="10"/>
        <rFont val="Arial"/>
        <family val="2"/>
      </rPr>
      <t>p</t>
    </r>
    <r>
      <rPr>
        <sz val="10"/>
        <rFont val="Arial"/>
        <family val="2"/>
      </rPr>
      <t xml:space="preserve"> (100 mg/l)</t>
    </r>
  </si>
  <si>
    <t>Diffusion coefficient (50 mg/l) immersion experiment</t>
  </si>
  <si>
    <t>dD%/dC%</t>
  </si>
  <si>
    <t>75 mg/l</t>
  </si>
  <si>
    <t>Lohmann 2011 Critical Review of Low-Density Polyethylene’s Partitioning - ACS</t>
  </si>
  <si>
    <t>Partitie coefficient voor vele contaminanten</t>
  </si>
  <si>
    <t xml:space="preserve">Partitiecoefficient (K) LDPE neemt af bij hogere temperatuur: dH = - 25 kJ/mol </t>
  </si>
  <si>
    <t>Figure 2</t>
  </si>
  <si>
    <t>Cgw</t>
  </si>
  <si>
    <t>concentratie grondwater</t>
  </si>
  <si>
    <t>Mao 2006 permeation of petroleum based aromatic compounds through PE pipes AWWARF</t>
  </si>
  <si>
    <r>
      <rPr>
        <sz val="10"/>
        <rFont val="Calibri"/>
        <family val="2"/>
      </rPr>
      <t>§</t>
    </r>
    <r>
      <rPr>
        <sz val="10"/>
        <rFont val="Times New Roman"/>
        <family val="1"/>
      </rPr>
      <t>3.1.2</t>
    </r>
  </si>
  <si>
    <t>J(t)</t>
  </si>
  <si>
    <t>permeation rate</t>
  </si>
  <si>
    <t>dikte PE</t>
  </si>
  <si>
    <t>Permeatie coefficient</t>
  </si>
  <si>
    <t>Partitie PE-Water</t>
  </si>
  <si>
    <t>ug/m2/d</t>
  </si>
  <si>
    <t>contaminant</t>
  </si>
  <si>
    <t>Cgw/Cgw,max</t>
  </si>
  <si>
    <t>Oplosbaarheid water</t>
  </si>
  <si>
    <t>Cgw/Sw</t>
  </si>
  <si>
    <t>P/Pmax</t>
  </si>
  <si>
    <t>K/Kmax</t>
  </si>
  <si>
    <t>J/Jmax</t>
  </si>
  <si>
    <t>D/Dmax</t>
  </si>
  <si>
    <t>dD%/dSw%</t>
  </si>
  <si>
    <t>dK%/dSw%</t>
  </si>
  <si>
    <t>n+1</t>
  </si>
  <si>
    <t>C</t>
  </si>
  <si>
    <t>a/(N+1)X^(N+1) * C (Binas 93b)</t>
  </si>
  <si>
    <t>Aceton</t>
  </si>
  <si>
    <t>Park Nibras 1993 Mass flux of organic chemicals- WER</t>
  </si>
  <si>
    <t>pure chemicals (puur product) was used for immersion experiments  --&gt; K corrected based on max solubility in water of chemicals</t>
  </si>
  <si>
    <t>Ethyl acetate</t>
  </si>
  <si>
    <t>n-Hexane</t>
  </si>
  <si>
    <t>Metheylene chloride</t>
  </si>
  <si>
    <t>n-Octane</t>
  </si>
  <si>
    <t>m-Xylene</t>
  </si>
  <si>
    <t>Tabel 1: properties</t>
  </si>
  <si>
    <t>Solubility</t>
  </si>
  <si>
    <t>mg/L</t>
  </si>
  <si>
    <t>density</t>
  </si>
  <si>
    <t>weight gain</t>
  </si>
  <si>
    <r>
      <t>K</t>
    </r>
    <r>
      <rPr>
        <vertAlign val="subscript"/>
        <sz val="10"/>
        <rFont val="Arial"/>
        <family val="2"/>
      </rPr>
      <t>HDPE,i</t>
    </r>
  </si>
  <si>
    <t>LDPE</t>
  </si>
  <si>
    <t>temperature</t>
  </si>
  <si>
    <t>Celcius</t>
  </si>
  <si>
    <t>10-8 cm2/s</t>
  </si>
  <si>
    <t>table 2: mass flux parameters</t>
  </si>
  <si>
    <t>log K</t>
  </si>
  <si>
    <t>analyse</t>
  </si>
  <si>
    <t>table 6: mass flux for aquaous solutions</t>
  </si>
  <si>
    <t>chemical</t>
  </si>
  <si>
    <t>initial concentration</t>
  </si>
  <si>
    <t>Cw/Sw</t>
  </si>
  <si>
    <t>Cwi</t>
  </si>
  <si>
    <t>initial</t>
  </si>
  <si>
    <t>final</t>
  </si>
  <si>
    <t>mmol/l</t>
  </si>
  <si>
    <t>average</t>
  </si>
  <si>
    <t>mean</t>
  </si>
  <si>
    <t>diffussion coefficient --&gt; increase with concentration</t>
  </si>
  <si>
    <t>K-values constant in 30% - 80% solubility. Increase of K-value at aquas colution of 5% probably due to error with weight mearument (measurement is not-reliable)</t>
  </si>
  <si>
    <t>Trichlorethylene</t>
  </si>
  <si>
    <t>Park 1996 Transport of Aquaous organic compound I &amp; II (- JEE)</t>
  </si>
  <si>
    <t>Concentratie in water</t>
  </si>
  <si>
    <t>D(model)</t>
  </si>
  <si>
    <t>D0</t>
  </si>
  <si>
    <t>Bc</t>
  </si>
  <si>
    <t>D decreases as thickness increases of immersiontest</t>
  </si>
  <si>
    <t>increases of concentration --&gt; higher D, no influence on K.</t>
  </si>
  <si>
    <t>Methane</t>
  </si>
  <si>
    <t>methane</t>
  </si>
  <si>
    <t>ethane</t>
  </si>
  <si>
    <t>Propane</t>
  </si>
  <si>
    <t>gram/mol</t>
  </si>
  <si>
    <t>10-10 cm2/s</t>
  </si>
  <si>
    <t>n-hexane</t>
  </si>
  <si>
    <t>Phenole</t>
  </si>
  <si>
    <t>Heptanol</t>
  </si>
  <si>
    <t>2,3-Benzopyrole (Indole)</t>
  </si>
  <si>
    <t>2-Phenly-ehtyl-alcohol</t>
  </si>
  <si>
    <t>3-Octene-2-one</t>
  </si>
  <si>
    <t>n-Octanal</t>
  </si>
  <si>
    <t>4-Isopropenyl-1-methyl-1-cyclohexene (Limonene)</t>
  </si>
  <si>
    <t>3-Phenyl-1-propanol</t>
  </si>
  <si>
    <t>n-Nonanal</t>
  </si>
  <si>
    <t>7-Methyl-chinoline</t>
  </si>
  <si>
    <t>2,3,5,6,-Tetramethyl-phenol</t>
  </si>
  <si>
    <t>Dimethyl-benzyl-carbinol</t>
  </si>
  <si>
    <t>3,7-Dimethyl-6-octene-al</t>
  </si>
  <si>
    <t>n-Decanal</t>
  </si>
  <si>
    <t>3,7-Dimehtyl-octane-3-ol</t>
  </si>
  <si>
    <t>2-Methoxy-4-propenyl-phenol</t>
  </si>
  <si>
    <t>Diphenyl-oxide</t>
  </si>
  <si>
    <t>n-Dodecane</t>
  </si>
  <si>
    <t>Dimehtyl-phthalate</t>
  </si>
  <si>
    <t>n-Tetradecane</t>
  </si>
  <si>
    <t>Tetradecanol</t>
  </si>
  <si>
    <t>2,6-Di-tert-butyl-4-methyl-phenol (BHT)</t>
  </si>
  <si>
    <t>Cedrylacetate</t>
  </si>
  <si>
    <t>Eicosane</t>
  </si>
  <si>
    <t>Docosane</t>
  </si>
  <si>
    <t>2-(2-Hydroxy-3.t-butyl-5-methylphenyl-5-Chloro-benztriazol (Tinuvin 326)</t>
  </si>
  <si>
    <t>2-Hydroxy-4-ethandiol methyl-thioacetic acid ester</t>
  </si>
  <si>
    <t>Methyl-tricosanante</t>
  </si>
  <si>
    <t>Methyl-octacosanate</t>
  </si>
  <si>
    <t>Didodecyl-3,3-thio-dipropionate</t>
  </si>
  <si>
    <t>3-(3,5-di-tert-butyl-4-hydroxy phenyl)-propionate (Irganox 1076)</t>
  </si>
  <si>
    <t>4-Isopropyl-tuluene</t>
  </si>
  <si>
    <t>23 Celcius</t>
  </si>
  <si>
    <t>Piringer 2008 Prediction of Diffusion Coefficients in Plastic Materials - RevChem</t>
  </si>
  <si>
    <t>Tabel 1: Diffusion coefficients</t>
  </si>
  <si>
    <t>Hinrichs Piringer 2002 Evaluation of migration models to be used - EC BCR</t>
  </si>
  <si>
    <t>Propylene</t>
  </si>
  <si>
    <t>D = concentration independent average diffusion coefficient</t>
  </si>
  <si>
    <t>Dc=0 = diffusion coefficient at zero diffusant concentration</t>
  </si>
  <si>
    <t>type of</t>
  </si>
  <si>
    <t>diffusion</t>
  </si>
  <si>
    <t>coefficient</t>
  </si>
  <si>
    <t>Dc=0</t>
  </si>
  <si>
    <t>Isobutylene</t>
  </si>
  <si>
    <t>Butane</t>
  </si>
  <si>
    <t>n-Butane</t>
  </si>
  <si>
    <t>Neopentane</t>
  </si>
  <si>
    <t>n-Buthylaldehyde</t>
  </si>
  <si>
    <t>Butanol</t>
  </si>
  <si>
    <t>temp range</t>
  </si>
  <si>
    <t>(* = diffusion extrapolated to 23 Celcius</t>
  </si>
  <si>
    <t>(** = diffusion coefficient at temperature range given in table</t>
  </si>
  <si>
    <t>*</t>
  </si>
  <si>
    <t>**</t>
  </si>
  <si>
    <t>Dimethylsulfideoxide (DMSO)</t>
  </si>
  <si>
    <t>Hexene-2</t>
  </si>
  <si>
    <t>Cyclohexane</t>
  </si>
  <si>
    <t>Neohexane</t>
  </si>
  <si>
    <t>Tetrafluormethane</t>
  </si>
  <si>
    <t>Dc=0 / D</t>
  </si>
  <si>
    <t>Ethylacetate</t>
  </si>
  <si>
    <t>p-Dioxane</t>
  </si>
  <si>
    <t>Phenol</t>
  </si>
  <si>
    <t>n-Heptane</t>
  </si>
  <si>
    <t>n-Hexylaldehyde</t>
  </si>
  <si>
    <t>cis-3-Hexen-1-ol</t>
  </si>
  <si>
    <t>Hexanal</t>
  </si>
  <si>
    <t>Ethylpriopionate</t>
  </si>
  <si>
    <t>Hexylalcohol</t>
  </si>
  <si>
    <t>o-Xylene</t>
  </si>
  <si>
    <t>C=0</t>
  </si>
  <si>
    <t>factor</t>
  </si>
  <si>
    <t>eigenschappen van LDPE</t>
  </si>
  <si>
    <t>bulkdichtheid zand</t>
  </si>
  <si>
    <t>vochtgehalte</t>
  </si>
  <si>
    <t>kg/l</t>
  </si>
  <si>
    <t>Tabel 1: Aromaten</t>
  </si>
  <si>
    <t>eigenschappen per m buislengte</t>
  </si>
  <si>
    <t>Volume</t>
  </si>
  <si>
    <t>m3</t>
  </si>
  <si>
    <t>m2</t>
  </si>
  <si>
    <t>dikte</t>
  </si>
  <si>
    <t>Contaminanten gebonden aan zand</t>
  </si>
  <si>
    <t>C/Cmax</t>
  </si>
  <si>
    <t>Csat</t>
  </si>
  <si>
    <t>C/Csat</t>
  </si>
  <si>
    <t>contaminaten</t>
  </si>
  <si>
    <t>10-8 m2/d</t>
  </si>
  <si>
    <t>geen meting</t>
  </si>
  <si>
    <t>Deel 2 proef</t>
  </si>
  <si>
    <t>hept</t>
  </si>
  <si>
    <t>isooc</t>
  </si>
  <si>
    <t>legenda</t>
  </si>
  <si>
    <r>
      <t>D</t>
    </r>
    <r>
      <rPr>
        <vertAlign val="subscript"/>
        <sz val="10"/>
        <rFont val="Arial"/>
        <family val="2"/>
      </rPr>
      <t>hdpe,exp</t>
    </r>
  </si>
  <si>
    <t>Tabel 2: Diffusion coefficients HDPE</t>
  </si>
  <si>
    <t>Tabel 1: Diffusion coefficients LDPE</t>
  </si>
  <si>
    <t>Cyclopropane</t>
  </si>
  <si>
    <t xml:space="preserve">opmerking </t>
  </si>
  <si>
    <r>
      <t>D</t>
    </r>
    <r>
      <rPr>
        <vertAlign val="subscript"/>
        <sz val="10"/>
        <rFont val="Arial"/>
        <family val="2"/>
      </rPr>
      <t>ldpe,exp</t>
    </r>
  </si>
  <si>
    <r>
      <t>D</t>
    </r>
    <r>
      <rPr>
        <vertAlign val="subscript"/>
        <sz val="10"/>
        <rFont val="Arial"/>
        <family val="2"/>
      </rPr>
      <t>ldpe,mod</t>
    </r>
  </si>
  <si>
    <t>n-Butylaldehyde</t>
  </si>
  <si>
    <t>organic compound</t>
  </si>
  <si>
    <t>Tabel 4: Properties</t>
  </si>
  <si>
    <t>gechloreerde koolwaterstoffen</t>
  </si>
  <si>
    <t>1,2-Dichloroethane</t>
  </si>
  <si>
    <t>Trichloroethane</t>
  </si>
  <si>
    <t>Aromatic hydrocarbons</t>
  </si>
  <si>
    <t>oplosbaarheid</t>
  </si>
  <si>
    <t>concentratie proef</t>
  </si>
  <si>
    <t>uncorrecte</t>
  </si>
  <si>
    <t>corrected</t>
  </si>
  <si>
    <t>m&amp;p-Xylene</t>
  </si>
  <si>
    <t>Tabel 6: sorption test</t>
  </si>
  <si>
    <t>Tabel 7: diffusion test</t>
  </si>
  <si>
    <t>Dg</t>
  </si>
  <si>
    <t>Pg</t>
  </si>
  <si>
    <t>Sangam 2001 migration of dilute aqueous organic pollutants through HDPE geomembranes</t>
  </si>
  <si>
    <t>Aging has no statistical significant impact on D and K</t>
  </si>
  <si>
    <t>Welton 2010 Contaminant Diffusion, Solubility, and Material Property - JEE</t>
  </si>
  <si>
    <t>0,9494</t>
  </si>
  <si>
    <t>bulk density</t>
  </si>
  <si>
    <t>Sw (saturated)</t>
  </si>
  <si>
    <t>Acetonitrile</t>
  </si>
  <si>
    <t>Propanone</t>
  </si>
  <si>
    <t>Benzaldehyde</t>
  </si>
  <si>
    <t>Butanone</t>
  </si>
  <si>
    <t>1-butanol</t>
  </si>
  <si>
    <t>2-propanol</t>
  </si>
  <si>
    <t>MTBE</t>
  </si>
  <si>
    <t>Trichloromethane</t>
  </si>
  <si>
    <t>m-xylene</t>
  </si>
  <si>
    <t>Niet polaire contaminanten</t>
  </si>
  <si>
    <t>Polaire contaminanten</t>
  </si>
  <si>
    <t>Benzyl alcohol</t>
  </si>
  <si>
    <t>Diffusivity</t>
  </si>
  <si>
    <t>10−9 cm2 /s</t>
  </si>
  <si>
    <t>Table 6. Contaminant Diffusivity of PE Materials</t>
  </si>
  <si>
    <t>Solubility in PE</t>
  </si>
  <si>
    <t>Miscible</t>
  </si>
  <si>
    <t>Solubility in water</t>
  </si>
  <si>
    <t>Contaminant Characteristics at 25°C</t>
  </si>
  <si>
    <t>Welton 2009 Advancing Potable Water Infrastructure - PhD thesis</t>
  </si>
  <si>
    <t>Immerion test</t>
  </si>
  <si>
    <t>Table 7-5: Contaminant diffusivity during desorption</t>
  </si>
  <si>
    <t>desorption</t>
  </si>
  <si>
    <t>to air</t>
  </si>
  <si>
    <t xml:space="preserve">Howell et al </t>
  </si>
  <si>
    <t>Diffusion coefficient based on film stacking.</t>
  </si>
  <si>
    <t>31 celcius</t>
  </si>
  <si>
    <t>Al-Malaika 1991</t>
  </si>
  <si>
    <t>5 - 100 Celcius</t>
  </si>
  <si>
    <t>Rusina,et al  (2010)</t>
  </si>
  <si>
    <t>Rusina,et al  (2007)</t>
  </si>
  <si>
    <t>Simko et al 1999</t>
  </si>
  <si>
    <t>Hale et al</t>
  </si>
  <si>
    <t>Diffusion coefficient based on spinning.</t>
  </si>
  <si>
    <t>partitie coefficient</t>
  </si>
  <si>
    <t>time-lag</t>
  </si>
  <si>
    <t>Concentratie waarbij Time-lag experiment is uitgevoerd</t>
  </si>
  <si>
    <t>oplosbaarheid in water</t>
  </si>
  <si>
    <t>PAHs</t>
  </si>
  <si>
    <t>MW</t>
  </si>
  <si>
    <t>Vm</t>
  </si>
  <si>
    <t>acenaphthylene</t>
  </si>
  <si>
    <t>benz(a)anthracene</t>
  </si>
  <si>
    <t>benzo(a)pyrene</t>
  </si>
  <si>
    <t>benzo(b)fluoranthene</t>
  </si>
  <si>
    <t>benzo(k)fluoranthene</t>
  </si>
  <si>
    <t>benzo(e)pyrene</t>
  </si>
  <si>
    <t>LogKow</t>
  </si>
  <si>
    <t>logCwsat</t>
  </si>
  <si>
    <t>S1 Physio Chemical properties</t>
  </si>
  <si>
    <t>PCB 4</t>
  </si>
  <si>
    <t>PCB 8</t>
  </si>
  <si>
    <t>PCB 10</t>
  </si>
  <si>
    <t>PCB 14</t>
  </si>
  <si>
    <t>PCB 18</t>
  </si>
  <si>
    <t>PCB 21</t>
  </si>
  <si>
    <t>PCB 28</t>
  </si>
  <si>
    <t>PCB 29</t>
  </si>
  <si>
    <t>PCB 30</t>
  </si>
  <si>
    <t>PCB 31</t>
  </si>
  <si>
    <t>PCB 44</t>
  </si>
  <si>
    <t>PCB 47</t>
  </si>
  <si>
    <t>PCB 49</t>
  </si>
  <si>
    <t>PCB 50</t>
  </si>
  <si>
    <t>PCB 52</t>
  </si>
  <si>
    <t>PCB 55</t>
  </si>
  <si>
    <t>PCB 56</t>
  </si>
  <si>
    <t>PCB 66</t>
  </si>
  <si>
    <t>PCB 69</t>
  </si>
  <si>
    <t>PCB 78</t>
  </si>
  <si>
    <t>PCB 85</t>
  </si>
  <si>
    <t>PCB 87</t>
  </si>
  <si>
    <t>PCB 97</t>
  </si>
  <si>
    <t>PCB 99</t>
  </si>
  <si>
    <t>PCB 101</t>
  </si>
  <si>
    <t>PCB 104</t>
  </si>
  <si>
    <t>PCB 105</t>
  </si>
  <si>
    <t>PCB 110</t>
  </si>
  <si>
    <t>PCB 118</t>
  </si>
  <si>
    <t>PCB 128</t>
  </si>
  <si>
    <t>PCB 129</t>
  </si>
  <si>
    <t>PCB 137</t>
  </si>
  <si>
    <t>PCB 138</t>
  </si>
  <si>
    <t>PCB 141</t>
  </si>
  <si>
    <t>PCB 143</t>
  </si>
  <si>
    <t>PCB 145</t>
  </si>
  <si>
    <t>PCB 149</t>
  </si>
  <si>
    <t>PCB 151</t>
  </si>
  <si>
    <t>PCB 153</t>
  </si>
  <si>
    <t>PCB 155</t>
  </si>
  <si>
    <t>PCB 156</t>
  </si>
  <si>
    <t>PCB 170</t>
  </si>
  <si>
    <t>PCB 180</t>
  </si>
  <si>
    <t>logKhdw</t>
  </si>
  <si>
    <t>SPARC</t>
  </si>
  <si>
    <t>Schwarzenbach et al., 2003</t>
  </si>
  <si>
    <t>log Kow = 0.021 MW (g/mol) + 0.65 (Ma et al., 2010)</t>
  </si>
  <si>
    <t>Hawker and Connell (1998)</t>
  </si>
  <si>
    <t>Schenker et al., 2005</t>
  </si>
  <si>
    <t>BDE-1</t>
  </si>
  <si>
    <t>BDE-2</t>
  </si>
  <si>
    <t>BDE-15</t>
  </si>
  <si>
    <t>BDE-17</t>
  </si>
  <si>
    <t>BDE-28</t>
  </si>
  <si>
    <t>BDE-47</t>
  </si>
  <si>
    <t>BDE-66</t>
  </si>
  <si>
    <t>BDE-71</t>
  </si>
  <si>
    <t>BDE-85</t>
  </si>
  <si>
    <t>BDE-99</t>
  </si>
  <si>
    <t>BDE-100</t>
  </si>
  <si>
    <t>BDE-126</t>
  </si>
  <si>
    <t>BDE-153</t>
  </si>
  <si>
    <t>BDE-154</t>
  </si>
  <si>
    <t>Li et al., 2008</t>
  </si>
  <si>
    <t>Referentie</t>
  </si>
  <si>
    <t>PE_type</t>
  </si>
  <si>
    <t>Experiment</t>
  </si>
  <si>
    <t>Cw,exp</t>
  </si>
  <si>
    <t>Type</t>
  </si>
  <si>
    <t>Immersion</t>
  </si>
  <si>
    <t>Ref</t>
  </si>
  <si>
    <t>Compound_ID</t>
  </si>
  <si>
    <t>Measured</t>
  </si>
  <si>
    <t>Cw,meas</t>
  </si>
  <si>
    <t>water</t>
  </si>
  <si>
    <t>PE type</t>
  </si>
  <si>
    <t>Tw_Kelvin</t>
  </si>
  <si>
    <t>Spe_g/g</t>
  </si>
  <si>
    <t>Spe_g/l</t>
  </si>
  <si>
    <t>D_m2/s</t>
  </si>
  <si>
    <t>P_m2/s</t>
  </si>
  <si>
    <t>partition coefficient</t>
  </si>
  <si>
    <t>Temperature</t>
  </si>
  <si>
    <t>solubility in PE</t>
  </si>
  <si>
    <t>Diffusion coefficient</t>
  </si>
  <si>
    <t>Permeation coefficient</t>
  </si>
  <si>
    <t>Permeation coefficients</t>
  </si>
  <si>
    <r>
      <t>E</t>
    </r>
    <r>
      <rPr>
        <vertAlign val="subscript"/>
        <sz val="10"/>
        <rFont val="Arial"/>
        <family val="2"/>
      </rPr>
      <t>D</t>
    </r>
  </si>
  <si>
    <t>X</t>
  </si>
  <si>
    <t>M_g/mol</t>
  </si>
  <si>
    <t>Cw,sat_g/l</t>
  </si>
  <si>
    <t>1-Chloronphtalene</t>
  </si>
  <si>
    <r>
      <t>(</t>
    </r>
    <r>
      <rPr>
        <b/>
        <sz val="10"/>
        <rFont val="Arial"/>
        <family val="2"/>
      </rPr>
      <t>m2/s)</t>
    </r>
  </si>
  <si>
    <t>Informatiebronne</t>
  </si>
  <si>
    <t>Molar volume</t>
  </si>
  <si>
    <t>Aminabhavi 1999</t>
  </si>
  <si>
    <t>1,2,3-Trimethylbenzene</t>
  </si>
  <si>
    <t>EPA Suite</t>
  </si>
  <si>
    <t>1-Chloronaphthalene</t>
  </si>
  <si>
    <t>000108-10-1</t>
  </si>
  <si>
    <r>
      <rPr>
        <sz val="10"/>
        <rFont val="Calibri"/>
        <family val="2"/>
      </rPr>
      <t>rhoPE</t>
    </r>
    <r>
      <rPr>
        <sz val="10"/>
        <rFont val="Arial"/>
        <family val="2"/>
      </rPr>
      <t>_lit</t>
    </r>
  </si>
  <si>
    <t>Gestis: praktically non-soluble</t>
  </si>
  <si>
    <t>100-42-5</t>
  </si>
  <si>
    <t>dichtheid HDPE staat niet vermeld in publicatie --&gt; schatting</t>
  </si>
  <si>
    <t>Is the concentration at which the experiment is conducted measured?</t>
  </si>
  <si>
    <t>immerion test</t>
  </si>
  <si>
    <t>permeation experiment</t>
  </si>
  <si>
    <t>Permeation</t>
  </si>
  <si>
    <t xml:space="preserve"> log Khdw(pp-LFER)</t>
  </si>
  <si>
    <t>PCB #1</t>
  </si>
  <si>
    <t>PCB #3</t>
  </si>
  <si>
    <t>PCB #6</t>
  </si>
  <si>
    <t>PCB #16</t>
  </si>
  <si>
    <t>PCB #18</t>
  </si>
  <si>
    <t>PCB #22</t>
  </si>
  <si>
    <t>PCB #24</t>
  </si>
  <si>
    <t>PCB #25</t>
  </si>
  <si>
    <t>PCB #26</t>
  </si>
  <si>
    <t>PCB #27</t>
  </si>
  <si>
    <t>PCB #29</t>
  </si>
  <si>
    <t>PCB #32</t>
  </si>
  <si>
    <t>PCB #37</t>
  </si>
  <si>
    <t>PCB #40</t>
  </si>
  <si>
    <t>PCB #41</t>
  </si>
  <si>
    <t>PCB #42</t>
  </si>
  <si>
    <t>PCB #43</t>
  </si>
  <si>
    <t>PCB #44</t>
  </si>
  <si>
    <t>PCB #45</t>
  </si>
  <si>
    <t>PCB #46</t>
  </si>
  <si>
    <t>PCB #51</t>
  </si>
  <si>
    <t>PCB #56</t>
  </si>
  <si>
    <t>PCB #60</t>
  </si>
  <si>
    <t>PCB #63</t>
  </si>
  <si>
    <t>PCB #64</t>
  </si>
  <si>
    <t>PCB #69</t>
  </si>
  <si>
    <t>PCB #71</t>
  </si>
  <si>
    <t>PCB #74</t>
  </si>
  <si>
    <t>PCB #77</t>
  </si>
  <si>
    <t>PCB #81</t>
  </si>
  <si>
    <t>PCB #82</t>
  </si>
  <si>
    <t>PCB #83</t>
  </si>
  <si>
    <t>PCB #85</t>
  </si>
  <si>
    <t>PCB #87</t>
  </si>
  <si>
    <t>PCB #89</t>
  </si>
  <si>
    <t>PCB #91</t>
  </si>
  <si>
    <t>PCB #97</t>
  </si>
  <si>
    <t>PCB #99</t>
  </si>
  <si>
    <t>PCB #100</t>
  </si>
  <si>
    <t>PCB #101</t>
  </si>
  <si>
    <t>PCB #103</t>
  </si>
  <si>
    <t>PCB #105</t>
  </si>
  <si>
    <t>PCB #107</t>
  </si>
  <si>
    <t>PCB #110</t>
  </si>
  <si>
    <t>PCB #118</t>
  </si>
  <si>
    <t>PCB #119</t>
  </si>
  <si>
    <t>PCB #128</t>
  </si>
  <si>
    <t>PCB #132</t>
  </si>
  <si>
    <t>PCB #134</t>
  </si>
  <si>
    <t>PCB #135</t>
  </si>
  <si>
    <t>PCB #136</t>
  </si>
  <si>
    <t>PCB #138</t>
  </si>
  <si>
    <t>PCB #141</t>
  </si>
  <si>
    <t>PCB #146</t>
  </si>
  <si>
    <t>PCB #151</t>
  </si>
  <si>
    <t>PCB #153</t>
  </si>
  <si>
    <t>PCB #155</t>
  </si>
  <si>
    <t>PCB #156</t>
  </si>
  <si>
    <t>PCB #158</t>
  </si>
  <si>
    <t>PCB #163</t>
  </si>
  <si>
    <t>PCB #171</t>
  </si>
  <si>
    <t>PCB #172</t>
  </si>
  <si>
    <t>PCB #174</t>
  </si>
  <si>
    <t>PCB #177</t>
  </si>
  <si>
    <t>PCB #178</t>
  </si>
  <si>
    <t>PCB #180</t>
  </si>
  <si>
    <t>PCB #183</t>
  </si>
  <si>
    <t>PCB #185</t>
  </si>
  <si>
    <t>PCB #192</t>
  </si>
  <si>
    <t>PCB #194</t>
  </si>
  <si>
    <t>PCB #195</t>
  </si>
  <si>
    <t>PCB #197</t>
  </si>
  <si>
    <t>PCB #199</t>
  </si>
  <si>
    <t>PCB #201</t>
  </si>
  <si>
    <t>PCB #202</t>
  </si>
  <si>
    <t>PCB #205</t>
  </si>
  <si>
    <t>PCB #206</t>
  </si>
  <si>
    <t>PCB #207</t>
  </si>
  <si>
    <t>PCB #208</t>
  </si>
  <si>
    <t>PCB #4 + #10</t>
  </si>
  <si>
    <t>PCB #5 + #8</t>
  </si>
  <si>
    <t>PCB #7 + #9</t>
  </si>
  <si>
    <t>PCB #12 + #13</t>
  </si>
  <si>
    <t>PCB #15 + #17</t>
  </si>
  <si>
    <t>PCB #21 + #33</t>
  </si>
  <si>
    <t>PCB #28 + #31</t>
  </si>
  <si>
    <t>PCB #47 + #48</t>
  </si>
  <si>
    <t>PCB #49 + #52</t>
  </si>
  <si>
    <t>PCB #66 + #95</t>
  </si>
  <si>
    <t>PCB #70 + #76</t>
  </si>
  <si>
    <t>PCB #84 + #92</t>
  </si>
  <si>
    <t>PCB #114 + #131</t>
  </si>
  <si>
    <t>PCB #123 + #149</t>
  </si>
  <si>
    <t>PCB #124 + #144</t>
  </si>
  <si>
    <t>PCB #130 + #137</t>
  </si>
  <si>
    <t>PCB #157 + #200</t>
  </si>
  <si>
    <t>PCB #170 + #190</t>
  </si>
  <si>
    <t>PCB #182 + #187</t>
  </si>
  <si>
    <t>PCB #196 + #203</t>
  </si>
  <si>
    <t>Temperature?</t>
  </si>
  <si>
    <t>Dichloormethaan / Methyleenchloride</t>
  </si>
  <si>
    <t>K(50)/K(100)</t>
  </si>
  <si>
    <t>D(50)/D(100)</t>
  </si>
  <si>
    <t>P(50)/P(100)</t>
  </si>
  <si>
    <t>m2/d</t>
  </si>
  <si>
    <t>klopt Diffusie coefficient 10^-9 cm2/s. Er is nl een groot verschil met andere metingen</t>
  </si>
  <si>
    <t>2-CDD</t>
  </si>
  <si>
    <t>2,7/8-DiCDD</t>
  </si>
  <si>
    <t>2,3,7-TriCDD</t>
  </si>
  <si>
    <t>p,p’-DDT</t>
  </si>
  <si>
    <t>o,p’-DDT</t>
  </si>
  <si>
    <t>p,p’-DDD</t>
  </si>
  <si>
    <t>o,p’-DDD</t>
  </si>
  <si>
    <t>p,p’-DDE</t>
  </si>
  <si>
    <t>o,p’-DDE</t>
  </si>
  <si>
    <t>p,p’-DDMU</t>
  </si>
  <si>
    <t>HCB</t>
  </si>
  <si>
    <t>α-HCH</t>
  </si>
  <si>
    <t>β-HCH</t>
  </si>
  <si>
    <t>γ-HCH</t>
  </si>
  <si>
    <t>δ-HCH</t>
  </si>
  <si>
    <t>aldrin</t>
  </si>
  <si>
    <t>dieldrin</t>
  </si>
  <si>
    <t>α-endosulfan</t>
  </si>
  <si>
    <t>endrin</t>
  </si>
  <si>
    <t>heptachlor</t>
  </si>
  <si>
    <t>methoxychlor</t>
  </si>
  <si>
    <t>triclosan</t>
  </si>
  <si>
    <t>me-triclosan</t>
  </si>
  <si>
    <t>n-nonylphenol</t>
  </si>
  <si>
    <t>n-octylphenol</t>
  </si>
  <si>
    <t>t-octylphenol</t>
  </si>
  <si>
    <t>endosulfan sulphate</t>
  </si>
  <si>
    <t>endrin aldehyde</t>
  </si>
  <si>
    <t>endrin ketone</t>
  </si>
  <si>
    <t>heptachlor epoxide</t>
  </si>
  <si>
    <t>1-Hexanol {Hexylalcohol}</t>
  </si>
  <si>
    <t>123-91-1</t>
  </si>
  <si>
    <t xml:space="preserve">1,4-Dioxane {p-dioxane} </t>
  </si>
  <si>
    <t>Butylalcohol {Butanol]</t>
  </si>
  <si>
    <t>Hexene</t>
  </si>
  <si>
    <t>25264-93-1</t>
  </si>
  <si>
    <t>Hinrichs Piringer 2002</t>
  </si>
  <si>
    <t>temo</t>
  </si>
  <si>
    <t>n-Butaan {Butaan}</t>
  </si>
  <si>
    <t>m2/s</t>
  </si>
  <si>
    <t>soilwater</t>
  </si>
  <si>
    <t>Park Nibras 1993</t>
  </si>
  <si>
    <t>park sakti hoopes 1995 effectiveness of synthetic …. (cannot find publication. This publication holds information on--&gt; temperature, density?</t>
  </si>
  <si>
    <t>m/s2</t>
  </si>
  <si>
    <t>53535-33-4</t>
  </si>
  <si>
    <t>Piringer 2008</t>
  </si>
  <si>
    <t>Sangam Rowe 2001</t>
  </si>
  <si>
    <t>HDPE = 0,940 g/cm3</t>
  </si>
  <si>
    <t>22 Celcius</t>
  </si>
  <si>
    <t>LDPE= … mg/l</t>
  </si>
  <si>
    <t>HDPE = … mg/l</t>
  </si>
  <si>
    <t>75-05-8</t>
  </si>
  <si>
    <t>00-52-7</t>
  </si>
  <si>
    <t>Methylethylketon {Butanone}</t>
  </si>
  <si>
    <t>100-51-6</t>
  </si>
  <si>
    <t>1-Butanol</t>
  </si>
  <si>
    <t>2-Propanol {isopropyl alcohol}</t>
  </si>
  <si>
    <t>67-63-0</t>
  </si>
  <si>
    <t>1634-04-4</t>
  </si>
  <si>
    <t>Methyl tert-butyl ether {MTBE}</t>
  </si>
  <si>
    <t>1,3,5-Trimethylbenzene</t>
  </si>
  <si>
    <t>Nitrobenzene</t>
  </si>
  <si>
    <t>Propylbenzene</t>
  </si>
  <si>
    <t>NAAM (nl)</t>
  </si>
  <si>
    <t>NAAM (Eng)</t>
  </si>
  <si>
    <t>Mesitylene</t>
  </si>
  <si>
    <t>Penthylbenzene</t>
  </si>
  <si>
    <t>Xylene</t>
  </si>
  <si>
    <t>Phenanthrene</t>
  </si>
  <si>
    <t>Naphthalene</t>
  </si>
  <si>
    <t>91-20-3</t>
  </si>
  <si>
    <t>Pentane</t>
  </si>
  <si>
    <t>110-54-3</t>
  </si>
  <si>
    <t>Hexane</t>
  </si>
  <si>
    <t>Octane</t>
  </si>
  <si>
    <t>2,2,4-Trimethylpentane</t>
  </si>
  <si>
    <t>iso-octane</t>
  </si>
  <si>
    <t>Mineral oil (C10-C12)</t>
  </si>
  <si>
    <t>Mineral oil (C12-C16)</t>
  </si>
  <si>
    <t>Mineral oil (C16-C21)</t>
  </si>
  <si>
    <t>Mineral oil (C21-C30)</t>
  </si>
  <si>
    <t>benzene chloride</t>
  </si>
  <si>
    <t>NAAM (other)</t>
  </si>
  <si>
    <t>Benzyl chloride</t>
  </si>
  <si>
    <t>chlorophenylmethane, α-Chlorotoluene</t>
  </si>
  <si>
    <t>o-Chlorotoluene</t>
  </si>
  <si>
    <t>1-chloro-2-methylbenzene</t>
  </si>
  <si>
    <t>1-chloro-3-methylbenzene</t>
  </si>
  <si>
    <t>mo-Chlorotoluene</t>
  </si>
  <si>
    <t>p-Chlorotoluene</t>
  </si>
  <si>
    <t>1,2-Dichlorobenzene</t>
  </si>
  <si>
    <t>ortho-dichlorobenzene</t>
  </si>
  <si>
    <t>meta-dichlorobenzene</t>
  </si>
  <si>
    <t>pera-dichlorobenzene</t>
  </si>
  <si>
    <t>1,3-Dichlorobenzene</t>
  </si>
  <si>
    <t>1,4-Dichlorobenzene</t>
  </si>
  <si>
    <t>1,2,3-Trichlorobenzene</t>
  </si>
  <si>
    <t>1,2,4-Trichlorobenzene</t>
  </si>
  <si>
    <t>1,3,5-Trichlorobenzene</t>
  </si>
  <si>
    <t>TCB</t>
  </si>
  <si>
    <t>Benzotrichloride</t>
  </si>
  <si>
    <t>α,α,α-Trichloortoluene, (Trichloromethyl)benzene</t>
  </si>
  <si>
    <t>average of several fractions</t>
  </si>
  <si>
    <t>634-66-2</t>
  </si>
  <si>
    <t>1,2,4,5-tetrachlorobenzene</t>
  </si>
  <si>
    <t>Pentachlorobenzene</t>
  </si>
  <si>
    <t>Tetrachloromethane</t>
  </si>
  <si>
    <t>Carbon tetrachloride</t>
  </si>
  <si>
    <t>Ethylene dichloride</t>
  </si>
  <si>
    <t>1,1,2,2-Tetrachloroethane</t>
  </si>
  <si>
    <t>methyl chloroform</t>
  </si>
  <si>
    <t>vinyl trichloride</t>
  </si>
  <si>
    <t>1,1,2-Trichloroethane</t>
  </si>
  <si>
    <t>1,1,1-Trichloroethane</t>
  </si>
  <si>
    <t>1,2-Dichloropropane</t>
  </si>
  <si>
    <t>BETROUWBAAR</t>
  </si>
  <si>
    <t>540-59-0</t>
  </si>
  <si>
    <t>1,2-dichloro-, (Z)-Ethene</t>
  </si>
  <si>
    <t>cis-1,2-Dichlorethylene</t>
  </si>
  <si>
    <t>1,2-dichloro-, (1E)-Ethene</t>
  </si>
  <si>
    <t>156-60-5</t>
  </si>
  <si>
    <t>1,2-dichloroEthene</t>
  </si>
  <si>
    <t>cis-trans mixture</t>
  </si>
  <si>
    <t>75-00-3</t>
  </si>
  <si>
    <t>Chloroethane</t>
  </si>
  <si>
    <t>Ethyl chloride</t>
  </si>
  <si>
    <t>75-01-4</t>
  </si>
  <si>
    <t>Vinyl chloride</t>
  </si>
  <si>
    <t>Chloroethene</t>
  </si>
  <si>
    <t>62-53-3</t>
  </si>
  <si>
    <t xml:space="preserve"> Benzenamine</t>
  </si>
  <si>
    <t>Anilin</t>
  </si>
  <si>
    <t>95-51-2</t>
  </si>
  <si>
    <t>2-Chloroaniline</t>
  </si>
  <si>
    <t>o-Chloroaniline</t>
  </si>
  <si>
    <t>108-42-9</t>
  </si>
  <si>
    <t>3-Chloroaniline</t>
  </si>
  <si>
    <t>3-chloro-Benzenamine</t>
  </si>
  <si>
    <t>106-47-8</t>
  </si>
  <si>
    <t>4-Chloroaniline</t>
  </si>
  <si>
    <t>100-61-8</t>
  </si>
  <si>
    <t>N-Methylaniline</t>
  </si>
  <si>
    <t>N-methyl-Benzenamine</t>
  </si>
  <si>
    <t xml:space="preserve"> 99-09-2</t>
  </si>
  <si>
    <t>3-Nitroaniline</t>
  </si>
  <si>
    <t>m-nitroaniline</t>
  </si>
  <si>
    <t>P-chlorophenol</t>
  </si>
  <si>
    <t>4-Chlorophenol</t>
  </si>
  <si>
    <t>106-48-9</t>
  </si>
  <si>
    <t>15950-66-0</t>
  </si>
  <si>
    <t>2,3,4-Trichlorophenol</t>
  </si>
  <si>
    <t>X,X-Dichlorphenol</t>
  </si>
  <si>
    <t>88-06-2</t>
  </si>
  <si>
    <t>2,4,6-Trichlorophenol</t>
  </si>
  <si>
    <t>609-19-8</t>
  </si>
  <si>
    <t>3,4,5-Trichlorophenol</t>
  </si>
  <si>
    <t>toxnet: http://chem.sis.nlm.nih.gov/chemidplus/rn/609-19-8</t>
  </si>
  <si>
    <t>2,3,5,6-Tetrachlorophenol</t>
  </si>
  <si>
    <t>935-95-5</t>
  </si>
  <si>
    <t>toxnet: http://chem.sis.nlm.nih.gov/chemidplus/rn/935-95-5</t>
  </si>
  <si>
    <t>87-86-5</t>
  </si>
  <si>
    <t>Pentachlorophenol</t>
  </si>
  <si>
    <t>98-95-3</t>
  </si>
  <si>
    <t>64-17-5</t>
  </si>
  <si>
    <t>2-Butanone</t>
  </si>
  <si>
    <t>Methyl ethyl ketone (MEK)</t>
  </si>
  <si>
    <t>565-80-0</t>
  </si>
  <si>
    <t>Anisole</t>
  </si>
  <si>
    <t>100-66-3</t>
  </si>
  <si>
    <t>methoxybenzene</t>
  </si>
  <si>
    <t>Diisopropyl ether</t>
  </si>
  <si>
    <t>108-20-3</t>
  </si>
  <si>
    <t>Biphenyl</t>
  </si>
  <si>
    <t>1,1-Oxydibenzene</t>
  </si>
  <si>
    <t>diphenyl ether</t>
  </si>
  <si>
    <t>Propadiene</t>
  </si>
  <si>
    <t>EPI-suite: predicted solubility</t>
  </si>
  <si>
    <t>1-Propene</t>
  </si>
  <si>
    <t>115-07-1</t>
  </si>
  <si>
    <t>n-Hexaldehyde</t>
  </si>
  <si>
    <t>2,2-Dimethylbutane</t>
  </si>
  <si>
    <t>Butanal</t>
  </si>
  <si>
    <t>Methyl isobutyl ketone (MIBK)</t>
  </si>
  <si>
    <t>4-Methylpentan-2-one</t>
  </si>
  <si>
    <t>2,2-Dimethylpropan</t>
  </si>
  <si>
    <t>Neopentaan</t>
  </si>
  <si>
    <t>2-methylpropene</t>
  </si>
  <si>
    <t xml:space="preserve">Butylalcohol </t>
  </si>
  <si>
    <t>Hexaldehyde</t>
  </si>
  <si>
    <t xml:space="preserve"> Hexaldehyde</t>
  </si>
  <si>
    <t>2,3-Benzopyrole</t>
  </si>
  <si>
    <t>Indole</t>
  </si>
  <si>
    <t>4-Isopropenyl-1-methyl-1-cyclohexene</t>
  </si>
  <si>
    <t>Limonene</t>
  </si>
  <si>
    <t>2,6-Di-tert-butyl-4-methyl-phenol</t>
  </si>
  <si>
    <t>BHT</t>
  </si>
  <si>
    <t>2-(2-Hydroxy-3.t-butyl-5-methylphenyl-5-Chloro-benztriazol</t>
  </si>
  <si>
    <t>Tinuvin 326</t>
  </si>
  <si>
    <t>3-(3,5-di-tert-butyl-4-hydroxy phenyl)-propionate</t>
  </si>
  <si>
    <t>Irganox 1076</t>
  </si>
  <si>
    <t>2-Propanol</t>
  </si>
  <si>
    <t>isopropyl alcohol</t>
  </si>
  <si>
    <t>Methyl tert-butyl ether</t>
  </si>
  <si>
    <t xml:space="preserve">1,4-Dioxane </t>
  </si>
  <si>
    <t>p-dioxane</t>
  </si>
  <si>
    <t>Check compound</t>
  </si>
  <si>
    <t>rhoPE</t>
  </si>
  <si>
    <t>Extra metingen bij lagere concentatie</t>
  </si>
  <si>
    <t>DEZE METING ZIT OOK AL IN BOVENSTAANDE TABEL (Dubbel)</t>
  </si>
  <si>
    <t>logD</t>
  </si>
  <si>
    <t>1:1</t>
  </si>
  <si>
    <t>logD_m2/s</t>
  </si>
  <si>
    <t>Welton 2009</t>
  </si>
  <si>
    <t>logK</t>
  </si>
  <si>
    <t>logP</t>
  </si>
  <si>
    <t>RSQ</t>
  </si>
  <si>
    <t>p</t>
  </si>
  <si>
    <t>∑xy</t>
  </si>
  <si>
    <t>∑x</t>
  </si>
  <si>
    <t>∑x2</t>
  </si>
  <si>
    <t>∑y</t>
  </si>
  <si>
    <t>∑y2</t>
  </si>
  <si>
    <t>n</t>
  </si>
  <si>
    <t>standaardafwijking (σ2)</t>
  </si>
  <si>
    <t>Model</t>
  </si>
  <si>
    <t>P*  (25 °C) = S*D</t>
  </si>
  <si>
    <t>S (50 °C)</t>
  </si>
  <si>
    <t>S (70 °C)</t>
  </si>
  <si>
    <r>
      <t xml:space="preserve">D (50 </t>
    </r>
    <r>
      <rPr>
        <sz val="10"/>
        <rFont val="Calibri"/>
        <family val="2"/>
      </rPr>
      <t>°</t>
    </r>
    <r>
      <rPr>
        <sz val="10"/>
        <rFont val="Arial"/>
        <family val="2"/>
      </rPr>
      <t>C)</t>
    </r>
  </si>
  <si>
    <r>
      <t xml:space="preserve">D (70 </t>
    </r>
    <r>
      <rPr>
        <sz val="10"/>
        <rFont val="Calibri"/>
        <family val="2"/>
      </rPr>
      <t>°</t>
    </r>
    <r>
      <rPr>
        <sz val="10"/>
        <rFont val="Arial"/>
        <family val="2"/>
      </rPr>
      <t>C)</t>
    </r>
  </si>
  <si>
    <t>1/T</t>
  </si>
  <si>
    <t>Hoe S interpreteren. Aminabavi interpreteert S als de K en komt dan tot veel lagere Permeatie-coefficient</t>
  </si>
  <si>
    <t>Swater</t>
  </si>
  <si>
    <t>ln D</t>
  </si>
  <si>
    <t>R</t>
  </si>
  <si>
    <t>Kelvin</t>
  </si>
  <si>
    <t>1/Kelvin</t>
  </si>
  <si>
    <t>hulplijn grafiek 1:1</t>
  </si>
  <si>
    <t>P = D*S. moet zijn P = K*S. In PermDatabase P opnieuw berekend o.b.v. D*K ipv deze waarde overnemen!!</t>
  </si>
  <si>
    <t>Table 4: permeation</t>
  </si>
  <si>
    <t>density HDPE 0.948 g/cm3</t>
  </si>
  <si>
    <t>Solubulity coefficient</t>
  </si>
  <si>
    <t>Water Solubility used by Chao 2007</t>
  </si>
  <si>
    <t>Table 2a: Immerion test (0.5 mm HDPW)</t>
  </si>
  <si>
    <t>Table 3a: Temperature Immerion test (1 mm HDPW)</t>
  </si>
  <si>
    <t>Table 3b: Temperature Permeation Experiment (1 mm HDPW)</t>
  </si>
  <si>
    <t>Table 2b: Permeation Experiment (0,5 mm HDPW)</t>
  </si>
  <si>
    <t>Temp</t>
  </si>
  <si>
    <t>(°C)</t>
  </si>
  <si>
    <t>partitie coefficient octanol-water</t>
  </si>
  <si>
    <t>dichtheid (rekenwaarde)</t>
  </si>
  <si>
    <t>Activatie energie</t>
  </si>
  <si>
    <t>dH</t>
  </si>
  <si>
    <t>#Cl</t>
  </si>
  <si>
    <t>i</t>
  </si>
  <si>
    <t>j</t>
  </si>
  <si>
    <t>w j,e</t>
  </si>
  <si>
    <t>Tmp</t>
  </si>
  <si>
    <t>w</t>
  </si>
  <si>
    <t>Proefsommetjes</t>
  </si>
  <si>
    <t>R2</t>
  </si>
  <si>
    <r>
      <t>M</t>
    </r>
    <r>
      <rPr>
        <vertAlign val="subscript"/>
        <sz val="10"/>
        <rFont val="Arial"/>
        <family val="2"/>
      </rPr>
      <t>i</t>
    </r>
  </si>
  <si>
    <t>literatuur</t>
  </si>
  <si>
    <t>regressie</t>
  </si>
  <si>
    <t>Simoneau 2002: Activatie energie Diffusie</t>
  </si>
  <si>
    <t>aantal C</t>
  </si>
  <si>
    <t>Piringer 2008: Activatie energie Diffusie (n-alkanen)</t>
  </si>
  <si>
    <t>Smeltpunt PE</t>
  </si>
  <si>
    <t>10 Celcius</t>
  </si>
  <si>
    <t>25 Celcius</t>
  </si>
  <si>
    <t>Dalton</t>
  </si>
  <si>
    <t>E</t>
  </si>
  <si>
    <t>D(T) / D (298 K)</t>
  </si>
  <si>
    <t>Ea = 100:  PE80 (Simoneau 2000)</t>
  </si>
  <si>
    <t>Ea = 87:    PE40 (Simoneau 2000)</t>
  </si>
  <si>
    <t>UV1</t>
  </si>
  <si>
    <t>UV2</t>
  </si>
  <si>
    <t>Compount</t>
  </si>
  <si>
    <t>Code name</t>
  </si>
  <si>
    <t>UV3</t>
  </si>
  <si>
    <t>UV4</t>
  </si>
  <si>
    <t>UV5</t>
  </si>
  <si>
    <t>UV6</t>
  </si>
  <si>
    <t>UV7</t>
  </si>
  <si>
    <t>UV8</t>
  </si>
  <si>
    <t>UV9</t>
  </si>
  <si>
    <t>UV10</t>
  </si>
  <si>
    <t>Molar weight</t>
  </si>
  <si>
    <t xml:space="preserve">4-substituted 2-Hydroxy Benzophenone </t>
  </si>
  <si>
    <t>Table 2: Equilibrium solubility</t>
  </si>
  <si>
    <t>T (Kelvin)</t>
  </si>
  <si>
    <t>278 - 373</t>
  </si>
  <si>
    <t>278 - 333</t>
  </si>
  <si>
    <t>333-373</t>
  </si>
  <si>
    <t>hele temperatuur range</t>
  </si>
  <si>
    <t>w p,e</t>
  </si>
  <si>
    <t>w i,e</t>
  </si>
  <si>
    <t>Westlake &amp; Johnson</t>
  </si>
  <si>
    <t>Cicchetti et al</t>
  </si>
  <si>
    <t>Moisan</t>
  </si>
  <si>
    <t>313-348</t>
  </si>
  <si>
    <t>343-363</t>
  </si>
  <si>
    <t>Ed</t>
  </si>
  <si>
    <t>Saleem et al 1989</t>
  </si>
  <si>
    <t>toluene</t>
  </si>
  <si>
    <t>Grafiek</t>
  </si>
  <si>
    <t>Vergelijking model en experimentele data</t>
  </si>
  <si>
    <t>referentie</t>
  </si>
  <si>
    <t>polymeer</t>
  </si>
  <si>
    <t>25 - 50</t>
  </si>
  <si>
    <t>50-70</t>
  </si>
  <si>
    <t>ln S</t>
  </si>
  <si>
    <t>SLOPE</t>
  </si>
  <si>
    <t>dHs</t>
  </si>
  <si>
    <t>ln Spe</t>
  </si>
  <si>
    <t>p_Xylene</t>
  </si>
  <si>
    <t>S0</t>
  </si>
  <si>
    <t>S(T)</t>
  </si>
  <si>
    <t>ln S(T)</t>
  </si>
  <si>
    <t>K(T)</t>
  </si>
  <si>
    <t>in PE</t>
  </si>
  <si>
    <t>in Water</t>
  </si>
  <si>
    <t>ln K(T)</t>
  </si>
  <si>
    <t>PE/water</t>
  </si>
  <si>
    <t>Temp (K)</t>
  </si>
  <si>
    <t>S (g/l)</t>
  </si>
  <si>
    <t>INTERCEPT</t>
  </si>
  <si>
    <t>Heat of Sorption (S)</t>
  </si>
  <si>
    <r>
      <rPr>
        <sz val="10"/>
        <rFont val="Calibri"/>
        <family val="2"/>
      </rPr>
      <t>Δ</t>
    </r>
    <r>
      <rPr>
        <sz val="10"/>
        <rFont val="Arial"/>
        <family val="2"/>
      </rPr>
      <t>H</t>
    </r>
    <r>
      <rPr>
        <vertAlign val="subscript"/>
        <sz val="10"/>
        <rFont val="Arial"/>
        <family val="2"/>
      </rPr>
      <t>S, water</t>
    </r>
  </si>
  <si>
    <t>Diffusion Coefficient (10^-9 cm2/s)</t>
  </si>
  <si>
    <t>Table 3: Diffusion coefficient</t>
  </si>
  <si>
    <t>Table 1: Properties</t>
  </si>
  <si>
    <t>S (wt%0</t>
  </si>
  <si>
    <r>
      <rPr>
        <sz val="10"/>
        <rFont val="Calibri"/>
        <family val="2"/>
      </rPr>
      <t>Δ</t>
    </r>
    <r>
      <rPr>
        <sz val="10"/>
        <rFont val="Arial"/>
        <family val="2"/>
      </rPr>
      <t>H</t>
    </r>
    <r>
      <rPr>
        <vertAlign val="subscript"/>
        <sz val="10"/>
        <rFont val="Arial"/>
        <family val="2"/>
      </rPr>
      <t>S, P</t>
    </r>
  </si>
  <si>
    <t>Sp</t>
  </si>
  <si>
    <t xml:space="preserve">Di </t>
  </si>
  <si>
    <t>Heat * Activatie energie</t>
  </si>
  <si>
    <r>
      <rPr>
        <sz val="10"/>
        <rFont val="Calibri"/>
        <family val="2"/>
      </rPr>
      <t>E</t>
    </r>
    <r>
      <rPr>
        <vertAlign val="subscript"/>
        <sz val="10"/>
        <rFont val="Calibri"/>
        <family val="2"/>
      </rPr>
      <t>D,P</t>
    </r>
    <r>
      <rPr>
        <sz val="10"/>
        <rFont val="Calibri"/>
        <family val="2"/>
      </rPr>
      <t xml:space="preserve"> + Δ</t>
    </r>
    <r>
      <rPr>
        <sz val="10"/>
        <rFont val="Arial"/>
        <family val="2"/>
      </rPr>
      <t>H</t>
    </r>
    <r>
      <rPr>
        <vertAlign val="subscript"/>
        <sz val="10"/>
        <rFont val="Arial"/>
        <family val="2"/>
      </rPr>
      <t>S, P</t>
    </r>
  </si>
  <si>
    <t>Let op, nog geen rekening gehouden met DHS (water)</t>
  </si>
  <si>
    <t>Ax + B</t>
  </si>
  <si>
    <t>Supplementary information, table E; Sampler-water partition coefficients</t>
  </si>
  <si>
    <t>Log Kpw</t>
  </si>
  <si>
    <r>
      <t>2</t>
    </r>
    <r>
      <rPr>
        <sz val="10"/>
        <rFont val="Lucida Sans"/>
        <family val="2"/>
      </rPr>
      <t>°</t>
    </r>
    <r>
      <rPr>
        <sz val="10"/>
        <rFont val="Arial"/>
        <family val="2"/>
      </rPr>
      <t>C</t>
    </r>
  </si>
  <si>
    <r>
      <t>13</t>
    </r>
    <r>
      <rPr>
        <sz val="10"/>
        <rFont val="Lucida Sans"/>
        <family val="2"/>
      </rPr>
      <t>°</t>
    </r>
    <r>
      <rPr>
        <sz val="10"/>
        <rFont val="Arial"/>
        <family val="2"/>
      </rPr>
      <t>C</t>
    </r>
  </si>
  <si>
    <r>
      <rPr>
        <sz val="10"/>
        <rFont val="Lucida Sans"/>
        <family val="2"/>
      </rPr>
      <t>30°</t>
    </r>
    <r>
      <rPr>
        <sz val="10"/>
        <rFont val="Arial"/>
        <family val="2"/>
      </rPr>
      <t>C</t>
    </r>
  </si>
  <si>
    <t>1,2,3,4-tetrachlorobenzene</t>
  </si>
  <si>
    <t>benza[a]anthracene</t>
  </si>
  <si>
    <t>celcius</t>
  </si>
  <si>
    <t>1/T (kelvin)</t>
  </si>
  <si>
    <t>ln Kpw</t>
  </si>
  <si>
    <t>Ea</t>
  </si>
  <si>
    <t xml:space="preserve">solubility data wikipedia </t>
  </si>
  <si>
    <r>
      <rPr>
        <sz val="10"/>
        <rFont val="Calibri"/>
        <family val="2"/>
      </rPr>
      <t>Δ</t>
    </r>
    <r>
      <rPr>
        <sz val="10"/>
        <rFont val="Arial"/>
        <family val="2"/>
      </rPr>
      <t>H</t>
    </r>
    <r>
      <rPr>
        <vertAlign val="subscript"/>
        <sz val="10"/>
        <rFont val="Arial"/>
        <family val="2"/>
      </rPr>
      <t>S, PW</t>
    </r>
  </si>
  <si>
    <t>PE</t>
  </si>
  <si>
    <t>Water</t>
  </si>
  <si>
    <t>PE+Water</t>
  </si>
  <si>
    <t>Booij et al 2003</t>
  </si>
  <si>
    <t>Adams et al 2007</t>
  </si>
  <si>
    <r>
      <t>E</t>
    </r>
    <r>
      <rPr>
        <vertAlign val="subscript"/>
        <sz val="10"/>
        <rFont val="Arial"/>
        <family val="2"/>
      </rPr>
      <t>A,P</t>
    </r>
  </si>
  <si>
    <t>MAK</t>
  </si>
  <si>
    <t>PAK</t>
  </si>
  <si>
    <t xml:space="preserve">overige </t>
  </si>
  <si>
    <t>PCB</t>
  </si>
  <si>
    <t>verzadigd</t>
  </si>
  <si>
    <t>Chlooratoom niet aan ring. Maar aan alkaangedeelte</t>
  </si>
  <si>
    <t>categorie</t>
  </si>
  <si>
    <t>opm categorie</t>
  </si>
  <si>
    <t>Lohmann 2011</t>
  </si>
  <si>
    <t>#</t>
  </si>
  <si>
    <t>log D</t>
  </si>
  <si>
    <t>ref</t>
  </si>
  <si>
    <t>A</t>
  </si>
  <si>
    <t>B</t>
  </si>
  <si>
    <t>log (Cw/Sw)</t>
  </si>
  <si>
    <t>slope</t>
  </si>
  <si>
    <t>intercept</t>
  </si>
  <si>
    <t>median</t>
  </si>
  <si>
    <t>Cw/Sw vs logD</t>
  </si>
  <si>
    <t>log(Cw/Sw) vs logD</t>
  </si>
  <si>
    <t>Slope</t>
  </si>
  <si>
    <t>F</t>
  </si>
  <si>
    <t>G</t>
  </si>
  <si>
    <t>I</t>
  </si>
  <si>
    <t>J</t>
  </si>
  <si>
    <t>Toluene PE40 (H)</t>
  </si>
  <si>
    <t>Benzene PE80 (A, B, C, D, G, H)</t>
  </si>
  <si>
    <t>Toluene PE80 (A, B, C, D, E, F,G, H, I, J)</t>
  </si>
  <si>
    <t>Concentratie afhankelijkheid</t>
  </si>
  <si>
    <t>Label grafiek</t>
  </si>
  <si>
    <t>m-xylene (E, F)</t>
  </si>
  <si>
    <t>Trichloroethylene (E, F)</t>
  </si>
  <si>
    <t>Dichloromethane (E, F)</t>
  </si>
  <si>
    <t>regressie analyse - Log D</t>
  </si>
  <si>
    <t>regressie analyse - Log K</t>
  </si>
  <si>
    <t>Cw/Sw vs logK</t>
  </si>
  <si>
    <t>log(Cw/Sw) vs log K</t>
  </si>
  <si>
    <t>stdev</t>
  </si>
  <si>
    <t>regressie analyse - Log P</t>
  </si>
  <si>
    <t>Cw/Sw vs logP</t>
  </si>
  <si>
    <t>log(Cw/Sw) vs logP</t>
  </si>
  <si>
    <t>278 - 333 K</t>
  </si>
  <si>
    <r>
      <rPr>
        <sz val="10"/>
        <rFont val="Lucida Sans"/>
        <family val="2"/>
      </rPr>
      <t>23°</t>
    </r>
    <r>
      <rPr>
        <sz val="10"/>
        <rFont val="Arial"/>
        <family val="2"/>
      </rPr>
      <t>C</t>
    </r>
  </si>
  <si>
    <t>log Kpw</t>
  </si>
  <si>
    <t>Cornelissen et al 2008</t>
  </si>
  <si>
    <t>Fernandez et al 2009</t>
  </si>
  <si>
    <t>Smedes et al 2009</t>
  </si>
  <si>
    <t>Perron et al 2009</t>
  </si>
  <si>
    <t>Hale et al 2010</t>
  </si>
  <si>
    <t>XXX</t>
  </si>
  <si>
    <t>PCB 187</t>
  </si>
  <si>
    <t>PCB 204</t>
  </si>
  <si>
    <t>Bao et al., 2011</t>
  </si>
  <si>
    <t>Sacks 2010</t>
  </si>
  <si>
    <t>f</t>
  </si>
  <si>
    <t>h</t>
  </si>
  <si>
    <t>g</t>
  </si>
  <si>
    <t>4.8</t>
  </si>
  <si>
    <t>5.4</t>
  </si>
  <si>
    <t>5.8</t>
  </si>
  <si>
    <t>5.6</t>
  </si>
  <si>
    <t>4.9</t>
  </si>
  <si>
    <t>5.0</t>
  </si>
  <si>
    <t>5.7</t>
  </si>
  <si>
    <t>2.8</t>
  </si>
  <si>
    <t>2.6</t>
  </si>
  <si>
    <t>2.3</t>
  </si>
  <si>
    <t>2.7</t>
  </si>
  <si>
    <t>2.2</t>
  </si>
  <si>
    <t>2.1</t>
  </si>
  <si>
    <t>4.5</t>
  </si>
  <si>
    <t>4.6</t>
  </si>
  <si>
    <t>4.0</t>
  </si>
  <si>
    <t>3.0</t>
  </si>
  <si>
    <t>2.9</t>
  </si>
  <si>
    <t>4.3</t>
  </si>
  <si>
    <t>5.1</t>
  </si>
  <si>
    <t>4.1</t>
  </si>
  <si>
    <t>4.4</t>
  </si>
  <si>
    <t>3.3</t>
  </si>
  <si>
    <t>4.2</t>
  </si>
  <si>
    <t>3.6</t>
  </si>
  <si>
    <t>Lohmann, unpublished</t>
  </si>
  <si>
    <t>Adams et al., 2007</t>
  </si>
  <si>
    <t>Hale et al., 2009</t>
  </si>
  <si>
    <t>Smedes et al., 2009</t>
  </si>
  <si>
    <t>Hale et al., 2010</t>
  </si>
  <si>
    <t>Perron et al., 2009</t>
  </si>
  <si>
    <t>Sacks and Lohmann, 2011</t>
  </si>
  <si>
    <t>BDE</t>
  </si>
  <si>
    <t>mol/m3</t>
  </si>
  <si>
    <t>overige1</t>
  </si>
  <si>
    <t>overige2</t>
  </si>
  <si>
    <t>overige3</t>
  </si>
  <si>
    <t xml:space="preserve">cited in </t>
  </si>
  <si>
    <t>Booij et al., 2003</t>
  </si>
  <si>
    <t>Bao et al 2011</t>
  </si>
  <si>
    <t>bron</t>
  </si>
  <si>
    <t>Vonk 1985; immersion test</t>
  </si>
  <si>
    <t>Vonk 1985; permeation test</t>
  </si>
  <si>
    <t>r2</t>
  </si>
  <si>
    <t>informatiebron</t>
  </si>
  <si>
    <t>grafiek</t>
  </si>
  <si>
    <t>verschil factor</t>
  </si>
  <si>
    <t>verscil log</t>
  </si>
  <si>
    <t>temp (K)</t>
  </si>
  <si>
    <t>Model: Simoneau 2010</t>
  </si>
  <si>
    <t>log P</t>
  </si>
  <si>
    <t>immersion</t>
  </si>
  <si>
    <t>polair</t>
  </si>
  <si>
    <t>permeation</t>
  </si>
  <si>
    <t>Statistiek</t>
  </si>
  <si>
    <t>EINDE grafiek</t>
  </si>
  <si>
    <t>rood = afgeleid in deze tabel</t>
  </si>
  <si>
    <t>standard error of the forecast</t>
  </si>
  <si>
    <t>2-tailed critical value of the t distribution</t>
  </si>
  <si>
    <t>Confidence intervals</t>
  </si>
  <si>
    <t>unknown</t>
  </si>
  <si>
    <t>in tabel</t>
  </si>
  <si>
    <t>SEfor</t>
  </si>
  <si>
    <t>95% conf int</t>
  </si>
  <si>
    <t>eX</t>
  </si>
  <si>
    <t>ln(e^X)</t>
  </si>
  <si>
    <t>e^(-a/RT)</t>
  </si>
  <si>
    <t>10^(-a/ln(10)RT)</t>
  </si>
  <si>
    <t>K(298)</t>
  </si>
  <si>
    <t>E(1/T0</t>
  </si>
  <si>
    <t>K=Ksw*10^(aCw/Sw)</t>
  </si>
  <si>
    <t>K0</t>
  </si>
  <si>
    <t>Kcw</t>
  </si>
  <si>
    <t>Tabel S15</t>
  </si>
  <si>
    <t>Russina et al 2010</t>
  </si>
  <si>
    <t>Russina et al 2007</t>
  </si>
  <si>
    <t>benzo(a)perylene</t>
  </si>
  <si>
    <t>benzo(g,h,i)perylene</t>
  </si>
  <si>
    <t>dibenzo(a,h)anthracene</t>
  </si>
  <si>
    <t>V (sparc)</t>
  </si>
  <si>
    <t>rood = wijkt af van tabel S5</t>
  </si>
  <si>
    <t>Dp (measured)</t>
  </si>
  <si>
    <t>NB: goede fit tussen V-sparc en metingen Dp --&gt; metingen updaten</t>
  </si>
  <si>
    <t>butylated hydroxyanisol</t>
  </si>
  <si>
    <t>butylated hydroxytoluene</t>
  </si>
  <si>
    <t>Howell et al 1985</t>
  </si>
  <si>
    <t>PCB 4a</t>
  </si>
  <si>
    <t>PCB 14a</t>
  </si>
  <si>
    <t>PCB 18a</t>
  </si>
  <si>
    <t>PCB 28a</t>
  </si>
  <si>
    <t>PCB 29a</t>
  </si>
  <si>
    <t>PCB 30a</t>
  </si>
  <si>
    <t>PCB 31a</t>
  </si>
  <si>
    <t>PCB 44a</t>
  </si>
  <si>
    <t>PCB 47a</t>
  </si>
  <si>
    <t>PCB 49a</t>
  </si>
  <si>
    <t>PCB 50a</t>
  </si>
  <si>
    <t>PCB 52a</t>
  </si>
  <si>
    <t>PCB 56a</t>
  </si>
  <si>
    <t>PCB 66a</t>
  </si>
  <si>
    <t>PCB 74a</t>
  </si>
  <si>
    <t>PCB 85a</t>
  </si>
  <si>
    <t>PCB 87a</t>
  </si>
  <si>
    <t>PCB 97a</t>
  </si>
  <si>
    <t>PCB 99a</t>
  </si>
  <si>
    <t>PCB 101a</t>
  </si>
  <si>
    <t>PCB 104a</t>
  </si>
  <si>
    <t>PCB 105a</t>
  </si>
  <si>
    <t>PCB 110a</t>
  </si>
  <si>
    <t>PCB 118a</t>
  </si>
  <si>
    <t>PCB 128a</t>
  </si>
  <si>
    <t>PCB 137a</t>
  </si>
  <si>
    <t>PCB 138a</t>
  </si>
  <si>
    <t>PCB 141a</t>
  </si>
  <si>
    <t>PCB 145a</t>
  </si>
  <si>
    <t>PCB 149a</t>
  </si>
  <si>
    <t>PCB 151a</t>
  </si>
  <si>
    <t>PCB 153a</t>
  </si>
  <si>
    <t>PCB 155a</t>
  </si>
  <si>
    <t>PCB 156a</t>
  </si>
  <si>
    <t>PCB 170a</t>
  </si>
  <si>
    <t>PCB 180a</t>
  </si>
  <si>
    <t>PCB 187a</t>
  </si>
  <si>
    <t>opmerking2</t>
  </si>
  <si>
    <t>opmerking1</t>
  </si>
  <si>
    <t>bron1</t>
  </si>
  <si>
    <t>bron2</t>
  </si>
  <si>
    <t>opmerking3</t>
  </si>
  <si>
    <t>Lohmann 2011 (tabel S5)</t>
  </si>
  <si>
    <t>bron3 (NIET GOED)</t>
  </si>
  <si>
    <t>Lohmann 2011 (tabel S5): vermoedelijk foute waarde in vergelijking met tabel S12</t>
  </si>
  <si>
    <t>Dp (calculated, in tabel S16)</t>
  </si>
  <si>
    <t>Dp (calculated, obv regressie eq 15 in paper )</t>
  </si>
  <si>
    <t>PCB 194</t>
  </si>
  <si>
    <t>Filmstacking</t>
  </si>
  <si>
    <t>DeSorption</t>
  </si>
  <si>
    <t>hulplijn</t>
  </si>
  <si>
    <t>Vm_cm3/mol</t>
  </si>
  <si>
    <t>Almalaika 1991</t>
  </si>
  <si>
    <t>Diffusion Coefficient (m2/s)</t>
  </si>
  <si>
    <t>Dimethylftalaat</t>
  </si>
  <si>
    <t>Samenvattende tabel</t>
  </si>
  <si>
    <t>D (Regressie)</t>
  </si>
  <si>
    <t>Ethylbenzene  (C)</t>
  </si>
  <si>
    <t>Tetrachloroethylene  (C)</t>
  </si>
  <si>
    <t>o-Xylene  (C)</t>
  </si>
  <si>
    <t>p-Xylene  (C)</t>
  </si>
  <si>
    <t>Dichloromethane  (F)</t>
  </si>
  <si>
    <t>Trichloroethylene  (E)</t>
  </si>
  <si>
    <t>Trichloroethylene  (F)</t>
  </si>
  <si>
    <t>m-Xylene  (E)</t>
  </si>
  <si>
    <t>m-Xylene  (F)</t>
  </si>
  <si>
    <t>tabel t.b.v. grafiek</t>
  </si>
  <si>
    <t>vergelijking met regressie model M-logD</t>
  </si>
  <si>
    <t>D (Cw/Sw=0)</t>
  </si>
  <si>
    <t>D (Cw/Sw=1)</t>
  </si>
  <si>
    <t>parameter</t>
  </si>
  <si>
    <t>x-as</t>
  </si>
  <si>
    <t>alle data</t>
  </si>
  <si>
    <t>Selectie</t>
  </si>
  <si>
    <t>Log D</t>
  </si>
  <si>
    <t>Rapport</t>
  </si>
  <si>
    <t>geselecteerde</t>
  </si>
  <si>
    <t xml:space="preserve">ETBE (Ethyl tert-butyl ether) </t>
  </si>
  <si>
    <t>Ethyl tert-butyl ether</t>
  </si>
  <si>
    <t>ETBE</t>
  </si>
  <si>
    <t>min</t>
  </si>
  <si>
    <t>max</t>
  </si>
  <si>
    <t xml:space="preserve">PCB </t>
  </si>
  <si>
    <t>Mw</t>
  </si>
  <si>
    <t>gram/cm3</t>
  </si>
  <si>
    <t>Tuluene</t>
  </si>
  <si>
    <t>ETB</t>
  </si>
  <si>
    <t>Tabel 3: sorption vs desoprtion</t>
  </si>
  <si>
    <t>sorption</t>
  </si>
  <si>
    <t>Tabel 4: temperature</t>
  </si>
  <si>
    <t>22 C</t>
  </si>
  <si>
    <t>6 C</t>
  </si>
  <si>
    <t>fluoridized</t>
  </si>
  <si>
    <t>Table 9: Diffusion</t>
  </si>
  <si>
    <t>oplosbaarheid in PE</t>
  </si>
  <si>
    <t>in water</t>
  </si>
  <si>
    <t>partitie</t>
  </si>
  <si>
    <t>diffusie</t>
  </si>
  <si>
    <t>permeatie (S*D niet K*D !!)</t>
  </si>
  <si>
    <t>22C</t>
  </si>
  <si>
    <t>6C</t>
  </si>
  <si>
    <t>temp</t>
  </si>
  <si>
    <t>1/K</t>
  </si>
  <si>
    <t>ln K</t>
  </si>
  <si>
    <t>interpretatie</t>
  </si>
  <si>
    <t>lnD</t>
  </si>
  <si>
    <t>http://citeseerx.ist.psu.edu/viewdoc/download?doi=10.1.1.427.8817&amp;rep=rep1&amp;type=pdf     table 5.3</t>
  </si>
  <si>
    <t>https://books.google.nl/books?id=7_bwCAAAQBAJ&amp;pg=PA333&amp;lpg=PA333&amp;dq=solubility+of+2-butanone+in+water+at+different+temperature&amp;source=bl&amp;ots=MnIO3_TM39&amp;sig=kpUj1pRDinn_OHaWg0SxfFc8Ujc&amp;hl=nl&amp;sa=X&amp;ved=0ahUKEwjbuqDg1IXLAhVCuhQKHb3WAegQ6AEIHDAA#v=onepage&amp;q=solubility%20of%202-butanone%20in%20water%20at%20different%20temperature&amp;f=false --&gt; page 336</t>
  </si>
  <si>
    <t>g(1)/g(100)</t>
  </si>
  <si>
    <t>s.s. Davis. Critical Evaluation Mutual solubility water and 2-butanone.</t>
  </si>
  <si>
    <t>http://srdata.nist.gov/solubility/sol_detail.aspx?goBack=Y&amp;sysID=38_122</t>
  </si>
  <si>
    <t>IUPAC-NIST Solubility Database. NIST Standard Reference Database 106</t>
  </si>
  <si>
    <t>(10^2 mass fraction)</t>
  </si>
  <si>
    <t>http://srdata.nist.gov/solubility/sol_detail.aspx?sysID=60_146</t>
  </si>
  <si>
    <t>http://srdata.nist.gov/solubility/sol_detail.aspx?sysID=37_178</t>
  </si>
  <si>
    <t>log Mw</t>
  </si>
  <si>
    <t>log M</t>
  </si>
  <si>
    <t>regressie partitie</t>
  </si>
  <si>
    <t>regressie diffusie</t>
  </si>
  <si>
    <r>
      <t xml:space="preserve">PE80 Benzene: Ea=47; </t>
    </r>
    <r>
      <rPr>
        <sz val="10"/>
        <rFont val="Lucida Sans"/>
        <family val="2"/>
      </rPr>
      <t>ΔHs=22  (Rowe et al 2011)</t>
    </r>
  </si>
  <si>
    <r>
      <t xml:space="preserve">PE80 phenanthrene: Ea=60 (regression); </t>
    </r>
    <r>
      <rPr>
        <sz val="10"/>
        <rFont val="Lucida Sans"/>
        <family val="2"/>
      </rPr>
      <t>ΔHs=-29  (Booij et al 2003)</t>
    </r>
  </si>
  <si>
    <t>Validatie model</t>
  </si>
  <si>
    <r>
      <rPr>
        <sz val="10"/>
        <rFont val="Calibri"/>
        <family val="2"/>
      </rPr>
      <t>Δ</t>
    </r>
    <r>
      <rPr>
        <sz val="10"/>
        <rFont val="Arial"/>
        <family val="2"/>
      </rPr>
      <t>H</t>
    </r>
    <r>
      <rPr>
        <vertAlign val="subscript"/>
        <sz val="10"/>
        <rFont val="Arial"/>
        <family val="2"/>
      </rPr>
      <t>S, PW + Ed</t>
    </r>
  </si>
  <si>
    <t>meting</t>
  </si>
  <si>
    <t>averaage</t>
  </si>
  <si>
    <t>Park et al 1996</t>
  </si>
  <si>
    <t>Crew/Sw</t>
  </si>
  <si>
    <t>Invloed concentratie op K en D</t>
  </si>
  <si>
    <t>Partitie</t>
  </si>
  <si>
    <t>Ko</t>
  </si>
  <si>
    <t>Cref/Sw</t>
  </si>
  <si>
    <t>Kref</t>
  </si>
  <si>
    <t>K0 (bij ref concentratie)</t>
  </si>
  <si>
    <t>Kw/Kref</t>
  </si>
  <si>
    <t>log</t>
  </si>
  <si>
    <r>
      <t>a</t>
    </r>
    <r>
      <rPr>
        <vertAlign val="subscript"/>
        <sz val="10"/>
        <rFont val="Arial"/>
        <family val="2"/>
      </rPr>
      <t>Kc</t>
    </r>
  </si>
  <si>
    <t>D(C)  -D (Cref)</t>
  </si>
  <si>
    <t>Diffusie</t>
  </si>
  <si>
    <r>
      <t>a</t>
    </r>
    <r>
      <rPr>
        <vertAlign val="subscript"/>
        <sz val="10"/>
        <rFont val="Arial"/>
        <family val="2"/>
      </rPr>
      <t>Dc</t>
    </r>
  </si>
  <si>
    <t>K(C)  -K (Cref)</t>
  </si>
  <si>
    <r>
      <t>a</t>
    </r>
    <r>
      <rPr>
        <vertAlign val="subscript"/>
        <sz val="10"/>
        <rFont val="Arial"/>
        <family val="2"/>
      </rPr>
      <t>Kc * aDc</t>
    </r>
  </si>
  <si>
    <t>log  K(C)-log⁡K(Cref))</t>
  </si>
  <si>
    <t>log  D(C)-log⁡D(Cref))</t>
  </si>
  <si>
    <t>log  P(C)-log⁡P(Cref))</t>
  </si>
  <si>
    <t>P(C)  -P (Cref)</t>
  </si>
  <si>
    <t>Permeatie</t>
  </si>
  <si>
    <t>Voorbeeldberekening: invloed van concentratie op parameters</t>
  </si>
  <si>
    <t>voorbeeldberekening: omrekenen t.o.v. Cref</t>
  </si>
  <si>
    <t>verschil (minus)</t>
  </si>
  <si>
    <t>table 5: aged / unaged Geomembrane 1 (HDPE)</t>
  </si>
  <si>
    <t>Unaged</t>
  </si>
  <si>
    <t>M&amp;p-xylenes</t>
  </si>
  <si>
    <t>a-xylenes</t>
  </si>
  <si>
    <t>10E-12 m2/s</t>
  </si>
  <si>
    <t>permeatie</t>
  </si>
  <si>
    <t>Aged 13 months; crystallinity 46%</t>
  </si>
  <si>
    <t>Aged 32 months; crystallinity 54%</t>
  </si>
  <si>
    <t>Reductie</t>
  </si>
  <si>
    <t>table 6: aged / unaged Geomembrane 2 (HDPE)</t>
  </si>
  <si>
    <t>log average</t>
  </si>
  <si>
    <t>new</t>
  </si>
  <si>
    <t>aged</t>
  </si>
  <si>
    <t>aged/ ned</t>
  </si>
  <si>
    <t>Table 6-5: diffusivity new and aged</t>
  </si>
  <si>
    <t>gemiddelde</t>
  </si>
  <si>
    <t>niet-polair</t>
  </si>
  <si>
    <t>totaal</t>
  </si>
  <si>
    <t>Islam 2009</t>
  </si>
  <si>
    <t>Geomembrane 1</t>
  </si>
  <si>
    <t>Geomembrane 2</t>
  </si>
  <si>
    <t>Solubilty</t>
  </si>
  <si>
    <t>Aged,chlorination</t>
  </si>
  <si>
    <t>Difference</t>
  </si>
  <si>
    <t>SD</t>
  </si>
  <si>
    <t>New</t>
  </si>
  <si>
    <t>Difference - log transformed</t>
  </si>
  <si>
    <t>concentratie</t>
  </si>
  <si>
    <t>Park &amp; nibras 1993: immersion</t>
  </si>
  <si>
    <t>gasoline</t>
  </si>
  <si>
    <t>Methylethylenechloride</t>
  </si>
  <si>
    <t>Trichloroethene</t>
  </si>
  <si>
    <t>VLDPE  i.p.v. LDPE !!</t>
  </si>
  <si>
    <t>Park 1996</t>
  </si>
  <si>
    <t>Welton et al 2010</t>
  </si>
  <si>
    <t>PEX-A (i.p.v. LDPE)</t>
  </si>
  <si>
    <t>apolar</t>
  </si>
  <si>
    <t>polar</t>
  </si>
  <si>
    <t>Model: Russina et al 2010</t>
  </si>
  <si>
    <t>Model: Lohman 2011</t>
  </si>
  <si>
    <t>Simoneau 2010</t>
  </si>
  <si>
    <t>PE40 Lohman 2010 (Vm--&gt; Mw)</t>
  </si>
  <si>
    <t xml:space="preserve">  A. Maczynski and Z. Maczynska</t>
  </si>
  <si>
    <t>http://srdata.nist.gov/solubility/sol_detail.aspx?sysID=37_103</t>
  </si>
  <si>
    <t>http://srdata.nist.gov/solubility/sol_detail.aspx?sysID=38_31</t>
  </si>
  <si>
    <t>Direct estimate provided of Enthalpy in table 3 of datasheet</t>
  </si>
  <si>
    <t>log Dp [m2/s]</t>
  </si>
  <si>
    <t>Resultaten regressie-analyse</t>
  </si>
  <si>
    <t>grafiek2</t>
  </si>
  <si>
    <t>Alk</t>
  </si>
  <si>
    <t>ClAlk</t>
  </si>
  <si>
    <t>ClArom</t>
  </si>
  <si>
    <t>O2</t>
  </si>
  <si>
    <t>Cl</t>
  </si>
  <si>
    <t>logKpw</t>
  </si>
  <si>
    <t>Lohmann 2011: PAK</t>
  </si>
  <si>
    <t>Lohmann 2011: PCB</t>
  </si>
  <si>
    <t>Sanscrit</t>
  </si>
  <si>
    <t xml:space="preserve"> </t>
  </si>
  <si>
    <t>Gestis</t>
  </si>
  <si>
    <t>lege regel, niet verwijderen</t>
  </si>
  <si>
    <t>gsi-net</t>
  </si>
  <si>
    <t>van Herwijnen van Leeuwen 2009</t>
  </si>
  <si>
    <t>inchem</t>
  </si>
  <si>
    <t>van Noort 2010</t>
  </si>
  <si>
    <t>CDC</t>
  </si>
  <si>
    <t>toxnet</t>
  </si>
  <si>
    <t>US EPA 2000</t>
  </si>
  <si>
    <t>US EPA 1995</t>
  </si>
  <si>
    <t>US EPA suite</t>
  </si>
  <si>
    <t>US EPA 1999</t>
  </si>
  <si>
    <t>hogere alkomen, langere ketens</t>
  </si>
  <si>
    <t>Category</t>
  </si>
  <si>
    <t>Sanscrit 2014</t>
  </si>
  <si>
    <t>average of o-, m- en p-xylene</t>
  </si>
  <si>
    <t>est based on nr. C and H atoms</t>
  </si>
  <si>
    <t xml:space="preserve"> Koc derived with Cornelis et al 2006; Kow derived with Appelo Postma 2005 table 10.2. cf van der Schans et al  2014 </t>
  </si>
  <si>
    <t>van der schans et al 2014</t>
  </si>
  <si>
    <t>permeatiestudie evides</t>
  </si>
  <si>
    <t>ibid</t>
  </si>
  <si>
    <t>Export naar bijlage rapport</t>
  </si>
  <si>
    <t>Lohmann 2011: Used value in S15</t>
  </si>
  <si>
    <t>PEX-A (MDPE)</t>
  </si>
  <si>
    <t>VLDPE</t>
  </si>
  <si>
    <t>Gasoline</t>
  </si>
  <si>
    <t>Arom</t>
  </si>
  <si>
    <t>hulplijn grafiek</t>
  </si>
  <si>
    <t>log S</t>
  </si>
  <si>
    <t>Diffusion</t>
  </si>
  <si>
    <t>log SD</t>
  </si>
  <si>
    <t>HDPE, aged</t>
  </si>
  <si>
    <t>HDPE, aged Clorinated</t>
  </si>
  <si>
    <t>difference aged/ not aged</t>
  </si>
  <si>
    <t>website, databases, software</t>
  </si>
  <si>
    <t>Al-Malaika et al 1991</t>
  </si>
  <si>
    <t>Chao et al 2007</t>
  </si>
  <si>
    <t>Choi et al 2013</t>
  </si>
  <si>
    <t>Aminabavi et al 1999</t>
  </si>
  <si>
    <t>Joo et al 2005</t>
  </si>
  <si>
    <t>Mao et al 2006</t>
  </si>
  <si>
    <t>DeSorption to air</t>
  </si>
  <si>
    <t>solvant</t>
  </si>
  <si>
    <t>d12-benz[a]anthracene</t>
  </si>
  <si>
    <t>Cwmax = Vonk 1985</t>
  </si>
  <si>
    <t>M, Cw, Kow = average of  o-, m-, p-xyleen</t>
  </si>
  <si>
    <t>M, Cw, Kow based on benz[a]anthracene</t>
  </si>
  <si>
    <t>d12-benz(a)anthracene</t>
  </si>
  <si>
    <r>
      <t>M</t>
    </r>
    <r>
      <rPr>
        <vertAlign val="subscript"/>
        <sz val="10"/>
        <color theme="1"/>
        <rFont val="Arial"/>
        <family val="2"/>
      </rPr>
      <t>i</t>
    </r>
  </si>
  <si>
    <r>
      <t>E</t>
    </r>
    <r>
      <rPr>
        <vertAlign val="subscript"/>
        <sz val="10"/>
        <color theme="1"/>
        <rFont val="Arial"/>
        <family val="2"/>
      </rPr>
      <t>D</t>
    </r>
  </si>
  <si>
    <t>Benzene  (A)</t>
  </si>
  <si>
    <t>Benzene  (B)</t>
  </si>
  <si>
    <t>Benzene  (C)</t>
  </si>
  <si>
    <t>Benzene  (D)</t>
  </si>
  <si>
    <t>Benzene  (G)</t>
  </si>
  <si>
    <t>Benzene  (H)</t>
  </si>
  <si>
    <t>Toluene  (A)</t>
  </si>
  <si>
    <t>Toluene  (B)</t>
  </si>
  <si>
    <t>Toluene  ()</t>
  </si>
  <si>
    <t>Toluene  (C)</t>
  </si>
  <si>
    <t>Toluene  (D)</t>
  </si>
  <si>
    <t>Toluene  (E)</t>
  </si>
  <si>
    <t>Toluene  (F)</t>
  </si>
  <si>
    <t>Toluene  (G)</t>
  </si>
  <si>
    <t>Toluene  (H)</t>
  </si>
  <si>
    <t>Toluene  (I)</t>
  </si>
  <si>
    <t>Toluene  (J)</t>
  </si>
  <si>
    <t>Toluene  (66)</t>
  </si>
  <si>
    <t>Toluene  (67)</t>
  </si>
  <si>
    <t>Toluene  (68)</t>
  </si>
  <si>
    <t>Toluene  (69)</t>
  </si>
  <si>
    <t>Chloroform  (C)</t>
  </si>
  <si>
    <t>Dichloromethane  (C)</t>
  </si>
  <si>
    <t>1,1,1-Trichloroethane  (C)</t>
  </si>
  <si>
    <t>Trichloroethylene  (C)</t>
  </si>
  <si>
    <t>Dichloromethane  (E)</t>
  </si>
  <si>
    <t>almost 0</t>
  </si>
  <si>
    <t>n-nonylphenol-tech</t>
  </si>
  <si>
    <t>nonylphenol-d4</t>
  </si>
  <si>
    <t>octylphenol-d17</t>
  </si>
  <si>
    <t>room</t>
  </si>
  <si>
    <t>DeSorption to water</t>
  </si>
  <si>
    <t>measured</t>
  </si>
  <si>
    <t>saturated ??</t>
  </si>
  <si>
    <t>Rowe et al 2011</t>
  </si>
  <si>
    <t>Immersion (shaking)</t>
  </si>
  <si>
    <t>Immersion (spinning)</t>
  </si>
  <si>
    <t>room ??</t>
  </si>
  <si>
    <t>saturated</t>
  </si>
  <si>
    <t>Density</t>
  </si>
  <si>
    <t>yes</t>
  </si>
  <si>
    <t>assumed</t>
  </si>
  <si>
    <t>Cw/Cwsat</t>
  </si>
  <si>
    <t>pure product</t>
  </si>
  <si>
    <t>293 - 298; room</t>
  </si>
  <si>
    <t>type PE</t>
  </si>
  <si>
    <t>Value</t>
  </si>
  <si>
    <t>value</t>
  </si>
  <si>
    <t>Desorption</t>
  </si>
  <si>
    <t>Desorption; Desoprtion to Aird</t>
  </si>
  <si>
    <t>Immersion; Immersion (spinning); Immersion (shaking);</t>
  </si>
  <si>
    <t>Not used in regression of kD at reference conditions</t>
  </si>
  <si>
    <t>author</t>
  </si>
  <si>
    <t>compound</t>
  </si>
  <si>
    <t>type experiment</t>
  </si>
  <si>
    <t>ORDER DATA</t>
  </si>
  <si>
    <t>Alk, ClAlk,ClArom,MAK, PAK</t>
  </si>
  <si>
    <t>experiment conducted at different concentrations, use highest value</t>
  </si>
  <si>
    <t>experiment repeated at</t>
  </si>
  <si>
    <t>multiple concentrations</t>
  </si>
  <si>
    <t>remove lowest concentration</t>
  </si>
  <si>
    <t>1  mm thickness</t>
  </si>
  <si>
    <t>with thicker PE strip</t>
  </si>
  <si>
    <t>remove thickest PE</t>
  </si>
  <si>
    <t>Cl en O2</t>
  </si>
  <si>
    <t>groep 1</t>
  </si>
  <si>
    <t>groep 2</t>
  </si>
  <si>
    <t>groep 3</t>
  </si>
  <si>
    <t>regressiemodel groep1</t>
  </si>
  <si>
    <t>regressiemodel groep3</t>
  </si>
  <si>
    <t>regressiemodel groep2</t>
  </si>
  <si>
    <t>Cwsat</t>
  </si>
  <si>
    <r>
      <rPr>
        <b/>
        <u/>
        <sz val="10"/>
        <rFont val="Arial"/>
        <family val="2"/>
      </rPr>
      <t xml:space="preserve">log </t>
    </r>
    <r>
      <rPr>
        <sz val="10"/>
        <rFont val="Arial"/>
        <family val="2"/>
      </rPr>
      <t>Cwsat</t>
    </r>
  </si>
  <si>
    <t>log Cwsat (ug/l)</t>
  </si>
  <si>
    <t>log Dp</t>
  </si>
  <si>
    <t>Filmstack + permeation</t>
  </si>
  <si>
    <t>remove not-medium concentration</t>
  </si>
  <si>
    <t>remove concentrations furthest from Cw/Cw,sat = 0.5</t>
  </si>
  <si>
    <t>PE80: schatting obv PE40</t>
  </si>
  <si>
    <t>PE40 groep1: regressiemodel</t>
  </si>
  <si>
    <t>PE40 groep2: regressiemodel</t>
  </si>
  <si>
    <t>PE40 groep3: regressiemodel</t>
  </si>
  <si>
    <t>PE40 groep 1</t>
  </si>
  <si>
    <t>PE40 groep 2</t>
  </si>
  <si>
    <t>PE40 groep 3</t>
  </si>
  <si>
    <t>PE80 groep 1</t>
  </si>
  <si>
    <t>PE80 groep 2</t>
  </si>
  <si>
    <t>PE80 groep 3</t>
  </si>
  <si>
    <t>PE80 groep1: regressiemodel</t>
  </si>
  <si>
    <t>PE80 groep2: regressiemodel</t>
  </si>
  <si>
    <t>PE80 groep3: regressiemodel</t>
  </si>
  <si>
    <t>remove lowest concentrations</t>
  </si>
  <si>
    <t>PE40 PCB: Russina et al 2010</t>
  </si>
  <si>
    <t>PE40 PAK: Russina et al 2010</t>
  </si>
  <si>
    <t>http://people.duke.edu/~rnau/mathreg.htm</t>
  </si>
  <si>
    <t>Sr</t>
  </si>
  <si>
    <t>Sa</t>
  </si>
  <si>
    <t>Sf</t>
  </si>
  <si>
    <t>Sb</t>
  </si>
  <si>
    <t>min 1.6 + 6 (log schaal)</t>
  </si>
  <si>
    <t>a (slope)</t>
  </si>
  <si>
    <t>b (Intercept)</t>
  </si>
  <si>
    <t>zwart = basisdata</t>
  </si>
  <si>
    <t>a (helling)</t>
  </si>
  <si>
    <t>b (intercept)</t>
  </si>
  <si>
    <t>±</t>
  </si>
  <si>
    <t>group 3</t>
  </si>
  <si>
    <t>matriaal</t>
  </si>
  <si>
    <t>log Cw_sat</t>
  </si>
  <si>
    <t>category</t>
  </si>
  <si>
    <t>Reference</t>
  </si>
  <si>
    <t>log Kpw literature</t>
  </si>
  <si>
    <t>remove unknown concentration</t>
  </si>
  <si>
    <t>FINAL</t>
  </si>
  <si>
    <t>solvent</t>
  </si>
  <si>
    <t>log Kpw regression</t>
  </si>
  <si>
    <t>choi et al 2013</t>
  </si>
  <si>
    <t>Sacks and Lohmann 2011</t>
  </si>
  <si>
    <t>Cw sat</t>
  </si>
  <si>
    <t>unaged</t>
  </si>
  <si>
    <t>aged, chlorinated</t>
  </si>
  <si>
    <t>log Cwsat</t>
  </si>
  <si>
    <t>log CwsatD</t>
  </si>
  <si>
    <t>average **</t>
  </si>
  <si>
    <t>reference</t>
  </si>
  <si>
    <t>number</t>
  </si>
  <si>
    <t>Welton: only non-polar contaminants</t>
  </si>
  <si>
    <t>log Dp  literature</t>
  </si>
  <si>
    <t>log Dp regression</t>
  </si>
  <si>
    <t>(K)</t>
  </si>
  <si>
    <t>(m2/dag)</t>
  </si>
  <si>
    <t xml:space="preserve"> (m2/dag) </t>
  </si>
  <si>
    <t>experiment</t>
  </si>
  <si>
    <t>footnote</t>
  </si>
  <si>
    <t>(*)  VLDPE instead of LDPE</t>
  </si>
  <si>
    <t>(**)  PEX-A instead of LDPE</t>
  </si>
  <si>
    <t>Park nibras 1993</t>
  </si>
  <si>
    <t>Export naar bijlage</t>
  </si>
  <si>
    <t>(**) not used in regression due to uncertainty on concentration</t>
  </si>
  <si>
    <t>Regression analysis</t>
  </si>
  <si>
    <t>Export to bijlage</t>
  </si>
  <si>
    <t>Ek (PE-water)</t>
  </si>
  <si>
    <t>Ek (in water)</t>
  </si>
  <si>
    <t>Ek (in PE)</t>
  </si>
  <si>
    <t>(g/L)</t>
  </si>
  <si>
    <t>298-343</t>
  </si>
  <si>
    <t>IUPAC-NIST Solubility Database.</t>
  </si>
  <si>
    <t>NIST Standard Reference Database 106.   srdata.nist.gov/solubility/</t>
  </si>
  <si>
    <t>Neely 2007</t>
  </si>
  <si>
    <t>Knauss and Copenhaverk 1995</t>
  </si>
  <si>
    <t>273 - 293 K</t>
  </si>
  <si>
    <t>299 - 323K</t>
  </si>
  <si>
    <t>288 - 308 K</t>
  </si>
  <si>
    <t>273 - 298 K</t>
  </si>
  <si>
    <t>273-293 K</t>
  </si>
  <si>
    <t>399 - 346 K</t>
  </si>
  <si>
    <t>deze kolom  niet copieren</t>
  </si>
  <si>
    <t>Contaminant</t>
  </si>
  <si>
    <t>298-318</t>
  </si>
  <si>
    <t>T range *</t>
  </si>
  <si>
    <t>T range **</t>
  </si>
  <si>
    <t>T range ***</t>
  </si>
  <si>
    <t>Moisan 1985</t>
  </si>
  <si>
    <t>Westlake and Johnson 1975</t>
  </si>
  <si>
    <t>Cicchetti et al 1968</t>
  </si>
  <si>
    <t>278-333</t>
  </si>
  <si>
    <t>(**)   Temperature range used to determine Ek (in water)</t>
  </si>
  <si>
    <t>##</t>
  </si>
  <si>
    <t xml:space="preserve">         Ek  (in PE) = R * a. Where a = slope of regression between 1/T (x-axis) versus ln Csat in PE (y-axis)</t>
  </si>
  <si>
    <t>(*)    Temperature range used to determine Ek (in PE)</t>
  </si>
  <si>
    <t>(***)  Temperature range used to determine Ed</t>
  </si>
  <si>
    <t xml:space="preserve">         Ek  (in water) = R * a. Where a = slope of regression between 1/T (x-axis) versus ln Csat in water (y-axis)</t>
  </si>
  <si>
    <t xml:space="preserve">         Ek (PE - water) = Ek (in PE) - Ek (in water)</t>
  </si>
  <si>
    <t>(##) Value reported in literature</t>
  </si>
  <si>
    <t>(#)    Value determined through regression analysis of presented data</t>
  </si>
  <si>
    <t>^</t>
  </si>
  <si>
    <t>^^</t>
  </si>
  <si>
    <t>(^)   Reference for Ek (in PE), Ek (PE-water) and Ed</t>
  </si>
  <si>
    <t>(^^)  Reference for Ek (in water)</t>
  </si>
  <si>
    <t>(**) only for contaminants with data on both new and aged PE</t>
  </si>
  <si>
    <t>(**) labexperiment not used in regression analysis</t>
  </si>
  <si>
    <t>LogDp QSAR</t>
  </si>
  <si>
    <t>AH_added</t>
  </si>
  <si>
    <t>Std dev = std. error / sqt sample size</t>
  </si>
  <si>
    <t>Y-Yest</t>
  </si>
  <si>
    <t>(y-yes)^2</t>
  </si>
  <si>
    <t>Sres (residual standard deviation)</t>
  </si>
  <si>
    <t>mean LogDp QSAR</t>
  </si>
  <si>
    <t>S = Standard error of the regression</t>
  </si>
  <si>
    <t>https://people.duke.edu/~rnau/mathreg.htm#rsquared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</si>
</sst>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 #,##0.00_-;_-* &quot;-&quot;??_-;_-@_-"/>
    <numFmt numFmtId="165" formatCode="0.0000"/>
    <numFmt numFmtId="166" formatCode="0.000"/>
    <numFmt numFmtId="167" formatCode="0.0%"/>
    <numFmt numFmtId="168" formatCode="_-* #,##0.000_-;\-* #,##0.000_-;_-* &quot;-&quot;??_-;_-@_-"/>
    <numFmt numFmtId="169" formatCode="0.0"/>
    <numFmt numFmtId="170" formatCode="0.00000000000000%"/>
    <numFmt numFmtId="171" formatCode="_-* #,##0_-;\-* #,##0_-;_-* &quot;-&quot;??_-;_-@_-"/>
    <numFmt numFmtId="172" formatCode="0.00000"/>
    <numFmt numFmtId="173" formatCode="0.0000000"/>
    <numFmt numFmtId="174" formatCode="0.00000000"/>
    <numFmt numFmtId="175" formatCode="0.00000000000"/>
    <numFmt numFmtId="176" formatCode="0.000000000000"/>
  </numFmts>
  <fonts count="36" x14ac:knownFonts="1">
    <font>
      <sz val="10"/>
      <name val="Arial"/>
    </font>
    <font>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sz val="10"/>
      <name val="Times New Roman"/>
      <family val="1"/>
    </font>
    <font>
      <vertAlign val="superscript"/>
      <sz val="10"/>
      <name val="Times New Roman"/>
      <family val="1"/>
    </font>
    <font>
      <sz val="10"/>
      <name val="Arial"/>
      <family val="2"/>
    </font>
    <font>
      <sz val="10"/>
      <color theme="1"/>
      <name val="Arial"/>
      <family val="2"/>
    </font>
    <font>
      <sz val="10"/>
      <color indexed="8"/>
      <name val="Arial"/>
      <family val="2"/>
    </font>
    <font>
      <sz val="11"/>
      <color indexed="8"/>
      <name val="Calibri"/>
      <family val="2"/>
    </font>
    <font>
      <sz val="10"/>
      <color theme="1"/>
      <name val="Times New Roman"/>
      <family val="2"/>
    </font>
    <font>
      <b/>
      <sz val="10"/>
      <name val="Times New Roman"/>
      <family val="1"/>
    </font>
    <font>
      <sz val="10"/>
      <color rgb="FF222222"/>
      <name val="Arial"/>
      <family val="2"/>
    </font>
    <font>
      <sz val="10"/>
      <color rgb="FFFF0000"/>
      <name val="Arial"/>
      <family val="2"/>
    </font>
    <font>
      <sz val="10"/>
      <name val="Calibri"/>
      <family val="2"/>
    </font>
    <font>
      <vertAlign val="subscript"/>
      <sz val="10"/>
      <name val="Arial"/>
      <family val="2"/>
    </font>
    <font>
      <vertAlign val="superscript"/>
      <sz val="10"/>
      <name val="Arial"/>
      <family val="2"/>
    </font>
    <font>
      <sz val="9"/>
      <color rgb="FF000000"/>
      <name val="Arial"/>
      <family val="2"/>
    </font>
    <font>
      <sz val="10"/>
      <color theme="8" tint="-0.249977111117893"/>
      <name val="Arial"/>
      <family val="2"/>
    </font>
    <font>
      <sz val="10"/>
      <color theme="3" tint="0.39997558519241921"/>
      <name val="Arial"/>
      <family val="2"/>
    </font>
    <font>
      <sz val="10"/>
      <name val="Lucida Sans"/>
      <family val="2"/>
    </font>
    <font>
      <sz val="10"/>
      <color rgb="FF0070C0"/>
      <name val="Arial"/>
      <family val="2"/>
    </font>
    <font>
      <vertAlign val="subscript"/>
      <sz val="10"/>
      <name val="Calibri"/>
      <family val="2"/>
    </font>
    <font>
      <sz val="10"/>
      <color theme="4" tint="-0.249977111117893"/>
      <name val="Arial"/>
      <family val="2"/>
    </font>
    <font>
      <u/>
      <sz val="10"/>
      <name val="Arial"/>
      <family val="2"/>
    </font>
    <font>
      <sz val="9"/>
      <name val="Verdana"/>
      <family val="2"/>
    </font>
    <font>
      <i/>
      <sz val="10"/>
      <name val="Arial"/>
      <family val="2"/>
    </font>
    <font>
      <sz val="10"/>
      <color rgb="FF00B050"/>
      <name val="Arial"/>
      <family val="2"/>
    </font>
    <font>
      <u/>
      <sz val="10"/>
      <color theme="10"/>
      <name val="Arial"/>
      <family val="2"/>
    </font>
    <font>
      <vertAlign val="subscript"/>
      <sz val="10"/>
      <color theme="1"/>
      <name val="Arial"/>
      <family val="2"/>
    </font>
    <font>
      <b/>
      <u/>
      <sz val="10"/>
      <name val="Arial"/>
      <family val="2"/>
    </font>
    <font>
      <sz val="10"/>
      <name val="Arial"/>
      <family val="2"/>
    </font>
    <font>
      <b/>
      <sz val="10"/>
      <color theme="1"/>
      <name val="Arial"/>
      <family val="2"/>
    </font>
    <font>
      <sz val="11"/>
      <color rgb="FF0061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indexed="22"/>
        <bgColor indexed="0"/>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rgb="FFC6EFCE"/>
      </patternFill>
    </fill>
  </fills>
  <borders count="18">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5">
    <xf numFmtId="0" fontId="0" fillId="0" borderId="0"/>
    <xf numFmtId="9" fontId="8" fillId="0" borderId="0" applyFont="0" applyFill="0" applyBorder="0" applyAlignment="0" applyProtection="0"/>
    <xf numFmtId="0" fontId="10" fillId="0" borderId="0"/>
    <xf numFmtId="0" fontId="12"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3" fillId="0" borderId="0"/>
    <xf numFmtId="0" fontId="30" fillId="0" borderId="0" applyNumberFormat="0" applyFill="0" applyBorder="0" applyAlignment="0" applyProtection="0"/>
    <xf numFmtId="164" fontId="33" fillId="0" borderId="0" applyFont="0" applyFill="0" applyBorder="0" applyAlignment="0" applyProtection="0"/>
    <xf numFmtId="0" fontId="1" fillId="0" borderId="0"/>
    <xf numFmtId="0" fontId="3" fillId="0" borderId="0"/>
    <xf numFmtId="9" fontId="3" fillId="0" borderId="0" applyFont="0" applyFill="0" applyBorder="0" applyAlignment="0" applyProtection="0"/>
    <xf numFmtId="164" fontId="3" fillId="0" borderId="0" applyFont="0" applyFill="0" applyBorder="0" applyAlignment="0" applyProtection="0"/>
    <xf numFmtId="0" fontId="35" fillId="15" borderId="0" applyNumberFormat="0" applyBorder="0" applyAlignment="0" applyProtection="0"/>
  </cellStyleXfs>
  <cellXfs count="516">
    <xf numFmtId="0" fontId="0" fillId="0" borderId="0" xfId="0"/>
    <xf numFmtId="0" fontId="2" fillId="0" borderId="0" xfId="0" applyFont="1"/>
    <xf numFmtId="0" fontId="0" fillId="0" borderId="0" xfId="0" applyAlignment="1">
      <alignment horizontal="center"/>
    </xf>
    <xf numFmtId="0" fontId="0" fillId="0" borderId="1" xfId="0" applyBorder="1"/>
    <xf numFmtId="0" fontId="3" fillId="0" borderId="0" xfId="0" applyFont="1"/>
    <xf numFmtId="0" fontId="3" fillId="0" borderId="0" xfId="0" applyFont="1" applyAlignment="1">
      <alignment horizontal="center"/>
    </xf>
    <xf numFmtId="0" fontId="3" fillId="0" borderId="3" xfId="0" applyFont="1" applyBorder="1"/>
    <xf numFmtId="0" fontId="0" fillId="0" borderId="1" xfId="0" applyBorder="1" applyAlignment="1">
      <alignment horizontal="center"/>
    </xf>
    <xf numFmtId="0" fontId="0" fillId="0" borderId="4" xfId="0" applyBorder="1"/>
    <xf numFmtId="0" fontId="0" fillId="0" borderId="5" xfId="0" applyBorder="1"/>
    <xf numFmtId="0" fontId="3" fillId="0" borderId="5" xfId="0" applyFont="1" applyBorder="1"/>
    <xf numFmtId="0" fontId="3" fillId="0" borderId="4" xfId="0" applyFont="1" applyBorder="1"/>
    <xf numFmtId="0" fontId="0" fillId="0" borderId="7" xfId="0" applyBorder="1"/>
    <xf numFmtId="0" fontId="0" fillId="0" borderId="8" xfId="0" applyBorder="1"/>
    <xf numFmtId="0" fontId="3" fillId="0" borderId="8" xfId="0" applyFont="1" applyBorder="1"/>
    <xf numFmtId="0" fontId="0" fillId="0" borderId="9" xfId="0" applyBorder="1"/>
    <xf numFmtId="0" fontId="0" fillId="0" borderId="6" xfId="0" applyBorder="1"/>
    <xf numFmtId="0" fontId="0" fillId="0" borderId="3" xfId="0" applyBorder="1"/>
    <xf numFmtId="0" fontId="3" fillId="0" borderId="1" xfId="0" applyFont="1" applyBorder="1"/>
    <xf numFmtId="0" fontId="3" fillId="0" borderId="7" xfId="0" applyFont="1" applyBorder="1"/>
    <xf numFmtId="0" fontId="3" fillId="0" borderId="9" xfId="0" applyFont="1" applyBorder="1"/>
    <xf numFmtId="0" fontId="3" fillId="0" borderId="0" xfId="0" applyFont="1" applyAlignment="1">
      <alignment horizontal="left"/>
    </xf>
    <xf numFmtId="0" fontId="3" fillId="0" borderId="1" xfId="0" applyFont="1" applyBorder="1" applyAlignment="1">
      <alignment horizontal="center"/>
    </xf>
    <xf numFmtId="3" fontId="0" fillId="0" borderId="0" xfId="0" applyNumberFormat="1"/>
    <xf numFmtId="0" fontId="11" fillId="5" borderId="14" xfId="2" applyFont="1" applyFill="1" applyBorder="1" applyAlignment="1">
      <alignment horizontal="center"/>
    </xf>
    <xf numFmtId="0" fontId="12" fillId="0" borderId="0" xfId="3"/>
    <xf numFmtId="0" fontId="11" fillId="0" borderId="0" xfId="2" applyFont="1" applyAlignment="1">
      <alignment horizontal="right"/>
    </xf>
    <xf numFmtId="0" fontId="11" fillId="0" borderId="15" xfId="2" applyFont="1" applyBorder="1" applyAlignment="1">
      <alignment horizontal="right"/>
    </xf>
    <xf numFmtId="0" fontId="11" fillId="0" borderId="15" xfId="2" applyFont="1" applyBorder="1"/>
    <xf numFmtId="0" fontId="10" fillId="0" borderId="15" xfId="2" applyBorder="1"/>
    <xf numFmtId="0" fontId="10" fillId="0" borderId="0" xfId="2"/>
    <xf numFmtId="0" fontId="13" fillId="0" borderId="0" xfId="4" applyFont="1"/>
    <xf numFmtId="0" fontId="13" fillId="0" borderId="0" xfId="4" applyFont="1" applyAlignment="1">
      <alignment horizontal="center"/>
    </xf>
    <xf numFmtId="0" fontId="6" fillId="0" borderId="0" xfId="4"/>
    <xf numFmtId="0" fontId="6" fillId="0" borderId="0" xfId="4" applyAlignment="1">
      <alignment horizontal="center"/>
    </xf>
    <xf numFmtId="0" fontId="6" fillId="6" borderId="0" xfId="4" applyFill="1"/>
    <xf numFmtId="168" fontId="6" fillId="0" borderId="0" xfId="5" applyNumberFormat="1" applyFont="1" applyBorder="1"/>
    <xf numFmtId="168" fontId="6" fillId="0" borderId="0" xfId="4" applyNumberFormat="1"/>
    <xf numFmtId="0" fontId="6" fillId="0" borderId="0" xfId="5" applyNumberFormat="1" applyFont="1" applyBorder="1"/>
    <xf numFmtId="0" fontId="6" fillId="0" borderId="0" xfId="5" applyNumberFormat="1" applyFont="1" applyFill="1" applyBorder="1"/>
    <xf numFmtId="0" fontId="6" fillId="0" borderId="0" xfId="4" quotePrefix="1" applyAlignment="1">
      <alignment horizontal="center"/>
    </xf>
    <xf numFmtId="166" fontId="6" fillId="0" borderId="0" xfId="4" applyNumberFormat="1"/>
    <xf numFmtId="168" fontId="6" fillId="2" borderId="0" xfId="5" applyNumberFormat="1" applyFont="1" applyFill="1" applyBorder="1"/>
    <xf numFmtId="167" fontId="6" fillId="0" borderId="0" xfId="6" applyNumberFormat="1" applyFont="1" applyBorder="1"/>
    <xf numFmtId="2" fontId="6" fillId="0" borderId="0" xfId="4" applyNumberFormat="1"/>
    <xf numFmtId="1" fontId="6" fillId="0" borderId="0" xfId="4" applyNumberFormat="1"/>
    <xf numFmtId="0" fontId="14" fillId="0" borderId="0" xfId="4" applyFont="1"/>
    <xf numFmtId="168" fontId="6" fillId="6" borderId="0" xfId="5" applyNumberFormat="1" applyFont="1" applyFill="1" applyBorder="1"/>
    <xf numFmtId="165" fontId="6" fillId="0" borderId="0" xfId="4" applyNumberFormat="1"/>
    <xf numFmtId="169" fontId="6" fillId="0" borderId="0" xfId="4" applyNumberFormat="1"/>
    <xf numFmtId="0" fontId="6" fillId="3" borderId="0" xfId="4" applyFill="1"/>
    <xf numFmtId="0" fontId="3" fillId="7" borderId="5" xfId="0" applyFont="1" applyFill="1" applyBorder="1"/>
    <xf numFmtId="0" fontId="3" fillId="7" borderId="6" xfId="0" applyFont="1" applyFill="1" applyBorder="1"/>
    <xf numFmtId="0" fontId="3" fillId="7" borderId="0" xfId="0" applyFont="1" applyFill="1"/>
    <xf numFmtId="0" fontId="0" fillId="7" borderId="0" xfId="0" applyFill="1" applyAlignment="1">
      <alignment horizontal="center"/>
    </xf>
    <xf numFmtId="0" fontId="0" fillId="7" borderId="1" xfId="0" applyFill="1" applyBorder="1"/>
    <xf numFmtId="0" fontId="3" fillId="7" borderId="0" xfId="0" applyFont="1" applyFill="1" applyAlignment="1">
      <alignment horizontal="left"/>
    </xf>
    <xf numFmtId="0" fontId="3" fillId="7" borderId="8" xfId="0" applyFont="1" applyFill="1" applyBorder="1"/>
    <xf numFmtId="0" fontId="0" fillId="7" borderId="8" xfId="0" applyFill="1" applyBorder="1" applyAlignment="1">
      <alignment horizontal="center"/>
    </xf>
    <xf numFmtId="0" fontId="0" fillId="7" borderId="9" xfId="0" applyFill="1" applyBorder="1"/>
    <xf numFmtId="0" fontId="3" fillId="7" borderId="8" xfId="0" applyFont="1" applyFill="1" applyBorder="1" applyAlignment="1">
      <alignment horizontal="left"/>
    </xf>
    <xf numFmtId="0" fontId="3" fillId="7" borderId="4" xfId="0" applyFont="1" applyFill="1" applyBorder="1"/>
    <xf numFmtId="0" fontId="0" fillId="7" borderId="3" xfId="0" applyFill="1" applyBorder="1"/>
    <xf numFmtId="0" fontId="0" fillId="7" borderId="7" xfId="0" applyFill="1" applyBorder="1"/>
    <xf numFmtId="0" fontId="3" fillId="7" borderId="5" xfId="0" applyFont="1" applyFill="1" applyBorder="1" applyAlignment="1">
      <alignment horizontal="center"/>
    </xf>
    <xf numFmtId="0" fontId="0" fillId="7" borderId="0" xfId="0" applyFill="1"/>
    <xf numFmtId="0" fontId="0" fillId="7" borderId="8" xfId="0" applyFill="1" applyBorder="1"/>
    <xf numFmtId="0" fontId="3" fillId="7" borderId="1" xfId="0" applyFont="1" applyFill="1" applyBorder="1"/>
    <xf numFmtId="0" fontId="0" fillId="0" borderId="2" xfId="0" applyBorder="1"/>
    <xf numFmtId="0" fontId="0" fillId="0" borderId="3" xfId="0" applyBorder="1" applyAlignment="1">
      <alignment horizontal="center"/>
    </xf>
    <xf numFmtId="0" fontId="3" fillId="0" borderId="3" xfId="0" applyFont="1" applyBorder="1" applyAlignment="1">
      <alignment horizontal="center"/>
    </xf>
    <xf numFmtId="0" fontId="0" fillId="4" borderId="5" xfId="0" applyFill="1" applyBorder="1" applyAlignment="1">
      <alignment horizontal="center"/>
    </xf>
    <xf numFmtId="0" fontId="3" fillId="4" borderId="7" xfId="0" applyFont="1" applyFill="1" applyBorder="1"/>
    <xf numFmtId="0" fontId="6" fillId="7" borderId="0" xfId="4" applyFill="1"/>
    <xf numFmtId="0" fontId="6" fillId="7" borderId="0" xfId="4" applyFill="1" applyAlignment="1">
      <alignment horizontal="center"/>
    </xf>
    <xf numFmtId="0" fontId="6" fillId="7" borderId="2" xfId="4" applyFill="1" applyBorder="1"/>
    <xf numFmtId="0" fontId="6" fillId="7" borderId="16" xfId="4" applyFill="1" applyBorder="1"/>
    <xf numFmtId="0" fontId="6" fillId="7" borderId="6" xfId="4" applyFill="1" applyBorder="1"/>
    <xf numFmtId="0" fontId="3" fillId="7" borderId="3" xfId="0" applyFont="1" applyFill="1" applyBorder="1"/>
    <xf numFmtId="0" fontId="6" fillId="7" borderId="1" xfId="4" applyFill="1" applyBorder="1"/>
    <xf numFmtId="0" fontId="6" fillId="7" borderId="3" xfId="4" applyFill="1" applyBorder="1"/>
    <xf numFmtId="0" fontId="6" fillId="7" borderId="7" xfId="4" applyFill="1" applyBorder="1"/>
    <xf numFmtId="0" fontId="6" fillId="7" borderId="8" xfId="4" applyFill="1" applyBorder="1"/>
    <xf numFmtId="0" fontId="6" fillId="7" borderId="9" xfId="4" applyFill="1" applyBorder="1"/>
    <xf numFmtId="0" fontId="6" fillId="7" borderId="2" xfId="4" applyFill="1" applyBorder="1" applyAlignment="1">
      <alignment horizontal="center"/>
    </xf>
    <xf numFmtId="0" fontId="6" fillId="7" borderId="16" xfId="4" applyFill="1" applyBorder="1" applyAlignment="1">
      <alignment horizontal="center"/>
    </xf>
    <xf numFmtId="0" fontId="6" fillId="7" borderId="4" xfId="4" applyFill="1" applyBorder="1"/>
    <xf numFmtId="0" fontId="6" fillId="7" borderId="5" xfId="4" applyFill="1" applyBorder="1"/>
    <xf numFmtId="0" fontId="6" fillId="4" borderId="10" xfId="4" applyFill="1" applyBorder="1" applyAlignment="1">
      <alignment horizontal="left"/>
    </xf>
    <xf numFmtId="0" fontId="6" fillId="4" borderId="11" xfId="4" applyFill="1" applyBorder="1" applyAlignment="1">
      <alignment horizontal="center"/>
    </xf>
    <xf numFmtId="0" fontId="6" fillId="4" borderId="12" xfId="4" applyFill="1" applyBorder="1" applyAlignment="1">
      <alignment horizontal="center"/>
    </xf>
    <xf numFmtId="0" fontId="6" fillId="0" borderId="5" xfId="4" applyBorder="1"/>
    <xf numFmtId="0" fontId="6" fillId="0" borderId="8" xfId="4" applyBorder="1"/>
    <xf numFmtId="2" fontId="6" fillId="2" borderId="0" xfId="4" applyNumberFormat="1" applyFill="1"/>
    <xf numFmtId="0" fontId="6" fillId="2" borderId="0" xfId="4" applyFill="1"/>
    <xf numFmtId="0" fontId="15" fillId="0" borderId="0" xfId="0" applyFont="1"/>
    <xf numFmtId="0" fontId="3" fillId="7" borderId="2" xfId="0" applyFont="1" applyFill="1" applyBorder="1"/>
    <xf numFmtId="0" fontId="3" fillId="7" borderId="16" xfId="0" applyFont="1" applyFill="1" applyBorder="1"/>
    <xf numFmtId="0" fontId="3" fillId="7" borderId="11" xfId="0" applyFont="1" applyFill="1" applyBorder="1"/>
    <xf numFmtId="9" fontId="0" fillId="0" borderId="0" xfId="6" applyFont="1"/>
    <xf numFmtId="0" fontId="6" fillId="2" borderId="0" xfId="4" applyFill="1" applyAlignment="1">
      <alignment horizontal="left"/>
    </xf>
    <xf numFmtId="0" fontId="6" fillId="4" borderId="5" xfId="4" applyFill="1" applyBorder="1" applyAlignment="1">
      <alignment horizontal="center"/>
    </xf>
    <xf numFmtId="9" fontId="0" fillId="0" borderId="0" xfId="6" applyFont="1" applyFill="1" applyBorder="1"/>
    <xf numFmtId="166" fontId="6" fillId="9" borderId="0" xfId="4" applyNumberFormat="1" applyFill="1"/>
    <xf numFmtId="9" fontId="6" fillId="0" borderId="0" xfId="1" applyFont="1"/>
    <xf numFmtId="0" fontId="6" fillId="0" borderId="0" xfId="4" applyAlignment="1">
      <alignment horizontal="left"/>
    </xf>
    <xf numFmtId="2" fontId="0" fillId="0" borderId="0" xfId="0" applyNumberFormat="1" applyAlignment="1">
      <alignment horizontal="center"/>
    </xf>
    <xf numFmtId="0" fontId="3" fillId="4" borderId="10" xfId="0" applyFont="1" applyFill="1" applyBorder="1"/>
    <xf numFmtId="0" fontId="3" fillId="4" borderId="11" xfId="0" applyFont="1" applyFill="1" applyBorder="1"/>
    <xf numFmtId="0" fontId="3" fillId="4" borderId="12" xfId="0" applyFont="1" applyFill="1" applyBorder="1"/>
    <xf numFmtId="0" fontId="0" fillId="4" borderId="11" xfId="0" applyFill="1" applyBorder="1"/>
    <xf numFmtId="0" fontId="0" fillId="4" borderId="12" xfId="0" applyFill="1" applyBorder="1"/>
    <xf numFmtId="2" fontId="3" fillId="0" borderId="0" xfId="0" applyNumberFormat="1" applyFont="1"/>
    <xf numFmtId="2" fontId="3" fillId="0" borderId="8" xfId="0" applyNumberFormat="1" applyFont="1" applyBorder="1"/>
    <xf numFmtId="0" fontId="3" fillId="4" borderId="17" xfId="0" applyFont="1" applyFill="1" applyBorder="1"/>
    <xf numFmtId="0" fontId="3" fillId="7" borderId="7" xfId="0" applyFont="1" applyFill="1" applyBorder="1"/>
    <xf numFmtId="0" fontId="2" fillId="7" borderId="8" xfId="4" applyFont="1" applyFill="1" applyBorder="1"/>
    <xf numFmtId="0" fontId="3" fillId="7" borderId="8" xfId="4" applyFont="1" applyFill="1" applyBorder="1"/>
    <xf numFmtId="0" fontId="3" fillId="7" borderId="9" xfId="4" applyFont="1" applyFill="1" applyBorder="1"/>
    <xf numFmtId="0" fontId="3" fillId="7" borderId="8" xfId="0" quotePrefix="1" applyFont="1" applyFill="1" applyBorder="1"/>
    <xf numFmtId="0" fontId="3" fillId="7" borderId="9" xfId="0" applyFont="1" applyFill="1" applyBorder="1"/>
    <xf numFmtId="9" fontId="3" fillId="0" borderId="0" xfId="1" applyFont="1"/>
    <xf numFmtId="0" fontId="0" fillId="7" borderId="4" xfId="0" applyFill="1" applyBorder="1"/>
    <xf numFmtId="0" fontId="0" fillId="7" borderId="5" xfId="0" applyFill="1" applyBorder="1"/>
    <xf numFmtId="0" fontId="3" fillId="7" borderId="13" xfId="0" applyFont="1" applyFill="1" applyBorder="1"/>
    <xf numFmtId="0" fontId="0" fillId="7" borderId="2" xfId="0" applyFill="1" applyBorder="1"/>
    <xf numFmtId="0" fontId="0" fillId="7" borderId="16" xfId="0" applyFill="1" applyBorder="1"/>
    <xf numFmtId="9" fontId="0" fillId="0" borderId="13" xfId="1" applyFont="1" applyBorder="1"/>
    <xf numFmtId="9" fontId="0" fillId="0" borderId="2" xfId="1" applyFont="1" applyBorder="1"/>
    <xf numFmtId="9" fontId="0" fillId="0" borderId="16" xfId="1" applyFont="1" applyBorder="1"/>
    <xf numFmtId="0" fontId="0" fillId="7" borderId="6" xfId="0" applyFill="1" applyBorder="1"/>
    <xf numFmtId="0" fontId="3" fillId="7" borderId="7" xfId="0" quotePrefix="1" applyFont="1" applyFill="1" applyBorder="1" applyAlignment="1">
      <alignment horizontal="center"/>
    </xf>
    <xf numFmtId="0" fontId="3" fillId="4" borderId="4" xfId="0" applyFont="1" applyFill="1" applyBorder="1"/>
    <xf numFmtId="0" fontId="3" fillId="4" borderId="5" xfId="0" applyFont="1" applyFill="1" applyBorder="1"/>
    <xf numFmtId="0" fontId="0" fillId="4" borderId="5" xfId="0" applyFill="1" applyBorder="1"/>
    <xf numFmtId="0" fontId="0" fillId="4" borderId="6" xfId="0" applyFill="1" applyBorder="1"/>
    <xf numFmtId="0" fontId="0" fillId="4" borderId="10" xfId="0" applyFill="1" applyBorder="1"/>
    <xf numFmtId="166" fontId="0" fillId="0" borderId="0" xfId="0" applyNumberFormat="1"/>
    <xf numFmtId="2" fontId="0" fillId="0" borderId="0" xfId="0" applyNumberFormat="1"/>
    <xf numFmtId="169" fontId="0" fillId="0" borderId="0" xfId="0" applyNumberFormat="1"/>
    <xf numFmtId="9" fontId="0" fillId="0" borderId="0" xfId="1" applyFont="1"/>
    <xf numFmtId="1" fontId="0" fillId="0" borderId="0" xfId="0" applyNumberFormat="1"/>
    <xf numFmtId="0" fontId="6" fillId="4" borderId="10" xfId="4" applyFill="1" applyBorder="1"/>
    <xf numFmtId="0" fontId="6" fillId="4" borderId="11" xfId="4" applyFill="1" applyBorder="1"/>
    <xf numFmtId="0" fontId="6" fillId="4" borderId="12" xfId="4" applyFill="1" applyBorder="1"/>
    <xf numFmtId="0" fontId="6" fillId="4" borderId="17" xfId="4" applyFill="1" applyBorder="1"/>
    <xf numFmtId="10" fontId="0" fillId="0" borderId="0" xfId="0" applyNumberFormat="1"/>
    <xf numFmtId="0" fontId="3" fillId="4" borderId="3" xfId="0" applyFont="1" applyFill="1" applyBorder="1" applyAlignment="1">
      <alignment horizontal="left" indent="1"/>
    </xf>
    <xf numFmtId="0" fontId="0" fillId="2" borderId="0" xfId="0" applyFill="1"/>
    <xf numFmtId="9" fontId="6" fillId="2" borderId="0" xfId="1" applyFont="1" applyFill="1"/>
    <xf numFmtId="165" fontId="0" fillId="0" borderId="0" xfId="0" applyNumberFormat="1"/>
    <xf numFmtId="9" fontId="6" fillId="0" borderId="0" xfId="4" applyNumberFormat="1"/>
    <xf numFmtId="0" fontId="6" fillId="4" borderId="0" xfId="4" applyFill="1"/>
    <xf numFmtId="9" fontId="6" fillId="0" borderId="0" xfId="1" applyFont="1" applyFill="1" applyBorder="1"/>
    <xf numFmtId="2" fontId="13" fillId="0" borderId="0" xfId="4" applyNumberFormat="1" applyFont="1"/>
    <xf numFmtId="0" fontId="6" fillId="7" borderId="10" xfId="4" applyFill="1" applyBorder="1"/>
    <xf numFmtId="0" fontId="6" fillId="7" borderId="11" xfId="4" applyFill="1" applyBorder="1"/>
    <xf numFmtId="0" fontId="6" fillId="7" borderId="12" xfId="4" applyFill="1" applyBorder="1"/>
    <xf numFmtId="0" fontId="2" fillId="7" borderId="13" xfId="0" applyFont="1" applyFill="1" applyBorder="1"/>
    <xf numFmtId="0" fontId="2" fillId="7" borderId="2" xfId="0" applyFont="1" applyFill="1" applyBorder="1"/>
    <xf numFmtId="0" fontId="2" fillId="7" borderId="4" xfId="0" applyFont="1" applyFill="1" applyBorder="1"/>
    <xf numFmtId="0" fontId="2" fillId="7" borderId="3" xfId="0" applyFont="1" applyFill="1" applyBorder="1"/>
    <xf numFmtId="0" fontId="0" fillId="0" borderId="0" xfId="0" applyAlignment="1">
      <alignment horizontal="left"/>
    </xf>
    <xf numFmtId="0" fontId="0" fillId="4" borderId="6" xfId="0" applyFill="1" applyBorder="1" applyAlignment="1">
      <alignment horizontal="left"/>
    </xf>
    <xf numFmtId="0" fontId="3" fillId="7" borderId="6" xfId="0" applyFont="1" applyFill="1" applyBorder="1" applyAlignment="1">
      <alignment horizontal="left"/>
    </xf>
    <xf numFmtId="0" fontId="3" fillId="7" borderId="1" xfId="0" applyFont="1" applyFill="1" applyBorder="1" applyAlignment="1">
      <alignment horizontal="left"/>
    </xf>
    <xf numFmtId="0" fontId="0" fillId="7" borderId="9" xfId="0" applyFill="1" applyBorder="1" applyAlignment="1">
      <alignment horizontal="left"/>
    </xf>
    <xf numFmtId="0" fontId="0" fillId="4" borderId="12" xfId="0" applyFill="1" applyBorder="1" applyAlignment="1">
      <alignment horizontal="left"/>
    </xf>
    <xf numFmtId="0" fontId="13" fillId="7" borderId="0" xfId="4" applyFont="1" applyFill="1"/>
    <xf numFmtId="0" fontId="3" fillId="0" borderId="0" xfId="0" quotePrefix="1" applyFont="1"/>
    <xf numFmtId="0" fontId="19" fillId="0" borderId="0" xfId="0" applyFont="1"/>
    <xf numFmtId="0" fontId="6" fillId="7" borderId="3" xfId="4" applyFill="1" applyBorder="1" applyAlignment="1">
      <alignment horizontal="center"/>
    </xf>
    <xf numFmtId="0" fontId="6" fillId="7" borderId="7" xfId="4" applyFill="1" applyBorder="1" applyAlignment="1">
      <alignment horizontal="center"/>
    </xf>
    <xf numFmtId="0" fontId="6" fillId="4" borderId="10" xfId="4" applyFill="1" applyBorder="1" applyAlignment="1">
      <alignment horizontal="center"/>
    </xf>
    <xf numFmtId="0" fontId="6" fillId="4" borderId="5" xfId="4" applyFill="1" applyBorder="1" applyAlignment="1">
      <alignment horizontal="left"/>
    </xf>
    <xf numFmtId="11" fontId="3" fillId="0" borderId="0" xfId="0" applyNumberFormat="1" applyFont="1"/>
    <xf numFmtId="0" fontId="3" fillId="2" borderId="0" xfId="0" applyFont="1" applyFill="1"/>
    <xf numFmtId="0" fontId="0" fillId="4" borderId="5" xfId="0" applyFill="1" applyBorder="1" applyAlignment="1">
      <alignment horizontal="left"/>
    </xf>
    <xf numFmtId="0" fontId="3" fillId="7" borderId="5" xfId="0" applyFont="1" applyFill="1" applyBorder="1" applyAlignment="1">
      <alignment horizontal="left"/>
    </xf>
    <xf numFmtId="0" fontId="0" fillId="7" borderId="8" xfId="0" applyFill="1" applyBorder="1" applyAlignment="1">
      <alignment horizontal="left"/>
    </xf>
    <xf numFmtId="0" fontId="0" fillId="4" borderId="11" xfId="0" applyFill="1" applyBorder="1" applyAlignment="1">
      <alignment horizontal="left"/>
    </xf>
    <xf numFmtId="0" fontId="15" fillId="0" borderId="5" xfId="0" applyFont="1" applyBorder="1"/>
    <xf numFmtId="0" fontId="15" fillId="0" borderId="8" xfId="0" applyFont="1" applyBorder="1"/>
    <xf numFmtId="169" fontId="15" fillId="0" borderId="0" xfId="0" applyNumberFormat="1" applyFont="1"/>
    <xf numFmtId="169" fontId="15" fillId="0" borderId="5" xfId="0" applyNumberFormat="1" applyFont="1" applyBorder="1"/>
    <xf numFmtId="168" fontId="6" fillId="2" borderId="0" xfId="4" applyNumberFormat="1" applyFill="1"/>
    <xf numFmtId="168" fontId="6" fillId="0" borderId="0" xfId="5" applyNumberFormat="1" applyFont="1" applyFill="1" applyBorder="1"/>
    <xf numFmtId="0" fontId="6" fillId="0" borderId="0" xfId="4" quotePrefix="1" applyAlignment="1">
      <alignment horizontal="left"/>
    </xf>
    <xf numFmtId="20" fontId="3" fillId="0" borderId="0" xfId="0" quotePrefix="1" applyNumberFormat="1" applyFont="1"/>
    <xf numFmtId="0" fontId="20" fillId="0" borderId="5" xfId="0" applyFont="1" applyBorder="1"/>
    <xf numFmtId="0" fontId="20" fillId="0" borderId="0" xfId="0" applyFont="1"/>
    <xf numFmtId="0" fontId="20" fillId="0" borderId="8" xfId="0" applyFont="1" applyBorder="1"/>
    <xf numFmtId="0" fontId="21" fillId="0" borderId="0" xfId="0" applyFont="1"/>
    <xf numFmtId="2" fontId="21" fillId="0" borderId="0" xfId="0" applyNumberFormat="1" applyFont="1"/>
    <xf numFmtId="169" fontId="15" fillId="2" borderId="0" xfId="0" applyNumberFormat="1" applyFont="1" applyFill="1"/>
    <xf numFmtId="2" fontId="3" fillId="2" borderId="0" xfId="0" applyNumberFormat="1" applyFont="1" applyFill="1"/>
    <xf numFmtId="2" fontId="3" fillId="2" borderId="1" xfId="0" applyNumberFormat="1" applyFont="1" applyFill="1" applyBorder="1"/>
    <xf numFmtId="2" fontId="3" fillId="2" borderId="8" xfId="0" applyNumberFormat="1" applyFont="1" applyFill="1" applyBorder="1"/>
    <xf numFmtId="2" fontId="3" fillId="2" borderId="9" xfId="0" applyNumberFormat="1" applyFont="1" applyFill="1" applyBorder="1"/>
    <xf numFmtId="1" fontId="15" fillId="0" borderId="0" xfId="0" applyNumberFormat="1" applyFont="1"/>
    <xf numFmtId="1" fontId="15" fillId="0" borderId="8" xfId="0" applyNumberFormat="1" applyFont="1" applyBorder="1"/>
    <xf numFmtId="169" fontId="15" fillId="0" borderId="1" xfId="0" applyNumberFormat="1" applyFont="1" applyBorder="1"/>
    <xf numFmtId="169" fontId="15" fillId="0" borderId="9" xfId="0" applyNumberFormat="1" applyFont="1" applyBorder="1"/>
    <xf numFmtId="1" fontId="9" fillId="0" borderId="0" xfId="0" applyNumberFormat="1" applyFont="1"/>
    <xf numFmtId="1" fontId="9" fillId="0" borderId="8" xfId="0" applyNumberFormat="1" applyFont="1" applyBorder="1"/>
    <xf numFmtId="0" fontId="15" fillId="4" borderId="11" xfId="0" applyFont="1" applyFill="1" applyBorder="1"/>
    <xf numFmtId="9" fontId="0" fillId="0" borderId="0" xfId="1" applyFont="1" applyFill="1" applyBorder="1"/>
    <xf numFmtId="1" fontId="15" fillId="0" borderId="5" xfId="0" applyNumberFormat="1" applyFont="1" applyBorder="1"/>
    <xf numFmtId="169" fontId="15" fillId="0" borderId="6" xfId="0" applyNumberFormat="1" applyFont="1" applyBorder="1"/>
    <xf numFmtId="1" fontId="9" fillId="0" borderId="5" xfId="0" applyNumberFormat="1" applyFont="1" applyBorder="1"/>
    <xf numFmtId="166" fontId="15" fillId="0" borderId="0" xfId="0" applyNumberFormat="1" applyFont="1"/>
    <xf numFmtId="9" fontId="15" fillId="0" borderId="0" xfId="1" applyFont="1" applyFill="1" applyBorder="1"/>
    <xf numFmtId="9" fontId="15" fillId="0" borderId="1" xfId="1" applyFont="1" applyFill="1" applyBorder="1"/>
    <xf numFmtId="0" fontId="9" fillId="7" borderId="0" xfId="0" applyFont="1" applyFill="1"/>
    <xf numFmtId="0" fontId="15" fillId="0" borderId="0" xfId="1" applyNumberFormat="1" applyFont="1" applyFill="1" applyBorder="1"/>
    <xf numFmtId="0" fontId="23" fillId="0" borderId="0" xfId="0" applyFont="1"/>
    <xf numFmtId="169" fontId="15" fillId="7" borderId="0" xfId="0" applyNumberFormat="1" applyFont="1" applyFill="1"/>
    <xf numFmtId="169" fontId="23" fillId="0" borderId="0" xfId="0" applyNumberFormat="1" applyFont="1"/>
    <xf numFmtId="2" fontId="23" fillId="0" borderId="0" xfId="0" applyNumberFormat="1" applyFont="1"/>
    <xf numFmtId="0" fontId="16" fillId="7" borderId="13" xfId="0" applyFont="1" applyFill="1" applyBorder="1"/>
    <xf numFmtId="0" fontId="3" fillId="0" borderId="2" xfId="0" applyFont="1" applyBorder="1"/>
    <xf numFmtId="0" fontId="3" fillId="0" borderId="16" xfId="0" applyFont="1" applyBorder="1"/>
    <xf numFmtId="0" fontId="21" fillId="7" borderId="3" xfId="0" applyFont="1" applyFill="1" applyBorder="1"/>
    <xf numFmtId="0" fontId="23" fillId="7" borderId="3" xfId="0" applyFont="1" applyFill="1" applyBorder="1"/>
    <xf numFmtId="0" fontId="0" fillId="4" borderId="0" xfId="0" applyFill="1"/>
    <xf numFmtId="0" fontId="3" fillId="8" borderId="0" xfId="0" applyFont="1" applyFill="1"/>
    <xf numFmtId="0" fontId="3" fillId="8" borderId="3" xfId="0" applyFont="1" applyFill="1" applyBorder="1"/>
    <xf numFmtId="0" fontId="3" fillId="8" borderId="1" xfId="0" applyFont="1" applyFill="1" applyBorder="1"/>
    <xf numFmtId="0" fontId="3" fillId="8" borderId="2" xfId="0" applyFont="1" applyFill="1" applyBorder="1"/>
    <xf numFmtId="0" fontId="15" fillId="8" borderId="0" xfId="0" applyFont="1" applyFill="1"/>
    <xf numFmtId="0" fontId="0" fillId="8" borderId="0" xfId="0" applyFill="1"/>
    <xf numFmtId="0" fontId="0" fillId="8" borderId="8" xfId="0" applyFill="1" applyBorder="1"/>
    <xf numFmtId="0" fontId="3" fillId="8" borderId="8" xfId="0" applyFont="1" applyFill="1" applyBorder="1"/>
    <xf numFmtId="0" fontId="3" fillId="8" borderId="7" xfId="0" applyFont="1" applyFill="1" applyBorder="1"/>
    <xf numFmtId="0" fontId="3" fillId="8" borderId="9" xfId="0" applyFont="1" applyFill="1" applyBorder="1"/>
    <xf numFmtId="0" fontId="3" fillId="8" borderId="16" xfId="0" applyFont="1" applyFill="1" applyBorder="1"/>
    <xf numFmtId="0" fontId="15" fillId="8" borderId="8" xfId="0" applyFont="1" applyFill="1" applyBorder="1"/>
    <xf numFmtId="0" fontId="0" fillId="8" borderId="3" xfId="0" applyFill="1" applyBorder="1"/>
    <xf numFmtId="166" fontId="15" fillId="8" borderId="0" xfId="0" applyNumberFormat="1" applyFont="1" applyFill="1"/>
    <xf numFmtId="0" fontId="21" fillId="8" borderId="0" xfId="0" applyFont="1" applyFill="1"/>
    <xf numFmtId="0" fontId="15" fillId="8" borderId="1" xfId="0" applyFont="1" applyFill="1" applyBorder="1"/>
    <xf numFmtId="0" fontId="21" fillId="8" borderId="3" xfId="0" applyFont="1" applyFill="1" applyBorder="1"/>
    <xf numFmtId="0" fontId="15" fillId="0" borderId="1" xfId="0" applyFont="1" applyBorder="1"/>
    <xf numFmtId="0" fontId="21" fillId="0" borderId="3" xfId="0" applyFont="1" applyBorder="1"/>
    <xf numFmtId="166" fontId="15" fillId="0" borderId="8" xfId="0" applyNumberFormat="1" applyFont="1" applyBorder="1"/>
    <xf numFmtId="0" fontId="21" fillId="0" borderId="8" xfId="0" applyFont="1" applyBorder="1"/>
    <xf numFmtId="0" fontId="3" fillId="8" borderId="4" xfId="0" applyFont="1" applyFill="1" applyBorder="1"/>
    <xf numFmtId="0" fontId="3" fillId="8" borderId="5" xfId="0" applyFont="1" applyFill="1" applyBorder="1"/>
    <xf numFmtId="0" fontId="3" fillId="8" borderId="6" xfId="0" applyFont="1" applyFill="1" applyBorder="1"/>
    <xf numFmtId="0" fontId="0" fillId="8" borderId="5" xfId="0" applyFill="1" applyBorder="1"/>
    <xf numFmtId="0" fontId="15" fillId="8" borderId="5" xfId="0" applyFont="1" applyFill="1" applyBorder="1"/>
    <xf numFmtId="0" fontId="0" fillId="8" borderId="6" xfId="0" applyFill="1" applyBorder="1"/>
    <xf numFmtId="0" fontId="0" fillId="8" borderId="7" xfId="0" applyFill="1" applyBorder="1"/>
    <xf numFmtId="166" fontId="15" fillId="0" borderId="1" xfId="0" applyNumberFormat="1" applyFont="1" applyBorder="1"/>
    <xf numFmtId="0" fontId="23" fillId="0" borderId="8" xfId="0" applyFont="1" applyBorder="1"/>
    <xf numFmtId="166" fontId="15" fillId="0" borderId="9" xfId="0" applyNumberFormat="1" applyFont="1" applyBorder="1"/>
    <xf numFmtId="0" fontId="15" fillId="8" borderId="4" xfId="0" applyFont="1" applyFill="1" applyBorder="1"/>
    <xf numFmtId="166" fontId="15" fillId="8" borderId="5" xfId="0" applyNumberFormat="1" applyFont="1" applyFill="1" applyBorder="1"/>
    <xf numFmtId="0" fontId="15" fillId="8" borderId="6" xfId="0" applyFont="1" applyFill="1" applyBorder="1"/>
    <xf numFmtId="0" fontId="15" fillId="8" borderId="7" xfId="0" applyFont="1" applyFill="1" applyBorder="1"/>
    <xf numFmtId="166" fontId="15" fillId="8" borderId="8" xfId="0" applyNumberFormat="1" applyFont="1" applyFill="1" applyBorder="1"/>
    <xf numFmtId="169" fontId="15" fillId="0" borderId="8" xfId="0" applyNumberFormat="1" applyFont="1" applyBorder="1"/>
    <xf numFmtId="9" fontId="15" fillId="0" borderId="8" xfId="1" applyFont="1" applyFill="1" applyBorder="1"/>
    <xf numFmtId="0" fontId="23" fillId="0" borderId="7" xfId="0" applyFont="1" applyBorder="1"/>
    <xf numFmtId="0" fontId="0" fillId="8" borderId="4" xfId="0" applyFill="1" applyBorder="1"/>
    <xf numFmtId="0" fontId="3" fillId="0" borderId="1" xfId="0" quotePrefix="1" applyFont="1" applyBorder="1"/>
    <xf numFmtId="0" fontId="15" fillId="0" borderId="1" xfId="1" applyNumberFormat="1" applyFont="1" applyFill="1" applyBorder="1"/>
    <xf numFmtId="2" fontId="0" fillId="0" borderId="3" xfId="0" applyNumberFormat="1" applyBorder="1"/>
    <xf numFmtId="9" fontId="0" fillId="0" borderId="1" xfId="1" applyFont="1" applyFill="1" applyBorder="1"/>
    <xf numFmtId="0" fontId="0" fillId="8" borderId="9" xfId="0" applyFill="1" applyBorder="1"/>
    <xf numFmtId="0" fontId="3" fillId="7" borderId="10" xfId="0" applyFont="1" applyFill="1" applyBorder="1"/>
    <xf numFmtId="0" fontId="0" fillId="7" borderId="11" xfId="0" applyFill="1" applyBorder="1"/>
    <xf numFmtId="0" fontId="0" fillId="8" borderId="13" xfId="0" applyFill="1" applyBorder="1"/>
    <xf numFmtId="0" fontId="0" fillId="8" borderId="2" xfId="0" applyFill="1" applyBorder="1"/>
    <xf numFmtId="0" fontId="0" fillId="8" borderId="16" xfId="0" applyFill="1" applyBorder="1"/>
    <xf numFmtId="169" fontId="15" fillId="8" borderId="0" xfId="0" applyNumberFormat="1" applyFont="1" applyFill="1"/>
    <xf numFmtId="9" fontId="15" fillId="8" borderId="0" xfId="1" applyFont="1" applyFill="1" applyBorder="1"/>
    <xf numFmtId="166" fontId="3" fillId="0" borderId="0" xfId="0" applyNumberFormat="1" applyFont="1"/>
    <xf numFmtId="0" fontId="0" fillId="3" borderId="0" xfId="0" applyFill="1"/>
    <xf numFmtId="0" fontId="2" fillId="4" borderId="0" xfId="0" applyFont="1" applyFill="1"/>
    <xf numFmtId="0" fontId="3" fillId="4" borderId="0" xfId="0" applyFont="1" applyFill="1"/>
    <xf numFmtId="169" fontId="15" fillId="8" borderId="5" xfId="0" applyNumberFormat="1" applyFont="1" applyFill="1" applyBorder="1"/>
    <xf numFmtId="9" fontId="15" fillId="8" borderId="5" xfId="1" applyFont="1" applyFill="1" applyBorder="1"/>
    <xf numFmtId="169" fontId="15" fillId="8" borderId="8" xfId="0" applyNumberFormat="1" applyFont="1" applyFill="1" applyBorder="1"/>
    <xf numFmtId="9" fontId="15" fillId="8" borderId="8" xfId="1" applyFont="1" applyFill="1" applyBorder="1"/>
    <xf numFmtId="0" fontId="3" fillId="3" borderId="3" xfId="0" applyFont="1" applyFill="1" applyBorder="1"/>
    <xf numFmtId="0" fontId="3" fillId="3" borderId="0" xfId="0" applyFont="1" applyFill="1"/>
    <xf numFmtId="0" fontId="3" fillId="3" borderId="7" xfId="0" applyFont="1" applyFill="1" applyBorder="1"/>
    <xf numFmtId="2" fontId="15" fillId="0" borderId="0" xfId="0" applyNumberFormat="1" applyFont="1"/>
    <xf numFmtId="0" fontId="9" fillId="0" borderId="0" xfId="0" applyFont="1"/>
    <xf numFmtId="0" fontId="9" fillId="0" borderId="1" xfId="0" applyFont="1" applyBorder="1"/>
    <xf numFmtId="0" fontId="25" fillId="0" borderId="0" xfId="0" applyFont="1"/>
    <xf numFmtId="1" fontId="23" fillId="0" borderId="0" xfId="0" applyNumberFormat="1" applyFont="1"/>
    <xf numFmtId="0" fontId="0" fillId="0" borderId="0" xfId="1" applyNumberFormat="1" applyFont="1" applyFill="1" applyBorder="1"/>
    <xf numFmtId="0" fontId="0" fillId="7" borderId="12" xfId="0" applyFill="1" applyBorder="1"/>
    <xf numFmtId="2" fontId="0" fillId="0" borderId="3" xfId="0" applyNumberFormat="1" applyBorder="1" applyAlignment="1">
      <alignment horizontal="center"/>
    </xf>
    <xf numFmtId="2" fontId="0" fillId="0" borderId="1" xfId="0" applyNumberFormat="1" applyBorder="1" applyAlignment="1">
      <alignment horizontal="center"/>
    </xf>
    <xf numFmtId="2" fontId="3" fillId="0" borderId="0" xfId="0" applyNumberFormat="1" applyFont="1" applyAlignment="1">
      <alignment horizontal="center"/>
    </xf>
    <xf numFmtId="2" fontId="0" fillId="3" borderId="5" xfId="0" applyNumberFormat="1" applyFill="1" applyBorder="1"/>
    <xf numFmtId="2" fontId="0" fillId="3" borderId="6" xfId="0" applyNumberFormat="1" applyFill="1" applyBorder="1"/>
    <xf numFmtId="2" fontId="0" fillId="3" borderId="0" xfId="0" applyNumberFormat="1" applyFill="1"/>
    <xf numFmtId="2" fontId="0" fillId="3" borderId="1" xfId="0" applyNumberFormat="1" applyFill="1" applyBorder="1"/>
    <xf numFmtId="2" fontId="0" fillId="3" borderId="8" xfId="0" applyNumberFormat="1" applyFill="1" applyBorder="1"/>
    <xf numFmtId="2" fontId="0" fillId="3" borderId="9" xfId="0" applyNumberFormat="1" applyFill="1" applyBorder="1"/>
    <xf numFmtId="0" fontId="3" fillId="3" borderId="4" xfId="0" applyFont="1" applyFill="1" applyBorder="1"/>
    <xf numFmtId="0" fontId="3" fillId="3" borderId="5" xfId="0" applyFont="1" applyFill="1" applyBorder="1"/>
    <xf numFmtId="0" fontId="0" fillId="3" borderId="5" xfId="0" applyFill="1" applyBorder="1"/>
    <xf numFmtId="0" fontId="3" fillId="3" borderId="8" xfId="0" applyFont="1" applyFill="1" applyBorder="1"/>
    <xf numFmtId="0" fontId="0" fillId="3" borderId="8" xfId="0" applyFill="1" applyBorder="1"/>
    <xf numFmtId="2" fontId="0" fillId="2" borderId="3" xfId="0" applyNumberFormat="1" applyFill="1" applyBorder="1" applyAlignment="1">
      <alignment horizontal="center"/>
    </xf>
    <xf numFmtId="2" fontId="0" fillId="2" borderId="0" xfId="0" applyNumberFormat="1" applyFill="1" applyAlignment="1">
      <alignment horizontal="center"/>
    </xf>
    <xf numFmtId="2" fontId="0" fillId="2" borderId="1" xfId="0" applyNumberFormat="1" applyFill="1" applyBorder="1" applyAlignment="1">
      <alignment horizontal="center"/>
    </xf>
    <xf numFmtId="2" fontId="3" fillId="2" borderId="0" xfId="0" applyNumberFormat="1" applyFont="1" applyFill="1" applyAlignment="1">
      <alignment horizontal="center"/>
    </xf>
    <xf numFmtId="166" fontId="15" fillId="2" borderId="0" xfId="0" applyNumberFormat="1" applyFont="1" applyFill="1"/>
    <xf numFmtId="169" fontId="0" fillId="0" borderId="3" xfId="0" applyNumberFormat="1" applyBorder="1" applyAlignment="1">
      <alignment horizontal="center"/>
    </xf>
    <xf numFmtId="169" fontId="15" fillId="0" borderId="3" xfId="0" applyNumberFormat="1" applyFont="1" applyBorder="1" applyAlignment="1">
      <alignment horizontal="center"/>
    </xf>
    <xf numFmtId="2" fontId="15" fillId="0" borderId="5" xfId="0" applyNumberFormat="1" applyFont="1" applyBorder="1"/>
    <xf numFmtId="2" fontId="15" fillId="0" borderId="8" xfId="0" applyNumberFormat="1" applyFont="1" applyBorder="1"/>
    <xf numFmtId="166" fontId="0" fillId="2" borderId="0" xfId="0" applyNumberFormat="1" applyFill="1"/>
    <xf numFmtId="0" fontId="15" fillId="2" borderId="0" xfId="0" applyFont="1" applyFill="1"/>
    <xf numFmtId="2" fontId="0" fillId="2" borderId="0" xfId="0" applyNumberFormat="1" applyFill="1"/>
    <xf numFmtId="1" fontId="0" fillId="3" borderId="0" xfId="0" applyNumberFormat="1" applyFill="1"/>
    <xf numFmtId="2" fontId="0" fillId="3" borderId="4" xfId="0" applyNumberFormat="1" applyFill="1" applyBorder="1" applyAlignment="1">
      <alignment horizontal="center"/>
    </xf>
    <xf numFmtId="2" fontId="0" fillId="3" borderId="5" xfId="0" applyNumberFormat="1" applyFill="1" applyBorder="1" applyAlignment="1">
      <alignment horizontal="center"/>
    </xf>
    <xf numFmtId="2" fontId="0" fillId="3" borderId="6" xfId="0" applyNumberFormat="1" applyFill="1" applyBorder="1" applyAlignment="1">
      <alignment horizontal="center"/>
    </xf>
    <xf numFmtId="2" fontId="0" fillId="3" borderId="3" xfId="0" applyNumberFormat="1" applyFill="1" applyBorder="1" applyAlignment="1">
      <alignment horizontal="center"/>
    </xf>
    <xf numFmtId="2" fontId="0" fillId="3" borderId="0" xfId="0" applyNumberFormat="1" applyFill="1" applyAlignment="1">
      <alignment horizontal="center"/>
    </xf>
    <xf numFmtId="2" fontId="0" fillId="3" borderId="1" xfId="0" applyNumberFormat="1" applyFill="1" applyBorder="1" applyAlignment="1">
      <alignment horizontal="center"/>
    </xf>
    <xf numFmtId="2" fontId="0" fillId="3" borderId="7" xfId="0" applyNumberFormat="1" applyFill="1" applyBorder="1" applyAlignment="1">
      <alignment horizontal="center"/>
    </xf>
    <xf numFmtId="2" fontId="0" fillId="3" borderId="8" xfId="0" applyNumberFormat="1" applyFill="1" applyBorder="1" applyAlignment="1">
      <alignment horizontal="center"/>
    </xf>
    <xf numFmtId="2" fontId="0" fillId="3" borderId="9" xfId="0" applyNumberFormat="1" applyFill="1" applyBorder="1" applyAlignment="1">
      <alignment horizontal="center"/>
    </xf>
    <xf numFmtId="1" fontId="0" fillId="3" borderId="3" xfId="0" applyNumberFormat="1" applyFill="1" applyBorder="1" applyAlignment="1">
      <alignment horizontal="center"/>
    </xf>
    <xf numFmtId="1" fontId="0" fillId="3" borderId="0" xfId="0" applyNumberFormat="1" applyFill="1" applyAlignment="1">
      <alignment horizontal="center"/>
    </xf>
    <xf numFmtId="0" fontId="26" fillId="0" borderId="0" xfId="0" applyFont="1"/>
    <xf numFmtId="2" fontId="0" fillId="0" borderId="7" xfId="0" applyNumberFormat="1" applyBorder="1"/>
    <xf numFmtId="2" fontId="0" fillId="0" borderId="8" xfId="0" applyNumberFormat="1" applyBorder="1"/>
    <xf numFmtId="169" fontId="0" fillId="2" borderId="0" xfId="0" applyNumberFormat="1" applyFill="1"/>
    <xf numFmtId="0" fontId="0" fillId="10" borderId="0" xfId="0" applyFill="1"/>
    <xf numFmtId="0" fontId="3" fillId="10" borderId="0" xfId="0" applyFont="1" applyFill="1"/>
    <xf numFmtId="0" fontId="6" fillId="10" borderId="0" xfId="4" applyFill="1"/>
    <xf numFmtId="0" fontId="0" fillId="3" borderId="10" xfId="0" applyFill="1" applyBorder="1"/>
    <xf numFmtId="0" fontId="0" fillId="3" borderId="11" xfId="0" applyFill="1" applyBorder="1"/>
    <xf numFmtId="0" fontId="3" fillId="3" borderId="10" xfId="0" applyFont="1" applyFill="1" applyBorder="1" applyAlignment="1">
      <alignment horizontal="center"/>
    </xf>
    <xf numFmtId="0" fontId="3" fillId="3" borderId="11" xfId="0" applyFont="1" applyFill="1" applyBorder="1" applyAlignment="1">
      <alignment horizontal="center"/>
    </xf>
    <xf numFmtId="0" fontId="3" fillId="3" borderId="11" xfId="0" applyFont="1" applyFill="1" applyBorder="1"/>
    <xf numFmtId="0" fontId="3" fillId="3" borderId="12" xfId="0" applyFont="1" applyFill="1" applyBorder="1"/>
    <xf numFmtId="0" fontId="0" fillId="3" borderId="12" xfId="0" applyFill="1" applyBorder="1"/>
    <xf numFmtId="0" fontId="3" fillId="3" borderId="10" xfId="0" applyFont="1" applyFill="1" applyBorder="1"/>
    <xf numFmtId="0" fontId="0" fillId="4" borderId="4" xfId="0" applyFill="1" applyBorder="1"/>
    <xf numFmtId="1" fontId="0" fillId="2" borderId="0" xfId="0" applyNumberFormat="1" applyFill="1"/>
    <xf numFmtId="0" fontId="3" fillId="0" borderId="0" xfId="7"/>
    <xf numFmtId="0" fontId="2" fillId="0" borderId="0" xfId="7" applyFont="1"/>
    <xf numFmtId="0" fontId="3" fillId="0" borderId="0" xfId="7" applyAlignment="1">
      <alignment horizontal="center"/>
    </xf>
    <xf numFmtId="166" fontId="3" fillId="0" borderId="0" xfId="7" applyNumberFormat="1"/>
    <xf numFmtId="2" fontId="3" fillId="0" borderId="0" xfId="7" applyNumberFormat="1"/>
    <xf numFmtId="166" fontId="3" fillId="0" borderId="0" xfId="7" applyNumberFormat="1" applyAlignment="1">
      <alignment horizontal="center"/>
    </xf>
    <xf numFmtId="0" fontId="15" fillId="8" borderId="9" xfId="0" applyFont="1" applyFill="1" applyBorder="1"/>
    <xf numFmtId="0" fontId="15" fillId="0" borderId="3" xfId="0" applyFont="1" applyBorder="1"/>
    <xf numFmtId="0" fontId="3" fillId="0" borderId="3" xfId="0" quotePrefix="1" applyFont="1" applyBorder="1"/>
    <xf numFmtId="166" fontId="15" fillId="0" borderId="3" xfId="0" applyNumberFormat="1" applyFont="1" applyBorder="1"/>
    <xf numFmtId="166" fontId="3" fillId="0" borderId="3" xfId="0" applyNumberFormat="1" applyFont="1" applyBorder="1"/>
    <xf numFmtId="166" fontId="3" fillId="0" borderId="1" xfId="0" applyNumberFormat="1" applyFont="1" applyBorder="1"/>
    <xf numFmtId="166" fontId="3" fillId="0" borderId="7" xfId="0" applyNumberFormat="1" applyFont="1" applyBorder="1"/>
    <xf numFmtId="166" fontId="3" fillId="0" borderId="9" xfId="0" applyNumberFormat="1" applyFont="1" applyBorder="1"/>
    <xf numFmtId="0" fontId="27" fillId="0" borderId="0" xfId="0" applyFont="1"/>
    <xf numFmtId="0" fontId="6" fillId="11" borderId="0" xfId="5" applyNumberFormat="1" applyFont="1" applyFill="1" applyBorder="1"/>
    <xf numFmtId="0" fontId="28" fillId="0" borderId="0" xfId="0" applyFont="1"/>
    <xf numFmtId="0" fontId="23" fillId="7" borderId="0" xfId="0" applyFont="1" applyFill="1"/>
    <xf numFmtId="0" fontId="29" fillId="0" borderId="0" xfId="0" applyFont="1"/>
    <xf numFmtId="0" fontId="29" fillId="0" borderId="0" xfId="0" applyFont="1" applyAlignment="1">
      <alignment horizontal="right"/>
    </xf>
    <xf numFmtId="169" fontId="29" fillId="0" borderId="0" xfId="0" applyNumberFormat="1" applyFont="1"/>
    <xf numFmtId="2" fontId="29" fillId="0" borderId="0" xfId="0" applyNumberFormat="1" applyFont="1"/>
    <xf numFmtId="0" fontId="30" fillId="0" borderId="0" xfId="8"/>
    <xf numFmtId="170" fontId="0" fillId="0" borderId="0" xfId="0" applyNumberFormat="1"/>
    <xf numFmtId="0" fontId="3" fillId="4" borderId="6" xfId="0" applyFont="1" applyFill="1" applyBorder="1"/>
    <xf numFmtId="0" fontId="0" fillId="12" borderId="10" xfId="0" applyFill="1" applyBorder="1"/>
    <xf numFmtId="0" fontId="0" fillId="12" borderId="11" xfId="0" applyFill="1" applyBorder="1"/>
    <xf numFmtId="0" fontId="15" fillId="12" borderId="11" xfId="0" applyFont="1" applyFill="1" applyBorder="1"/>
    <xf numFmtId="0" fontId="15" fillId="12" borderId="12" xfId="0" applyFont="1" applyFill="1" applyBorder="1"/>
    <xf numFmtId="0" fontId="2" fillId="0" borderId="4" xfId="0" applyFont="1" applyBorder="1"/>
    <xf numFmtId="0" fontId="2" fillId="0" borderId="3" xfId="0" applyFont="1" applyBorder="1"/>
    <xf numFmtId="2" fontId="2" fillId="0" borderId="3" xfId="0" applyNumberFormat="1" applyFont="1" applyBorder="1"/>
    <xf numFmtId="9" fontId="0" fillId="0" borderId="8" xfId="1" applyFont="1" applyFill="1" applyBorder="1"/>
    <xf numFmtId="9" fontId="0" fillId="0" borderId="9" xfId="1" applyFont="1" applyFill="1" applyBorder="1"/>
    <xf numFmtId="0" fontId="2" fillId="4" borderId="10" xfId="0" applyFont="1" applyFill="1" applyBorder="1"/>
    <xf numFmtId="0" fontId="2" fillId="7" borderId="0" xfId="0" applyFont="1" applyFill="1"/>
    <xf numFmtId="0" fontId="2" fillId="4" borderId="4" xfId="0" applyFont="1" applyFill="1" applyBorder="1"/>
    <xf numFmtId="0" fontId="2" fillId="4" borderId="5" xfId="0" applyFont="1" applyFill="1" applyBorder="1"/>
    <xf numFmtId="0" fontId="2" fillId="4" borderId="11" xfId="0" applyFont="1" applyFill="1" applyBorder="1"/>
    <xf numFmtId="0" fontId="2" fillId="4" borderId="12" xfId="0" applyFont="1" applyFill="1" applyBorder="1"/>
    <xf numFmtId="0" fontId="3" fillId="0" borderId="0" xfId="0" applyFont="1" applyAlignment="1">
      <alignment horizontal="right"/>
    </xf>
    <xf numFmtId="0" fontId="3" fillId="4" borderId="8" xfId="0" applyFont="1" applyFill="1" applyBorder="1"/>
    <xf numFmtId="0" fontId="0" fillId="4" borderId="8" xfId="0" applyFill="1" applyBorder="1"/>
    <xf numFmtId="0" fontId="9" fillId="0" borderId="5" xfId="0" applyFont="1" applyBorder="1"/>
    <xf numFmtId="0" fontId="9" fillId="7" borderId="17" xfId="0" applyFont="1" applyFill="1" applyBorder="1"/>
    <xf numFmtId="0" fontId="9" fillId="7" borderId="11" xfId="0" applyFont="1" applyFill="1" applyBorder="1"/>
    <xf numFmtId="0" fontId="9" fillId="7" borderId="12" xfId="0" applyFont="1" applyFill="1" applyBorder="1"/>
    <xf numFmtId="0" fontId="9" fillId="7" borderId="2" xfId="0" applyFont="1" applyFill="1" applyBorder="1"/>
    <xf numFmtId="0" fontId="9" fillId="0" borderId="4" xfId="0" applyFont="1" applyBorder="1"/>
    <xf numFmtId="2" fontId="9" fillId="0" borderId="5" xfId="0" applyNumberFormat="1" applyFont="1" applyBorder="1"/>
    <xf numFmtId="0" fontId="9" fillId="0" borderId="6" xfId="0" applyFont="1" applyBorder="1"/>
    <xf numFmtId="0" fontId="9" fillId="0" borderId="3" xfId="0" applyFont="1" applyBorder="1"/>
    <xf numFmtId="2" fontId="9" fillId="0" borderId="0" xfId="0" applyNumberFormat="1" applyFont="1"/>
    <xf numFmtId="0" fontId="9" fillId="7" borderId="16" xfId="0" applyFont="1" applyFill="1" applyBorder="1"/>
    <xf numFmtId="0" fontId="9" fillId="0" borderId="7" xfId="0" applyFont="1" applyBorder="1"/>
    <xf numFmtId="0" fontId="9" fillId="0" borderId="8" xfId="0" applyFont="1" applyBorder="1"/>
    <xf numFmtId="2" fontId="9" fillId="0" borderId="8" xfId="0" applyNumberFormat="1" applyFont="1" applyBorder="1"/>
    <xf numFmtId="0" fontId="9" fillId="0" borderId="9" xfId="0" applyFont="1" applyBorder="1"/>
    <xf numFmtId="11" fontId="0" fillId="0" borderId="0" xfId="0" applyNumberFormat="1"/>
    <xf numFmtId="0" fontId="9" fillId="4" borderId="11" xfId="0" applyFont="1" applyFill="1" applyBorder="1"/>
    <xf numFmtId="168" fontId="6" fillId="0" borderId="5" xfId="5" applyNumberFormat="1" applyFont="1" applyBorder="1"/>
    <xf numFmtId="168" fontId="6" fillId="0" borderId="8" xfId="5" applyNumberFormat="1" applyFont="1" applyBorder="1"/>
    <xf numFmtId="0" fontId="2" fillId="0" borderId="5" xfId="0" applyFont="1" applyBorder="1"/>
    <xf numFmtId="0" fontId="2" fillId="0" borderId="8" xfId="0" applyFont="1" applyBorder="1"/>
    <xf numFmtId="2" fontId="3" fillId="3" borderId="0" xfId="7" applyNumberFormat="1" applyFill="1"/>
    <xf numFmtId="166" fontId="3" fillId="3" borderId="0" xfId="7" applyNumberFormat="1" applyFill="1"/>
    <xf numFmtId="171" fontId="0" fillId="0" borderId="0" xfId="9" applyNumberFormat="1" applyFont="1"/>
    <xf numFmtId="171" fontId="0" fillId="4" borderId="11" xfId="9" applyNumberFormat="1" applyFont="1" applyFill="1" applyBorder="1"/>
    <xf numFmtId="171" fontId="3" fillId="0" borderId="0" xfId="9" applyNumberFormat="1" applyFont="1"/>
    <xf numFmtId="171" fontId="3" fillId="0" borderId="0" xfId="9" applyNumberFormat="1" applyFont="1" applyBorder="1"/>
    <xf numFmtId="171" fontId="0" fillId="0" borderId="0" xfId="9" applyNumberFormat="1" applyFont="1" applyFill="1" applyBorder="1"/>
    <xf numFmtId="171" fontId="0" fillId="0" borderId="8" xfId="9" applyNumberFormat="1" applyFont="1" applyFill="1" applyBorder="1"/>
    <xf numFmtId="171" fontId="0" fillId="0" borderId="5" xfId="9" applyNumberFormat="1" applyFont="1" applyFill="1" applyBorder="1"/>
    <xf numFmtId="171" fontId="0" fillId="0" borderId="0" xfId="9" applyNumberFormat="1" applyFont="1" applyBorder="1"/>
    <xf numFmtId="171" fontId="0" fillId="0" borderId="8" xfId="9" applyNumberFormat="1" applyFont="1" applyBorder="1"/>
    <xf numFmtId="171" fontId="0" fillId="0" borderId="5" xfId="9" applyNumberFormat="1" applyFont="1" applyBorder="1"/>
    <xf numFmtId="171" fontId="3" fillId="0" borderId="0" xfId="9" applyNumberFormat="1" applyFont="1" applyFill="1" applyBorder="1"/>
    <xf numFmtId="171" fontId="3" fillId="0" borderId="5" xfId="9" applyNumberFormat="1" applyFont="1" applyFill="1" applyBorder="1"/>
    <xf numFmtId="171" fontId="3" fillId="0" borderId="8" xfId="9" applyNumberFormat="1" applyFont="1" applyFill="1" applyBorder="1"/>
    <xf numFmtId="0" fontId="3" fillId="4" borderId="10" xfId="7" applyFill="1" applyBorder="1"/>
    <xf numFmtId="0" fontId="3" fillId="4" borderId="11" xfId="7" applyFill="1" applyBorder="1"/>
    <xf numFmtId="0" fontId="3" fillId="0" borderId="3" xfId="7" applyBorder="1"/>
    <xf numFmtId="2" fontId="2" fillId="0" borderId="0" xfId="7" applyNumberFormat="1" applyFont="1"/>
    <xf numFmtId="166" fontId="2" fillId="0" borderId="0" xfId="7" applyNumberFormat="1" applyFont="1"/>
    <xf numFmtId="172" fontId="3" fillId="0" borderId="0" xfId="0" applyNumberFormat="1" applyFont="1"/>
    <xf numFmtId="0" fontId="22" fillId="0" borderId="0" xfId="0" applyFont="1"/>
    <xf numFmtId="0" fontId="9" fillId="4" borderId="8" xfId="0" applyFont="1" applyFill="1" applyBorder="1"/>
    <xf numFmtId="0" fontId="9" fillId="4" borderId="9" xfId="0" applyFont="1" applyFill="1" applyBorder="1"/>
    <xf numFmtId="0" fontId="9" fillId="4" borderId="5" xfId="0" applyFont="1" applyFill="1" applyBorder="1"/>
    <xf numFmtId="0" fontId="9" fillId="4" borderId="6" xfId="0" applyFont="1" applyFill="1" applyBorder="1"/>
    <xf numFmtId="0" fontId="9" fillId="4" borderId="0" xfId="0" applyFont="1" applyFill="1"/>
    <xf numFmtId="0" fontId="9" fillId="4" borderId="13" xfId="0" applyFont="1" applyFill="1" applyBorder="1"/>
    <xf numFmtId="0" fontId="9" fillId="4" borderId="5" xfId="0" applyFont="1" applyFill="1" applyBorder="1" applyAlignment="1">
      <alignment horizontal="center"/>
    </xf>
    <xf numFmtId="0" fontId="9" fillId="4" borderId="4" xfId="0" applyFont="1" applyFill="1" applyBorder="1" applyAlignment="1">
      <alignment horizontal="center"/>
    </xf>
    <xf numFmtId="0" fontId="9" fillId="4" borderId="16" xfId="0" applyFont="1" applyFill="1" applyBorder="1"/>
    <xf numFmtId="0" fontId="9" fillId="4" borderId="8" xfId="0" applyFont="1" applyFill="1" applyBorder="1" applyAlignment="1">
      <alignment horizontal="center"/>
    </xf>
    <xf numFmtId="0" fontId="9" fillId="4" borderId="7" xfId="0" applyFont="1" applyFill="1" applyBorder="1" applyAlignment="1">
      <alignment horizontal="center"/>
    </xf>
    <xf numFmtId="0" fontId="9" fillId="4" borderId="0" xfId="0" applyFont="1" applyFill="1" applyAlignment="1">
      <alignment horizontal="center"/>
    </xf>
    <xf numFmtId="0" fontId="9" fillId="4" borderId="3" xfId="0" applyFont="1" applyFill="1" applyBorder="1" applyAlignment="1">
      <alignment horizontal="center"/>
    </xf>
    <xf numFmtId="0" fontId="9" fillId="4" borderId="1" xfId="0" applyFont="1" applyFill="1" applyBorder="1"/>
    <xf numFmtId="2" fontId="9" fillId="13" borderId="5" xfId="0" applyNumberFormat="1" applyFont="1" applyFill="1" applyBorder="1" applyAlignment="1">
      <alignment horizontal="center"/>
    </xf>
    <xf numFmtId="2" fontId="9" fillId="13" borderId="6" xfId="0" applyNumberFormat="1" applyFont="1" applyFill="1" applyBorder="1" applyAlignment="1">
      <alignment horizontal="center"/>
    </xf>
    <xf numFmtId="2" fontId="9" fillId="13" borderId="0" xfId="0" applyNumberFormat="1" applyFont="1" applyFill="1" applyAlignment="1">
      <alignment horizontal="center"/>
    </xf>
    <xf numFmtId="2" fontId="9" fillId="13" borderId="1" xfId="0" applyNumberFormat="1" applyFont="1" applyFill="1" applyBorder="1" applyAlignment="1">
      <alignment horizontal="center"/>
    </xf>
    <xf numFmtId="2" fontId="9" fillId="13" borderId="8" xfId="0" applyNumberFormat="1" applyFont="1" applyFill="1" applyBorder="1" applyAlignment="1">
      <alignment horizontal="center"/>
    </xf>
    <xf numFmtId="2" fontId="9" fillId="13" borderId="9" xfId="0" applyNumberFormat="1" applyFont="1" applyFill="1" applyBorder="1" applyAlignment="1">
      <alignment horizontal="center"/>
    </xf>
    <xf numFmtId="0" fontId="9" fillId="13" borderId="13" xfId="0" applyFont="1" applyFill="1" applyBorder="1"/>
    <xf numFmtId="0" fontId="9" fillId="13" borderId="2" xfId="0" applyFont="1" applyFill="1" applyBorder="1"/>
    <xf numFmtId="0" fontId="9" fillId="13" borderId="16" xfId="0" applyFont="1" applyFill="1" applyBorder="1"/>
    <xf numFmtId="0" fontId="9" fillId="13" borderId="4" xfId="0" applyFont="1" applyFill="1" applyBorder="1" applyAlignment="1">
      <alignment horizontal="center"/>
    </xf>
    <xf numFmtId="0" fontId="9" fillId="13" borderId="3" xfId="0" applyFont="1" applyFill="1" applyBorder="1" applyAlignment="1">
      <alignment horizontal="center"/>
    </xf>
    <xf numFmtId="0" fontId="9" fillId="13" borderId="7" xfId="0" applyFont="1" applyFill="1" applyBorder="1" applyAlignment="1">
      <alignment horizontal="center"/>
    </xf>
    <xf numFmtId="0" fontId="21" fillId="7" borderId="0" xfId="0" applyFont="1" applyFill="1"/>
    <xf numFmtId="0" fontId="15" fillId="7" borderId="5" xfId="0" applyFont="1" applyFill="1" applyBorder="1"/>
    <xf numFmtId="169" fontId="9" fillId="14" borderId="10" xfId="0" applyNumberFormat="1" applyFont="1" applyFill="1" applyBorder="1"/>
    <xf numFmtId="169" fontId="9" fillId="14" borderId="11" xfId="0" applyNumberFormat="1" applyFont="1" applyFill="1" applyBorder="1"/>
    <xf numFmtId="169" fontId="9" fillId="14" borderId="12" xfId="0" applyNumberFormat="1" applyFont="1" applyFill="1" applyBorder="1"/>
    <xf numFmtId="169" fontId="9" fillId="0" borderId="0" xfId="0" applyNumberFormat="1" applyFont="1"/>
    <xf numFmtId="9" fontId="9" fillId="0" borderId="0" xfId="1" applyFont="1" applyFill="1" applyBorder="1"/>
    <xf numFmtId="0" fontId="9" fillId="14" borderId="10" xfId="0" applyFont="1" applyFill="1" applyBorder="1"/>
    <xf numFmtId="0" fontId="9" fillId="14" borderId="11" xfId="0" applyFont="1" applyFill="1" applyBorder="1"/>
    <xf numFmtId="0" fontId="9" fillId="14" borderId="12" xfId="0" applyFont="1" applyFill="1" applyBorder="1"/>
    <xf numFmtId="0" fontId="34" fillId="0" borderId="0" xfId="7" applyFont="1"/>
    <xf numFmtId="0" fontId="9" fillId="0" borderId="0" xfId="7" applyFont="1"/>
    <xf numFmtId="166" fontId="9" fillId="0" borderId="0" xfId="7" applyNumberFormat="1" applyFont="1"/>
    <xf numFmtId="166" fontId="9" fillId="0" borderId="0" xfId="0" applyNumberFormat="1" applyFont="1"/>
    <xf numFmtId="11" fontId="0" fillId="0" borderId="5" xfId="0" applyNumberFormat="1" applyBorder="1"/>
    <xf numFmtId="11" fontId="0" fillId="0" borderId="8" xfId="0" applyNumberFormat="1" applyBorder="1"/>
    <xf numFmtId="2" fontId="0" fillId="0" borderId="5" xfId="0" applyNumberFormat="1" applyBorder="1"/>
    <xf numFmtId="0" fontId="3" fillId="0" borderId="0" xfId="0" applyFont="1" applyAlignment="1">
      <alignment horizontal="center" vertical="center"/>
    </xf>
    <xf numFmtId="0" fontId="11" fillId="0" borderId="0" xfId="2" applyFont="1"/>
    <xf numFmtId="0" fontId="6" fillId="0" borderId="3" xfId="4" applyBorder="1" applyAlignment="1">
      <alignment horizontal="left"/>
    </xf>
    <xf numFmtId="0" fontId="6" fillId="0" borderId="7" xfId="4" applyBorder="1" applyAlignment="1">
      <alignment horizontal="left"/>
    </xf>
    <xf numFmtId="0" fontId="6" fillId="0" borderId="3" xfId="4" applyBorder="1" applyAlignment="1">
      <alignment horizontal="center"/>
    </xf>
    <xf numFmtId="0" fontId="6" fillId="0" borderId="15" xfId="4" applyBorder="1"/>
    <xf numFmtId="0" fontId="11" fillId="2" borderId="0" xfId="2" applyFont="1" applyFill="1" applyAlignment="1">
      <alignment horizontal="right"/>
    </xf>
    <xf numFmtId="2" fontId="3" fillId="0" borderId="0" xfId="7" applyNumberFormat="1" applyAlignment="1">
      <alignment vertical="top"/>
    </xf>
    <xf numFmtId="11" fontId="3" fillId="0" borderId="0" xfId="7" applyNumberFormat="1" applyAlignment="1">
      <alignment vertical="top"/>
    </xf>
    <xf numFmtId="0" fontId="3" fillId="0" borderId="0" xfId="11"/>
    <xf numFmtId="0" fontId="3" fillId="0" borderId="0" xfId="7" applyAlignment="1">
      <alignment vertical="top"/>
    </xf>
    <xf numFmtId="169" fontId="15" fillId="0" borderId="0" xfId="0" applyNumberFormat="1" applyFont="1" applyAlignment="1">
      <alignment horizontal="center"/>
    </xf>
    <xf numFmtId="0" fontId="1" fillId="0" borderId="0" xfId="10"/>
    <xf numFmtId="11" fontId="3" fillId="0" borderId="0" xfId="7" applyNumberFormat="1" applyAlignment="1">
      <alignment vertical="top" wrapText="1"/>
    </xf>
    <xf numFmtId="166" fontId="9" fillId="0" borderId="0" xfId="0" applyNumberFormat="1" applyFont="1" applyAlignment="1">
      <alignment horizontal="center"/>
    </xf>
    <xf numFmtId="0" fontId="9" fillId="0" borderId="0" xfId="0" applyFont="1" applyAlignment="1">
      <alignment horizontal="center"/>
    </xf>
    <xf numFmtId="0" fontId="9" fillId="0" borderId="0" xfId="0" quotePrefix="1" applyFont="1" applyAlignment="1">
      <alignment horizontal="center"/>
    </xf>
    <xf numFmtId="2" fontId="9" fillId="0" borderId="0" xfId="0" quotePrefix="1" applyNumberFormat="1" applyFont="1" applyAlignment="1">
      <alignment horizontal="center"/>
    </xf>
    <xf numFmtId="2" fontId="9" fillId="0" borderId="0" xfId="0" applyNumberFormat="1" applyFont="1" applyAlignment="1">
      <alignment horizontal="center"/>
    </xf>
    <xf numFmtId="0" fontId="15" fillId="0" borderId="0" xfId="0" applyFont="1" applyAlignment="1">
      <alignment horizontal="center"/>
    </xf>
    <xf numFmtId="0" fontId="9" fillId="0" borderId="0" xfId="0" applyFont="1" applyAlignment="1">
      <alignment horizontal="left"/>
    </xf>
    <xf numFmtId="0" fontId="9" fillId="0" borderId="0" xfId="0" quotePrefix="1" applyFont="1" applyAlignment="1">
      <alignment horizontal="left"/>
    </xf>
    <xf numFmtId="166" fontId="9" fillId="0" borderId="0" xfId="0" applyNumberFormat="1" applyFont="1" applyAlignment="1">
      <alignment horizontal="left"/>
    </xf>
    <xf numFmtId="0" fontId="15" fillId="0" borderId="0" xfId="0" applyFont="1" applyAlignment="1">
      <alignment horizontal="left"/>
    </xf>
    <xf numFmtId="0" fontId="2" fillId="0" borderId="0" xfId="0" applyFont="1" applyAlignment="1">
      <alignment horizontal="left"/>
    </xf>
    <xf numFmtId="0" fontId="0" fillId="0" borderId="8" xfId="0" applyBorder="1" applyAlignment="1">
      <alignment horizontal="left"/>
    </xf>
    <xf numFmtId="0" fontId="35" fillId="15" borderId="0" xfId="14"/>
    <xf numFmtId="0" fontId="35" fillId="15" borderId="0" xfId="14" applyBorder="1"/>
    <xf numFmtId="172" fontId="0" fillId="0" borderId="0" xfId="0" applyNumberFormat="1"/>
    <xf numFmtId="175" fontId="2" fillId="0" borderId="0" xfId="7" applyNumberFormat="1" applyFont="1"/>
    <xf numFmtId="176" fontId="2" fillId="0" borderId="0" xfId="7" applyNumberFormat="1" applyFont="1"/>
    <xf numFmtId="176" fontId="0" fillId="2" borderId="0" xfId="0" applyNumberFormat="1" applyFill="1"/>
    <xf numFmtId="176" fontId="3" fillId="2" borderId="0" xfId="0" applyNumberFormat="1" applyFont="1" applyFill="1"/>
    <xf numFmtId="174" fontId="0" fillId="3" borderId="0" xfId="0" applyNumberFormat="1" applyFill="1" applyAlignment="1">
      <alignment horizontal="center"/>
    </xf>
    <xf numFmtId="174" fontId="3" fillId="0" borderId="0" xfId="7" applyNumberFormat="1"/>
    <xf numFmtId="173" fontId="9" fillId="0" borderId="0" xfId="0" applyNumberFormat="1" applyFont="1"/>
    <xf numFmtId="173" fontId="9" fillId="0" borderId="0" xfId="7" applyNumberFormat="1" applyFont="1"/>
  </cellXfs>
  <cellStyles count="15">
    <cellStyle name="Comma" xfId="9" builtinId="3"/>
    <cellStyle name="Comma 2" xfId="5" xr:uid="{00000000-0005-0000-0000-000001000000}"/>
    <cellStyle name="Comma 3" xfId="13" xr:uid="{00000000-0005-0000-0000-000002000000}"/>
    <cellStyle name="Good" xfId="14" builtinId="26"/>
    <cellStyle name="Hyperlink" xfId="8" builtinId="8"/>
    <cellStyle name="Normal" xfId="0" builtinId="0"/>
    <cellStyle name="Normal 2" xfId="3" xr:uid="{00000000-0005-0000-0000-000005000000}"/>
    <cellStyle name="Normal 3" xfId="4" xr:uid="{00000000-0005-0000-0000-000006000000}"/>
    <cellStyle name="Normal 4" xfId="7" xr:uid="{00000000-0005-0000-0000-000007000000}"/>
    <cellStyle name="Normal 5" xfId="11" xr:uid="{00000000-0005-0000-0000-000008000000}"/>
    <cellStyle name="Normal 6" xfId="10" xr:uid="{00000000-0005-0000-0000-000009000000}"/>
    <cellStyle name="Normal_Sheet1" xfId="2" xr:uid="{00000000-0005-0000-0000-00000A000000}"/>
    <cellStyle name="Percent" xfId="1" builtinId="5"/>
    <cellStyle name="Percent 2" xfId="6" xr:uid="{00000000-0005-0000-0000-00000C000000}"/>
    <cellStyle name="Percent 3" xfId="12"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Almalaika1991!$AH$9:$AM$9</c:f>
              <c:numCache>
                <c:formatCode>General</c:formatCode>
                <c:ptCount val="6"/>
                <c:pt idx="0">
                  <c:v>-33.646778355605576</c:v>
                </c:pt>
                <c:pt idx="1">
                  <c:v>-31.239242667025032</c:v>
                </c:pt>
                <c:pt idx="2">
                  <c:v>-29.56204265249011</c:v>
                </c:pt>
                <c:pt idx="3">
                  <c:v>-27.727532016309393</c:v>
                </c:pt>
                <c:pt idx="4">
                  <c:v>-26.811241284435237</c:v>
                </c:pt>
                <c:pt idx="5">
                  <c:v>-25.806471823877501</c:v>
                </c:pt>
              </c:numCache>
            </c:numRef>
          </c:yVal>
          <c:smooth val="0"/>
          <c:extLst>
            <c:ext xmlns:c16="http://schemas.microsoft.com/office/drawing/2014/chart" uri="{C3380CC4-5D6E-409C-BE32-E72D297353CC}">
              <c16:uniqueId val="{00000000-86F8-4831-94AA-20BB7DFFC707}"/>
            </c:ext>
          </c:extLst>
        </c:ser>
        <c:ser>
          <c:idx val="1"/>
          <c:order val="1"/>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Almalaika1991!$AH$10:$AM$10</c:f>
              <c:numCache>
                <c:formatCode>General</c:formatCode>
                <c:ptCount val="6"/>
                <c:pt idx="0">
                  <c:v>-33.650885137558227</c:v>
                </c:pt>
                <c:pt idx="1">
                  <c:v>-31.369090814233257</c:v>
                </c:pt>
                <c:pt idx="2">
                  <c:v>-29.64842726668893</c:v>
                </c:pt>
                <c:pt idx="3">
                  <c:v>-27.795895759118782</c:v>
                </c:pt>
                <c:pt idx="4">
                  <c:v>-26.776605787772482</c:v>
                </c:pt>
                <c:pt idx="5">
                  <c:v>-25.926273023690122</c:v>
                </c:pt>
              </c:numCache>
            </c:numRef>
          </c:yVal>
          <c:smooth val="0"/>
          <c:extLst>
            <c:ext xmlns:c16="http://schemas.microsoft.com/office/drawing/2014/chart" uri="{C3380CC4-5D6E-409C-BE32-E72D297353CC}">
              <c16:uniqueId val="{00000001-86F8-4831-94AA-20BB7DFFC707}"/>
            </c:ext>
          </c:extLst>
        </c:ser>
        <c:ser>
          <c:idx val="2"/>
          <c:order val="2"/>
          <c:spPr>
            <a:ln w="28575">
              <a:noFill/>
            </a:ln>
          </c:spPr>
          <c:trendline>
            <c:trendlineType val="linear"/>
            <c:dispRSqr val="0"/>
            <c:dispEq val="0"/>
          </c:trendline>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Almalaika1991!$AH$11:$AM$11</c:f>
              <c:numCache>
                <c:formatCode>General</c:formatCode>
                <c:ptCount val="6"/>
                <c:pt idx="0">
                  <c:v>-32.742029384171595</c:v>
                </c:pt>
                <c:pt idx="1">
                  <c:v>-30.610880040326251</c:v>
                </c:pt>
                <c:pt idx="2">
                  <c:v>-28.677990171444819</c:v>
                </c:pt>
                <c:pt idx="3">
                  <c:v>-27.026705149075219</c:v>
                </c:pt>
                <c:pt idx="4">
                  <c:v>-26.122509122084409</c:v>
                </c:pt>
                <c:pt idx="5">
                  <c:v>-25.370300227033201</c:v>
                </c:pt>
              </c:numCache>
            </c:numRef>
          </c:yVal>
          <c:smooth val="0"/>
          <c:extLst>
            <c:ext xmlns:c16="http://schemas.microsoft.com/office/drawing/2014/chart" uri="{C3380CC4-5D6E-409C-BE32-E72D297353CC}">
              <c16:uniqueId val="{00000003-86F8-4831-94AA-20BB7DFFC707}"/>
            </c:ext>
          </c:extLst>
        </c:ser>
        <c:ser>
          <c:idx val="3"/>
          <c:order val="3"/>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Almalaika1991!$AH$12:$AM$12</c:f>
              <c:numCache>
                <c:formatCode>General</c:formatCode>
                <c:ptCount val="6"/>
                <c:pt idx="0">
                  <c:v>-32.742029384171595</c:v>
                </c:pt>
                <c:pt idx="1">
                  <c:v>-32.592866245855369</c:v>
                </c:pt>
                <c:pt idx="2">
                  <c:v>-30.495725127076135</c:v>
                </c:pt>
                <c:pt idx="3">
                  <c:v>-28.564966783041424</c:v>
                </c:pt>
                <c:pt idx="4">
                  <c:v>-27.35338937933027</c:v>
                </c:pt>
                <c:pt idx="5">
                  <c:v>-26.583702121647988</c:v>
                </c:pt>
              </c:numCache>
            </c:numRef>
          </c:yVal>
          <c:smooth val="0"/>
          <c:extLst>
            <c:ext xmlns:c16="http://schemas.microsoft.com/office/drawing/2014/chart" uri="{C3380CC4-5D6E-409C-BE32-E72D297353CC}">
              <c16:uniqueId val="{00000004-86F8-4831-94AA-20BB7DFFC707}"/>
            </c:ext>
          </c:extLst>
        </c:ser>
        <c:ser>
          <c:idx val="4"/>
          <c:order val="4"/>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Almalaika1991!$AH$13:$AM$13</c:f>
              <c:numCache>
                <c:formatCode>General</c:formatCode>
                <c:ptCount val="6"/>
                <c:pt idx="0">
                  <c:v>-34.518973767614504</c:v>
                </c:pt>
                <c:pt idx="1">
                  <c:v>-32.375453369250145</c:v>
                </c:pt>
                <c:pt idx="2">
                  <c:v>-30.427902530737374</c:v>
                </c:pt>
                <c:pt idx="3">
                  <c:v>-28.314217965635326</c:v>
                </c:pt>
                <c:pt idx="4">
                  <c:v>-27.225556007820384</c:v>
                </c:pt>
                <c:pt idx="5">
                  <c:v>-26.410191194536189</c:v>
                </c:pt>
              </c:numCache>
            </c:numRef>
          </c:yVal>
          <c:smooth val="0"/>
          <c:extLst>
            <c:ext xmlns:c16="http://schemas.microsoft.com/office/drawing/2014/chart" uri="{C3380CC4-5D6E-409C-BE32-E72D297353CC}">
              <c16:uniqueId val="{00000005-86F8-4831-94AA-20BB7DFFC707}"/>
            </c:ext>
          </c:extLst>
        </c:ser>
        <c:ser>
          <c:idx val="5"/>
          <c:order val="5"/>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Almalaika1991!$AH$14:$AM$14</c:f>
              <c:numCache>
                <c:formatCode>General</c:formatCode>
                <c:ptCount val="6"/>
                <c:pt idx="0">
                  <c:v>-36.052904127540458</c:v>
                </c:pt>
                <c:pt idx="1">
                  <c:v>-33.796839050181305</c:v>
                </c:pt>
                <c:pt idx="2">
                  <c:v>-31.648404637014522</c:v>
                </c:pt>
                <c:pt idx="3">
                  <c:v>-29.582949337309426</c:v>
                </c:pt>
                <c:pt idx="4">
                  <c:v>-28.232501107962669</c:v>
                </c:pt>
                <c:pt idx="5">
                  <c:v>-27.323536416180588</c:v>
                </c:pt>
              </c:numCache>
            </c:numRef>
          </c:yVal>
          <c:smooth val="0"/>
          <c:extLst>
            <c:ext xmlns:c16="http://schemas.microsoft.com/office/drawing/2014/chart" uri="{C3380CC4-5D6E-409C-BE32-E72D297353CC}">
              <c16:uniqueId val="{00000006-86F8-4831-94AA-20BB7DFFC707}"/>
            </c:ext>
          </c:extLst>
        </c:ser>
        <c:ser>
          <c:idx val="6"/>
          <c:order val="6"/>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Almalaika1991!$AH$15:$AM$15</c:f>
              <c:numCache>
                <c:formatCode>General</c:formatCode>
                <c:ptCount val="6"/>
                <c:pt idx="0">
                  <c:v>-37.352187111670723</c:v>
                </c:pt>
                <c:pt idx="1">
                  <c:v>-34.644136910568513</c:v>
                </c:pt>
                <c:pt idx="2">
                  <c:v>-32.592866245855369</c:v>
                </c:pt>
                <c:pt idx="3">
                  <c:v>-30.495725127076135</c:v>
                </c:pt>
                <c:pt idx="4">
                  <c:v>-28.855196627572003</c:v>
                </c:pt>
                <c:pt idx="5">
                  <c:v>-27.870548146493281</c:v>
                </c:pt>
              </c:numCache>
            </c:numRef>
          </c:yVal>
          <c:smooth val="0"/>
          <c:extLst>
            <c:ext xmlns:c16="http://schemas.microsoft.com/office/drawing/2014/chart" uri="{C3380CC4-5D6E-409C-BE32-E72D297353CC}">
              <c16:uniqueId val="{00000007-86F8-4831-94AA-20BB7DFFC707}"/>
            </c:ext>
          </c:extLst>
        </c:ser>
        <c:ser>
          <c:idx val="7"/>
          <c:order val="7"/>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Almalaika1991!$AH$16:$AM$16</c:f>
              <c:numCache>
                <c:formatCode>General</c:formatCode>
                <c:ptCount val="6"/>
                <c:pt idx="0">
                  <c:v>-35.118594890163628</c:v>
                </c:pt>
                <c:pt idx="1">
                  <c:v>-32.87106957435261</c:v>
                </c:pt>
                <c:pt idx="2">
                  <c:v>-31.012415870294525</c:v>
                </c:pt>
                <c:pt idx="3">
                  <c:v>-30.027916888393836</c:v>
                </c:pt>
                <c:pt idx="4">
                  <c:v>-28.354627503973202</c:v>
                </c:pt>
                <c:pt idx="5">
                  <c:v>-27.563362467454734</c:v>
                </c:pt>
              </c:numCache>
            </c:numRef>
          </c:yVal>
          <c:smooth val="0"/>
          <c:extLst>
            <c:ext xmlns:c16="http://schemas.microsoft.com/office/drawing/2014/chart" uri="{C3380CC4-5D6E-409C-BE32-E72D297353CC}">
              <c16:uniqueId val="{00000008-86F8-4831-94AA-20BB7DFFC707}"/>
            </c:ext>
          </c:extLst>
        </c:ser>
        <c:ser>
          <c:idx val="8"/>
          <c:order val="8"/>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Almalaika1991!$AH$17:$AM$17</c:f>
              <c:numCache>
                <c:formatCode>General</c:formatCode>
                <c:ptCount val="6"/>
                <c:pt idx="0">
                  <c:v>-35.588598519409366</c:v>
                </c:pt>
                <c:pt idx="1">
                  <c:v>-33.407374283419585</c:v>
                </c:pt>
                <c:pt idx="2">
                  <c:v>-31.648404637014522</c:v>
                </c:pt>
                <c:pt idx="3">
                  <c:v>-29.984899503310146</c:v>
                </c:pt>
                <c:pt idx="4">
                  <c:v>-28.845044256107986</c:v>
                </c:pt>
                <c:pt idx="5">
                  <c:v>-28.031498682525672</c:v>
                </c:pt>
              </c:numCache>
            </c:numRef>
          </c:yVal>
          <c:smooth val="0"/>
          <c:extLst>
            <c:ext xmlns:c16="http://schemas.microsoft.com/office/drawing/2014/chart" uri="{C3380CC4-5D6E-409C-BE32-E72D297353CC}">
              <c16:uniqueId val="{00000009-86F8-4831-94AA-20BB7DFFC707}"/>
            </c:ext>
          </c:extLst>
        </c:ser>
        <c:ser>
          <c:idx val="9"/>
          <c:order val="9"/>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Almalaika1991!$AH$18:$AM$18</c:f>
              <c:numCache>
                <c:formatCode>General</c:formatCode>
                <c:ptCount val="6"/>
                <c:pt idx="0">
                  <c:v>-36.052904127540458</c:v>
                </c:pt>
                <c:pt idx="1">
                  <c:v>-33.845629214350737</c:v>
                </c:pt>
                <c:pt idx="2">
                  <c:v>-32.053869745122682</c:v>
                </c:pt>
                <c:pt idx="3">
                  <c:v>-30.379893311551012</c:v>
                </c:pt>
                <c:pt idx="4">
                  <c:v>-29.215766415772276</c:v>
                </c:pt>
                <c:pt idx="5">
                  <c:v>-28.562425485612753</c:v>
                </c:pt>
              </c:numCache>
            </c:numRef>
          </c:yVal>
          <c:smooth val="0"/>
          <c:extLst>
            <c:ext xmlns:c16="http://schemas.microsoft.com/office/drawing/2014/chart" uri="{C3380CC4-5D6E-409C-BE32-E72D297353CC}">
              <c16:uniqueId val="{0000000A-86F8-4831-94AA-20BB7DFFC707}"/>
            </c:ext>
          </c:extLst>
        </c:ser>
        <c:dLbls>
          <c:showLegendKey val="0"/>
          <c:showVal val="0"/>
          <c:showCatName val="0"/>
          <c:showSerName val="0"/>
          <c:showPercent val="0"/>
          <c:showBubbleSize val="0"/>
        </c:dLbls>
        <c:axId val="158929664"/>
        <c:axId val="158931200"/>
      </c:scatterChart>
      <c:valAx>
        <c:axId val="158929664"/>
        <c:scaling>
          <c:orientation val="minMax"/>
          <c:max val="4.000000000000001E-3"/>
          <c:min val="2.5000000000000005E-3"/>
        </c:scaling>
        <c:delete val="0"/>
        <c:axPos val="b"/>
        <c:numFmt formatCode="General" sourceLinked="1"/>
        <c:majorTickMark val="out"/>
        <c:minorTickMark val="none"/>
        <c:tickLblPos val="nextTo"/>
        <c:crossAx val="158931200"/>
        <c:crosses val="autoZero"/>
        <c:crossBetween val="midCat"/>
      </c:valAx>
      <c:valAx>
        <c:axId val="158931200"/>
        <c:scaling>
          <c:orientation val="minMax"/>
          <c:max val="-25"/>
        </c:scaling>
        <c:delete val="0"/>
        <c:axPos val="l"/>
        <c:majorGridlines/>
        <c:numFmt formatCode="General" sourceLinked="1"/>
        <c:majorTickMark val="out"/>
        <c:minorTickMark val="none"/>
        <c:tickLblPos val="nextTo"/>
        <c:crossAx val="1589296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Aminabavi1999!$G$4</c:f>
              <c:strCache>
                <c:ptCount val="1"/>
                <c:pt idx="0">
                  <c:v>D (25 °C)</c:v>
                </c:pt>
              </c:strCache>
            </c:strRef>
          </c:tx>
          <c:spPr>
            <a:ln w="28575">
              <a:noFill/>
            </a:ln>
          </c:spPr>
          <c:trendline>
            <c:spPr>
              <a:ln>
                <a:solidFill>
                  <a:schemeClr val="tx2">
                    <a:lumMod val="60000"/>
                    <a:lumOff val="40000"/>
                  </a:schemeClr>
                </a:solidFill>
              </a:ln>
            </c:spPr>
            <c:trendlineType val="linear"/>
            <c:dispRSqr val="1"/>
            <c:dispEq val="1"/>
            <c:trendlineLbl>
              <c:layout>
                <c:manualLayout>
                  <c:x val="4.6882983377077865E-2"/>
                  <c:y val="0.20672317002041413"/>
                </c:manualLayout>
              </c:layout>
              <c:numFmt formatCode="#,##0.00" sourceLinked="0"/>
            </c:trendlineLbl>
          </c:trendline>
          <c:xVal>
            <c:numRef>
              <c:f>Aminabavi1999!$F$7:$F$20</c:f>
              <c:numCache>
                <c:formatCode>General</c:formatCode>
                <c:ptCount val="14"/>
                <c:pt idx="0">
                  <c:v>0.64</c:v>
                </c:pt>
                <c:pt idx="1">
                  <c:v>0.68</c:v>
                </c:pt>
                <c:pt idx="2">
                  <c:v>0.64</c:v>
                </c:pt>
                <c:pt idx="3">
                  <c:v>0.34</c:v>
                </c:pt>
                <c:pt idx="4">
                  <c:v>0.21</c:v>
                </c:pt>
                <c:pt idx="5">
                  <c:v>0.54</c:v>
                </c:pt>
                <c:pt idx="6">
                  <c:v>7.0000000000000007E-2</c:v>
                </c:pt>
                <c:pt idx="7">
                  <c:v>0.82</c:v>
                </c:pt>
                <c:pt idx="8">
                  <c:v>0.42</c:v>
                </c:pt>
                <c:pt idx="9">
                  <c:v>0.17</c:v>
                </c:pt>
                <c:pt idx="10">
                  <c:v>0.19</c:v>
                </c:pt>
                <c:pt idx="11">
                  <c:v>7.0000000000000007E-2</c:v>
                </c:pt>
                <c:pt idx="12">
                  <c:v>0.17</c:v>
                </c:pt>
                <c:pt idx="13">
                  <c:v>0.34</c:v>
                </c:pt>
              </c:numCache>
            </c:numRef>
          </c:xVal>
          <c:yVal>
            <c:numRef>
              <c:f>Aminabavi1999!$P$7:$P$20</c:f>
              <c:numCache>
                <c:formatCode>0.00</c:formatCode>
                <c:ptCount val="14"/>
                <c:pt idx="0">
                  <c:v>0.76</c:v>
                </c:pt>
                <c:pt idx="1">
                  <c:v>0.7</c:v>
                </c:pt>
                <c:pt idx="2">
                  <c:v>0.68</c:v>
                </c:pt>
                <c:pt idx="3">
                  <c:v>0.3</c:v>
                </c:pt>
                <c:pt idx="4">
                  <c:v>0.16</c:v>
                </c:pt>
                <c:pt idx="5">
                  <c:v>0.61</c:v>
                </c:pt>
                <c:pt idx="6">
                  <c:v>0.08</c:v>
                </c:pt>
                <c:pt idx="7">
                  <c:v>0.17</c:v>
                </c:pt>
                <c:pt idx="8">
                  <c:v>0.23</c:v>
                </c:pt>
                <c:pt idx="9">
                  <c:v>0.09</c:v>
                </c:pt>
                <c:pt idx="10">
                  <c:v>0.11</c:v>
                </c:pt>
                <c:pt idx="11">
                  <c:v>0.05</c:v>
                </c:pt>
                <c:pt idx="12">
                  <c:v>0.16</c:v>
                </c:pt>
                <c:pt idx="13">
                  <c:v>7.0000000000000007E-2</c:v>
                </c:pt>
              </c:numCache>
            </c:numRef>
          </c:yVal>
          <c:smooth val="0"/>
          <c:extLst>
            <c:ext xmlns:c16="http://schemas.microsoft.com/office/drawing/2014/chart" uri="{C3380CC4-5D6E-409C-BE32-E72D297353CC}">
              <c16:uniqueId val="{00000001-073F-42A7-9E78-5C5C38D26202}"/>
            </c:ext>
          </c:extLst>
        </c:ser>
        <c:ser>
          <c:idx val="2"/>
          <c:order val="1"/>
          <c:tx>
            <c:strRef>
              <c:f>Aminabavi1999!$L$4</c:f>
              <c:strCache>
                <c:ptCount val="1"/>
                <c:pt idx="0">
                  <c:v>K (25 °C)</c:v>
                </c:pt>
              </c:strCache>
            </c:strRef>
          </c:tx>
          <c:spPr>
            <a:ln w="28575">
              <a:noFill/>
            </a:ln>
          </c:spPr>
          <c:marker>
            <c:symbol val="square"/>
            <c:size val="4"/>
            <c:spPr>
              <a:noFill/>
              <a:ln w="15875">
                <a:solidFill>
                  <a:srgbClr val="FF0000"/>
                </a:solidFill>
              </a:ln>
            </c:spPr>
          </c:marker>
          <c:xVal>
            <c:numRef>
              <c:f>Aminabavi1999!$L$7:$L$20</c:f>
              <c:numCache>
                <c:formatCode>0.00</c:formatCode>
                <c:ptCount val="14"/>
                <c:pt idx="0">
                  <c:v>1.68</c:v>
                </c:pt>
                <c:pt idx="1">
                  <c:v>1.72</c:v>
                </c:pt>
                <c:pt idx="2">
                  <c:v>1.91</c:v>
                </c:pt>
                <c:pt idx="3">
                  <c:v>1.24</c:v>
                </c:pt>
                <c:pt idx="4">
                  <c:v>1.93</c:v>
                </c:pt>
                <c:pt idx="5">
                  <c:v>1.75</c:v>
                </c:pt>
                <c:pt idx="6">
                  <c:v>1.41</c:v>
                </c:pt>
                <c:pt idx="7">
                  <c:v>2.4</c:v>
                </c:pt>
                <c:pt idx="8">
                  <c:v>1.22</c:v>
                </c:pt>
                <c:pt idx="9">
                  <c:v>1.9</c:v>
                </c:pt>
                <c:pt idx="10">
                  <c:v>0.68</c:v>
                </c:pt>
                <c:pt idx="11">
                  <c:v>1.43</c:v>
                </c:pt>
                <c:pt idx="12">
                  <c:v>2.88</c:v>
                </c:pt>
                <c:pt idx="13">
                  <c:v>2.95</c:v>
                </c:pt>
              </c:numCache>
            </c:numRef>
          </c:xVal>
          <c:yVal>
            <c:numRef>
              <c:f>Aminabavi1999!$R$7:$R$20</c:f>
              <c:numCache>
                <c:formatCode>General</c:formatCode>
                <c:ptCount val="14"/>
                <c:pt idx="0">
                  <c:v>3.69</c:v>
                </c:pt>
                <c:pt idx="1">
                  <c:v>3.18</c:v>
                </c:pt>
                <c:pt idx="2">
                  <c:v>3.1</c:v>
                </c:pt>
                <c:pt idx="3">
                  <c:v>1.76</c:v>
                </c:pt>
                <c:pt idx="4">
                  <c:v>2.16</c:v>
                </c:pt>
                <c:pt idx="5">
                  <c:v>2.25</c:v>
                </c:pt>
                <c:pt idx="6">
                  <c:v>0.47</c:v>
                </c:pt>
                <c:pt idx="8">
                  <c:v>2.09</c:v>
                </c:pt>
                <c:pt idx="9">
                  <c:v>3.18</c:v>
                </c:pt>
                <c:pt idx="10">
                  <c:v>0.51</c:v>
                </c:pt>
                <c:pt idx="11">
                  <c:v>0.7</c:v>
                </c:pt>
                <c:pt idx="12">
                  <c:v>1.1399999999999999</c:v>
                </c:pt>
                <c:pt idx="13">
                  <c:v>1.79</c:v>
                </c:pt>
              </c:numCache>
            </c:numRef>
          </c:yVal>
          <c:smooth val="0"/>
          <c:extLst>
            <c:ext xmlns:c16="http://schemas.microsoft.com/office/drawing/2014/chart" uri="{C3380CC4-5D6E-409C-BE32-E72D297353CC}">
              <c16:uniqueId val="{00000002-073F-42A7-9E78-5C5C38D26202}"/>
            </c:ext>
          </c:extLst>
        </c:ser>
        <c:ser>
          <c:idx val="1"/>
          <c:order val="2"/>
          <c:tx>
            <c:v>01:01</c:v>
          </c:tx>
          <c:spPr>
            <a:ln w="6350">
              <a:solidFill>
                <a:schemeClr val="tx1">
                  <a:lumMod val="95000"/>
                  <a:lumOff val="5000"/>
                </a:schemeClr>
              </a:solidFill>
            </a:ln>
          </c:spPr>
          <c:marker>
            <c:symbol val="none"/>
          </c:marker>
          <c:xVal>
            <c:numLit>
              <c:formatCode>General</c:formatCode>
              <c:ptCount val="2"/>
              <c:pt idx="0">
                <c:v>0</c:v>
              </c:pt>
              <c:pt idx="1">
                <c:v>5</c:v>
              </c:pt>
            </c:numLit>
          </c:xVal>
          <c:yVal>
            <c:numLit>
              <c:formatCode>General</c:formatCode>
              <c:ptCount val="2"/>
              <c:pt idx="0">
                <c:v>0</c:v>
              </c:pt>
              <c:pt idx="1">
                <c:v>5</c:v>
              </c:pt>
            </c:numLit>
          </c:yVal>
          <c:smooth val="0"/>
          <c:extLst>
            <c:ext xmlns:c16="http://schemas.microsoft.com/office/drawing/2014/chart" uri="{C3380CC4-5D6E-409C-BE32-E72D297353CC}">
              <c16:uniqueId val="{00000003-073F-42A7-9E78-5C5C38D26202}"/>
            </c:ext>
          </c:extLst>
        </c:ser>
        <c:dLbls>
          <c:showLegendKey val="0"/>
          <c:showVal val="0"/>
          <c:showCatName val="0"/>
          <c:showSerName val="0"/>
          <c:showPercent val="0"/>
          <c:showBubbleSize val="0"/>
        </c:dLbls>
        <c:axId val="158814976"/>
        <c:axId val="158816896"/>
      </c:scatterChart>
      <c:valAx>
        <c:axId val="158814976"/>
        <c:scaling>
          <c:orientation val="minMax"/>
          <c:max val="8"/>
        </c:scaling>
        <c:delete val="0"/>
        <c:axPos val="b"/>
        <c:title>
          <c:tx>
            <c:rich>
              <a:bodyPr/>
              <a:lstStyle/>
              <a:p>
                <a:pPr>
                  <a:defRPr/>
                </a:pPr>
                <a:r>
                  <a:rPr lang="en-US"/>
                  <a:t>Sorption</a:t>
                </a:r>
              </a:p>
            </c:rich>
          </c:tx>
          <c:overlay val="0"/>
        </c:title>
        <c:numFmt formatCode="General" sourceLinked="0"/>
        <c:majorTickMark val="out"/>
        <c:minorTickMark val="none"/>
        <c:tickLblPos val="nextTo"/>
        <c:crossAx val="158816896"/>
        <c:crosses val="autoZero"/>
        <c:crossBetween val="midCat"/>
      </c:valAx>
      <c:valAx>
        <c:axId val="158816896"/>
        <c:scaling>
          <c:orientation val="minMax"/>
        </c:scaling>
        <c:delete val="0"/>
        <c:axPos val="l"/>
        <c:title>
          <c:tx>
            <c:rich>
              <a:bodyPr rot="-5400000" vert="horz"/>
              <a:lstStyle/>
              <a:p>
                <a:pPr>
                  <a:defRPr/>
                </a:pPr>
                <a:r>
                  <a:rPr lang="en-US"/>
                  <a:t>Desportion</a:t>
                </a:r>
              </a:p>
            </c:rich>
          </c:tx>
          <c:overlay val="0"/>
        </c:title>
        <c:numFmt formatCode="General" sourceLinked="0"/>
        <c:majorTickMark val="out"/>
        <c:minorTickMark val="none"/>
        <c:tickLblPos val="nextTo"/>
        <c:crossAx val="158814976"/>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Aminabavi1999!$L$4:$M$4</c:f>
              <c:strCache>
                <c:ptCount val="1"/>
                <c:pt idx="0">
                  <c:v>K (25 °C) P*  (25 °C) = S*D</c:v>
                </c:pt>
              </c:strCache>
            </c:strRef>
          </c:tx>
          <c:spPr>
            <a:ln w="28575">
              <a:noFill/>
            </a:ln>
          </c:spPr>
          <c:trendline>
            <c:trendlineType val="linear"/>
            <c:dispRSqr val="1"/>
            <c:dispEq val="0"/>
            <c:trendlineLbl>
              <c:numFmt formatCode="General" sourceLinked="0"/>
            </c:trendlineLbl>
          </c:trendline>
          <c:xVal>
            <c:numRef>
              <c:f>Aminabavi1999!$M$7:$M$20</c:f>
              <c:numCache>
                <c:formatCode>0.00</c:formatCode>
                <c:ptCount val="14"/>
                <c:pt idx="0">
                  <c:v>7.6799999999999993E-2</c:v>
                </c:pt>
                <c:pt idx="1">
                  <c:v>7.4800000000000005E-2</c:v>
                </c:pt>
                <c:pt idx="2">
                  <c:v>6.4000000000000001E-2</c:v>
                </c:pt>
                <c:pt idx="3">
                  <c:v>2.7200000000000002E-2</c:v>
                </c:pt>
                <c:pt idx="4">
                  <c:v>1.2599999999999998E-2</c:v>
                </c:pt>
                <c:pt idx="5">
                  <c:v>6.4799999999999996E-2</c:v>
                </c:pt>
                <c:pt idx="6">
                  <c:v>4.2000000000000006E-3</c:v>
                </c:pt>
                <c:pt idx="7">
                  <c:v>9.8399999999999987E-2</c:v>
                </c:pt>
                <c:pt idx="8">
                  <c:v>2.5199999999999997E-2</c:v>
                </c:pt>
                <c:pt idx="9">
                  <c:v>3.4000000000000002E-3</c:v>
                </c:pt>
                <c:pt idx="10">
                  <c:v>5.7000000000000002E-3</c:v>
                </c:pt>
                <c:pt idx="11">
                  <c:v>2.1000000000000003E-3</c:v>
                </c:pt>
                <c:pt idx="12">
                  <c:v>1.7000000000000001E-3</c:v>
                </c:pt>
                <c:pt idx="13">
                  <c:v>6.8000000000000005E-3</c:v>
                </c:pt>
              </c:numCache>
            </c:numRef>
          </c:xVal>
          <c:yVal>
            <c:numRef>
              <c:f>Aminabavi1999!$L$7:$L$20</c:f>
              <c:numCache>
                <c:formatCode>0.00</c:formatCode>
                <c:ptCount val="14"/>
                <c:pt idx="0">
                  <c:v>1.68</c:v>
                </c:pt>
                <c:pt idx="1">
                  <c:v>1.72</c:v>
                </c:pt>
                <c:pt idx="2">
                  <c:v>1.91</c:v>
                </c:pt>
                <c:pt idx="3">
                  <c:v>1.24</c:v>
                </c:pt>
                <c:pt idx="4">
                  <c:v>1.93</c:v>
                </c:pt>
                <c:pt idx="5">
                  <c:v>1.75</c:v>
                </c:pt>
                <c:pt idx="6">
                  <c:v>1.41</c:v>
                </c:pt>
                <c:pt idx="7">
                  <c:v>2.4</c:v>
                </c:pt>
                <c:pt idx="8">
                  <c:v>1.22</c:v>
                </c:pt>
                <c:pt idx="9">
                  <c:v>1.9</c:v>
                </c:pt>
                <c:pt idx="10">
                  <c:v>0.68</c:v>
                </c:pt>
                <c:pt idx="11">
                  <c:v>1.43</c:v>
                </c:pt>
                <c:pt idx="12">
                  <c:v>2.88</c:v>
                </c:pt>
                <c:pt idx="13">
                  <c:v>2.95</c:v>
                </c:pt>
              </c:numCache>
            </c:numRef>
          </c:yVal>
          <c:smooth val="0"/>
          <c:extLst>
            <c:ext xmlns:c16="http://schemas.microsoft.com/office/drawing/2014/chart" uri="{C3380CC4-5D6E-409C-BE32-E72D297353CC}">
              <c16:uniqueId val="{00000001-3A90-4DBE-996E-9C65B35594C6}"/>
            </c:ext>
          </c:extLst>
        </c:ser>
        <c:dLbls>
          <c:showLegendKey val="0"/>
          <c:showVal val="0"/>
          <c:showCatName val="0"/>
          <c:showSerName val="0"/>
          <c:showPercent val="0"/>
          <c:showBubbleSize val="0"/>
        </c:dLbls>
        <c:axId val="158854528"/>
        <c:axId val="158963200"/>
      </c:scatterChart>
      <c:valAx>
        <c:axId val="158854528"/>
        <c:scaling>
          <c:orientation val="minMax"/>
        </c:scaling>
        <c:delete val="0"/>
        <c:axPos val="b"/>
        <c:title>
          <c:tx>
            <c:rich>
              <a:bodyPr/>
              <a:lstStyle/>
              <a:p>
                <a:pPr>
                  <a:defRPr/>
                </a:pPr>
                <a:r>
                  <a:rPr lang="en-US"/>
                  <a:t>Permeation P</a:t>
                </a:r>
              </a:p>
            </c:rich>
          </c:tx>
          <c:overlay val="0"/>
        </c:title>
        <c:numFmt formatCode="General" sourceLinked="0"/>
        <c:majorTickMark val="out"/>
        <c:minorTickMark val="none"/>
        <c:tickLblPos val="nextTo"/>
        <c:crossAx val="158963200"/>
        <c:crosses val="autoZero"/>
        <c:crossBetween val="midCat"/>
      </c:valAx>
      <c:valAx>
        <c:axId val="158963200"/>
        <c:scaling>
          <c:orientation val="minMax"/>
        </c:scaling>
        <c:delete val="0"/>
        <c:axPos val="l"/>
        <c:title>
          <c:tx>
            <c:rich>
              <a:bodyPr rot="-5400000" vert="horz"/>
              <a:lstStyle/>
              <a:p>
                <a:pPr>
                  <a:defRPr/>
                </a:pPr>
                <a:r>
                  <a:rPr lang="en-US"/>
                  <a:t>Interaction parameter K</a:t>
                </a:r>
              </a:p>
            </c:rich>
          </c:tx>
          <c:overlay val="0"/>
        </c:title>
        <c:numFmt formatCode="General" sourceLinked="0"/>
        <c:majorTickMark val="out"/>
        <c:minorTickMark val="none"/>
        <c:tickLblPos val="nextTo"/>
        <c:crossAx val="158854528"/>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invloed afname temperatuur van 298 naar 283 K</a:t>
            </a:r>
          </a:p>
        </c:rich>
      </c:tx>
      <c:overlay val="0"/>
    </c:title>
    <c:autoTitleDeleted val="0"/>
    <c:plotArea>
      <c:layout/>
      <c:scatterChart>
        <c:scatterStyle val="lineMarker"/>
        <c:varyColors val="0"/>
        <c:ser>
          <c:idx val="0"/>
          <c:order val="0"/>
          <c:tx>
            <c:v>invloed afname temperatuur van 298 naar 283 K</c:v>
          </c:tx>
          <c:spPr>
            <a:ln w="28575">
              <a:noFill/>
            </a:ln>
          </c:spPr>
          <c:xVal>
            <c:numRef>
              <c:f>Aminabavi1999!$AA$7:$AA$20</c:f>
              <c:numCache>
                <c:formatCode>0%</c:formatCode>
                <c:ptCount val="14"/>
                <c:pt idx="0">
                  <c:v>0.51632576577003786</c:v>
                </c:pt>
                <c:pt idx="1">
                  <c:v>0.50109158442080137</c:v>
                </c:pt>
                <c:pt idx="2">
                  <c:v>0.49258900689428359</c:v>
                </c:pt>
                <c:pt idx="3">
                  <c:v>0.503240062300366</c:v>
                </c:pt>
                <c:pt idx="4">
                  <c:v>0.42317716270722533</c:v>
                </c:pt>
                <c:pt idx="5">
                  <c:v>0.49258900689428359</c:v>
                </c:pt>
                <c:pt idx="6">
                  <c:v>0.35814293220210441</c:v>
                </c:pt>
                <c:pt idx="8">
                  <c:v>0.49364388851179619</c:v>
                </c:pt>
                <c:pt idx="10">
                  <c:v>0.42864377159348371</c:v>
                </c:pt>
                <c:pt idx="11">
                  <c:v>0.3358805912661767</c:v>
                </c:pt>
                <c:pt idx="12">
                  <c:v>0.58703872302471416</c:v>
                </c:pt>
                <c:pt idx="13">
                  <c:v>0.51192648766567417</c:v>
                </c:pt>
              </c:numCache>
            </c:numRef>
          </c:xVal>
          <c:yVal>
            <c:numRef>
              <c:f>Aminabavi1999!$AC$7:$AC$20</c:f>
              <c:numCache>
                <c:formatCode>0%</c:formatCode>
                <c:ptCount val="14"/>
                <c:pt idx="0">
                  <c:v>0.69959836193511804</c:v>
                </c:pt>
                <c:pt idx="1">
                  <c:v>0.70712148009433196</c:v>
                </c:pt>
                <c:pt idx="2">
                  <c:v>0.72086754435347344</c:v>
                </c:pt>
                <c:pt idx="3">
                  <c:v>0.72086754435347344</c:v>
                </c:pt>
                <c:pt idx="4">
                  <c:v>0.72086754435347344</c:v>
                </c:pt>
                <c:pt idx="5">
                  <c:v>0.71932710206522255</c:v>
                </c:pt>
                <c:pt idx="6">
                  <c:v>0.75077085940424493</c:v>
                </c:pt>
                <c:pt idx="8">
                  <c:v>0.69959836193511804</c:v>
                </c:pt>
                <c:pt idx="10">
                  <c:v>0.75398986094847542</c:v>
                </c:pt>
                <c:pt idx="11">
                  <c:v>0.73017972202054882</c:v>
                </c:pt>
                <c:pt idx="12">
                  <c:v>0.50002078761079871</c:v>
                </c:pt>
                <c:pt idx="13">
                  <c:v>0.65892412174293535</c:v>
                </c:pt>
              </c:numCache>
            </c:numRef>
          </c:yVal>
          <c:smooth val="0"/>
          <c:extLst>
            <c:ext xmlns:c16="http://schemas.microsoft.com/office/drawing/2014/chart" uri="{C3380CC4-5D6E-409C-BE32-E72D297353CC}">
              <c16:uniqueId val="{00000000-3BC6-4986-8BB7-300EEE75BA00}"/>
            </c:ext>
          </c:extLst>
        </c:ser>
        <c:ser>
          <c:idx val="1"/>
          <c:order val="1"/>
          <c:tx>
            <c:v>01:01</c:v>
          </c:tx>
          <c:spPr>
            <a:ln w="6350">
              <a:solidFill>
                <a:schemeClr val="tx1">
                  <a:lumMod val="50000"/>
                  <a:lumOff val="50000"/>
                </a:schemeClr>
              </a:solidFill>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3BC6-4986-8BB7-300EEE75BA00}"/>
            </c:ext>
          </c:extLst>
        </c:ser>
        <c:dLbls>
          <c:showLegendKey val="0"/>
          <c:showVal val="0"/>
          <c:showCatName val="0"/>
          <c:showSerName val="0"/>
          <c:showPercent val="0"/>
          <c:showBubbleSize val="0"/>
        </c:dLbls>
        <c:axId val="158990336"/>
        <c:axId val="158992256"/>
      </c:scatterChart>
      <c:valAx>
        <c:axId val="158990336"/>
        <c:scaling>
          <c:orientation val="minMax"/>
        </c:scaling>
        <c:delete val="0"/>
        <c:axPos val="b"/>
        <c:title>
          <c:tx>
            <c:rich>
              <a:bodyPr/>
              <a:lstStyle/>
              <a:p>
                <a:pPr>
                  <a:defRPr/>
                </a:pPr>
                <a:r>
                  <a:rPr lang="en-US"/>
                  <a:t>% afname Diffusiecoefficient</a:t>
                </a:r>
              </a:p>
            </c:rich>
          </c:tx>
          <c:overlay val="0"/>
        </c:title>
        <c:numFmt formatCode="0%" sourceLinked="1"/>
        <c:majorTickMark val="out"/>
        <c:minorTickMark val="none"/>
        <c:tickLblPos val="nextTo"/>
        <c:crossAx val="158992256"/>
        <c:crosses val="autoZero"/>
        <c:crossBetween val="midCat"/>
      </c:valAx>
      <c:valAx>
        <c:axId val="158992256"/>
        <c:scaling>
          <c:orientation val="minMax"/>
        </c:scaling>
        <c:delete val="0"/>
        <c:axPos val="l"/>
        <c:title>
          <c:tx>
            <c:rich>
              <a:bodyPr rot="-5400000" vert="horz"/>
              <a:lstStyle/>
              <a:p>
                <a:pPr>
                  <a:defRPr/>
                </a:pPr>
                <a:r>
                  <a:rPr lang="en-US"/>
                  <a:t>afname Partitie coefficient</a:t>
                </a:r>
              </a:p>
            </c:rich>
          </c:tx>
          <c:overlay val="0"/>
        </c:title>
        <c:numFmt formatCode="0%" sourceLinked="1"/>
        <c:majorTickMark val="out"/>
        <c:minorTickMark val="none"/>
        <c:tickLblPos val="nextTo"/>
        <c:crossAx val="158990336"/>
        <c:crosses val="autoZero"/>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Comparison of Immersion test versus Permeation Experiment</a:t>
            </a:r>
          </a:p>
        </c:rich>
      </c:tx>
      <c:overlay val="0"/>
    </c:title>
    <c:autoTitleDeleted val="0"/>
    <c:plotArea>
      <c:layout/>
      <c:scatterChart>
        <c:scatterStyle val="lineMarker"/>
        <c:varyColors val="0"/>
        <c:ser>
          <c:idx val="0"/>
          <c:order val="0"/>
          <c:tx>
            <c:strRef>
              <c:f>'Chao 2007'!$F$3</c:f>
              <c:strCache>
                <c:ptCount val="1"/>
                <c:pt idx="0">
                  <c:v>Di </c:v>
                </c:pt>
              </c:strCache>
            </c:strRef>
          </c:tx>
          <c:spPr>
            <a:ln w="28575">
              <a:noFill/>
            </a:ln>
          </c:spPr>
          <c:xVal>
            <c:numRef>
              <c:f>'Chao 2007'!$F$6:$F$13</c:f>
              <c:numCache>
                <c:formatCode>General</c:formatCode>
                <c:ptCount val="8"/>
                <c:pt idx="0">
                  <c:v>0.87</c:v>
                </c:pt>
                <c:pt idx="1">
                  <c:v>0.27</c:v>
                </c:pt>
                <c:pt idx="2">
                  <c:v>0.51</c:v>
                </c:pt>
                <c:pt idx="3">
                  <c:v>1.18</c:v>
                </c:pt>
                <c:pt idx="4">
                  <c:v>0.53</c:v>
                </c:pt>
                <c:pt idx="5">
                  <c:v>0.61</c:v>
                </c:pt>
                <c:pt idx="6">
                  <c:v>0.56999999999999995</c:v>
                </c:pt>
                <c:pt idx="7">
                  <c:v>0.45</c:v>
                </c:pt>
              </c:numCache>
            </c:numRef>
          </c:xVal>
          <c:yVal>
            <c:numRef>
              <c:f>'Chao 2007'!$L$6:$L$13</c:f>
              <c:numCache>
                <c:formatCode>General</c:formatCode>
                <c:ptCount val="8"/>
                <c:pt idx="0">
                  <c:v>0.45</c:v>
                </c:pt>
                <c:pt idx="1">
                  <c:v>0.27</c:v>
                </c:pt>
                <c:pt idx="2">
                  <c:v>0.34</c:v>
                </c:pt>
                <c:pt idx="3">
                  <c:v>0.79</c:v>
                </c:pt>
                <c:pt idx="4">
                  <c:v>0.36</c:v>
                </c:pt>
                <c:pt idx="5">
                  <c:v>0.41</c:v>
                </c:pt>
                <c:pt idx="6">
                  <c:v>0.31</c:v>
                </c:pt>
                <c:pt idx="7">
                  <c:v>0.25</c:v>
                </c:pt>
              </c:numCache>
            </c:numRef>
          </c:yVal>
          <c:smooth val="0"/>
          <c:extLst>
            <c:ext xmlns:c16="http://schemas.microsoft.com/office/drawing/2014/chart" uri="{C3380CC4-5D6E-409C-BE32-E72D297353CC}">
              <c16:uniqueId val="{00000000-30A9-4E07-9053-FABE56AB1926}"/>
            </c:ext>
          </c:extLst>
        </c:ser>
        <c:ser>
          <c:idx val="1"/>
          <c:order val="1"/>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1-30A9-4E07-9053-FABE56AB1926}"/>
            </c:ext>
          </c:extLst>
        </c:ser>
        <c:ser>
          <c:idx val="2"/>
          <c:order val="2"/>
          <c:tx>
            <c:strRef>
              <c:f>'Chao 2007'!$K$3</c:f>
              <c:strCache>
                <c:ptCount val="1"/>
                <c:pt idx="0">
                  <c:v>Pi = KD</c:v>
                </c:pt>
              </c:strCache>
            </c:strRef>
          </c:tx>
          <c:spPr>
            <a:ln w="28575">
              <a:noFill/>
            </a:ln>
          </c:spPr>
          <c:marker>
            <c:symbol val="square"/>
            <c:size val="5"/>
            <c:spPr>
              <a:solidFill>
                <a:schemeClr val="accent2">
                  <a:lumMod val="60000"/>
                  <a:lumOff val="40000"/>
                </a:schemeClr>
              </a:solidFill>
              <a:ln>
                <a:solidFill>
                  <a:schemeClr val="accent2">
                    <a:lumMod val="75000"/>
                  </a:schemeClr>
                </a:solidFill>
              </a:ln>
            </c:spPr>
          </c:marker>
          <c:xVal>
            <c:numRef>
              <c:f>'Chao 2007'!$K$6:$K$13</c:f>
              <c:numCache>
                <c:formatCode>0.0</c:formatCode>
                <c:ptCount val="8"/>
                <c:pt idx="0">
                  <c:v>2.6534999999999997</c:v>
                </c:pt>
                <c:pt idx="1">
                  <c:v>1.1837744533947065</c:v>
                </c:pt>
                <c:pt idx="2">
                  <c:v>6.1263749999999995</c:v>
                </c:pt>
                <c:pt idx="3">
                  <c:v>128.62</c:v>
                </c:pt>
                <c:pt idx="4">
                  <c:v>28.852247191011241</c:v>
                </c:pt>
                <c:pt idx="5">
                  <c:v>122.59223300970874</c:v>
                </c:pt>
                <c:pt idx="6">
                  <c:v>167.76999999999998</c:v>
                </c:pt>
                <c:pt idx="7">
                  <c:v>301.97368421052636</c:v>
                </c:pt>
              </c:numCache>
            </c:numRef>
          </c:xVal>
          <c:yVal>
            <c:numRef>
              <c:f>'Chao 2007'!$Q$6:$Q$13</c:f>
              <c:numCache>
                <c:formatCode>0.0</c:formatCode>
                <c:ptCount val="8"/>
                <c:pt idx="0">
                  <c:v>2.7472500000000002</c:v>
                </c:pt>
                <c:pt idx="1">
                  <c:v>1.506904487917146</c:v>
                </c:pt>
                <c:pt idx="2">
                  <c:v>8.355500000000001</c:v>
                </c:pt>
                <c:pt idx="3">
                  <c:v>150.67454545454547</c:v>
                </c:pt>
                <c:pt idx="4">
                  <c:v>39.438202247191008</c:v>
                </c:pt>
                <c:pt idx="5">
                  <c:v>158.82524271844656</c:v>
                </c:pt>
                <c:pt idx="6">
                  <c:v>172.15333333333334</c:v>
                </c:pt>
                <c:pt idx="7">
                  <c:v>253.28947368421052</c:v>
                </c:pt>
              </c:numCache>
            </c:numRef>
          </c:yVal>
          <c:smooth val="0"/>
          <c:extLst>
            <c:ext xmlns:c16="http://schemas.microsoft.com/office/drawing/2014/chart" uri="{C3380CC4-5D6E-409C-BE32-E72D297353CC}">
              <c16:uniqueId val="{00000002-30A9-4E07-9053-FABE56AB1926}"/>
            </c:ext>
          </c:extLst>
        </c:ser>
        <c:ser>
          <c:idx val="3"/>
          <c:order val="3"/>
          <c:tx>
            <c:strRef>
              <c:f>'Chao 2007'!$J$3</c:f>
              <c:strCache>
                <c:ptCount val="1"/>
                <c:pt idx="0">
                  <c:v>K</c:v>
                </c:pt>
              </c:strCache>
            </c:strRef>
          </c:tx>
          <c:spPr>
            <a:ln w="28575">
              <a:noFill/>
            </a:ln>
          </c:spPr>
          <c:marker>
            <c:symbol val="diamond"/>
            <c:size val="7"/>
            <c:spPr>
              <a:noFill/>
            </c:spPr>
          </c:marker>
          <c:xVal>
            <c:numRef>
              <c:f>'Chao 2007'!$J$6:$J$13</c:f>
              <c:numCache>
                <c:formatCode>0</c:formatCode>
                <c:ptCount val="8"/>
                <c:pt idx="0">
                  <c:v>3.05</c:v>
                </c:pt>
                <c:pt idx="1">
                  <c:v>4.3843498273878021</c:v>
                </c:pt>
                <c:pt idx="2">
                  <c:v>12.012499999999999</c:v>
                </c:pt>
                <c:pt idx="3">
                  <c:v>109</c:v>
                </c:pt>
                <c:pt idx="4">
                  <c:v>54.438202247191015</c:v>
                </c:pt>
                <c:pt idx="5">
                  <c:v>200.97087378640776</c:v>
                </c:pt>
                <c:pt idx="6">
                  <c:v>294.33333333333331</c:v>
                </c:pt>
                <c:pt idx="7">
                  <c:v>671.0526315789474</c:v>
                </c:pt>
              </c:numCache>
            </c:numRef>
          </c:xVal>
          <c:yVal>
            <c:numRef>
              <c:f>'Chao 2007'!$P$6:$P$13</c:f>
              <c:numCache>
                <c:formatCode>0</c:formatCode>
                <c:ptCount val="8"/>
                <c:pt idx="0">
                  <c:v>6.1050000000000004</c:v>
                </c:pt>
                <c:pt idx="1">
                  <c:v>5.5811277330264666</c:v>
                </c:pt>
                <c:pt idx="2">
                  <c:v>24.574999999999999</c:v>
                </c:pt>
                <c:pt idx="3">
                  <c:v>190.72727272727272</c:v>
                </c:pt>
                <c:pt idx="4">
                  <c:v>109.55056179775281</c:v>
                </c:pt>
                <c:pt idx="5">
                  <c:v>387.37864077669894</c:v>
                </c:pt>
                <c:pt idx="6">
                  <c:v>555.33333333333337</c:v>
                </c:pt>
                <c:pt idx="7">
                  <c:v>1013.1578947368421</c:v>
                </c:pt>
              </c:numCache>
            </c:numRef>
          </c:yVal>
          <c:smooth val="0"/>
          <c:extLst>
            <c:ext xmlns:c16="http://schemas.microsoft.com/office/drawing/2014/chart" uri="{C3380CC4-5D6E-409C-BE32-E72D297353CC}">
              <c16:uniqueId val="{00000003-30A9-4E07-9053-FABE56AB1926}"/>
            </c:ext>
          </c:extLst>
        </c:ser>
        <c:dLbls>
          <c:showLegendKey val="0"/>
          <c:showVal val="0"/>
          <c:showCatName val="0"/>
          <c:showSerName val="0"/>
          <c:showPercent val="0"/>
          <c:showBubbleSize val="0"/>
        </c:dLbls>
        <c:axId val="159372032"/>
        <c:axId val="159374336"/>
      </c:scatterChart>
      <c:valAx>
        <c:axId val="159372032"/>
        <c:scaling>
          <c:logBase val="10"/>
          <c:orientation val="minMax"/>
        </c:scaling>
        <c:delete val="0"/>
        <c:axPos val="b"/>
        <c:title>
          <c:tx>
            <c:rich>
              <a:bodyPr/>
              <a:lstStyle/>
              <a:p>
                <a:pPr>
                  <a:defRPr/>
                </a:pPr>
                <a:r>
                  <a:rPr lang="en-US"/>
                  <a:t>Immersion test</a:t>
                </a:r>
              </a:p>
            </c:rich>
          </c:tx>
          <c:overlay val="0"/>
        </c:title>
        <c:numFmt formatCode="General" sourceLinked="1"/>
        <c:majorTickMark val="out"/>
        <c:minorTickMark val="none"/>
        <c:tickLblPos val="nextTo"/>
        <c:crossAx val="159374336"/>
        <c:crossesAt val="1.0000000000000003E-4"/>
        <c:crossBetween val="midCat"/>
      </c:valAx>
      <c:valAx>
        <c:axId val="159374336"/>
        <c:scaling>
          <c:logBase val="10"/>
          <c:orientation val="minMax"/>
        </c:scaling>
        <c:delete val="0"/>
        <c:axPos val="l"/>
        <c:title>
          <c:tx>
            <c:rich>
              <a:bodyPr rot="-5400000" vert="horz"/>
              <a:lstStyle/>
              <a:p>
                <a:pPr>
                  <a:defRPr/>
                </a:pPr>
                <a:r>
                  <a:rPr lang="en-US"/>
                  <a:t>Permeation experiment</a:t>
                </a:r>
              </a:p>
            </c:rich>
          </c:tx>
          <c:overlay val="0"/>
        </c:title>
        <c:numFmt formatCode="General" sourceLinked="1"/>
        <c:majorTickMark val="out"/>
        <c:minorTickMark val="none"/>
        <c:tickLblPos val="nextTo"/>
        <c:crossAx val="159372032"/>
        <c:crossesAt val="1.0000000000000003E-4"/>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Comparison of Immersion test versus Permeation Experiment</a:t>
            </a:r>
          </a:p>
        </c:rich>
      </c:tx>
      <c:overlay val="0"/>
    </c:title>
    <c:autoTitleDeleted val="0"/>
    <c:plotArea>
      <c:layout/>
      <c:scatterChart>
        <c:scatterStyle val="lineMarker"/>
        <c:varyColors val="0"/>
        <c:ser>
          <c:idx val="2"/>
          <c:order val="0"/>
          <c:tx>
            <c:strRef>
              <c:f>'Chao 2007'!$Y$3</c:f>
              <c:strCache>
                <c:ptCount val="1"/>
                <c:pt idx="0">
                  <c:v>Pi / Pp</c:v>
                </c:pt>
              </c:strCache>
            </c:strRef>
          </c:tx>
          <c:spPr>
            <a:ln w="28575">
              <a:noFill/>
            </a:ln>
          </c:spPr>
          <c:marker>
            <c:symbol val="square"/>
            <c:size val="5"/>
            <c:spPr>
              <a:solidFill>
                <a:schemeClr val="accent2">
                  <a:lumMod val="60000"/>
                  <a:lumOff val="40000"/>
                </a:schemeClr>
              </a:solidFill>
              <a:ln>
                <a:solidFill>
                  <a:schemeClr val="accent2">
                    <a:lumMod val="75000"/>
                  </a:schemeClr>
                </a:solidFill>
              </a:ln>
            </c:spPr>
          </c:marker>
          <c:xVal>
            <c:numRef>
              <c:f>'Chao 2007'!$C$6:$C$13</c:f>
              <c:numCache>
                <c:formatCode>General</c:formatCode>
                <c:ptCount val="8"/>
                <c:pt idx="0">
                  <c:v>84.93</c:v>
                </c:pt>
                <c:pt idx="1">
                  <c:v>98.97</c:v>
                </c:pt>
                <c:pt idx="2">
                  <c:v>119.38</c:v>
                </c:pt>
                <c:pt idx="3">
                  <c:v>131.79</c:v>
                </c:pt>
                <c:pt idx="4">
                  <c:v>78.11</c:v>
                </c:pt>
                <c:pt idx="5">
                  <c:v>92.14</c:v>
                </c:pt>
                <c:pt idx="6">
                  <c:v>104.15</c:v>
                </c:pt>
                <c:pt idx="7">
                  <c:v>106.17</c:v>
                </c:pt>
              </c:numCache>
            </c:numRef>
          </c:xVal>
          <c:yVal>
            <c:numRef>
              <c:f>'Chao 2007'!$Y$6:$Y$13</c:f>
              <c:numCache>
                <c:formatCode>0%</c:formatCode>
                <c:ptCount val="8"/>
                <c:pt idx="0">
                  <c:v>0.96587496587496569</c:v>
                </c:pt>
                <c:pt idx="1">
                  <c:v>0.78556701030927845</c:v>
                </c:pt>
                <c:pt idx="2">
                  <c:v>0.73321464903357059</c:v>
                </c:pt>
                <c:pt idx="3">
                  <c:v>0.8536279277431188</c:v>
                </c:pt>
                <c:pt idx="4">
                  <c:v>0.7315811965811968</c:v>
                </c:pt>
                <c:pt idx="5">
                  <c:v>0.77186869613057052</c:v>
                </c:pt>
                <c:pt idx="6">
                  <c:v>0.97453820237772515</c:v>
                </c:pt>
                <c:pt idx="7">
                  <c:v>1.1922077922077925</c:v>
                </c:pt>
              </c:numCache>
            </c:numRef>
          </c:yVal>
          <c:smooth val="0"/>
          <c:extLst>
            <c:ext xmlns:c16="http://schemas.microsoft.com/office/drawing/2014/chart" uri="{C3380CC4-5D6E-409C-BE32-E72D297353CC}">
              <c16:uniqueId val="{00000000-800F-4369-A014-9FC732354F6E}"/>
            </c:ext>
          </c:extLst>
        </c:ser>
        <c:dLbls>
          <c:showLegendKey val="0"/>
          <c:showVal val="0"/>
          <c:showCatName val="0"/>
          <c:showSerName val="0"/>
          <c:showPercent val="0"/>
          <c:showBubbleSize val="0"/>
        </c:dLbls>
        <c:axId val="159398912"/>
        <c:axId val="159413760"/>
      </c:scatterChart>
      <c:valAx>
        <c:axId val="159398912"/>
        <c:scaling>
          <c:orientation val="minMax"/>
        </c:scaling>
        <c:delete val="0"/>
        <c:axPos val="b"/>
        <c:title>
          <c:tx>
            <c:rich>
              <a:bodyPr/>
              <a:lstStyle/>
              <a:p>
                <a:pPr>
                  <a:defRPr/>
                </a:pPr>
                <a:r>
                  <a:rPr lang="en-US"/>
                  <a:t>Molar Mass</a:t>
                </a:r>
              </a:p>
            </c:rich>
          </c:tx>
          <c:overlay val="0"/>
        </c:title>
        <c:numFmt formatCode="General" sourceLinked="1"/>
        <c:majorTickMark val="out"/>
        <c:minorTickMark val="none"/>
        <c:tickLblPos val="nextTo"/>
        <c:crossAx val="159413760"/>
        <c:crossesAt val="1.0000000000000003E-4"/>
        <c:crossBetween val="midCat"/>
      </c:valAx>
      <c:valAx>
        <c:axId val="159413760"/>
        <c:scaling>
          <c:orientation val="minMax"/>
        </c:scaling>
        <c:delete val="0"/>
        <c:axPos val="l"/>
        <c:title>
          <c:tx>
            <c:rich>
              <a:bodyPr rot="-5400000" vert="horz"/>
              <a:lstStyle/>
              <a:p>
                <a:pPr>
                  <a:defRPr/>
                </a:pPr>
                <a:r>
                  <a:rPr lang="en-US"/>
                  <a:t>Immerion / Permeation Experiment</a:t>
                </a:r>
              </a:p>
            </c:rich>
          </c:tx>
          <c:overlay val="0"/>
        </c:title>
        <c:numFmt formatCode="0%" sourceLinked="1"/>
        <c:majorTickMark val="out"/>
        <c:minorTickMark val="none"/>
        <c:tickLblPos val="nextTo"/>
        <c:crossAx val="159398912"/>
        <c:crossesAt val="1.0000000000000003E-4"/>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2007'!$J$7:$J$9</c:f>
              <c:numCache>
                <c:formatCode>0</c:formatCode>
                <c:ptCount val="3"/>
                <c:pt idx="0">
                  <c:v>4.3843498273878021</c:v>
                </c:pt>
                <c:pt idx="1">
                  <c:v>12.012499999999999</c:v>
                </c:pt>
                <c:pt idx="2">
                  <c:v>109</c:v>
                </c:pt>
              </c:numCache>
            </c:numRef>
          </c:xVal>
          <c:yVal>
            <c:numRef>
              <c:f>('Chao 2007'!$J$15,'Chao 2007'!$J$18,'Chao 2007'!$J$21)</c:f>
              <c:numCache>
                <c:formatCode>0</c:formatCode>
                <c:ptCount val="3"/>
                <c:pt idx="0">
                  <c:v>4.2462600690448804</c:v>
                </c:pt>
                <c:pt idx="1">
                  <c:v>11.4</c:v>
                </c:pt>
                <c:pt idx="2">
                  <c:v>101.99999999999999</c:v>
                </c:pt>
              </c:numCache>
            </c:numRef>
          </c:yVal>
          <c:smooth val="0"/>
          <c:extLst>
            <c:ext xmlns:c16="http://schemas.microsoft.com/office/drawing/2014/chart" uri="{C3380CC4-5D6E-409C-BE32-E72D297353CC}">
              <c16:uniqueId val="{00000000-6575-4A07-925E-057822DF869D}"/>
            </c:ext>
          </c:extLst>
        </c:ser>
        <c:ser>
          <c:idx val="0"/>
          <c:order val="0"/>
          <c:tx>
            <c:v>permeation</c:v>
          </c:tx>
          <c:spPr>
            <a:ln w="28575">
              <a:noFill/>
            </a:ln>
          </c:spPr>
          <c:xVal>
            <c:numRef>
              <c:f>'Chao 2007'!$P$7:$P$9</c:f>
              <c:numCache>
                <c:formatCode>0</c:formatCode>
                <c:ptCount val="3"/>
                <c:pt idx="0">
                  <c:v>5.5811277330264666</c:v>
                </c:pt>
                <c:pt idx="1">
                  <c:v>24.574999999999999</c:v>
                </c:pt>
                <c:pt idx="2">
                  <c:v>190.72727272727272</c:v>
                </c:pt>
              </c:numCache>
            </c:numRef>
          </c:xVal>
          <c:yVal>
            <c:numRef>
              <c:f>('Chao 2007'!$P$15,'Chao 2007'!$P$18,'Chao 2007'!$P$21)</c:f>
              <c:numCache>
                <c:formatCode>0</c:formatCode>
                <c:ptCount val="3"/>
                <c:pt idx="0">
                  <c:v>2.0828538550057538</c:v>
                </c:pt>
                <c:pt idx="1">
                  <c:v>16.8</c:v>
                </c:pt>
                <c:pt idx="2">
                  <c:v>139.27272727272725</c:v>
                </c:pt>
              </c:numCache>
            </c:numRef>
          </c:yVal>
          <c:smooth val="0"/>
          <c:extLst>
            <c:ext xmlns:c16="http://schemas.microsoft.com/office/drawing/2014/chart" uri="{C3380CC4-5D6E-409C-BE32-E72D297353CC}">
              <c16:uniqueId val="{00000001-6575-4A07-925E-057822DF869D}"/>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6575-4A07-925E-057822DF869D}"/>
            </c:ext>
          </c:extLst>
        </c:ser>
        <c:dLbls>
          <c:showLegendKey val="0"/>
          <c:showVal val="0"/>
          <c:showCatName val="0"/>
          <c:showSerName val="0"/>
          <c:showPercent val="0"/>
          <c:showBubbleSize val="0"/>
        </c:dLbls>
        <c:axId val="159459968"/>
        <c:axId val="159470336"/>
      </c:scatterChart>
      <c:valAx>
        <c:axId val="159459968"/>
        <c:scaling>
          <c:logBase val="10"/>
          <c:orientation val="minMax"/>
          <c:max val="200"/>
          <c:min val="1"/>
        </c:scaling>
        <c:delete val="0"/>
        <c:axPos val="b"/>
        <c:title>
          <c:tx>
            <c:rich>
              <a:bodyPr/>
              <a:lstStyle/>
              <a:p>
                <a:pPr>
                  <a:defRPr/>
                </a:pPr>
                <a:r>
                  <a:rPr lang="en-US"/>
                  <a:t>K</a:t>
                </a:r>
                <a:r>
                  <a:rPr lang="en-US" baseline="0"/>
                  <a:t> </a:t>
                </a:r>
                <a:r>
                  <a:rPr lang="en-US"/>
                  <a:t>(dikte 0,5 mm HDPE)</a:t>
                </a:r>
              </a:p>
            </c:rich>
          </c:tx>
          <c:overlay val="0"/>
        </c:title>
        <c:numFmt formatCode="0" sourceLinked="1"/>
        <c:majorTickMark val="out"/>
        <c:minorTickMark val="none"/>
        <c:tickLblPos val="nextTo"/>
        <c:crossAx val="159470336"/>
        <c:crosses val="autoZero"/>
        <c:crossBetween val="midCat"/>
      </c:valAx>
      <c:valAx>
        <c:axId val="159470336"/>
        <c:scaling>
          <c:logBase val="10"/>
          <c:orientation val="minMax"/>
          <c:max val="200"/>
          <c:min val="1"/>
        </c:scaling>
        <c:delete val="0"/>
        <c:axPos val="l"/>
        <c:title>
          <c:tx>
            <c:rich>
              <a:bodyPr rot="-5400000" vert="horz"/>
              <a:lstStyle/>
              <a:p>
                <a:pPr>
                  <a:defRPr/>
                </a:pPr>
                <a:r>
                  <a:rPr lang="en-US"/>
                  <a:t>K (dikte 1 mm HDPE)</a:t>
                </a:r>
              </a:p>
            </c:rich>
          </c:tx>
          <c:overlay val="0"/>
        </c:title>
        <c:numFmt formatCode="0" sourceLinked="1"/>
        <c:majorTickMark val="out"/>
        <c:minorTickMark val="none"/>
        <c:tickLblPos val="nextTo"/>
        <c:crossAx val="159459968"/>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2007'!$G$7:$G$9</c:f>
              <c:numCache>
                <c:formatCode>General</c:formatCode>
                <c:ptCount val="3"/>
                <c:pt idx="0">
                  <c:v>2.7000000000000002E-12</c:v>
                </c:pt>
                <c:pt idx="1">
                  <c:v>5.1000000000000005E-12</c:v>
                </c:pt>
                <c:pt idx="2">
                  <c:v>1.1799999999999999E-11</c:v>
                </c:pt>
              </c:numCache>
            </c:numRef>
          </c:xVal>
          <c:yVal>
            <c:numRef>
              <c:f>('Chao 2007'!$G$15,'Chao 2007'!$G$18,'Chao 2007'!$G$21)</c:f>
              <c:numCache>
                <c:formatCode>General</c:formatCode>
                <c:ptCount val="3"/>
                <c:pt idx="0">
                  <c:v>3.8E-12</c:v>
                </c:pt>
                <c:pt idx="1">
                  <c:v>6.6000000000000001E-12</c:v>
                </c:pt>
                <c:pt idx="2">
                  <c:v>1.0200000000000001E-11</c:v>
                </c:pt>
              </c:numCache>
            </c:numRef>
          </c:yVal>
          <c:smooth val="0"/>
          <c:extLst>
            <c:ext xmlns:c16="http://schemas.microsoft.com/office/drawing/2014/chart" uri="{C3380CC4-5D6E-409C-BE32-E72D297353CC}">
              <c16:uniqueId val="{00000000-DE27-4539-B068-00A1DF1973C6}"/>
            </c:ext>
          </c:extLst>
        </c:ser>
        <c:ser>
          <c:idx val="0"/>
          <c:order val="0"/>
          <c:tx>
            <c:v>permeation</c:v>
          </c:tx>
          <c:spPr>
            <a:ln w="28575">
              <a:noFill/>
            </a:ln>
          </c:spPr>
          <c:xVal>
            <c:numRef>
              <c:f>'Chao 2007'!$M$7:$M$9</c:f>
              <c:numCache>
                <c:formatCode>General</c:formatCode>
                <c:ptCount val="3"/>
                <c:pt idx="0">
                  <c:v>2.7000000000000002E-12</c:v>
                </c:pt>
                <c:pt idx="1">
                  <c:v>3.4000000000000001E-12</c:v>
                </c:pt>
                <c:pt idx="2">
                  <c:v>7.9000000000000015E-12</c:v>
                </c:pt>
              </c:numCache>
            </c:numRef>
          </c:xVal>
          <c:yVal>
            <c:numRef>
              <c:f>('Chao 2007'!$M$15,'Chao 2007'!$M$18,'Chao 2007'!$M$21)</c:f>
              <c:numCache>
                <c:formatCode>General</c:formatCode>
                <c:ptCount val="3"/>
                <c:pt idx="0">
                  <c:v>4.4999999999999998E-12</c:v>
                </c:pt>
                <c:pt idx="1">
                  <c:v>3.9999999999999999E-12</c:v>
                </c:pt>
                <c:pt idx="2">
                  <c:v>8.9000000000000013E-12</c:v>
                </c:pt>
              </c:numCache>
            </c:numRef>
          </c:yVal>
          <c:smooth val="0"/>
          <c:extLst>
            <c:ext xmlns:c16="http://schemas.microsoft.com/office/drawing/2014/chart" uri="{C3380CC4-5D6E-409C-BE32-E72D297353CC}">
              <c16:uniqueId val="{00000001-DE27-4539-B068-00A1DF1973C6}"/>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DE27-4539-B068-00A1DF1973C6}"/>
            </c:ext>
          </c:extLst>
        </c:ser>
        <c:dLbls>
          <c:showLegendKey val="0"/>
          <c:showVal val="0"/>
          <c:showCatName val="0"/>
          <c:showSerName val="0"/>
          <c:showPercent val="0"/>
          <c:showBubbleSize val="0"/>
        </c:dLbls>
        <c:axId val="159507584"/>
        <c:axId val="159509504"/>
      </c:scatterChart>
      <c:valAx>
        <c:axId val="159507584"/>
        <c:scaling>
          <c:orientation val="minMax"/>
          <c:max val="1.2000000000000007E-11"/>
          <c:min val="0"/>
        </c:scaling>
        <c:delete val="0"/>
        <c:axPos val="b"/>
        <c:title>
          <c:tx>
            <c:rich>
              <a:bodyPr/>
              <a:lstStyle/>
              <a:p>
                <a:pPr>
                  <a:defRPr/>
                </a:pPr>
                <a:r>
                  <a:rPr lang="en-US"/>
                  <a:t>D</a:t>
                </a:r>
                <a:r>
                  <a:rPr lang="en-US" baseline="0"/>
                  <a:t> cm/dag </a:t>
                </a:r>
                <a:r>
                  <a:rPr lang="en-US"/>
                  <a:t>(dikte 0,5 mm HDPE)</a:t>
                </a:r>
              </a:p>
            </c:rich>
          </c:tx>
          <c:overlay val="0"/>
        </c:title>
        <c:numFmt formatCode="General" sourceLinked="1"/>
        <c:majorTickMark val="out"/>
        <c:minorTickMark val="none"/>
        <c:tickLblPos val="nextTo"/>
        <c:crossAx val="159509504"/>
        <c:crosses val="autoZero"/>
        <c:crossBetween val="midCat"/>
      </c:valAx>
      <c:valAx>
        <c:axId val="159509504"/>
        <c:scaling>
          <c:logBase val="10"/>
          <c:orientation val="minMax"/>
          <c:max val="1.2000000000000007E-11"/>
          <c:min val="1"/>
        </c:scaling>
        <c:delete val="0"/>
        <c:axPos val="l"/>
        <c:title>
          <c:tx>
            <c:rich>
              <a:bodyPr rot="-5400000" vert="horz"/>
              <a:lstStyle/>
              <a:p>
                <a:pPr>
                  <a:defRPr/>
                </a:pPr>
                <a:r>
                  <a:rPr lang="en-US"/>
                  <a:t>D</a:t>
                </a:r>
                <a:r>
                  <a:rPr lang="en-US" baseline="0"/>
                  <a:t> cm/dag</a:t>
                </a:r>
                <a:r>
                  <a:rPr lang="en-US"/>
                  <a:t> (dikte 1 mm HDPE)</a:t>
                </a:r>
              </a:p>
            </c:rich>
          </c:tx>
          <c:overlay val="0"/>
        </c:title>
        <c:numFmt formatCode="General" sourceLinked="1"/>
        <c:majorTickMark val="out"/>
        <c:minorTickMark val="none"/>
        <c:tickLblPos val="nextTo"/>
        <c:crossAx val="159507584"/>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2007'!$K$7:$K$9</c:f>
              <c:numCache>
                <c:formatCode>0.0</c:formatCode>
                <c:ptCount val="3"/>
                <c:pt idx="0">
                  <c:v>1.1837744533947065</c:v>
                </c:pt>
                <c:pt idx="1">
                  <c:v>6.1263749999999995</c:v>
                </c:pt>
                <c:pt idx="2">
                  <c:v>128.62</c:v>
                </c:pt>
              </c:numCache>
            </c:numRef>
          </c:xVal>
          <c:yVal>
            <c:numRef>
              <c:f>('Chao 2007'!$K$15,'Chao 2007'!$K$18,'Chao 2007'!$K$21)</c:f>
              <c:numCache>
                <c:formatCode>0.0</c:formatCode>
                <c:ptCount val="3"/>
                <c:pt idx="0">
                  <c:v>1.6135788262370545</c:v>
                </c:pt>
                <c:pt idx="1">
                  <c:v>7.5240000000000009</c:v>
                </c:pt>
                <c:pt idx="2">
                  <c:v>104.03999999999999</c:v>
                </c:pt>
              </c:numCache>
            </c:numRef>
          </c:yVal>
          <c:smooth val="0"/>
          <c:extLst>
            <c:ext xmlns:c16="http://schemas.microsoft.com/office/drawing/2014/chart" uri="{C3380CC4-5D6E-409C-BE32-E72D297353CC}">
              <c16:uniqueId val="{00000000-5784-4ACC-A140-68A053D5C2FC}"/>
            </c:ext>
          </c:extLst>
        </c:ser>
        <c:ser>
          <c:idx val="0"/>
          <c:order val="0"/>
          <c:tx>
            <c:v>permeation</c:v>
          </c:tx>
          <c:spPr>
            <a:ln w="28575">
              <a:noFill/>
            </a:ln>
          </c:spPr>
          <c:xVal>
            <c:numRef>
              <c:f>'Chao 2007'!$Q$7:$Q$9</c:f>
              <c:numCache>
                <c:formatCode>0.0</c:formatCode>
                <c:ptCount val="3"/>
                <c:pt idx="0">
                  <c:v>1.506904487917146</c:v>
                </c:pt>
                <c:pt idx="1">
                  <c:v>8.355500000000001</c:v>
                </c:pt>
                <c:pt idx="2">
                  <c:v>150.67454545454547</c:v>
                </c:pt>
              </c:numCache>
            </c:numRef>
          </c:xVal>
          <c:yVal>
            <c:numRef>
              <c:f>('Chao 2007'!$Q$15,'Chao 2007'!$Q$18,'Chao 2007'!$Q$21)</c:f>
              <c:numCache>
                <c:formatCode>0.0</c:formatCode>
                <c:ptCount val="3"/>
                <c:pt idx="0">
                  <c:v>0.93728423475258926</c:v>
                </c:pt>
                <c:pt idx="1">
                  <c:v>6.7200000000000006</c:v>
                </c:pt>
                <c:pt idx="2">
                  <c:v>123.95272727272726</c:v>
                </c:pt>
              </c:numCache>
            </c:numRef>
          </c:yVal>
          <c:smooth val="0"/>
          <c:extLst>
            <c:ext xmlns:c16="http://schemas.microsoft.com/office/drawing/2014/chart" uri="{C3380CC4-5D6E-409C-BE32-E72D297353CC}">
              <c16:uniqueId val="{00000001-5784-4ACC-A140-68A053D5C2FC}"/>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5784-4ACC-A140-68A053D5C2FC}"/>
            </c:ext>
          </c:extLst>
        </c:ser>
        <c:dLbls>
          <c:showLegendKey val="0"/>
          <c:showVal val="0"/>
          <c:showCatName val="0"/>
          <c:showSerName val="0"/>
          <c:showPercent val="0"/>
          <c:showBubbleSize val="0"/>
        </c:dLbls>
        <c:axId val="159544064"/>
        <c:axId val="159545984"/>
      </c:scatterChart>
      <c:valAx>
        <c:axId val="159544064"/>
        <c:scaling>
          <c:logBase val="10"/>
          <c:orientation val="minMax"/>
          <c:max val="1000"/>
          <c:min val="0.1"/>
        </c:scaling>
        <c:delete val="0"/>
        <c:axPos val="b"/>
        <c:title>
          <c:tx>
            <c:rich>
              <a:bodyPr/>
              <a:lstStyle/>
              <a:p>
                <a:pPr>
                  <a:defRPr/>
                </a:pPr>
                <a:r>
                  <a:rPr lang="en-US" baseline="0"/>
                  <a:t>P </a:t>
                </a:r>
                <a:r>
                  <a:rPr lang="en-US"/>
                  <a:t>(dikte 0,5 mm HDPE)</a:t>
                </a:r>
              </a:p>
            </c:rich>
          </c:tx>
          <c:overlay val="0"/>
        </c:title>
        <c:numFmt formatCode="0.0" sourceLinked="1"/>
        <c:majorTickMark val="out"/>
        <c:minorTickMark val="none"/>
        <c:tickLblPos val="nextTo"/>
        <c:crossAx val="159545984"/>
        <c:crossesAt val="1.0000000000000006E-11"/>
        <c:crossBetween val="midCat"/>
      </c:valAx>
      <c:valAx>
        <c:axId val="159545984"/>
        <c:scaling>
          <c:logBase val="10"/>
          <c:orientation val="minMax"/>
          <c:max val="1000"/>
          <c:min val="0.1"/>
        </c:scaling>
        <c:delete val="0"/>
        <c:axPos val="l"/>
        <c:title>
          <c:tx>
            <c:rich>
              <a:bodyPr rot="-5400000" vert="horz"/>
              <a:lstStyle/>
              <a:p>
                <a:pPr>
                  <a:defRPr/>
                </a:pPr>
                <a:r>
                  <a:rPr lang="en-US"/>
                  <a:t>P (dikte 1 mm HDPE)</a:t>
                </a:r>
              </a:p>
            </c:rich>
          </c:tx>
          <c:overlay val="0"/>
        </c:title>
        <c:numFmt formatCode="0.0" sourceLinked="1"/>
        <c:majorTickMark val="out"/>
        <c:minorTickMark val="none"/>
        <c:tickLblPos val="nextTo"/>
        <c:crossAx val="159544064"/>
        <c:crossesAt val="1.0000000000000006E-10"/>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2007'!$F$7:$F$9</c:f>
              <c:numCache>
                <c:formatCode>General</c:formatCode>
                <c:ptCount val="3"/>
                <c:pt idx="0">
                  <c:v>0.27</c:v>
                </c:pt>
                <c:pt idx="1">
                  <c:v>0.51</c:v>
                </c:pt>
                <c:pt idx="2">
                  <c:v>1.18</c:v>
                </c:pt>
              </c:numCache>
            </c:numRef>
          </c:xVal>
          <c:yVal>
            <c:numRef>
              <c:f>('Chao 2007'!$F$15,'Chao 2007'!$F$18,'Chao 2007'!$F$21)</c:f>
              <c:numCache>
                <c:formatCode>General</c:formatCode>
                <c:ptCount val="3"/>
                <c:pt idx="0">
                  <c:v>0.38</c:v>
                </c:pt>
                <c:pt idx="1">
                  <c:v>0.66</c:v>
                </c:pt>
                <c:pt idx="2">
                  <c:v>1.02</c:v>
                </c:pt>
              </c:numCache>
            </c:numRef>
          </c:yVal>
          <c:smooth val="0"/>
          <c:extLst>
            <c:ext xmlns:c16="http://schemas.microsoft.com/office/drawing/2014/chart" uri="{C3380CC4-5D6E-409C-BE32-E72D297353CC}">
              <c16:uniqueId val="{00000000-AB58-4C63-AC87-2B899246EA9E}"/>
            </c:ext>
          </c:extLst>
        </c:ser>
        <c:ser>
          <c:idx val="0"/>
          <c:order val="0"/>
          <c:tx>
            <c:v>permeation</c:v>
          </c:tx>
          <c:spPr>
            <a:ln w="28575">
              <a:noFill/>
            </a:ln>
          </c:spPr>
          <c:xVal>
            <c:numRef>
              <c:f>'Chao 2007'!$L$7:$L$9</c:f>
              <c:numCache>
                <c:formatCode>General</c:formatCode>
                <c:ptCount val="3"/>
                <c:pt idx="0">
                  <c:v>0.27</c:v>
                </c:pt>
                <c:pt idx="1">
                  <c:v>0.34</c:v>
                </c:pt>
                <c:pt idx="2">
                  <c:v>0.79</c:v>
                </c:pt>
              </c:numCache>
            </c:numRef>
          </c:xVal>
          <c:yVal>
            <c:numRef>
              <c:f>('Chao 2007'!$L$15,'Chao 2007'!$L$18,'Chao 2007'!$L$21)</c:f>
              <c:numCache>
                <c:formatCode>General</c:formatCode>
                <c:ptCount val="3"/>
                <c:pt idx="0">
                  <c:v>0.45</c:v>
                </c:pt>
                <c:pt idx="1">
                  <c:v>0.4</c:v>
                </c:pt>
                <c:pt idx="2">
                  <c:v>0.89</c:v>
                </c:pt>
              </c:numCache>
            </c:numRef>
          </c:yVal>
          <c:smooth val="0"/>
          <c:extLst>
            <c:ext xmlns:c16="http://schemas.microsoft.com/office/drawing/2014/chart" uri="{C3380CC4-5D6E-409C-BE32-E72D297353CC}">
              <c16:uniqueId val="{00000001-AB58-4C63-AC87-2B899246EA9E}"/>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AB58-4C63-AC87-2B899246EA9E}"/>
            </c:ext>
          </c:extLst>
        </c:ser>
        <c:dLbls>
          <c:showLegendKey val="0"/>
          <c:showVal val="0"/>
          <c:showCatName val="0"/>
          <c:showSerName val="0"/>
          <c:showPercent val="0"/>
          <c:showBubbleSize val="0"/>
        </c:dLbls>
        <c:axId val="160514816"/>
        <c:axId val="160516736"/>
      </c:scatterChart>
      <c:valAx>
        <c:axId val="160514816"/>
        <c:scaling>
          <c:logBase val="10"/>
          <c:orientation val="minMax"/>
          <c:max val="10"/>
          <c:min val="0.1"/>
        </c:scaling>
        <c:delete val="0"/>
        <c:axPos val="b"/>
        <c:title>
          <c:tx>
            <c:rich>
              <a:bodyPr/>
              <a:lstStyle/>
              <a:p>
                <a:pPr>
                  <a:defRPr/>
                </a:pPr>
                <a:r>
                  <a:rPr lang="en-US" baseline="0"/>
                  <a:t>D </a:t>
                </a:r>
                <a:r>
                  <a:rPr lang="en-US"/>
                  <a:t>(dikte 0,5 mm HDPE)</a:t>
                </a:r>
              </a:p>
            </c:rich>
          </c:tx>
          <c:overlay val="0"/>
        </c:title>
        <c:numFmt formatCode="General" sourceLinked="1"/>
        <c:majorTickMark val="out"/>
        <c:minorTickMark val="none"/>
        <c:tickLblPos val="nextTo"/>
        <c:crossAx val="160516736"/>
        <c:crossesAt val="1.0000000000000006E-11"/>
        <c:crossBetween val="midCat"/>
      </c:valAx>
      <c:valAx>
        <c:axId val="160516736"/>
        <c:scaling>
          <c:logBase val="10"/>
          <c:orientation val="minMax"/>
          <c:max val="10"/>
          <c:min val="0.1"/>
        </c:scaling>
        <c:delete val="0"/>
        <c:axPos val="l"/>
        <c:title>
          <c:tx>
            <c:rich>
              <a:bodyPr rot="-5400000" vert="horz"/>
              <a:lstStyle/>
              <a:p>
                <a:pPr>
                  <a:defRPr/>
                </a:pPr>
                <a:r>
                  <a:rPr lang="en-US"/>
                  <a:t>D (dikte 1 mm HDPE)</a:t>
                </a:r>
              </a:p>
            </c:rich>
          </c:tx>
          <c:overlay val="0"/>
        </c:title>
        <c:numFmt formatCode="General" sourceLinked="1"/>
        <c:majorTickMark val="out"/>
        <c:minorTickMark val="none"/>
        <c:tickLblPos val="nextTo"/>
        <c:crossAx val="160514816"/>
        <c:crossesAt val="1.0000000000000006E-10"/>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LAB!$A$9</c:f>
              <c:strCache>
                <c:ptCount val="1"/>
                <c:pt idx="0">
                  <c:v>Aminabavi et al 1999</c:v>
                </c:pt>
              </c:strCache>
            </c:strRef>
          </c:tx>
          <c:spPr>
            <a:ln w="28575">
              <a:noFill/>
            </a:ln>
          </c:spPr>
          <c:marker>
            <c:symbol val="square"/>
            <c:size val="6"/>
            <c:spPr>
              <a:noFill/>
              <a:ln>
                <a:solidFill>
                  <a:schemeClr val="tx1"/>
                </a:solidFill>
              </a:ln>
            </c:spPr>
          </c:marker>
          <c:xVal>
            <c:numRef>
              <c:f>LAB!$J$9:$J$22</c:f>
              <c:numCache>
                <c:formatCode>General</c:formatCode>
                <c:ptCount val="14"/>
                <c:pt idx="0">
                  <c:v>-11.193820026016112</c:v>
                </c:pt>
                <c:pt idx="1">
                  <c:v>-11.167491087293763</c:v>
                </c:pt>
                <c:pt idx="2">
                  <c:v>-11.193820026016112</c:v>
                </c:pt>
                <c:pt idx="3">
                  <c:v>-11.468521082957745</c:v>
                </c:pt>
                <c:pt idx="4">
                  <c:v>-11.67778070526608</c:v>
                </c:pt>
                <c:pt idx="5">
                  <c:v>-11.267606240177031</c:v>
                </c:pt>
                <c:pt idx="6">
                  <c:v>-12.154901959985743</c:v>
                </c:pt>
                <c:pt idx="7">
                  <c:v>-11.086186147616283</c:v>
                </c:pt>
                <c:pt idx="8">
                  <c:v>-11.376750709602099</c:v>
                </c:pt>
                <c:pt idx="9">
                  <c:v>-11.769551078621726</c:v>
                </c:pt>
                <c:pt idx="10">
                  <c:v>-11.721246399047171</c:v>
                </c:pt>
                <c:pt idx="11">
                  <c:v>-12.154901959985743</c:v>
                </c:pt>
                <c:pt idx="12">
                  <c:v>-11.769551078621726</c:v>
                </c:pt>
                <c:pt idx="13">
                  <c:v>-11.468521082957745</c:v>
                </c:pt>
              </c:numCache>
            </c:numRef>
          </c:xVal>
          <c:yVal>
            <c:numRef>
              <c:f>LAB!$K$9:$K$22</c:f>
              <c:numCache>
                <c:formatCode>General</c:formatCode>
                <c:ptCount val="14"/>
                <c:pt idx="0">
                  <c:v>-11.119186407719209</c:v>
                </c:pt>
                <c:pt idx="1">
                  <c:v>-11.154901959985743</c:v>
                </c:pt>
                <c:pt idx="2">
                  <c:v>-11.167491087293763</c:v>
                </c:pt>
                <c:pt idx="3">
                  <c:v>-11.522878745280337</c:v>
                </c:pt>
                <c:pt idx="4">
                  <c:v>-11.795880017344075</c:v>
                </c:pt>
                <c:pt idx="5">
                  <c:v>-11.214670164989233</c:v>
                </c:pt>
                <c:pt idx="6">
                  <c:v>-12.096910013008056</c:v>
                </c:pt>
                <c:pt idx="7">
                  <c:v>-11.769551078621726</c:v>
                </c:pt>
                <c:pt idx="8">
                  <c:v>-11.638272163982407</c:v>
                </c:pt>
                <c:pt idx="9">
                  <c:v>-12.045757490560675</c:v>
                </c:pt>
                <c:pt idx="10">
                  <c:v>-11.958607314841775</c:v>
                </c:pt>
                <c:pt idx="11">
                  <c:v>-12.301029995663981</c:v>
                </c:pt>
                <c:pt idx="12">
                  <c:v>-11.795880017344075</c:v>
                </c:pt>
                <c:pt idx="13">
                  <c:v>-12.154901959985743</c:v>
                </c:pt>
              </c:numCache>
            </c:numRef>
          </c:yVal>
          <c:smooth val="0"/>
          <c:extLst>
            <c:ext xmlns:c16="http://schemas.microsoft.com/office/drawing/2014/chart" uri="{C3380CC4-5D6E-409C-BE32-E72D297353CC}">
              <c16:uniqueId val="{00000000-D5F9-4B73-813F-2DBB266C88BB}"/>
            </c:ext>
          </c:extLst>
        </c:ser>
        <c:ser>
          <c:idx val="0"/>
          <c:order val="1"/>
          <c:tx>
            <c:strRef>
              <c:f>LAB!$A$25</c:f>
              <c:strCache>
                <c:ptCount val="1"/>
                <c:pt idx="0">
                  <c:v>Welton et al 2010</c:v>
                </c:pt>
              </c:strCache>
            </c:strRef>
          </c:tx>
          <c:spPr>
            <a:ln w="28575">
              <a:noFill/>
            </a:ln>
          </c:spPr>
          <c:marker>
            <c:symbol val="diamond"/>
            <c:size val="6"/>
            <c:spPr>
              <a:solidFill>
                <a:schemeClr val="tx1"/>
              </a:solidFill>
              <a:ln>
                <a:solidFill>
                  <a:schemeClr val="tx1"/>
                </a:solidFill>
              </a:ln>
            </c:spPr>
          </c:marker>
          <c:xVal>
            <c:numRef>
              <c:f>LAB!$J$25:$J$37</c:f>
              <c:numCache>
                <c:formatCode>General</c:formatCode>
                <c:ptCount val="13"/>
                <c:pt idx="6">
                  <c:v>-12.303643611266669</c:v>
                </c:pt>
                <c:pt idx="7">
                  <c:v>-11.191114132640188</c:v>
                </c:pt>
                <c:pt idx="8">
                  <c:v>-12.177178354696895</c:v>
                </c:pt>
                <c:pt idx="9">
                  <c:v>-11.235077015350111</c:v>
                </c:pt>
                <c:pt idx="10">
                  <c:v>-11.244887733604928</c:v>
                </c:pt>
                <c:pt idx="11">
                  <c:v>-11.430626090384955</c:v>
                </c:pt>
                <c:pt idx="12">
                  <c:v>-11.260427655549908</c:v>
                </c:pt>
              </c:numCache>
            </c:numRef>
          </c:xVal>
          <c:yVal>
            <c:numRef>
              <c:f>LAB!$K$25:$K$37</c:f>
              <c:numCache>
                <c:formatCode>General</c:formatCode>
                <c:ptCount val="13"/>
                <c:pt idx="6">
                  <c:v>-13.070581074285707</c:v>
                </c:pt>
                <c:pt idx="7">
                  <c:v>-11.247874692702101</c:v>
                </c:pt>
                <c:pt idx="8">
                  <c:v>-12.690369832574101</c:v>
                </c:pt>
                <c:pt idx="9">
                  <c:v>-11.472756883611911</c:v>
                </c:pt>
                <c:pt idx="10">
                  <c:v>-11.537602002101044</c:v>
                </c:pt>
                <c:pt idx="11">
                  <c:v>-11.721475035262982</c:v>
                </c:pt>
                <c:pt idx="12">
                  <c:v>-11.588717086982616</c:v>
                </c:pt>
              </c:numCache>
            </c:numRef>
          </c:yVal>
          <c:smooth val="0"/>
          <c:extLst>
            <c:ext xmlns:c16="http://schemas.microsoft.com/office/drawing/2014/chart" uri="{C3380CC4-5D6E-409C-BE32-E72D297353CC}">
              <c16:uniqueId val="{00000001-D5F9-4B73-813F-2DBB266C88BB}"/>
            </c:ext>
          </c:extLst>
        </c:ser>
        <c:ser>
          <c:idx val="2"/>
          <c:order val="2"/>
          <c:tx>
            <c:v>lijn 1:1</c:v>
          </c:tx>
          <c:spPr>
            <a:ln w="28575">
              <a:solidFill>
                <a:schemeClr val="tx1"/>
              </a:solidFill>
            </a:ln>
          </c:spPr>
          <c:marker>
            <c:symbol val="none"/>
          </c:marker>
          <c:xVal>
            <c:numRef>
              <c:f>LAB!$P$12:$P$13</c:f>
              <c:numCache>
                <c:formatCode>General</c:formatCode>
                <c:ptCount val="2"/>
                <c:pt idx="0">
                  <c:v>-10</c:v>
                </c:pt>
                <c:pt idx="1">
                  <c:v>-14</c:v>
                </c:pt>
              </c:numCache>
            </c:numRef>
          </c:xVal>
          <c:yVal>
            <c:numRef>
              <c:f>LAB!$P$12:$P$13</c:f>
              <c:numCache>
                <c:formatCode>General</c:formatCode>
                <c:ptCount val="2"/>
                <c:pt idx="0">
                  <c:v>-10</c:v>
                </c:pt>
                <c:pt idx="1">
                  <c:v>-14</c:v>
                </c:pt>
              </c:numCache>
            </c:numRef>
          </c:yVal>
          <c:smooth val="0"/>
          <c:extLst>
            <c:ext xmlns:c16="http://schemas.microsoft.com/office/drawing/2014/chart" uri="{C3380CC4-5D6E-409C-BE32-E72D297353CC}">
              <c16:uniqueId val="{00000002-D5F9-4B73-813F-2DBB266C88BB}"/>
            </c:ext>
          </c:extLst>
        </c:ser>
        <c:ser>
          <c:idx val="4"/>
          <c:order val="3"/>
          <c:tx>
            <c:v>linear</c:v>
          </c:tx>
          <c:spPr>
            <a:ln w="9525">
              <a:solidFill>
                <a:schemeClr val="tx1"/>
              </a:solidFill>
              <a:prstDash val="sysDash"/>
            </a:ln>
          </c:spPr>
          <c:marker>
            <c:symbol val="none"/>
          </c:marker>
          <c:xVal>
            <c:numRef>
              <c:f>LAB!$P$12:$P$13</c:f>
              <c:numCache>
                <c:formatCode>General</c:formatCode>
                <c:ptCount val="2"/>
                <c:pt idx="0">
                  <c:v>-10</c:v>
                </c:pt>
                <c:pt idx="1">
                  <c:v>-14</c:v>
                </c:pt>
              </c:numCache>
            </c:numRef>
          </c:xVal>
          <c:yVal>
            <c:numRef>
              <c:f>LAB!$Q$12:$Q$13</c:f>
              <c:numCache>
                <c:formatCode>General</c:formatCode>
                <c:ptCount val="2"/>
                <c:pt idx="0">
                  <c:v>-9.9959081334438569</c:v>
                </c:pt>
                <c:pt idx="1">
                  <c:v>-14.594741989000729</c:v>
                </c:pt>
              </c:numCache>
            </c:numRef>
          </c:yVal>
          <c:smooth val="0"/>
          <c:extLst>
            <c:ext xmlns:c16="http://schemas.microsoft.com/office/drawing/2014/chart" uri="{C3380CC4-5D6E-409C-BE32-E72D297353CC}">
              <c16:uniqueId val="{00000003-D5F9-4B73-813F-2DBB266C88BB}"/>
            </c:ext>
          </c:extLst>
        </c:ser>
        <c:dLbls>
          <c:showLegendKey val="0"/>
          <c:showVal val="0"/>
          <c:showCatName val="0"/>
          <c:showSerName val="0"/>
          <c:showPercent val="0"/>
          <c:showBubbleSize val="0"/>
        </c:dLbls>
        <c:axId val="160581504"/>
        <c:axId val="160591872"/>
      </c:scatterChart>
      <c:valAx>
        <c:axId val="160581504"/>
        <c:scaling>
          <c:orientation val="minMax"/>
          <c:max val="-10"/>
          <c:min val="-14"/>
        </c:scaling>
        <c:delete val="0"/>
        <c:axPos val="b"/>
        <c:title>
          <c:tx>
            <c:rich>
              <a:bodyPr/>
              <a:lstStyle/>
              <a:p>
                <a:pPr>
                  <a:defRPr/>
                </a:pPr>
                <a:r>
                  <a:rPr lang="en-US"/>
                  <a:t>Sorption -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591872"/>
        <c:crossesAt val="-1000"/>
        <c:crossBetween val="midCat"/>
      </c:valAx>
      <c:valAx>
        <c:axId val="160591872"/>
        <c:scaling>
          <c:orientation val="minMax"/>
          <c:max val="-10"/>
          <c:min val="-14"/>
        </c:scaling>
        <c:delete val="0"/>
        <c:axPos val="l"/>
        <c:title>
          <c:tx>
            <c:rich>
              <a:bodyPr rot="-5400000" vert="horz"/>
              <a:lstStyle/>
              <a:p>
                <a:pPr>
                  <a:defRPr/>
                </a:pPr>
                <a:r>
                  <a:rPr lang="en-US"/>
                  <a:t>Desorption -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581504"/>
        <c:crossesAt val="-1000"/>
        <c:crossBetween val="midCat"/>
        <c:majorUnit val="1"/>
      </c:valAx>
      <c:spPr>
        <a:ln>
          <a:solidFill>
            <a:schemeClr val="tx1"/>
          </a:solidFill>
        </a:ln>
      </c:spPr>
    </c:plotArea>
    <c:legend>
      <c:legendPos val="r"/>
      <c:layout>
        <c:manualLayout>
          <c:xMode val="edge"/>
          <c:yMode val="edge"/>
          <c:x val="0.17819561291308961"/>
          <c:y val="7.369021580635754E-2"/>
          <c:w val="0.42046797945677539"/>
          <c:h val="0.11341426071741034"/>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LAB!$H$43:$H$50</c:f>
              <c:numCache>
                <c:formatCode>General</c:formatCode>
                <c:ptCount val="8"/>
                <c:pt idx="0">
                  <c:v>0.48429983934678583</c:v>
                </c:pt>
                <c:pt idx="1">
                  <c:v>0.57280055411990949</c:v>
                </c:pt>
                <c:pt idx="2">
                  <c:v>1.082356259012075</c:v>
                </c:pt>
                <c:pt idx="3">
                  <c:v>2.0125513559933883</c:v>
                </c:pt>
                <c:pt idx="4">
                  <c:v>1.687711085658999</c:v>
                </c:pt>
                <c:pt idx="5">
                  <c:v>2.229189913970385</c:v>
                </c:pt>
                <c:pt idx="6">
                  <c:v>2.4407328977954719</c:v>
                </c:pt>
                <c:pt idx="7">
                  <c:v>2.8059772016048585</c:v>
                </c:pt>
              </c:numCache>
            </c:numRef>
          </c:xVal>
          <c:yVal>
            <c:numRef>
              <c:f>LAB!$I$43:$I$50</c:f>
              <c:numCache>
                <c:formatCode>General</c:formatCode>
                <c:ptCount val="8"/>
                <c:pt idx="0">
                  <c:v>0.78568566828090136</c:v>
                </c:pt>
                <c:pt idx="1">
                  <c:v>0.67761731704655381</c:v>
                </c:pt>
                <c:pt idx="2">
                  <c:v>1.3932163848396466</c:v>
                </c:pt>
                <c:pt idx="3">
                  <c:v>2.2555376567520784</c:v>
                </c:pt>
                <c:pt idx="4">
                  <c:v>1.9914219199707517</c:v>
                </c:pt>
                <c:pt idx="5">
                  <c:v>2.5141924642002156</c:v>
                </c:pt>
                <c:pt idx="6">
                  <c:v>2.7164471912886721</c:v>
                </c:pt>
                <c:pt idx="7">
                  <c:v>2.9848977506794041</c:v>
                </c:pt>
              </c:numCache>
            </c:numRef>
          </c:yVal>
          <c:smooth val="0"/>
          <c:extLst>
            <c:ext xmlns:c16="http://schemas.microsoft.com/office/drawing/2014/chart" uri="{C3380CC4-5D6E-409C-BE32-E72D297353CC}">
              <c16:uniqueId val="{00000000-0004-42C0-B769-342BE951F5A7}"/>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LAB!$H$61:$H$70</c:f>
              <c:numCache>
                <c:formatCode>0.00</c:formatCode>
                <c:ptCount val="10"/>
                <c:pt idx="0">
                  <c:v>1.6726519228400025</c:v>
                </c:pt>
                <c:pt idx="1">
                  <c:v>1.638589083292717</c:v>
                </c:pt>
                <c:pt idx="2">
                  <c:v>2.2111739567284943</c:v>
                </c:pt>
                <c:pt idx="3">
                  <c:v>1.1003705451175629</c:v>
                </c:pt>
                <c:pt idx="4">
                  <c:v>2.2435093126267751</c:v>
                </c:pt>
                <c:pt idx="5">
                  <c:v>1.7764105888073423</c:v>
                </c:pt>
                <c:pt idx="6">
                  <c:v>1.7097786018482253</c:v>
                </c:pt>
                <c:pt idx="7">
                  <c:v>1.794418330874141</c:v>
                </c:pt>
                <c:pt idx="8">
                  <c:v>2.3763396725710351</c:v>
                </c:pt>
                <c:pt idx="9">
                  <c:v>2.3454325474991466</c:v>
                </c:pt>
              </c:numCache>
            </c:numRef>
          </c:xVal>
          <c:yVal>
            <c:numRef>
              <c:f>LAB!$I$61:$I$70</c:f>
              <c:numCache>
                <c:formatCode>0.00</c:formatCode>
                <c:ptCount val="10"/>
                <c:pt idx="0">
                  <c:v>1.7823292689968369</c:v>
                </c:pt>
                <c:pt idx="1">
                  <c:v>1.7532765701844184</c:v>
                </c:pt>
                <c:pt idx="2">
                  <c:v>2.3653382023469409</c:v>
                </c:pt>
                <c:pt idx="3">
                  <c:v>1.2370407913791908</c:v>
                </c:pt>
                <c:pt idx="4">
                  <c:v>2.4373858559663875</c:v>
                </c:pt>
                <c:pt idx="5">
                  <c:v>2.0525015634137809</c:v>
                </c:pt>
                <c:pt idx="6">
                  <c:v>1.9145018228273141</c:v>
                </c:pt>
                <c:pt idx="7">
                  <c:v>2.1187275504270051</c:v>
                </c:pt>
                <c:pt idx="8">
                  <c:v>2.6416822839852192</c:v>
                </c:pt>
                <c:pt idx="9">
                  <c:v>2.5530937864371861</c:v>
                </c:pt>
              </c:numCache>
            </c:numRef>
          </c:yVal>
          <c:smooth val="0"/>
          <c:extLst>
            <c:ext xmlns:c16="http://schemas.microsoft.com/office/drawing/2014/chart" uri="{C3380CC4-5D6E-409C-BE32-E72D297353CC}">
              <c16:uniqueId val="{00000001-0004-42C0-B769-342BE951F5A7}"/>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LAB!$H$52:$H$59</c:f>
              <c:numCache>
                <c:formatCode>0.00</c:formatCode>
                <c:ptCount val="8"/>
                <c:pt idx="0">
                  <c:v>0.78532983501076703</c:v>
                </c:pt>
                <c:pt idx="1">
                  <c:v>0.97312785359969867</c:v>
                </c:pt>
                <c:pt idx="2">
                  <c:v>1.8633228601204559</c:v>
                </c:pt>
                <c:pt idx="3">
                  <c:v>1.4471580313422192</c:v>
                </c:pt>
                <c:pt idx="4">
                  <c:v>2.0314084642516241</c:v>
                </c:pt>
                <c:pt idx="5">
                  <c:v>2.4409090820652177</c:v>
                </c:pt>
                <c:pt idx="6">
                  <c:v>2.5490032620257876</c:v>
                </c:pt>
                <c:pt idx="7">
                  <c:v>2.3783979009481375</c:v>
                </c:pt>
              </c:numCache>
            </c:numRef>
          </c:xVal>
          <c:yVal>
            <c:numRef>
              <c:f>LAB!$I$52:$I$59</c:f>
              <c:numCache>
                <c:formatCode>0.00</c:formatCode>
                <c:ptCount val="8"/>
                <c:pt idx="0">
                  <c:v>0.77815125038364363</c:v>
                </c:pt>
                <c:pt idx="1">
                  <c:v>1.0791812460476249</c:v>
                </c:pt>
                <c:pt idx="2">
                  <c:v>1.9294189257142926</c:v>
                </c:pt>
                <c:pt idx="3">
                  <c:v>1.4771212547196624</c:v>
                </c:pt>
                <c:pt idx="4">
                  <c:v>2</c:v>
                </c:pt>
                <c:pt idx="5">
                  <c:v>2.4548448600085102</c:v>
                </c:pt>
                <c:pt idx="6">
                  <c:v>2.5403294747908736</c:v>
                </c:pt>
                <c:pt idx="7">
                  <c:v>2.3802112417116059</c:v>
                </c:pt>
              </c:numCache>
            </c:numRef>
          </c:yVal>
          <c:smooth val="0"/>
          <c:extLst>
            <c:ext xmlns:c16="http://schemas.microsoft.com/office/drawing/2014/chart" uri="{C3380CC4-5D6E-409C-BE32-E72D297353CC}">
              <c16:uniqueId val="{00000002-0004-42C0-B769-342BE951F5A7}"/>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LAB!$H$73:$H$85</c:f>
              <c:numCache>
                <c:formatCode>0.00</c:formatCode>
                <c:ptCount val="13"/>
                <c:pt idx="0">
                  <c:v>2.2424953807499222</c:v>
                </c:pt>
                <c:pt idx="1">
                  <c:v>2.39195413753158</c:v>
                </c:pt>
                <c:pt idx="2">
                  <c:v>3.1283314331700307</c:v>
                </c:pt>
                <c:pt idx="3">
                  <c:v>3.0347979202516164</c:v>
                </c:pt>
                <c:pt idx="5">
                  <c:v>-1.3049871481613979</c:v>
                </c:pt>
                <c:pt idx="8">
                  <c:v>2.2361388344502102</c:v>
                </c:pt>
                <c:pt idx="9">
                  <c:v>2.9802485803193512</c:v>
                </c:pt>
                <c:pt idx="10">
                  <c:v>3.1356017729088248</c:v>
                </c:pt>
                <c:pt idx="11">
                  <c:v>2.1101128651378098</c:v>
                </c:pt>
              </c:numCache>
            </c:numRef>
          </c:xVal>
          <c:yVal>
            <c:numRef>
              <c:f>LAB!$I$73:$I$85</c:f>
              <c:numCache>
                <c:formatCode>0.00</c:formatCode>
                <c:ptCount val="13"/>
                <c:pt idx="0">
                  <c:v>1.7323937598229686</c:v>
                </c:pt>
                <c:pt idx="1">
                  <c:v>1.5514499979728751</c:v>
                </c:pt>
                <c:pt idx="2">
                  <c:v>1.6794278966121188</c:v>
                </c:pt>
                <c:pt idx="3">
                  <c:v>1.354108439147401</c:v>
                </c:pt>
                <c:pt idx="4">
                  <c:v>1.5092025223311027</c:v>
                </c:pt>
                <c:pt idx="5">
                  <c:v>-0.74472749489669399</c:v>
                </c:pt>
                <c:pt idx="8">
                  <c:v>1.6242820958356683</c:v>
                </c:pt>
                <c:pt idx="9">
                  <c:v>1.8959747323590646</c:v>
                </c:pt>
                <c:pt idx="10">
                  <c:v>1.4313637641589874</c:v>
                </c:pt>
                <c:pt idx="11">
                  <c:v>1.5774917998372253</c:v>
                </c:pt>
              </c:numCache>
            </c:numRef>
          </c:yVal>
          <c:smooth val="0"/>
          <c:extLst>
            <c:ext xmlns:c16="http://schemas.microsoft.com/office/drawing/2014/chart" uri="{C3380CC4-5D6E-409C-BE32-E72D297353CC}">
              <c16:uniqueId val="{00000003-0004-42C0-B769-342BE951F5A7}"/>
            </c:ext>
          </c:extLst>
        </c:ser>
        <c:ser>
          <c:idx val="4"/>
          <c:order val="4"/>
          <c:tx>
            <c:v>regression (ex Vonk 1985)</c:v>
          </c:tx>
          <c:spPr>
            <a:ln w="9525">
              <a:solidFill>
                <a:schemeClr val="tx1"/>
              </a:solidFill>
              <a:prstDash val="sysDash"/>
            </a:ln>
          </c:spPr>
          <c:marker>
            <c:symbol val="none"/>
          </c:marker>
          <c:xVal>
            <c:numRef>
              <c:f>LAB!$P$51:$P$52</c:f>
              <c:numCache>
                <c:formatCode>General</c:formatCode>
                <c:ptCount val="2"/>
                <c:pt idx="0">
                  <c:v>0</c:v>
                </c:pt>
                <c:pt idx="1">
                  <c:v>5</c:v>
                </c:pt>
              </c:numCache>
            </c:numRef>
          </c:xVal>
          <c:yVal>
            <c:numRef>
              <c:f>LAB!$Q$51:$Q$52</c:f>
              <c:numCache>
                <c:formatCode>General</c:formatCode>
                <c:ptCount val="2"/>
                <c:pt idx="0">
                  <c:v>0.17031522563872659</c:v>
                </c:pt>
                <c:pt idx="1">
                  <c:v>5.1417002594050096</c:v>
                </c:pt>
              </c:numCache>
            </c:numRef>
          </c:yVal>
          <c:smooth val="0"/>
          <c:extLst>
            <c:ext xmlns:c16="http://schemas.microsoft.com/office/drawing/2014/chart" uri="{C3380CC4-5D6E-409C-BE32-E72D297353CC}">
              <c16:uniqueId val="{00000004-0004-42C0-B769-342BE951F5A7}"/>
            </c:ext>
          </c:extLst>
        </c:ser>
        <c:ser>
          <c:idx val="2"/>
          <c:order val="5"/>
          <c:tx>
            <c:v>lijn 1:1</c:v>
          </c:tx>
          <c:spPr>
            <a:ln w="9525">
              <a:solidFill>
                <a:schemeClr val="tx1"/>
              </a:solidFill>
            </a:ln>
          </c:spPr>
          <c:marker>
            <c:symbol val="none"/>
          </c:marker>
          <c:xVal>
            <c:numRef>
              <c:f>LAB!$P$51:$P$52</c:f>
              <c:numCache>
                <c:formatCode>General</c:formatCode>
                <c:ptCount val="2"/>
                <c:pt idx="0">
                  <c:v>0</c:v>
                </c:pt>
                <c:pt idx="1">
                  <c:v>5</c:v>
                </c:pt>
              </c:numCache>
            </c:numRef>
          </c:xVal>
          <c:yVal>
            <c:numRef>
              <c:f>LAB!$P$51:$P$52</c:f>
              <c:numCache>
                <c:formatCode>General</c:formatCode>
                <c:ptCount val="2"/>
                <c:pt idx="0">
                  <c:v>0</c:v>
                </c:pt>
                <c:pt idx="1">
                  <c:v>5</c:v>
                </c:pt>
              </c:numCache>
            </c:numRef>
          </c:yVal>
          <c:smooth val="0"/>
          <c:extLst>
            <c:ext xmlns:c16="http://schemas.microsoft.com/office/drawing/2014/chart" uri="{C3380CC4-5D6E-409C-BE32-E72D297353CC}">
              <c16:uniqueId val="{00000005-0004-42C0-B769-342BE951F5A7}"/>
            </c:ext>
          </c:extLst>
        </c:ser>
        <c:dLbls>
          <c:showLegendKey val="0"/>
          <c:showVal val="0"/>
          <c:showCatName val="0"/>
          <c:showSerName val="0"/>
          <c:showPercent val="0"/>
          <c:showBubbleSize val="0"/>
        </c:dLbls>
        <c:axId val="160641024"/>
        <c:axId val="160642944"/>
      </c:scatterChart>
      <c:valAx>
        <c:axId val="160641024"/>
        <c:scaling>
          <c:orientation val="minMax"/>
          <c:max val="5"/>
          <c:min val="0"/>
        </c:scaling>
        <c:delete val="0"/>
        <c:axPos val="b"/>
        <c:title>
          <c:tx>
            <c:rich>
              <a:bodyPr/>
              <a:lstStyle/>
              <a:p>
                <a:pPr>
                  <a:defRPr/>
                </a:pPr>
                <a:r>
                  <a:rPr lang="en-US"/>
                  <a:t>Sorption test </a:t>
                </a:r>
                <a:r>
                  <a:rPr lang="en-US" baseline="0"/>
                  <a:t>  </a:t>
                </a:r>
                <a:r>
                  <a:rPr lang="en-US"/>
                  <a:t> log P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642944"/>
        <c:crossesAt val="-1000"/>
        <c:crossBetween val="midCat"/>
      </c:valAx>
      <c:valAx>
        <c:axId val="160642944"/>
        <c:scaling>
          <c:orientation val="minMax"/>
          <c:max val="5"/>
          <c:min val="0"/>
        </c:scaling>
        <c:delete val="0"/>
        <c:axPos val="l"/>
        <c:title>
          <c:tx>
            <c:rich>
              <a:bodyPr rot="-5400000" vert="horz"/>
              <a:lstStyle/>
              <a:p>
                <a:pPr>
                  <a:defRPr/>
                </a:pPr>
                <a:r>
                  <a:rPr lang="en-US"/>
                  <a:t>Permeation test   log KP(m2/s)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641024"/>
        <c:crossesAt val="-1000"/>
        <c:crossBetween val="midCat"/>
        <c:majorUnit val="1"/>
      </c:valAx>
      <c:spPr>
        <a:ln>
          <a:solidFill>
            <a:schemeClr val="tx1"/>
          </a:solidFill>
        </a:ln>
      </c:spPr>
    </c:plotArea>
    <c:legend>
      <c:legendPos val="r"/>
      <c:layout>
        <c:manualLayout>
          <c:xMode val="edge"/>
          <c:yMode val="edge"/>
          <c:x val="0.17819560821274918"/>
          <c:y val="6.4838139023955021E-2"/>
          <c:w val="0.48178899680154036"/>
          <c:h val="0.24267645648391845"/>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LAB!$J$43:$J$50</c:f>
              <c:numCache>
                <c:formatCode>General</c:formatCode>
                <c:ptCount val="8"/>
                <c:pt idx="0">
                  <c:v>-11.060480747381382</c:v>
                </c:pt>
                <c:pt idx="1">
                  <c:v>-11.568636235841012</c:v>
                </c:pt>
                <c:pt idx="2">
                  <c:v>-11.292429823902063</c:v>
                </c:pt>
                <c:pt idx="3">
                  <c:v>-10.928117992693874</c:v>
                </c:pt>
                <c:pt idx="4">
                  <c:v>-11.275724130399212</c:v>
                </c:pt>
                <c:pt idx="5">
                  <c:v>-11.214670164989233</c:v>
                </c:pt>
                <c:pt idx="6">
                  <c:v>-11.244125144327509</c:v>
                </c:pt>
                <c:pt idx="7">
                  <c:v>-11.346787486224656</c:v>
                </c:pt>
              </c:numCache>
            </c:numRef>
          </c:xVal>
          <c:yVal>
            <c:numRef>
              <c:f>LAB!$K$43:$K$50</c:f>
              <c:numCache>
                <c:formatCode>General</c:formatCode>
                <c:ptCount val="8"/>
                <c:pt idx="0">
                  <c:v>-11.346787486224656</c:v>
                </c:pt>
                <c:pt idx="1">
                  <c:v>-11.568636235841012</c:v>
                </c:pt>
                <c:pt idx="2">
                  <c:v>-11.468521082957745</c:v>
                </c:pt>
                <c:pt idx="3">
                  <c:v>-11.102372908709558</c:v>
                </c:pt>
                <c:pt idx="4">
                  <c:v>-11.443697499232712</c:v>
                </c:pt>
                <c:pt idx="5">
                  <c:v>-11.387216143280265</c:v>
                </c:pt>
                <c:pt idx="6">
                  <c:v>-11.508638306165727</c:v>
                </c:pt>
                <c:pt idx="7">
                  <c:v>-11.602059991327963</c:v>
                </c:pt>
              </c:numCache>
            </c:numRef>
          </c:yVal>
          <c:smooth val="0"/>
          <c:extLst>
            <c:ext xmlns:c16="http://schemas.microsoft.com/office/drawing/2014/chart" uri="{C3380CC4-5D6E-409C-BE32-E72D297353CC}">
              <c16:uniqueId val="{00000000-90CF-401D-85E9-F49138AE254D}"/>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LAB!$J$61:$J$70</c:f>
              <c:numCache>
                <c:formatCode>General</c:formatCode>
                <c:ptCount val="10"/>
                <c:pt idx="0">
                  <c:v>-12.396855627379818</c:v>
                </c:pt>
                <c:pt idx="1">
                  <c:v>-12.496209316942819</c:v>
                </c:pt>
                <c:pt idx="2">
                  <c:v>-12.712198270069774</c:v>
                </c:pt>
                <c:pt idx="3">
                  <c:v>-12.290730039024169</c:v>
                </c:pt>
                <c:pt idx="4">
                  <c:v>-12.647817481888637</c:v>
                </c:pt>
                <c:pt idx="5">
                  <c:v>-12.405607449624574</c:v>
                </c:pt>
                <c:pt idx="6">
                  <c:v>-12.511449283499555</c:v>
                </c:pt>
                <c:pt idx="7">
                  <c:v>-12.440093374963887</c:v>
                </c:pt>
                <c:pt idx="8">
                  <c:v>-12.688246138944246</c:v>
                </c:pt>
                <c:pt idx="9">
                  <c:v>-12.485452247339714</c:v>
                </c:pt>
              </c:numCache>
            </c:numRef>
          </c:xVal>
          <c:yVal>
            <c:numRef>
              <c:f>LAB!$K$61:$K$70</c:f>
              <c:numCache>
                <c:formatCode>General</c:formatCode>
                <c:ptCount val="10"/>
                <c:pt idx="0">
                  <c:v>-12.338187314462738</c:v>
                </c:pt>
                <c:pt idx="1">
                  <c:v>-12.377785977033705</c:v>
                </c:pt>
                <c:pt idx="2">
                  <c:v>-12.667561540084394</c:v>
                </c:pt>
                <c:pt idx="3">
                  <c:v>-12.293282217663242</c:v>
                </c:pt>
                <c:pt idx="4">
                  <c:v>-12.636388020107855</c:v>
                </c:pt>
                <c:pt idx="5">
                  <c:v>-12.642065152999546</c:v>
                </c:pt>
                <c:pt idx="6">
                  <c:v>-12.701146923590294</c:v>
                </c:pt>
                <c:pt idx="7">
                  <c:v>-12.539102157243452</c:v>
                </c:pt>
                <c:pt idx="8">
                  <c:v>-12.903089986991944</c:v>
                </c:pt>
                <c:pt idx="9">
                  <c:v>-12.718966632752272</c:v>
                </c:pt>
              </c:numCache>
            </c:numRef>
          </c:yVal>
          <c:smooth val="0"/>
          <c:extLst>
            <c:ext xmlns:c16="http://schemas.microsoft.com/office/drawing/2014/chart" uri="{C3380CC4-5D6E-409C-BE32-E72D297353CC}">
              <c16:uniqueId val="{00000001-90CF-401D-85E9-F49138AE254D}"/>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LAB!$J$52:$J$59</c:f>
              <c:numCache>
                <c:formatCode>General</c:formatCode>
                <c:ptCount val="8"/>
              </c:numCache>
            </c:numRef>
          </c:xVal>
          <c:yVal>
            <c:numRef>
              <c:f>LAB!$K$52:$K$59</c:f>
              <c:numCache>
                <c:formatCode>General</c:formatCode>
                <c:ptCount val="8"/>
              </c:numCache>
            </c:numRef>
          </c:yVal>
          <c:smooth val="0"/>
          <c:extLst>
            <c:ext xmlns:c16="http://schemas.microsoft.com/office/drawing/2014/chart" uri="{C3380CC4-5D6E-409C-BE32-E72D297353CC}">
              <c16:uniqueId val="{00000002-90CF-401D-85E9-F49138AE254D}"/>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LAB!$J$73:$J$85</c:f>
              <c:numCache>
                <c:formatCode>0.00</c:formatCode>
                <c:ptCount val="13"/>
                <c:pt idx="0">
                  <c:v>-11.405034825436639</c:v>
                </c:pt>
                <c:pt idx="1">
                  <c:v>0</c:v>
                </c:pt>
                <c:pt idx="2">
                  <c:v>-11.657760141526065</c:v>
                </c:pt>
                <c:pt idx="3">
                  <c:v>-11.431363764158988</c:v>
                </c:pt>
                <c:pt idx="4" formatCode="General">
                  <c:v>795</c:v>
                </c:pt>
                <c:pt idx="5">
                  <c:v>-12.091415702464637</c:v>
                </c:pt>
                <c:pt idx="8">
                  <c:v>0</c:v>
                </c:pt>
                <c:pt idx="9">
                  <c:v>-12.091415702464637</c:v>
                </c:pt>
                <c:pt idx="10">
                  <c:v>-11.857332496431269</c:v>
                </c:pt>
                <c:pt idx="11">
                  <c:v>-11.489355711136675</c:v>
                </c:pt>
              </c:numCache>
            </c:numRef>
          </c:xVal>
          <c:yVal>
            <c:numRef>
              <c:f>LAB!$K$73:$K$85</c:f>
              <c:numCache>
                <c:formatCode>0.00</c:formatCode>
                <c:ptCount val="13"/>
                <c:pt idx="0">
                  <c:v>-12.044419139788413</c:v>
                </c:pt>
                <c:pt idx="1">
                  <c:v>-11.945287666786399</c:v>
                </c:pt>
                <c:pt idx="2">
                  <c:v>-12.345449135452395</c:v>
                </c:pt>
                <c:pt idx="3">
                  <c:v>-12.405034825436639</c:v>
                </c:pt>
                <c:pt idx="4">
                  <c:v>-12.228943566380957</c:v>
                </c:pt>
                <c:pt idx="5">
                  <c:v>-12.431363764158988</c:v>
                </c:pt>
                <c:pt idx="8">
                  <c:v>-12.27375591079732</c:v>
                </c:pt>
                <c:pt idx="9">
                  <c:v>-12.790385706800656</c:v>
                </c:pt>
                <c:pt idx="10">
                  <c:v>-12.790385706800656</c:v>
                </c:pt>
                <c:pt idx="11">
                  <c:v>-12.657760141526065</c:v>
                </c:pt>
              </c:numCache>
            </c:numRef>
          </c:yVal>
          <c:smooth val="0"/>
          <c:extLst>
            <c:ext xmlns:c16="http://schemas.microsoft.com/office/drawing/2014/chart" uri="{C3380CC4-5D6E-409C-BE32-E72D297353CC}">
              <c16:uniqueId val="{00000003-90CF-401D-85E9-F49138AE254D}"/>
            </c:ext>
          </c:extLst>
        </c:ser>
        <c:ser>
          <c:idx val="2"/>
          <c:order val="4"/>
          <c:tx>
            <c:v>lijn 1:1</c:v>
          </c:tx>
          <c:spPr>
            <a:ln w="9525">
              <a:solidFill>
                <a:schemeClr val="tx1"/>
              </a:solidFill>
            </a:ln>
          </c:spPr>
          <c:marker>
            <c:symbol val="none"/>
          </c:marker>
          <c:xVal>
            <c:numRef>
              <c:f>LAB!$P$46:$P$47</c:f>
              <c:numCache>
                <c:formatCode>General</c:formatCode>
                <c:ptCount val="2"/>
                <c:pt idx="0">
                  <c:v>-10</c:v>
                </c:pt>
                <c:pt idx="1">
                  <c:v>-14</c:v>
                </c:pt>
              </c:numCache>
            </c:numRef>
          </c:xVal>
          <c:yVal>
            <c:numRef>
              <c:f>LAB!$P$46:$P$47</c:f>
              <c:numCache>
                <c:formatCode>General</c:formatCode>
                <c:ptCount val="2"/>
                <c:pt idx="0">
                  <c:v>-10</c:v>
                </c:pt>
                <c:pt idx="1">
                  <c:v>-14</c:v>
                </c:pt>
              </c:numCache>
            </c:numRef>
          </c:yVal>
          <c:smooth val="0"/>
          <c:extLst>
            <c:ext xmlns:c16="http://schemas.microsoft.com/office/drawing/2014/chart" uri="{C3380CC4-5D6E-409C-BE32-E72D297353CC}">
              <c16:uniqueId val="{00000004-90CF-401D-85E9-F49138AE254D}"/>
            </c:ext>
          </c:extLst>
        </c:ser>
        <c:ser>
          <c:idx val="4"/>
          <c:order val="5"/>
          <c:tx>
            <c:v>linear</c:v>
          </c:tx>
          <c:spPr>
            <a:ln w="9525">
              <a:solidFill>
                <a:schemeClr val="tx1"/>
              </a:solidFill>
              <a:prstDash val="sysDash"/>
            </a:ln>
          </c:spPr>
          <c:marker>
            <c:symbol val="none"/>
          </c:marker>
          <c:xVal>
            <c:numRef>
              <c:f>LAB!$P$46:$P$47</c:f>
              <c:numCache>
                <c:formatCode>General</c:formatCode>
                <c:ptCount val="2"/>
                <c:pt idx="0">
                  <c:v>-10</c:v>
                </c:pt>
                <c:pt idx="1">
                  <c:v>-14</c:v>
                </c:pt>
              </c:numCache>
            </c:numRef>
          </c:xVal>
          <c:yVal>
            <c:numRef>
              <c:f>LAB!$Q$46:$Q$47</c:f>
              <c:numCache>
                <c:formatCode>General</c:formatCode>
                <c:ptCount val="2"/>
                <c:pt idx="0">
                  <c:v>-10.305654751150698</c:v>
                </c:pt>
                <c:pt idx="1">
                  <c:v>-13.932924900500998</c:v>
                </c:pt>
              </c:numCache>
            </c:numRef>
          </c:yVal>
          <c:smooth val="0"/>
          <c:extLst>
            <c:ext xmlns:c16="http://schemas.microsoft.com/office/drawing/2014/chart" uri="{C3380CC4-5D6E-409C-BE32-E72D297353CC}">
              <c16:uniqueId val="{00000005-90CF-401D-85E9-F49138AE254D}"/>
            </c:ext>
          </c:extLst>
        </c:ser>
        <c:dLbls>
          <c:showLegendKey val="0"/>
          <c:showVal val="0"/>
          <c:showCatName val="0"/>
          <c:showSerName val="0"/>
          <c:showPercent val="0"/>
          <c:showBubbleSize val="0"/>
        </c:dLbls>
        <c:axId val="160679808"/>
        <c:axId val="160690176"/>
      </c:scatterChart>
      <c:valAx>
        <c:axId val="160679808"/>
        <c:scaling>
          <c:orientation val="minMax"/>
          <c:max val="-10"/>
          <c:min val="-14"/>
        </c:scaling>
        <c:delete val="0"/>
        <c:axPos val="b"/>
        <c:title>
          <c:tx>
            <c:rich>
              <a:bodyPr/>
              <a:lstStyle/>
              <a:p>
                <a:pPr>
                  <a:defRPr/>
                </a:pPr>
                <a:r>
                  <a:rPr lang="en-US"/>
                  <a:t>Sorption test </a:t>
                </a:r>
                <a:r>
                  <a:rPr lang="en-US" baseline="0"/>
                  <a:t>  </a:t>
                </a:r>
                <a:r>
                  <a:rPr lang="en-US"/>
                  <a:t>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690176"/>
        <c:crossesAt val="-1000"/>
        <c:crossBetween val="midCat"/>
      </c:valAx>
      <c:valAx>
        <c:axId val="160690176"/>
        <c:scaling>
          <c:orientation val="minMax"/>
          <c:max val="-10"/>
          <c:min val="-14"/>
        </c:scaling>
        <c:delete val="0"/>
        <c:axPos val="l"/>
        <c:title>
          <c:tx>
            <c:rich>
              <a:bodyPr rot="-5400000" vert="horz"/>
              <a:lstStyle/>
              <a:p>
                <a:pPr>
                  <a:defRPr/>
                </a:pPr>
                <a:r>
                  <a:rPr lang="en-US"/>
                  <a:t>Permeation test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679808"/>
        <c:crossesAt val="-1000"/>
        <c:crossBetween val="midCat"/>
        <c:majorUnit val="1"/>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LAB!$L$43:$L$50</c:f>
              <c:numCache>
                <c:formatCode>General</c:formatCode>
                <c:ptCount val="8"/>
                <c:pt idx="0">
                  <c:v>-10.576180908034596</c:v>
                </c:pt>
                <c:pt idx="1">
                  <c:v>-10.995835681721104</c:v>
                </c:pt>
                <c:pt idx="2">
                  <c:v>-10.210073564889989</c:v>
                </c:pt>
                <c:pt idx="3">
                  <c:v>-8.9155666367004862</c:v>
                </c:pt>
                <c:pt idx="4">
                  <c:v>-9.5880130447402117</c:v>
                </c:pt>
                <c:pt idx="5">
                  <c:v>-8.9854802510188474</c:v>
                </c:pt>
                <c:pt idx="6">
                  <c:v>-8.8033922465320362</c:v>
                </c:pt>
                <c:pt idx="7">
                  <c:v>-8.5408102846197984</c:v>
                </c:pt>
              </c:numCache>
            </c:numRef>
          </c:xVal>
          <c:yVal>
            <c:numRef>
              <c:f>LAB!$M$43:$M$50</c:f>
              <c:numCache>
                <c:formatCode>General</c:formatCode>
                <c:ptCount val="8"/>
                <c:pt idx="0">
                  <c:v>-10.561101817943754</c:v>
                </c:pt>
                <c:pt idx="1">
                  <c:v>-10.891018918794458</c:v>
                </c:pt>
                <c:pt idx="2">
                  <c:v>-10.075304698118098</c:v>
                </c:pt>
                <c:pt idx="3">
                  <c:v>-8.8468352519574793</c:v>
                </c:pt>
                <c:pt idx="4">
                  <c:v>-9.4522755792619613</c:v>
                </c:pt>
                <c:pt idx="5">
                  <c:v>-8.873023679080049</c:v>
                </c:pt>
                <c:pt idx="6">
                  <c:v>-8.7921911148770544</c:v>
                </c:pt>
                <c:pt idx="7">
                  <c:v>-8.6171622406485593</c:v>
                </c:pt>
              </c:numCache>
            </c:numRef>
          </c:yVal>
          <c:smooth val="0"/>
          <c:extLst>
            <c:ext xmlns:c16="http://schemas.microsoft.com/office/drawing/2014/chart" uri="{C3380CC4-5D6E-409C-BE32-E72D297353CC}">
              <c16:uniqueId val="{00000000-BE0E-49A7-9763-DC787E0BFA0B}"/>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LAB!$L$61:$L$70</c:f>
              <c:numCache>
                <c:formatCode>0.00</c:formatCode>
                <c:ptCount val="10"/>
                <c:pt idx="0">
                  <c:v>-10.724203704539816</c:v>
                </c:pt>
                <c:pt idx="1">
                  <c:v>-10.857620233650103</c:v>
                </c:pt>
                <c:pt idx="2">
                  <c:v>-10.501024313341279</c:v>
                </c:pt>
                <c:pt idx="3">
                  <c:v>-11.190359493906607</c:v>
                </c:pt>
                <c:pt idx="4">
                  <c:v>-10.404308169261862</c:v>
                </c:pt>
                <c:pt idx="5">
                  <c:v>-10.629196860817231</c:v>
                </c:pt>
                <c:pt idx="6">
                  <c:v>-10.801670681651331</c:v>
                </c:pt>
                <c:pt idx="7">
                  <c:v>-10.645675044089746</c:v>
                </c:pt>
                <c:pt idx="8">
                  <c:v>-10.311906466373211</c:v>
                </c:pt>
                <c:pt idx="9">
                  <c:v>-10.140019699840567</c:v>
                </c:pt>
              </c:numCache>
            </c:numRef>
          </c:xVal>
          <c:yVal>
            <c:numRef>
              <c:f>LAB!$M$61:$M$70</c:f>
              <c:numCache>
                <c:formatCode>0.00</c:formatCode>
                <c:ptCount val="10"/>
                <c:pt idx="0">
                  <c:v>-10.555858045465902</c:v>
                </c:pt>
                <c:pt idx="1">
                  <c:v>-10.624509406849286</c:v>
                </c:pt>
                <c:pt idx="2">
                  <c:v>-10.302223337737454</c:v>
                </c:pt>
                <c:pt idx="3">
                  <c:v>-11.05624142628405</c:v>
                </c:pt>
                <c:pt idx="4">
                  <c:v>-10.199002164141469</c:v>
                </c:pt>
                <c:pt idx="5">
                  <c:v>-10.589563589585765</c:v>
                </c:pt>
                <c:pt idx="6">
                  <c:v>-10.786645100762978</c:v>
                </c:pt>
                <c:pt idx="7">
                  <c:v>-10.420374606816447</c:v>
                </c:pt>
                <c:pt idx="8">
                  <c:v>-10.261407703006725</c:v>
                </c:pt>
                <c:pt idx="9">
                  <c:v>-10.165872846315086</c:v>
                </c:pt>
              </c:numCache>
            </c:numRef>
          </c:yVal>
          <c:smooth val="0"/>
          <c:extLst>
            <c:ext xmlns:c16="http://schemas.microsoft.com/office/drawing/2014/chart" uri="{C3380CC4-5D6E-409C-BE32-E72D297353CC}">
              <c16:uniqueId val="{00000001-BE0E-49A7-9763-DC787E0BFA0B}"/>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LAB!$L$52:$L$59</c:f>
              <c:numCache>
                <c:formatCode>0.00</c:formatCode>
                <c:ptCount val="8"/>
              </c:numCache>
            </c:numRef>
          </c:xVal>
          <c:yVal>
            <c:numRef>
              <c:f>LAB!$M$52:$M$59</c:f>
              <c:numCache>
                <c:formatCode>0.00</c:formatCode>
                <c:ptCount val="8"/>
              </c:numCache>
            </c:numRef>
          </c:yVal>
          <c:smooth val="0"/>
          <c:extLst>
            <c:ext xmlns:c16="http://schemas.microsoft.com/office/drawing/2014/chart" uri="{C3380CC4-5D6E-409C-BE32-E72D297353CC}">
              <c16:uniqueId val="{00000002-BE0E-49A7-9763-DC787E0BFA0B}"/>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LAB!$L$73:$L$85</c:f>
              <c:numCache>
                <c:formatCode>0.00</c:formatCode>
                <c:ptCount val="13"/>
                <c:pt idx="0">
                  <c:v>-9.1625394446867165</c:v>
                </c:pt>
                <c:pt idx="1">
                  <c:v>0</c:v>
                </c:pt>
                <c:pt idx="2">
                  <c:v>-8.5294287083560345</c:v>
                </c:pt>
                <c:pt idx="3">
                  <c:v>-8.3965658439073714</c:v>
                </c:pt>
                <c:pt idx="5">
                  <c:v>-13.396402850626034</c:v>
                </c:pt>
                <c:pt idx="8">
                  <c:v>0</c:v>
                </c:pt>
                <c:pt idx="9">
                  <c:v>-9.1111671221452841</c:v>
                </c:pt>
                <c:pt idx="10">
                  <c:v>-8.7217307235224428</c:v>
                </c:pt>
                <c:pt idx="11">
                  <c:v>-9.3792428459988635</c:v>
                </c:pt>
              </c:numCache>
            </c:numRef>
          </c:xVal>
          <c:yVal>
            <c:numRef>
              <c:f>LAB!$M$73:$M$85</c:f>
              <c:numCache>
                <c:formatCode>0.00</c:formatCode>
                <c:ptCount val="13"/>
                <c:pt idx="0">
                  <c:v>-10.312025379965444</c:v>
                </c:pt>
                <c:pt idx="1">
                  <c:v>-10.393837668813523</c:v>
                </c:pt>
                <c:pt idx="2">
                  <c:v>-10.666021238840274</c:v>
                </c:pt>
                <c:pt idx="3">
                  <c:v>-11.050926386289238</c:v>
                </c:pt>
                <c:pt idx="5">
                  <c:v>-13.176091259055681</c:v>
                </c:pt>
                <c:pt idx="8">
                  <c:v>-10.649473814961651</c:v>
                </c:pt>
                <c:pt idx="9">
                  <c:v>-10.894410974441591</c:v>
                </c:pt>
                <c:pt idx="10">
                  <c:v>-11.359021942641668</c:v>
                </c:pt>
                <c:pt idx="11">
                  <c:v>-11.080268341688839</c:v>
                </c:pt>
              </c:numCache>
            </c:numRef>
          </c:yVal>
          <c:smooth val="0"/>
          <c:extLst>
            <c:ext xmlns:c16="http://schemas.microsoft.com/office/drawing/2014/chart" uri="{C3380CC4-5D6E-409C-BE32-E72D297353CC}">
              <c16:uniqueId val="{00000003-BE0E-49A7-9763-DC787E0BFA0B}"/>
            </c:ext>
          </c:extLst>
        </c:ser>
        <c:ser>
          <c:idx val="2"/>
          <c:order val="4"/>
          <c:tx>
            <c:v>lijn 1:1</c:v>
          </c:tx>
          <c:spPr>
            <a:ln w="9525">
              <a:solidFill>
                <a:schemeClr val="tx1"/>
              </a:solidFill>
            </a:ln>
          </c:spPr>
          <c:marker>
            <c:symbol val="none"/>
          </c:marker>
          <c:xVal>
            <c:numRef>
              <c:f>LAB!$P$56:$P$57</c:f>
              <c:numCache>
                <c:formatCode>General</c:formatCode>
                <c:ptCount val="2"/>
                <c:pt idx="0">
                  <c:v>-8</c:v>
                </c:pt>
                <c:pt idx="1">
                  <c:v>-12</c:v>
                </c:pt>
              </c:numCache>
            </c:numRef>
          </c:xVal>
          <c:yVal>
            <c:numRef>
              <c:f>LAB!$P$56:$P$57</c:f>
              <c:numCache>
                <c:formatCode>General</c:formatCode>
                <c:ptCount val="2"/>
                <c:pt idx="0">
                  <c:v>-8</c:v>
                </c:pt>
                <c:pt idx="1">
                  <c:v>-12</c:v>
                </c:pt>
              </c:numCache>
            </c:numRef>
          </c:yVal>
          <c:smooth val="0"/>
          <c:extLst>
            <c:ext xmlns:c16="http://schemas.microsoft.com/office/drawing/2014/chart" uri="{C3380CC4-5D6E-409C-BE32-E72D297353CC}">
              <c16:uniqueId val="{00000004-BE0E-49A7-9763-DC787E0BFA0B}"/>
            </c:ext>
          </c:extLst>
        </c:ser>
        <c:ser>
          <c:idx val="4"/>
          <c:order val="5"/>
          <c:tx>
            <c:v>linear</c:v>
          </c:tx>
          <c:spPr>
            <a:ln w="9525">
              <a:solidFill>
                <a:schemeClr val="tx1"/>
              </a:solidFill>
              <a:prstDash val="sysDash"/>
            </a:ln>
          </c:spPr>
          <c:marker>
            <c:symbol val="none"/>
          </c:marker>
          <c:xVal>
            <c:numRef>
              <c:f>LAB!$P$56:$P$57</c:f>
              <c:numCache>
                <c:formatCode>General</c:formatCode>
                <c:ptCount val="2"/>
                <c:pt idx="0">
                  <c:v>-8</c:v>
                </c:pt>
                <c:pt idx="1">
                  <c:v>-12</c:v>
                </c:pt>
              </c:numCache>
            </c:numRef>
          </c:xVal>
          <c:yVal>
            <c:numRef>
              <c:f>LAB!$Q$56:$Q$57</c:f>
              <c:numCache>
                <c:formatCode>General</c:formatCode>
                <c:ptCount val="2"/>
                <c:pt idx="0">
                  <c:v>-8.0111061121227642</c:v>
                </c:pt>
                <c:pt idx="1">
                  <c:v>-11.810120168548993</c:v>
                </c:pt>
              </c:numCache>
            </c:numRef>
          </c:yVal>
          <c:smooth val="0"/>
          <c:extLst>
            <c:ext xmlns:c16="http://schemas.microsoft.com/office/drawing/2014/chart" uri="{C3380CC4-5D6E-409C-BE32-E72D297353CC}">
              <c16:uniqueId val="{00000005-BE0E-49A7-9763-DC787E0BFA0B}"/>
            </c:ext>
          </c:extLst>
        </c:ser>
        <c:dLbls>
          <c:showLegendKey val="0"/>
          <c:showVal val="0"/>
          <c:showCatName val="0"/>
          <c:showSerName val="0"/>
          <c:showPercent val="0"/>
          <c:showBubbleSize val="0"/>
        </c:dLbls>
        <c:axId val="160222592"/>
        <c:axId val="160228864"/>
      </c:scatterChart>
      <c:valAx>
        <c:axId val="160222592"/>
        <c:scaling>
          <c:orientation val="minMax"/>
          <c:max val="-8"/>
          <c:min val="-12"/>
        </c:scaling>
        <c:delete val="0"/>
        <c:axPos val="b"/>
        <c:title>
          <c:tx>
            <c:rich>
              <a:bodyPr/>
              <a:lstStyle/>
              <a:p>
                <a:pPr>
                  <a:defRPr/>
                </a:pPr>
                <a:r>
                  <a:rPr lang="en-US"/>
                  <a:t>Sorption test </a:t>
                </a:r>
                <a:r>
                  <a:rPr lang="en-US" baseline="0"/>
                  <a:t>  </a:t>
                </a:r>
                <a:r>
                  <a:rPr lang="en-US"/>
                  <a:t> log P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228864"/>
        <c:crossesAt val="-1000"/>
        <c:crossBetween val="midCat"/>
      </c:valAx>
      <c:valAx>
        <c:axId val="160228864"/>
        <c:scaling>
          <c:orientation val="minMax"/>
          <c:max val="-8"/>
          <c:min val="-12"/>
        </c:scaling>
        <c:delete val="0"/>
        <c:axPos val="l"/>
        <c:title>
          <c:tx>
            <c:rich>
              <a:bodyPr rot="-5400000" vert="horz"/>
              <a:lstStyle/>
              <a:p>
                <a:pPr>
                  <a:defRPr/>
                </a:pPr>
                <a:r>
                  <a:rPr lang="en-US"/>
                  <a:t>Permeation test  log p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222592"/>
        <c:crossesAt val="-1000"/>
        <c:crossBetween val="midCat"/>
        <c:majorUnit val="1"/>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PE!$A$15</c:f>
              <c:strCache>
                <c:ptCount val="1"/>
                <c:pt idx="0">
                  <c:v>Vonk 1985; immersion test</c:v>
                </c:pt>
              </c:strCache>
            </c:strRef>
          </c:tx>
          <c:spPr>
            <a:ln w="28575">
              <a:noFill/>
            </a:ln>
          </c:spPr>
          <c:marker>
            <c:symbol val="square"/>
            <c:size val="6"/>
            <c:spPr>
              <a:noFill/>
              <a:ln>
                <a:solidFill>
                  <a:schemeClr val="tx1"/>
                </a:solidFill>
              </a:ln>
            </c:spPr>
          </c:marker>
          <c:xVal>
            <c:numRef>
              <c:f>PE!$I$16:$I$77</c:f>
              <c:numCache>
                <c:formatCode>General</c:formatCode>
                <c:ptCount val="62"/>
                <c:pt idx="0">
                  <c:v>1.686364435023727</c:v>
                </c:pt>
                <c:pt idx="1">
                  <c:v>2.2424953807499222</c:v>
                </c:pt>
                <c:pt idx="2">
                  <c:v>2.7062607877270022</c:v>
                </c:pt>
                <c:pt idx="3">
                  <c:v>2.7403083409226103</c:v>
                </c:pt>
                <c:pt idx="4">
                  <c:v>2.733053738274605</c:v>
                </c:pt>
                <c:pt idx="5">
                  <c:v>3.7234556720351857</c:v>
                </c:pt>
                <c:pt idx="6">
                  <c:v>2.7654862309711388</c:v>
                </c:pt>
                <c:pt idx="7">
                  <c:v>3.2136143677763269</c:v>
                </c:pt>
                <c:pt idx="8">
                  <c:v>4.3552360188502908</c:v>
                </c:pt>
                <c:pt idx="9">
                  <c:v>2.726233996169853</c:v>
                </c:pt>
                <c:pt idx="10">
                  <c:v>3.2730381532562274</c:v>
                </c:pt>
                <c:pt idx="11">
                  <c:v>3.5158738437116792</c:v>
                </c:pt>
                <c:pt idx="12">
                  <c:v>3.3941656785228913</c:v>
                </c:pt>
                <c:pt idx="13">
                  <c:v>4.4519044663666811</c:v>
                </c:pt>
                <c:pt idx="14">
                  <c:v>5.0163168786217396</c:v>
                </c:pt>
                <c:pt idx="15">
                  <c:v>3.6244128396053545</c:v>
                </c:pt>
                <c:pt idx="16">
                  <c:v>2.39195413753158</c:v>
                </c:pt>
                <c:pt idx="17">
                  <c:v>1.948482754052784</c:v>
                </c:pt>
                <c:pt idx="18">
                  <c:v>2.9346295986043418</c:v>
                </c:pt>
                <c:pt idx="19">
                  <c:v>2.9994056865553507</c:v>
                </c:pt>
                <c:pt idx="20">
                  <c:v>2.9810926855540258</c:v>
                </c:pt>
                <c:pt idx="21">
                  <c:v>2.9537028111767518</c:v>
                </c:pt>
                <c:pt idx="22">
                  <c:v>3.1283314331700307</c:v>
                </c:pt>
                <c:pt idx="23">
                  <c:v>2.8252963263495219</c:v>
                </c:pt>
                <c:pt idx="24">
                  <c:v>3.4527328968139694</c:v>
                </c:pt>
                <c:pt idx="25">
                  <c:v>3.7056715394729687</c:v>
                </c:pt>
                <c:pt idx="26">
                  <c:v>3.9340395164656732</c:v>
                </c:pt>
                <c:pt idx="27">
                  <c:v>3.2690139376031446</c:v>
                </c:pt>
                <c:pt idx="28">
                  <c:v>3.8887625410690885</c:v>
                </c:pt>
                <c:pt idx="29">
                  <c:v>4.2999275032519009</c:v>
                </c:pt>
                <c:pt idx="30">
                  <c:v>0.68394713075151214</c:v>
                </c:pt>
                <c:pt idx="31">
                  <c:v>2.5094041602586916</c:v>
                </c:pt>
                <c:pt idx="32">
                  <c:v>0.71909139935278277</c:v>
                </c:pt>
                <c:pt idx="33">
                  <c:v>1.5225791285165373</c:v>
                </c:pt>
                <c:pt idx="34">
                  <c:v>1.7926108439998165</c:v>
                </c:pt>
                <c:pt idx="35">
                  <c:v>1.3925904651506988</c:v>
                </c:pt>
                <c:pt idx="36">
                  <c:v>1.6718272949469988</c:v>
                </c:pt>
                <c:pt idx="37">
                  <c:v>2.3641846383014054</c:v>
                </c:pt>
                <c:pt idx="38">
                  <c:v>3.0347979202516164</c:v>
                </c:pt>
                <c:pt idx="39">
                  <c:v>2.3023537168600328</c:v>
                </c:pt>
                <c:pt idx="40">
                  <c:v>-0.80624553281590894</c:v>
                </c:pt>
                <c:pt idx="41">
                  <c:v>0.41382550460928702</c:v>
                </c:pt>
                <c:pt idx="42">
                  <c:v>0.27278675268081176</c:v>
                </c:pt>
                <c:pt idx="43">
                  <c:v>-2.5216788352981506E-2</c:v>
                </c:pt>
                <c:pt idx="44">
                  <c:v>0.51508150744047543</c:v>
                </c:pt>
                <c:pt idx="45">
                  <c:v>-0.11539341870206953</c:v>
                </c:pt>
                <c:pt idx="46">
                  <c:v>-1.5518181853207387</c:v>
                </c:pt>
                <c:pt idx="47">
                  <c:v>-0.84069236176043749</c:v>
                </c:pt>
                <c:pt idx="49">
                  <c:v>1.9570162666300459</c:v>
                </c:pt>
                <c:pt idx="50">
                  <c:v>1.7243095894254812</c:v>
                </c:pt>
                <c:pt idx="51">
                  <c:v>2.0267717198807409</c:v>
                </c:pt>
                <c:pt idx="52">
                  <c:v>2.7605735686506545</c:v>
                </c:pt>
                <c:pt idx="53">
                  <c:v>2.3323440583323833</c:v>
                </c:pt>
                <c:pt idx="54">
                  <c:v>0.91227800789578883</c:v>
                </c:pt>
                <c:pt idx="56">
                  <c:v>-3.0362121726544449</c:v>
                </c:pt>
                <c:pt idx="57">
                  <c:v>-0.20500419296862657</c:v>
                </c:pt>
                <c:pt idx="58">
                  <c:v>-1.3049871481613979</c:v>
                </c:pt>
                <c:pt idx="59">
                  <c:v>0.71306294999296982</c:v>
                </c:pt>
                <c:pt idx="60">
                  <c:v>1.6871171775410188</c:v>
                </c:pt>
                <c:pt idx="61">
                  <c:v>0.75476051019488632</c:v>
                </c:pt>
              </c:numCache>
            </c:numRef>
          </c:xVal>
          <c:yVal>
            <c:numRef>
              <c:f>PE!$J$16:$J$77</c:f>
              <c:numCache>
                <c:formatCode>0.000</c:formatCode>
                <c:ptCount val="62"/>
                <c:pt idx="0">
                  <c:v>1.5242089539113384</c:v>
                </c:pt>
                <c:pt idx="1">
                  <c:v>2.0727867617470874</c:v>
                </c:pt>
                <c:pt idx="2">
                  <c:v>2.5405011823457881</c:v>
                </c:pt>
                <c:pt idx="3">
                  <c:v>2.5799892028502187</c:v>
                </c:pt>
                <c:pt idx="4">
                  <c:v>2.5620528499343123</c:v>
                </c:pt>
                <c:pt idx="5">
                  <c:v>3.5743207009153082</c:v>
                </c:pt>
                <c:pt idx="6">
                  <c:v>2.6076095478380252</c:v>
                </c:pt>
                <c:pt idx="7">
                  <c:v>3.0648228482219197</c:v>
                </c:pt>
                <c:pt idx="8">
                  <c:v>4.2282449548011529</c:v>
                </c:pt>
                <c:pt idx="9">
                  <c:v>2.5604743907886389</c:v>
                </c:pt>
                <c:pt idx="10">
                  <c:v>3.0914541203055128</c:v>
                </c:pt>
                <c:pt idx="11">
                  <c:v>3.3402716388720437</c:v>
                </c:pt>
                <c:pt idx="12">
                  <c:v>3.1851546165507756</c:v>
                </c:pt>
                <c:pt idx="13">
                  <c:v>4.2870261269188186</c:v>
                </c:pt>
                <c:pt idx="14">
                  <c:v>4.8569014348753798</c:v>
                </c:pt>
                <c:pt idx="15">
                  <c:v>3.4786477746811348</c:v>
                </c:pt>
                <c:pt idx="16">
                  <c:v>2.2361388344502102</c:v>
                </c:pt>
                <c:pt idx="17">
                  <c:v>1.8907253073410017</c:v>
                </c:pt>
                <c:pt idx="18">
                  <c:v>2.7769746187186297</c:v>
                </c:pt>
                <c:pt idx="19">
                  <c:v>2.8589277501875987</c:v>
                </c:pt>
                <c:pt idx="20">
                  <c:v>2.8372085004943628</c:v>
                </c:pt>
                <c:pt idx="21">
                  <c:v>2.8309180219636372</c:v>
                </c:pt>
                <c:pt idx="22">
                  <c:v>2.9802485803193512</c:v>
                </c:pt>
                <c:pt idx="23">
                  <c:v>2.7398474721569026</c:v>
                </c:pt>
                <c:pt idx="24">
                  <c:v>3.3748983014016165</c:v>
                </c:pt>
                <c:pt idx="25">
                  <c:v>3.5863960548419715</c:v>
                </c:pt>
                <c:pt idx="26">
                  <c:v>3.8608251186900651</c:v>
                </c:pt>
                <c:pt idx="27">
                  <c:v>3.2249577685687503</c:v>
                </c:pt>
                <c:pt idx="28">
                  <c:v>3.9026983190123805</c:v>
                </c:pt>
                <c:pt idx="29">
                  <c:v>4.1677352455169556</c:v>
                </c:pt>
                <c:pt idx="30">
                  <c:v>0.56878821231534693</c:v>
                </c:pt>
                <c:pt idx="31">
                  <c:v>2.3151828665795038</c:v>
                </c:pt>
                <c:pt idx="32">
                  <c:v>0.63235701541471201</c:v>
                </c:pt>
                <c:pt idx="33">
                  <c:v>1.4396048934517733</c:v>
                </c:pt>
                <c:pt idx="34">
                  <c:v>1.641313290475636</c:v>
                </c:pt>
                <c:pt idx="35">
                  <c:v>1.3122563262521434</c:v>
                </c:pt>
                <c:pt idx="36">
                  <c:v>1.5588898365047916</c:v>
                </c:pt>
                <c:pt idx="37">
                  <c:v>2.1884563499997429</c:v>
                </c:pt>
                <c:pt idx="38">
                  <c:v>3.1356017729088248</c:v>
                </c:pt>
                <c:pt idx="39">
                  <c:v>2.1101128651378098</c:v>
                </c:pt>
                <c:pt idx="40">
                  <c:v>-0.87149100092024123</c:v>
                </c:pt>
                <c:pt idx="41">
                  <c:v>0.40845612735719283</c:v>
                </c:pt>
                <c:pt idx="42">
                  <c:v>0.28672253062410424</c:v>
                </c:pt>
                <c:pt idx="43">
                  <c:v>-0.13621974701798897</c:v>
                </c:pt>
                <c:pt idx="44">
                  <c:v>0.52901728538376791</c:v>
                </c:pt>
                <c:pt idx="45">
                  <c:v>0.19957235490520417</c:v>
                </c:pt>
                <c:pt idx="46">
                  <c:v>-1.8389124030414272</c:v>
                </c:pt>
                <c:pt idx="47">
                  <c:v>-0.82675658381714501</c:v>
                </c:pt>
                <c:pt idx="49">
                  <c:v>1.9040052549427251</c:v>
                </c:pt>
                <c:pt idx="50">
                  <c:v>1.6712985777381604</c:v>
                </c:pt>
                <c:pt idx="51">
                  <c:v>1.9157687612157337</c:v>
                </c:pt>
                <c:pt idx="52">
                  <c:v>2.5984180875382656</c:v>
                </c:pt>
                <c:pt idx="53">
                  <c:v>2.3462798362756758</c:v>
                </c:pt>
                <c:pt idx="54">
                  <c:v>0.90139020211404919</c:v>
                </c:pt>
                <c:pt idx="56">
                  <c:v>-2.7212463990471711</c:v>
                </c:pt>
                <c:pt idx="57">
                  <c:v>-0.191068415025334</c:v>
                </c:pt>
                <c:pt idx="58">
                  <c:v>-1.3145324660676283</c:v>
                </c:pt>
                <c:pt idx="59">
                  <c:v>0.63682209758717434</c:v>
                </c:pt>
                <c:pt idx="60">
                  <c:v>1.5517548730165664</c:v>
                </c:pt>
                <c:pt idx="61">
                  <c:v>0.61939820567043413</c:v>
                </c:pt>
              </c:numCache>
            </c:numRef>
          </c:yVal>
          <c:smooth val="0"/>
          <c:extLst>
            <c:ext xmlns:c16="http://schemas.microsoft.com/office/drawing/2014/chart" uri="{C3380CC4-5D6E-409C-BE32-E72D297353CC}">
              <c16:uniqueId val="{00000000-2DBC-4DCD-B59D-451CEA3A0E55}"/>
            </c:ext>
          </c:extLst>
        </c:ser>
        <c:ser>
          <c:idx val="0"/>
          <c:order val="1"/>
          <c:tx>
            <c:strRef>
              <c:f>PE!$A$81</c:f>
              <c:strCache>
                <c:ptCount val="1"/>
                <c:pt idx="0">
                  <c:v>Vonk 1985; permeation test</c:v>
                </c:pt>
              </c:strCache>
            </c:strRef>
          </c:tx>
          <c:spPr>
            <a:ln w="28575">
              <a:noFill/>
            </a:ln>
          </c:spPr>
          <c:marker>
            <c:symbol val="diamond"/>
            <c:size val="6"/>
            <c:spPr>
              <a:solidFill>
                <a:schemeClr val="tx1"/>
              </a:solidFill>
              <a:ln>
                <a:solidFill>
                  <a:schemeClr val="tx1"/>
                </a:solidFill>
              </a:ln>
            </c:spPr>
          </c:marker>
          <c:xVal>
            <c:numRef>
              <c:f>PE!$I$82:$I$86</c:f>
              <c:numCache>
                <c:formatCode>0.000</c:formatCode>
                <c:ptCount val="5"/>
                <c:pt idx="0">
                  <c:v>1.5514499979728751</c:v>
                </c:pt>
                <c:pt idx="1">
                  <c:v>1.6794278966121188</c:v>
                </c:pt>
                <c:pt idx="2">
                  <c:v>1.354108439147401</c:v>
                </c:pt>
                <c:pt idx="3">
                  <c:v>1.5092025223311027</c:v>
                </c:pt>
                <c:pt idx="4">
                  <c:v>-0.74472749489669399</c:v>
                </c:pt>
              </c:numCache>
            </c:numRef>
          </c:xVal>
          <c:yVal>
            <c:numRef>
              <c:f>PE!$N$82:$N$86</c:f>
              <c:numCache>
                <c:formatCode>0.000</c:formatCode>
                <c:ptCount val="5"/>
              </c:numCache>
            </c:numRef>
          </c:yVal>
          <c:smooth val="0"/>
          <c:extLst>
            <c:ext xmlns:c16="http://schemas.microsoft.com/office/drawing/2014/chart" uri="{C3380CC4-5D6E-409C-BE32-E72D297353CC}">
              <c16:uniqueId val="{00000001-2DBC-4DCD-B59D-451CEA3A0E55}"/>
            </c:ext>
          </c:extLst>
        </c:ser>
        <c:ser>
          <c:idx val="2"/>
          <c:order val="2"/>
          <c:tx>
            <c:strRef>
              <c:f>PE!$S$2</c:f>
              <c:strCache>
                <c:ptCount val="1"/>
                <c:pt idx="0">
                  <c:v>1:1</c:v>
                </c:pt>
              </c:strCache>
            </c:strRef>
          </c:tx>
          <c:spPr>
            <a:ln w="28575">
              <a:solidFill>
                <a:schemeClr val="tx1"/>
              </a:solidFill>
            </a:ln>
          </c:spPr>
          <c:marker>
            <c:symbol val="none"/>
          </c:marker>
          <c:xVal>
            <c:numRef>
              <c:f>PE!$S$3:$S$4</c:f>
              <c:numCache>
                <c:formatCode>General</c:formatCode>
                <c:ptCount val="2"/>
                <c:pt idx="0">
                  <c:v>-15</c:v>
                </c:pt>
                <c:pt idx="1">
                  <c:v>5</c:v>
                </c:pt>
              </c:numCache>
            </c:numRef>
          </c:xVal>
          <c:yVal>
            <c:numRef>
              <c:f>PE!$S$3:$S$4</c:f>
              <c:numCache>
                <c:formatCode>General</c:formatCode>
                <c:ptCount val="2"/>
                <c:pt idx="0">
                  <c:v>-15</c:v>
                </c:pt>
                <c:pt idx="1">
                  <c:v>5</c:v>
                </c:pt>
              </c:numCache>
            </c:numRef>
          </c:yVal>
          <c:smooth val="0"/>
          <c:extLst>
            <c:ext xmlns:c16="http://schemas.microsoft.com/office/drawing/2014/chart" uri="{C3380CC4-5D6E-409C-BE32-E72D297353CC}">
              <c16:uniqueId val="{00000002-2DBC-4DCD-B59D-451CEA3A0E55}"/>
            </c:ext>
          </c:extLst>
        </c:ser>
        <c:ser>
          <c:idx val="4"/>
          <c:order val="3"/>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PE!$I$6:$I$7</c:f>
              <c:numCache>
                <c:formatCode>General</c:formatCode>
                <c:ptCount val="2"/>
                <c:pt idx="0">
                  <c:v>-14.426264902569349</c:v>
                </c:pt>
                <c:pt idx="1">
                  <c:v>4.8084404663666609</c:v>
                </c:pt>
              </c:numCache>
            </c:numRef>
          </c:yVal>
          <c:smooth val="0"/>
          <c:extLst>
            <c:ext xmlns:c16="http://schemas.microsoft.com/office/drawing/2014/chart" uri="{C3380CC4-5D6E-409C-BE32-E72D297353CC}">
              <c16:uniqueId val="{00000003-2DBC-4DCD-B59D-451CEA3A0E55}"/>
            </c:ext>
          </c:extLst>
        </c:ser>
        <c:dLbls>
          <c:showLegendKey val="0"/>
          <c:showVal val="0"/>
          <c:showCatName val="0"/>
          <c:showSerName val="0"/>
          <c:showPercent val="0"/>
          <c:showBubbleSize val="0"/>
        </c:dLbls>
        <c:axId val="159969280"/>
        <c:axId val="159971200"/>
      </c:scatterChart>
      <c:valAx>
        <c:axId val="159969280"/>
        <c:scaling>
          <c:orientation val="minMax"/>
          <c:max val="5"/>
          <c:min val="0"/>
        </c:scaling>
        <c:delete val="0"/>
        <c:axPos val="b"/>
        <c:title>
          <c:tx>
            <c:rich>
              <a:bodyPr/>
              <a:lstStyle/>
              <a:p>
                <a:pPr>
                  <a:defRPr/>
                </a:pPr>
                <a:r>
                  <a:rPr lang="en-US"/>
                  <a:t>log K (PE40)</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59971200"/>
        <c:crossesAt val="-1000"/>
        <c:crossBetween val="midCat"/>
      </c:valAx>
      <c:valAx>
        <c:axId val="159971200"/>
        <c:scaling>
          <c:orientation val="minMax"/>
          <c:max val="5"/>
          <c:min val="0"/>
        </c:scaling>
        <c:delete val="0"/>
        <c:axPos val="l"/>
        <c:title>
          <c:tx>
            <c:rich>
              <a:bodyPr rot="-5400000" vert="horz"/>
              <a:lstStyle/>
              <a:p>
                <a:pPr>
                  <a:defRPr/>
                </a:pPr>
                <a:r>
                  <a:rPr lang="en-US"/>
                  <a:t>log K (PE80)</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59969280"/>
        <c:crossesAt val="-1000"/>
        <c:crossBetween val="midCat"/>
        <c:majorUnit val="1"/>
      </c:valAx>
      <c:spPr>
        <a:ln>
          <a:solidFill>
            <a:schemeClr val="tx1"/>
          </a:solidFill>
        </a:ln>
      </c:spPr>
    </c:plotArea>
    <c:legend>
      <c:legendPos val="r"/>
      <c:layout>
        <c:manualLayout>
          <c:xMode val="edge"/>
          <c:yMode val="edge"/>
          <c:x val="0.17819561291308961"/>
          <c:y val="7.369021580635754E-2"/>
          <c:w val="0.36211514562802405"/>
          <c:h val="0.21963939197930143"/>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3"/>
          <c:order val="0"/>
          <c:tx>
            <c:strRef>
              <c:f>PE!$A$89</c:f>
              <c:strCache>
                <c:ptCount val="1"/>
                <c:pt idx="0">
                  <c:v>Park nibras 1993</c:v>
                </c:pt>
              </c:strCache>
            </c:strRef>
          </c:tx>
          <c:spPr>
            <a:ln w="28575">
              <a:noFill/>
            </a:ln>
          </c:spPr>
          <c:marker>
            <c:symbol val="square"/>
            <c:size val="6"/>
            <c:spPr>
              <a:noFill/>
              <a:ln>
                <a:solidFill>
                  <a:schemeClr val="tx1"/>
                </a:solidFill>
              </a:ln>
            </c:spPr>
          </c:marker>
          <c:xVal>
            <c:numRef>
              <c:f>PE!$K$89:$K$90</c:f>
              <c:numCache>
                <c:formatCode>General</c:formatCode>
                <c:ptCount val="2"/>
                <c:pt idx="0">
                  <c:v>-10.657577319177793</c:v>
                </c:pt>
                <c:pt idx="1">
                  <c:v>-10.657577319177793</c:v>
                </c:pt>
              </c:numCache>
            </c:numRef>
          </c:xVal>
          <c:yVal>
            <c:numRef>
              <c:f>PE!$L$89:$L$90</c:f>
              <c:numCache>
                <c:formatCode>General</c:formatCode>
                <c:ptCount val="2"/>
                <c:pt idx="0">
                  <c:v>-11.376750709602099</c:v>
                </c:pt>
                <c:pt idx="1">
                  <c:v>-11.080921907623926</c:v>
                </c:pt>
              </c:numCache>
            </c:numRef>
          </c:yVal>
          <c:smooth val="0"/>
          <c:extLst>
            <c:ext xmlns:c16="http://schemas.microsoft.com/office/drawing/2014/chart" uri="{C3380CC4-5D6E-409C-BE32-E72D297353CC}">
              <c16:uniqueId val="{00000000-767D-4CAB-8DB5-6708F6C23F67}"/>
            </c:ext>
          </c:extLst>
        </c:ser>
        <c:ser>
          <c:idx val="5"/>
          <c:order val="1"/>
          <c:tx>
            <c:v>Park et al 1996 (VLDPE)</c:v>
          </c:tx>
          <c:spPr>
            <a:ln w="28575">
              <a:noFill/>
            </a:ln>
          </c:spPr>
          <c:marker>
            <c:spPr>
              <a:noFill/>
              <a:ln>
                <a:solidFill>
                  <a:schemeClr val="tx1"/>
                </a:solidFill>
              </a:ln>
            </c:spPr>
          </c:marker>
          <c:xVal>
            <c:numRef>
              <c:f>PE!$K$93:$K$96</c:f>
              <c:numCache>
                <c:formatCode>General</c:formatCode>
                <c:ptCount val="4"/>
                <c:pt idx="0">
                  <c:v>-12.060480747381382</c:v>
                </c:pt>
                <c:pt idx="1">
                  <c:v>-11.835647144215564</c:v>
                </c:pt>
                <c:pt idx="2">
                  <c:v>-11.812479279163536</c:v>
                </c:pt>
                <c:pt idx="3">
                  <c:v>-11.815308569182401</c:v>
                </c:pt>
              </c:numCache>
            </c:numRef>
          </c:xVal>
          <c:yVal>
            <c:numRef>
              <c:f>PE!$L$93:$L$96</c:f>
              <c:numCache>
                <c:formatCode>General</c:formatCode>
                <c:ptCount val="4"/>
                <c:pt idx="0">
                  <c:v>-12.443697499232712</c:v>
                </c:pt>
                <c:pt idx="1">
                  <c:v>-12.275724130399212</c:v>
                </c:pt>
                <c:pt idx="2">
                  <c:v>-12.180456064458131</c:v>
                </c:pt>
                <c:pt idx="3">
                  <c:v>-12.017728766960431</c:v>
                </c:pt>
              </c:numCache>
            </c:numRef>
          </c:yVal>
          <c:smooth val="0"/>
          <c:extLst>
            <c:ext xmlns:c16="http://schemas.microsoft.com/office/drawing/2014/chart" uri="{C3380CC4-5D6E-409C-BE32-E72D297353CC}">
              <c16:uniqueId val="{00000001-767D-4CAB-8DB5-6708F6C23F67}"/>
            </c:ext>
          </c:extLst>
        </c:ser>
        <c:ser>
          <c:idx val="0"/>
          <c:order val="2"/>
          <c:tx>
            <c:strRef>
              <c:f>PE!$A$16</c:f>
              <c:strCache>
                <c:ptCount val="1"/>
                <c:pt idx="0">
                  <c:v>Vonk 1985</c:v>
                </c:pt>
              </c:strCache>
            </c:strRef>
          </c:tx>
          <c:spPr>
            <a:ln w="28575">
              <a:noFill/>
            </a:ln>
          </c:spPr>
          <c:marker>
            <c:symbol val="diamond"/>
            <c:size val="6"/>
            <c:spPr>
              <a:solidFill>
                <a:schemeClr val="tx1"/>
              </a:solidFill>
              <a:ln>
                <a:solidFill>
                  <a:schemeClr val="tx1"/>
                </a:solidFill>
              </a:ln>
            </c:spPr>
          </c:marker>
          <c:xVal>
            <c:numRef>
              <c:f>PE!$K$16:$K$86</c:f>
              <c:numCache>
                <c:formatCode>General</c:formatCode>
                <c:ptCount val="71"/>
                <c:pt idx="1">
                  <c:v>-11.405034825436639</c:v>
                </c:pt>
                <c:pt idx="22">
                  <c:v>-11.657760141526065</c:v>
                </c:pt>
                <c:pt idx="38">
                  <c:v>-11.431363764158988</c:v>
                </c:pt>
                <c:pt idx="39">
                  <c:v>-11.123600385836038</c:v>
                </c:pt>
                <c:pt idx="58">
                  <c:v>-12.091415702464637</c:v>
                </c:pt>
                <c:pt idx="66" formatCode="0.000">
                  <c:v>-11.945287666786399</c:v>
                </c:pt>
                <c:pt idx="67" formatCode="0.000">
                  <c:v>-12.345449135452395</c:v>
                </c:pt>
                <c:pt idx="68" formatCode="0.000">
                  <c:v>-12.405034825436639</c:v>
                </c:pt>
                <c:pt idx="69" formatCode="0.000">
                  <c:v>-12.228943566380957</c:v>
                </c:pt>
                <c:pt idx="70" formatCode="0.000">
                  <c:v>-12.431363764158988</c:v>
                </c:pt>
              </c:numCache>
            </c:numRef>
          </c:xVal>
          <c:yVal>
            <c:numRef>
              <c:f>PE!$L$16:$L$86</c:f>
              <c:numCache>
                <c:formatCode>0.000</c:formatCode>
                <c:ptCount val="71"/>
                <c:pt idx="1">
                  <c:v>-11.790385706800656</c:v>
                </c:pt>
                <c:pt idx="22">
                  <c:v>-12.091415702464637</c:v>
                </c:pt>
                <c:pt idx="38">
                  <c:v>-11.857332496431269</c:v>
                </c:pt>
                <c:pt idx="39">
                  <c:v>-11.489355711136675</c:v>
                </c:pt>
                <c:pt idx="58">
                  <c:v>-12.857332496431269</c:v>
                </c:pt>
                <c:pt idx="66">
                  <c:v>-12.27375591079732</c:v>
                </c:pt>
                <c:pt idx="67">
                  <c:v>-12.790385706800656</c:v>
                </c:pt>
                <c:pt idx="68">
                  <c:v>-12.790385706800656</c:v>
                </c:pt>
                <c:pt idx="69">
                  <c:v>-12.657760141526065</c:v>
                </c:pt>
                <c:pt idx="70">
                  <c:v>-13.03342375548695</c:v>
                </c:pt>
              </c:numCache>
            </c:numRef>
          </c:yVal>
          <c:smooth val="0"/>
          <c:extLst>
            <c:ext xmlns:c16="http://schemas.microsoft.com/office/drawing/2014/chart" uri="{C3380CC4-5D6E-409C-BE32-E72D297353CC}">
              <c16:uniqueId val="{00000002-767D-4CAB-8DB5-6708F6C23F67}"/>
            </c:ext>
          </c:extLst>
        </c:ser>
        <c:ser>
          <c:idx val="6"/>
          <c:order val="3"/>
          <c:tx>
            <c:v>Welton etal 2010 (PEX-A)</c:v>
          </c:tx>
          <c:spPr>
            <a:ln w="28575">
              <a:noFill/>
            </a:ln>
          </c:spPr>
          <c:marker>
            <c:symbol val="x"/>
            <c:size val="4"/>
            <c:spPr>
              <a:ln>
                <a:solidFill>
                  <a:schemeClr val="tx1"/>
                </a:solidFill>
              </a:ln>
            </c:spPr>
          </c:marker>
          <c:xVal>
            <c:numRef>
              <c:f>PE!$K$100:$K$105</c:f>
              <c:numCache>
                <c:formatCode>General</c:formatCode>
                <c:ptCount val="6"/>
                <c:pt idx="0">
                  <c:v>-10.87942606879415</c:v>
                </c:pt>
                <c:pt idx="1">
                  <c:v>-11.899629454882437</c:v>
                </c:pt>
                <c:pt idx="2">
                  <c:v>-11.036684488613888</c:v>
                </c:pt>
                <c:pt idx="3">
                  <c:v>-11.014573525916997</c:v>
                </c:pt>
                <c:pt idx="4">
                  <c:v>-11.202732459169283</c:v>
                </c:pt>
                <c:pt idx="5">
                  <c:v>-11.021819483062586</c:v>
                </c:pt>
              </c:numCache>
            </c:numRef>
          </c:xVal>
          <c:yVal>
            <c:numRef>
              <c:f>PE!$L$100:$L$105</c:f>
              <c:numCache>
                <c:formatCode>General</c:formatCode>
                <c:ptCount val="6"/>
                <c:pt idx="0">
                  <c:v>-11.191114132640188</c:v>
                </c:pt>
                <c:pt idx="1">
                  <c:v>-12.177178354696895</c:v>
                </c:pt>
                <c:pt idx="2">
                  <c:v>-11.235077015350111</c:v>
                </c:pt>
                <c:pt idx="3">
                  <c:v>-11.244887733604928</c:v>
                </c:pt>
                <c:pt idx="4">
                  <c:v>-11.430626090384955</c:v>
                </c:pt>
                <c:pt idx="5">
                  <c:v>-11.260427655549908</c:v>
                </c:pt>
              </c:numCache>
            </c:numRef>
          </c:yVal>
          <c:smooth val="0"/>
          <c:extLst>
            <c:ext xmlns:c16="http://schemas.microsoft.com/office/drawing/2014/chart" uri="{C3380CC4-5D6E-409C-BE32-E72D297353CC}">
              <c16:uniqueId val="{00000003-767D-4CAB-8DB5-6708F6C23F67}"/>
            </c:ext>
          </c:extLst>
        </c:ser>
        <c:ser>
          <c:idx val="1"/>
          <c:order val="4"/>
          <c:tx>
            <c:strRef>
              <c:f>PE!$N$1</c:f>
              <c:strCache>
                <c:ptCount val="1"/>
                <c:pt idx="0">
                  <c:v>Model: Simoneau 2010</c:v>
                </c:pt>
              </c:strCache>
            </c:strRef>
          </c:tx>
          <c:spPr>
            <a:ln w="19050">
              <a:solidFill>
                <a:srgbClr val="FF0000"/>
              </a:solidFill>
            </a:ln>
          </c:spPr>
          <c:marker>
            <c:symbol val="none"/>
          </c:marker>
          <c:xVal>
            <c:numRef>
              <c:f>PE!$O$8:$O$50</c:f>
              <c:numCache>
                <c:formatCode>General</c:formatCode>
                <c:ptCount val="43"/>
                <c:pt idx="0">
                  <c:v>-10.34383816695245</c:v>
                </c:pt>
                <c:pt idx="1">
                  <c:v>-10.81832621396137</c:v>
                </c:pt>
                <c:pt idx="2">
                  <c:v>-11.085463665426513</c:v>
                </c:pt>
                <c:pt idx="3">
                  <c:v>-11.304719025286692</c:v>
                </c:pt>
                <c:pt idx="4">
                  <c:v>-11.497179236533809</c:v>
                </c:pt>
                <c:pt idx="5">
                  <c:v>-11.671606059790665</c:v>
                </c:pt>
                <c:pt idx="6">
                  <c:v>-11.832710906060614</c:v>
                </c:pt>
                <c:pt idx="7">
                  <c:v>-11.983396098685894</c:v>
                </c:pt>
                <c:pt idx="8">
                  <c:v>-12.125609538968767</c:v>
                </c:pt>
                <c:pt idx="9">
                  <c:v>-12.260738619266244</c:v>
                </c:pt>
                <c:pt idx="10">
                  <c:v>-12.389815735733002</c:v>
                </c:pt>
                <c:pt idx="11">
                  <c:v>-12.513635419748423</c:v>
                </c:pt>
                <c:pt idx="12">
                  <c:v>-12.632825695039578</c:v>
                </c:pt>
                <c:pt idx="13">
                  <c:v>-12.747893876251585</c:v>
                </c:pt>
                <c:pt idx="14">
                  <c:v>-12.859257225101308</c:v>
                </c:pt>
                <c:pt idx="15">
                  <c:v>-12.96726419368402</c:v>
                </c:pt>
                <c:pt idx="16">
                  <c:v>-13.072209579023596</c:v>
                </c:pt>
                <c:pt idx="17">
                  <c:v>-13.174345604768293</c:v>
                </c:pt>
                <c:pt idx="18">
                  <c:v>-13.273890199281013</c:v>
                </c:pt>
                <c:pt idx="19">
                  <c:v>-13.371033295380018</c:v>
                </c:pt>
                <c:pt idx="20">
                  <c:v>-13.465941703487026</c:v>
                </c:pt>
                <c:pt idx="21">
                  <c:v>-13.558762936212709</c:v>
                </c:pt>
                <c:pt idx="22">
                  <c:v>-13.649628249041204</c:v>
                </c:pt>
                <c:pt idx="23">
                  <c:v>-13.738655086006055</c:v>
                </c:pt>
                <c:pt idx="24">
                  <c:v>-13.825949067518652</c:v>
                </c:pt>
                <c:pt idx="25">
                  <c:v>-13.911605621507922</c:v>
                </c:pt>
                <c:pt idx="26">
                  <c:v>-13.995711333537232</c:v>
                </c:pt>
                <c:pt idx="27">
                  <c:v>-14.078345073227384</c:v>
                </c:pt>
                <c:pt idx="28">
                  <c:v>-14.159578940935026</c:v>
                </c:pt>
                <c:pt idx="29">
                  <c:v>-14.23947906874344</c:v>
                </c:pt>
                <c:pt idx="30">
                  <c:v>-14.318106302421295</c:v>
                </c:pt>
                <c:pt idx="31">
                  <c:v>-14.3955167854041</c:v>
                </c:pt>
                <c:pt idx="32">
                  <c:v>-14.471762461571636</c:v>
                </c:pt>
                <c:pt idx="33">
                  <c:v>-14.546891510290145</c:v>
                </c:pt>
                <c:pt idx="34">
                  <c:v>-14.620948724614546</c:v>
                </c:pt>
                <c:pt idx="35">
                  <c:v>-14.693975841525504</c:v>
                </c:pt>
                <c:pt idx="36">
                  <c:v>-14.766011831477096</c:v>
                </c:pt>
                <c:pt idx="37">
                  <c:v>-14.837093153256223</c:v>
                </c:pt>
                <c:pt idx="38">
                  <c:v>-14.907253979132065</c:v>
                </c:pt>
                <c:pt idx="39">
                  <c:v>-14.976526394447379</c:v>
                </c:pt>
                <c:pt idx="40">
                  <c:v>-15.044940575132152</c:v>
                </c:pt>
                <c:pt idx="41">
                  <c:v>-15.112524946070959</c:v>
                </c:pt>
                <c:pt idx="42">
                  <c:v>-15.179306322804562</c:v>
                </c:pt>
              </c:numCache>
            </c:numRef>
          </c:xVal>
          <c:yVal>
            <c:numRef>
              <c:f>PE!$P$8:$P$50</c:f>
              <c:numCache>
                <c:formatCode>General</c:formatCode>
                <c:ptCount val="43"/>
                <c:pt idx="0">
                  <c:v>-11.354746606247518</c:v>
                </c:pt>
                <c:pt idx="1">
                  <c:v>-11.829234653256441</c:v>
                </c:pt>
                <c:pt idx="2">
                  <c:v>-12.096372104721581</c:v>
                </c:pt>
                <c:pt idx="3">
                  <c:v>-12.315627464581761</c:v>
                </c:pt>
                <c:pt idx="4">
                  <c:v>-12.508087675828877</c:v>
                </c:pt>
                <c:pt idx="5">
                  <c:v>-12.682514499085734</c:v>
                </c:pt>
                <c:pt idx="6">
                  <c:v>-12.843619345355682</c:v>
                </c:pt>
                <c:pt idx="7">
                  <c:v>-12.994304537980963</c:v>
                </c:pt>
                <c:pt idx="8">
                  <c:v>-13.136517978263836</c:v>
                </c:pt>
                <c:pt idx="9">
                  <c:v>-13.271647058561312</c:v>
                </c:pt>
                <c:pt idx="10">
                  <c:v>-13.400724175028071</c:v>
                </c:pt>
                <c:pt idx="11">
                  <c:v>-13.524543859043492</c:v>
                </c:pt>
                <c:pt idx="12">
                  <c:v>-13.643734134334647</c:v>
                </c:pt>
                <c:pt idx="13">
                  <c:v>-13.758802315546653</c:v>
                </c:pt>
                <c:pt idx="14">
                  <c:v>-13.870165664396376</c:v>
                </c:pt>
                <c:pt idx="15">
                  <c:v>-13.978172632979089</c:v>
                </c:pt>
                <c:pt idx="16">
                  <c:v>-14.083118018318666</c:v>
                </c:pt>
                <c:pt idx="17">
                  <c:v>-14.185254044063361</c:v>
                </c:pt>
                <c:pt idx="18">
                  <c:v>-14.284798638576079</c:v>
                </c:pt>
                <c:pt idx="19">
                  <c:v>-14.381941734675086</c:v>
                </c:pt>
                <c:pt idx="20">
                  <c:v>-14.476850142782094</c:v>
                </c:pt>
                <c:pt idx="21">
                  <c:v>-14.569671375507779</c:v>
                </c:pt>
                <c:pt idx="22">
                  <c:v>-14.660536688336274</c:v>
                </c:pt>
                <c:pt idx="23">
                  <c:v>-14.749563525301124</c:v>
                </c:pt>
                <c:pt idx="24">
                  <c:v>-14.836857506813722</c:v>
                </c:pt>
                <c:pt idx="25">
                  <c:v>-14.922514060802994</c:v>
                </c:pt>
                <c:pt idx="26">
                  <c:v>-15.0066197728323</c:v>
                </c:pt>
                <c:pt idx="27">
                  <c:v>-15.089253512522452</c:v>
                </c:pt>
                <c:pt idx="28">
                  <c:v>-15.170487380230094</c:v>
                </c:pt>
                <c:pt idx="29">
                  <c:v>-15.250387508038509</c:v>
                </c:pt>
                <c:pt idx="30">
                  <c:v>-15.329014741716364</c:v>
                </c:pt>
                <c:pt idx="31">
                  <c:v>-15.406425224699168</c:v>
                </c:pt>
                <c:pt idx="32">
                  <c:v>-15.482670900866706</c:v>
                </c:pt>
                <c:pt idx="33">
                  <c:v>-15.557799949585215</c:v>
                </c:pt>
                <c:pt idx="34">
                  <c:v>-15.631857163909615</c:v>
                </c:pt>
                <c:pt idx="35">
                  <c:v>-15.704884280820568</c:v>
                </c:pt>
                <c:pt idx="36">
                  <c:v>-15.776920270772164</c:v>
                </c:pt>
                <c:pt idx="37">
                  <c:v>-15.848001592551292</c:v>
                </c:pt>
                <c:pt idx="38">
                  <c:v>-15.918162418427134</c:v>
                </c:pt>
                <c:pt idx="39">
                  <c:v>-15.987434833742448</c:v>
                </c:pt>
                <c:pt idx="40">
                  <c:v>-16.055849014427221</c:v>
                </c:pt>
                <c:pt idx="41">
                  <c:v>-16.123433385366027</c:v>
                </c:pt>
                <c:pt idx="42">
                  <c:v>-16.190214762099629</c:v>
                </c:pt>
              </c:numCache>
            </c:numRef>
          </c:yVal>
          <c:smooth val="0"/>
          <c:extLst>
            <c:ext xmlns:c16="http://schemas.microsoft.com/office/drawing/2014/chart" uri="{C3380CC4-5D6E-409C-BE32-E72D297353CC}">
              <c16:uniqueId val="{00000004-767D-4CAB-8DB5-6708F6C23F67}"/>
            </c:ext>
          </c:extLst>
        </c:ser>
        <c:ser>
          <c:idx val="2"/>
          <c:order val="5"/>
          <c:tx>
            <c:strRef>
              <c:f>PE!$S$2</c:f>
              <c:strCache>
                <c:ptCount val="1"/>
                <c:pt idx="0">
                  <c:v>1:1</c:v>
                </c:pt>
              </c:strCache>
            </c:strRef>
          </c:tx>
          <c:spPr>
            <a:ln w="28575">
              <a:solidFill>
                <a:schemeClr val="tx1"/>
              </a:solidFill>
            </a:ln>
          </c:spPr>
          <c:marker>
            <c:symbol val="none"/>
          </c:marker>
          <c:xVal>
            <c:numRef>
              <c:f>PE!$S$3:$S$4</c:f>
              <c:numCache>
                <c:formatCode>General</c:formatCode>
                <c:ptCount val="2"/>
                <c:pt idx="0">
                  <c:v>-15</c:v>
                </c:pt>
                <c:pt idx="1">
                  <c:v>5</c:v>
                </c:pt>
              </c:numCache>
            </c:numRef>
          </c:xVal>
          <c:yVal>
            <c:numRef>
              <c:f>PE!$S$3:$S$4</c:f>
              <c:numCache>
                <c:formatCode>General</c:formatCode>
                <c:ptCount val="2"/>
                <c:pt idx="0">
                  <c:v>-15</c:v>
                </c:pt>
                <c:pt idx="1">
                  <c:v>5</c:v>
                </c:pt>
              </c:numCache>
            </c:numRef>
          </c:yVal>
          <c:smooth val="0"/>
          <c:extLst>
            <c:ext xmlns:c16="http://schemas.microsoft.com/office/drawing/2014/chart" uri="{C3380CC4-5D6E-409C-BE32-E72D297353CC}">
              <c16:uniqueId val="{00000005-767D-4CAB-8DB5-6708F6C23F67}"/>
            </c:ext>
          </c:extLst>
        </c:ser>
        <c:ser>
          <c:idx val="4"/>
          <c:order val="6"/>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PE!$K$6:$K$7</c:f>
              <c:numCache>
                <c:formatCode>General</c:formatCode>
                <c:ptCount val="2"/>
                <c:pt idx="0">
                  <c:v>-15.593941848924766</c:v>
                </c:pt>
                <c:pt idx="1">
                  <c:v>5.6000183164394279</c:v>
                </c:pt>
              </c:numCache>
            </c:numRef>
          </c:yVal>
          <c:smooth val="0"/>
          <c:extLst>
            <c:ext xmlns:c16="http://schemas.microsoft.com/office/drawing/2014/chart" uri="{C3380CC4-5D6E-409C-BE32-E72D297353CC}">
              <c16:uniqueId val="{00000006-767D-4CAB-8DB5-6708F6C23F67}"/>
            </c:ext>
          </c:extLst>
        </c:ser>
        <c:dLbls>
          <c:showLegendKey val="0"/>
          <c:showVal val="0"/>
          <c:showCatName val="0"/>
          <c:showSerName val="0"/>
          <c:showPercent val="0"/>
          <c:showBubbleSize val="0"/>
        </c:dLbls>
        <c:axId val="160062848"/>
        <c:axId val="160073216"/>
      </c:scatterChart>
      <c:valAx>
        <c:axId val="160062848"/>
        <c:scaling>
          <c:orientation val="minMax"/>
          <c:max val="-10"/>
          <c:min val="-15"/>
        </c:scaling>
        <c:delete val="0"/>
        <c:axPos val="b"/>
        <c:title>
          <c:tx>
            <c:rich>
              <a:bodyPr/>
              <a:lstStyle/>
              <a:p>
                <a:pPr>
                  <a:defRPr/>
                </a:pPr>
                <a:r>
                  <a:rPr lang="en-US"/>
                  <a:t>log D (PE40) m</a:t>
                </a:r>
                <a:r>
                  <a:rPr lang="en-US" baseline="30000"/>
                  <a:t>2</a:t>
                </a:r>
                <a:r>
                  <a:rPr lang="en-US"/>
                  <a:t>/s</a:t>
                </a:r>
              </a:p>
            </c:rich>
          </c:tx>
          <c:layout>
            <c:manualLayout>
              <c:xMode val="edge"/>
              <c:yMode val="edge"/>
              <c:x val="0.36439576880496999"/>
              <c:y val="0.91571741032370957"/>
            </c:manualLayout>
          </c:layout>
          <c:overlay val="0"/>
        </c:title>
        <c:numFmt formatCode="General" sourceLinked="0"/>
        <c:majorTickMark val="out"/>
        <c:minorTickMark val="none"/>
        <c:tickLblPos val="nextTo"/>
        <c:spPr>
          <a:ln>
            <a:solidFill>
              <a:schemeClr val="tx1"/>
            </a:solidFill>
          </a:ln>
        </c:spPr>
        <c:crossAx val="160073216"/>
        <c:crossesAt val="-1000"/>
        <c:crossBetween val="midCat"/>
      </c:valAx>
      <c:valAx>
        <c:axId val="160073216"/>
        <c:scaling>
          <c:orientation val="minMax"/>
          <c:max val="-10"/>
          <c:min val="-15"/>
        </c:scaling>
        <c:delete val="0"/>
        <c:axPos val="l"/>
        <c:title>
          <c:tx>
            <c:rich>
              <a:bodyPr rot="-5400000" vert="horz"/>
              <a:lstStyle/>
              <a:p>
                <a:pPr>
                  <a:defRPr/>
                </a:pPr>
                <a:r>
                  <a:rPr lang="en-US"/>
                  <a:t>log D (PE80) m</a:t>
                </a:r>
                <a:r>
                  <a:rPr lang="en-US" baseline="30000"/>
                  <a:t>2</a:t>
                </a:r>
                <a:r>
                  <a:rPr lang="en-US"/>
                  <a:t>/s</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60062848"/>
        <c:crossesAt val="-1000"/>
        <c:crossBetween val="midCat"/>
        <c:majorUnit val="1"/>
      </c:valAx>
      <c:spPr>
        <a:ln>
          <a:solidFill>
            <a:schemeClr val="tx1"/>
          </a:solidFill>
        </a:ln>
      </c:spPr>
    </c:plotArea>
    <c:legend>
      <c:legendPos val="r"/>
      <c:layout>
        <c:manualLayout>
          <c:xMode val="edge"/>
          <c:yMode val="edge"/>
          <c:x val="0.17477823657545877"/>
          <c:y val="7.3690375272946529E-2"/>
          <c:w val="0.47663078357531202"/>
          <c:h val="0.33293944217267502"/>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1"/>
            <c:dispEq val="1"/>
            <c:trendlineLbl>
              <c:layout>
                <c:manualLayout>
                  <c:x val="-0.32099680370258055"/>
                  <c:y val="-0.300005297318999"/>
                </c:manualLayout>
              </c:layout>
              <c:tx>
                <c:rich>
                  <a:bodyPr/>
                  <a:lstStyle/>
                  <a:p>
                    <a:pPr>
                      <a:defRPr sz="800"/>
                    </a:pPr>
                    <a:r>
                      <a:rPr lang="en-US" sz="800" baseline="0"/>
                      <a:t>y = -5953x - 5.713
R² = 0.977</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TEMP!$BC$65:$BG$65</c:f>
              <c:numCache>
                <c:formatCode>General</c:formatCode>
                <c:ptCount val="5"/>
                <c:pt idx="0">
                  <c:v>-25.743951466896167</c:v>
                </c:pt>
                <c:pt idx="1">
                  <c:v>-24.929659902977136</c:v>
                </c:pt>
                <c:pt idx="2">
                  <c:v>-24.491188498400799</c:v>
                </c:pt>
              </c:numCache>
            </c:numRef>
          </c:yVal>
          <c:smooth val="0"/>
          <c:extLst>
            <c:ext xmlns:c16="http://schemas.microsoft.com/office/drawing/2014/chart" uri="{C3380CC4-5D6E-409C-BE32-E72D297353CC}">
              <c16:uniqueId val="{00000001-B0D3-43DB-87B9-568168D1CD82}"/>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4.2773789388162835E-2"/>
                  <c:y val="1.1812324352054244E-2"/>
                </c:manualLayout>
              </c:layout>
              <c:tx>
                <c:rich>
                  <a:bodyPr/>
                  <a:lstStyle/>
                  <a:p>
                    <a:pPr>
                      <a:defRPr sz="800"/>
                    </a:pPr>
                    <a:r>
                      <a:rPr lang="en-US" sz="800" baseline="0"/>
                      <a:t>y = -3762x - 13.127
R² = 0.997</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TEMP!$BC$49:$BG$49</c:f>
              <c:numCache>
                <c:formatCode>General</c:formatCode>
                <c:ptCount val="5"/>
                <c:pt idx="0">
                  <c:v>-25.774723125562922</c:v>
                </c:pt>
                <c:pt idx="3">
                  <c:v>-24.71867045131361</c:v>
                </c:pt>
                <c:pt idx="4">
                  <c:v>-24.128471240006107</c:v>
                </c:pt>
              </c:numCache>
            </c:numRef>
          </c:yVal>
          <c:smooth val="0"/>
          <c:extLst>
            <c:ext xmlns:c16="http://schemas.microsoft.com/office/drawing/2014/chart" uri="{C3380CC4-5D6E-409C-BE32-E72D297353CC}">
              <c16:uniqueId val="{00000003-B0D3-43DB-87B9-568168D1CD82}"/>
            </c:ext>
          </c:extLst>
        </c:ser>
        <c:ser>
          <c:idx val="0"/>
          <c:order val="2"/>
          <c:tx>
            <c:v>MIBK</c:v>
          </c:tx>
          <c:spPr>
            <a:ln w="28575">
              <a:noFill/>
            </a:ln>
          </c:spPr>
          <c:marker>
            <c:symbol val="diamond"/>
            <c:size val="6"/>
            <c:spPr>
              <a:solidFill>
                <a:schemeClr val="tx1"/>
              </a:solidFill>
              <a:ln>
                <a:solidFill>
                  <a:schemeClr val="tx1"/>
                </a:solidFill>
              </a:ln>
            </c:spPr>
          </c:marker>
          <c:trendline>
            <c:name>2</c:name>
            <c:trendlineType val="linear"/>
            <c:dispRSqr val="1"/>
            <c:dispEq val="1"/>
            <c:trendlineLbl>
              <c:layout>
                <c:manualLayout>
                  <c:x val="0.17788560033687342"/>
                  <c:y val="-7.2445716420573666E-2"/>
                </c:manualLayout>
              </c:layout>
              <c:tx>
                <c:rich>
                  <a:bodyPr/>
                  <a:lstStyle/>
                  <a:p>
                    <a:pPr>
                      <a:defRPr sz="800"/>
                    </a:pPr>
                    <a:r>
                      <a:rPr lang="en-US" sz="800" baseline="0"/>
                      <a:t>y = -6128x - 7.40
R² = 0.999</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TEMP!$BC$60:$BG$60</c:f>
              <c:numCache>
                <c:formatCode>General</c:formatCode>
                <c:ptCount val="5"/>
                <c:pt idx="0">
                  <c:v>-27.987696059867279</c:v>
                </c:pt>
                <c:pt idx="3">
                  <c:v>-26.322688296278368</c:v>
                </c:pt>
                <c:pt idx="4">
                  <c:v>-25.298877220692958</c:v>
                </c:pt>
              </c:numCache>
            </c:numRef>
          </c:yVal>
          <c:smooth val="0"/>
          <c:extLst>
            <c:ext xmlns:c16="http://schemas.microsoft.com/office/drawing/2014/chart" uri="{C3380CC4-5D6E-409C-BE32-E72D297353CC}">
              <c16:uniqueId val="{00000005-B0D3-43DB-87B9-568168D1CD82}"/>
            </c:ext>
          </c:extLst>
        </c:ser>
        <c:dLbls>
          <c:showLegendKey val="0"/>
          <c:showVal val="0"/>
          <c:showCatName val="0"/>
          <c:showSerName val="0"/>
          <c:showPercent val="0"/>
          <c:showBubbleSize val="0"/>
        </c:dLbls>
        <c:axId val="166176640"/>
        <c:axId val="166187008"/>
      </c:scatterChart>
      <c:valAx>
        <c:axId val="166176640"/>
        <c:scaling>
          <c:orientation val="minMax"/>
          <c:max val="3.5000000000000009E-3"/>
          <c:min val="2.9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6187008"/>
        <c:crossesAt val="-1000"/>
        <c:crossBetween val="midCat"/>
      </c:valAx>
      <c:valAx>
        <c:axId val="166187008"/>
        <c:scaling>
          <c:orientation val="minMax"/>
          <c:max val="-22"/>
          <c:min val="-29"/>
        </c:scaling>
        <c:delete val="0"/>
        <c:axPos val="l"/>
        <c:title>
          <c:tx>
            <c:rich>
              <a:bodyPr rot="-5400000" vert="horz"/>
              <a:lstStyle/>
              <a:p>
                <a:pPr>
                  <a:defRPr/>
                </a:pPr>
                <a:r>
                  <a:rPr lang="en-US"/>
                  <a:t>ln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6176640"/>
        <c:crossesAt val="-1000"/>
        <c:crossBetween val="midCat"/>
      </c:valAx>
      <c:spPr>
        <a:ln>
          <a:solidFill>
            <a:schemeClr val="tx1"/>
          </a:solidFill>
        </a:ln>
      </c:spPr>
    </c:plotArea>
    <c:legend>
      <c:legendPos val="r"/>
      <c:layout>
        <c:manualLayout>
          <c:xMode val="edge"/>
          <c:yMode val="edge"/>
          <c:x val="0.18162812784973456"/>
          <c:y val="0.61809431737074549"/>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1"/>
            <c:dispEq val="1"/>
            <c:trendlineLbl>
              <c:layout>
                <c:manualLayout>
                  <c:x val="-0.29811919546064142"/>
                  <c:y val="-1.0196990565196056E-2"/>
                </c:manualLayout>
              </c:layout>
              <c:tx>
                <c:rich>
                  <a:bodyPr/>
                  <a:lstStyle/>
                  <a:p>
                    <a:pPr>
                      <a:defRPr sz="800"/>
                    </a:pPr>
                    <a:r>
                      <a:rPr lang="en-US" sz="800" baseline="0"/>
                      <a:t>y = -1716.9x + 8.2043
R² = 0.999</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TEMP!$W$65:$AA$65</c:f>
              <c:numCache>
                <c:formatCode>General</c:formatCode>
                <c:ptCount val="5"/>
                <c:pt idx="0">
                  <c:v>-2.3434070875143007</c:v>
                </c:pt>
                <c:pt idx="1">
                  <c:v>-2.1469317832822523</c:v>
                </c:pt>
                <c:pt idx="2">
                  <c:v>-1.981264661393435</c:v>
                </c:pt>
              </c:numCache>
            </c:numRef>
          </c:yVal>
          <c:smooth val="0"/>
          <c:extLst>
            <c:ext xmlns:c16="http://schemas.microsoft.com/office/drawing/2014/chart" uri="{C3380CC4-5D6E-409C-BE32-E72D297353CC}">
              <c16:uniqueId val="{00000001-70D7-4ABF-BD31-6313830083FD}"/>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4.0868876128204341E-2"/>
                  <c:y val="3.3162610964892716E-2"/>
                </c:manualLayout>
              </c:layout>
              <c:tx>
                <c:rich>
                  <a:bodyPr/>
                  <a:lstStyle/>
                  <a:p>
                    <a:pPr>
                      <a:defRPr sz="800"/>
                    </a:pPr>
                    <a:r>
                      <a:rPr lang="en-US" sz="800" baseline="0"/>
                      <a:t>y = -2044.x + 10.872
R² = 0.971</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TEMP!$W$49:$AA$49</c:f>
              <c:numCache>
                <c:formatCode>General</c:formatCode>
                <c:ptCount val="5"/>
                <c:pt idx="0">
                  <c:v>-2.120263536200091</c:v>
                </c:pt>
                <c:pt idx="3">
                  <c:v>-1.7147984280919266</c:v>
                </c:pt>
                <c:pt idx="4">
                  <c:v>-1.2039728043259361</c:v>
                </c:pt>
              </c:numCache>
            </c:numRef>
          </c:yVal>
          <c:smooth val="0"/>
          <c:extLst>
            <c:ext xmlns:c16="http://schemas.microsoft.com/office/drawing/2014/chart" uri="{C3380CC4-5D6E-409C-BE32-E72D297353CC}">
              <c16:uniqueId val="{00000003-70D7-4ABF-BD31-6313830083FD}"/>
            </c:ext>
          </c:extLst>
        </c:ser>
        <c:ser>
          <c:idx val="0"/>
          <c:order val="2"/>
          <c:tx>
            <c:v>MIBK</c:v>
          </c:tx>
          <c:spPr>
            <a:ln w="28575">
              <a:noFill/>
            </a:ln>
          </c:spPr>
          <c:marker>
            <c:symbol val="diamond"/>
            <c:size val="6"/>
            <c:spPr>
              <a:solidFill>
                <a:schemeClr val="tx1"/>
              </a:solidFill>
              <a:ln>
                <a:solidFill>
                  <a:schemeClr val="tx1"/>
                </a:solidFill>
              </a:ln>
            </c:spPr>
          </c:marker>
          <c:trendline>
            <c:name>2</c:name>
            <c:trendlineType val="linear"/>
            <c:dispRSqr val="1"/>
            <c:dispEq val="1"/>
            <c:trendlineLbl>
              <c:layout>
                <c:manualLayout>
                  <c:x val="-5.4598954676145825E-2"/>
                  <c:y val="-8.1593349913012439E-2"/>
                </c:manualLayout>
              </c:layout>
              <c:tx>
                <c:rich>
                  <a:bodyPr/>
                  <a:lstStyle/>
                  <a:p>
                    <a:pPr>
                      <a:defRPr sz="800"/>
                    </a:pPr>
                    <a:r>
                      <a:rPr lang="en-US" sz="800" baseline="0"/>
                      <a:t>y = -1541.8x + 5.544
R² = 0.960</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TEMP!$W$60:$AA$60</c:f>
              <c:numCache>
                <c:formatCode>General</c:formatCode>
                <c:ptCount val="5"/>
                <c:pt idx="0">
                  <c:v>-3.5065578973199818</c:v>
                </c:pt>
                <c:pt idx="3">
                  <c:v>-3.2188758248682006</c:v>
                </c:pt>
                <c:pt idx="4">
                  <c:v>-2.8134107167600364</c:v>
                </c:pt>
              </c:numCache>
            </c:numRef>
          </c:yVal>
          <c:smooth val="0"/>
          <c:extLst>
            <c:ext xmlns:c16="http://schemas.microsoft.com/office/drawing/2014/chart" uri="{C3380CC4-5D6E-409C-BE32-E72D297353CC}">
              <c16:uniqueId val="{00000005-70D7-4ABF-BD31-6313830083FD}"/>
            </c:ext>
          </c:extLst>
        </c:ser>
        <c:dLbls>
          <c:showLegendKey val="0"/>
          <c:showVal val="0"/>
          <c:showCatName val="0"/>
          <c:showSerName val="0"/>
          <c:showPercent val="0"/>
          <c:showBubbleSize val="0"/>
        </c:dLbls>
        <c:axId val="166233984"/>
        <c:axId val="166240256"/>
      </c:scatterChart>
      <c:valAx>
        <c:axId val="166233984"/>
        <c:scaling>
          <c:orientation val="minMax"/>
          <c:max val="3.5000000000000009E-3"/>
          <c:min val="2.9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6240256"/>
        <c:crossesAt val="-1000"/>
        <c:crossBetween val="midCat"/>
      </c:valAx>
      <c:valAx>
        <c:axId val="166240256"/>
        <c:scaling>
          <c:orientation val="minMax"/>
        </c:scaling>
        <c:delete val="0"/>
        <c:axPos val="l"/>
        <c:title>
          <c:tx>
            <c:rich>
              <a:bodyPr rot="-5400000" vert="horz"/>
              <a:lstStyle/>
              <a:p>
                <a:pPr>
                  <a:defRPr/>
                </a:pPr>
                <a:r>
                  <a:rPr lang="en-US"/>
                  <a:t>ln K (-)</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6233984"/>
        <c:crossesAt val="-1000"/>
        <c:crossBetween val="midCat"/>
      </c:valAx>
      <c:spPr>
        <a:ln>
          <a:solidFill>
            <a:schemeClr val="tx1"/>
          </a:solidFill>
        </a:ln>
      </c:spPr>
    </c:plotArea>
    <c:legend>
      <c:legendPos val="r"/>
      <c:layout>
        <c:manualLayout>
          <c:xMode val="edge"/>
          <c:yMode val="edge"/>
          <c:x val="0.62785568065783293"/>
          <c:y val="6.4838139023955091E-2"/>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730754249567647E-2"/>
          <c:y val="5.1400643589833366E-2"/>
          <c:w val="0.37312151712031749"/>
          <c:h val="0.79289481316274002"/>
        </c:manualLayout>
      </c:layout>
      <c:scatterChart>
        <c:scatterStyle val="lineMarker"/>
        <c:varyColors val="0"/>
        <c:ser>
          <c:idx val="4"/>
          <c:order val="0"/>
          <c:tx>
            <c:strRef>
              <c:f>TEMP!$DM$49</c:f>
              <c:strCache>
                <c:ptCount val="1"/>
                <c:pt idx="0">
                  <c:v>PE80 Benzene: Ea=47; ΔHs=22  (Rowe et al 2011)</c:v>
                </c:pt>
              </c:strCache>
            </c:strRef>
          </c:tx>
          <c:spPr>
            <a:ln w="9525">
              <a:solidFill>
                <a:schemeClr val="tx1"/>
              </a:solidFill>
              <a:prstDash val="solid"/>
            </a:ln>
          </c:spPr>
          <c:marker>
            <c:symbol val="circle"/>
            <c:size val="4"/>
            <c:spPr>
              <a:noFill/>
              <a:ln>
                <a:solidFill>
                  <a:schemeClr val="tx1"/>
                </a:solidFill>
              </a:ln>
            </c:spPr>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TEMP!$DN$49:$DV$49</c:f>
              <c:numCache>
                <c:formatCode>0%</c:formatCode>
                <c:ptCount val="9"/>
                <c:pt idx="0">
                  <c:v>7.8054166768704761E-2</c:v>
                </c:pt>
                <c:pt idx="1">
                  <c:v>0.15413076922565219</c:v>
                </c:pt>
                <c:pt idx="2">
                  <c:v>0.29542351880652845</c:v>
                </c:pt>
                <c:pt idx="3">
                  <c:v>0.55067418232829768</c:v>
                </c:pt>
                <c:pt idx="4">
                  <c:v>1</c:v>
                </c:pt>
                <c:pt idx="5">
                  <c:v>1.7719849889902461</c:v>
                </c:pt>
                <c:pt idx="6">
                  <c:v>3.0684401731084878</c:v>
                </c:pt>
                <c:pt idx="7">
                  <c:v>5.1995404015831497</c:v>
                </c:pt>
                <c:pt idx="8">
                  <c:v>8.6327307298078555</c:v>
                </c:pt>
              </c:numCache>
            </c:numRef>
          </c:yVal>
          <c:smooth val="0"/>
          <c:extLst>
            <c:ext xmlns:c16="http://schemas.microsoft.com/office/drawing/2014/chart" uri="{C3380CC4-5D6E-409C-BE32-E72D297353CC}">
              <c16:uniqueId val="{00000000-8A61-4BFF-A5EB-541B5D55CF71}"/>
            </c:ext>
          </c:extLst>
        </c:ser>
        <c:ser>
          <c:idx val="0"/>
          <c:order val="1"/>
          <c:tx>
            <c:strRef>
              <c:f>TEMP!$DL$50</c:f>
              <c:strCache>
                <c:ptCount val="1"/>
                <c:pt idx="0">
                  <c:v>PE80 phenanthrene: Ea=60 (regression); ΔHs=-29  (Booij et al 2003)</c:v>
                </c:pt>
              </c:strCache>
            </c:strRef>
          </c:tx>
          <c:spPr>
            <a:ln w="9525">
              <a:solidFill>
                <a:schemeClr val="tx1"/>
              </a:solidFill>
            </a:ln>
          </c:spPr>
          <c:marker>
            <c:symbol val="circle"/>
            <c:size val="4"/>
            <c:spPr>
              <a:solidFill>
                <a:schemeClr val="tx1"/>
              </a:solidFill>
              <a:ln>
                <a:solidFill>
                  <a:schemeClr val="tx1"/>
                </a:solidFill>
              </a:ln>
            </c:spPr>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TEMP!$DM$50:$DU$50</c:f>
              <c:numCache>
                <c:formatCode>0%</c:formatCode>
                <c:ptCount val="9"/>
                <c:pt idx="0">
                  <c:v>0.31796612403723074</c:v>
                </c:pt>
                <c:pt idx="1">
                  <c:v>0.43165690413024393</c:v>
                </c:pt>
                <c:pt idx="2">
                  <c:v>0.57820789253510851</c:v>
                </c:pt>
                <c:pt idx="3">
                  <c:v>0.76487484725113752</c:v>
                </c:pt>
                <c:pt idx="4">
                  <c:v>1</c:v>
                </c:pt>
                <c:pt idx="5">
                  <c:v>1.2930847022029046</c:v>
                </c:pt>
                <c:pt idx="6">
                  <c:v>1.6548556160071248</c:v>
                </c:pt>
                <c:pt idx="7">
                  <c:v>2.0973234636722706</c:v>
                </c:pt>
                <c:pt idx="8">
                  <c:v>2.6338335130903223</c:v>
                </c:pt>
              </c:numCache>
            </c:numRef>
          </c:yVal>
          <c:smooth val="0"/>
          <c:extLst>
            <c:ext xmlns:c16="http://schemas.microsoft.com/office/drawing/2014/chart" uri="{C3380CC4-5D6E-409C-BE32-E72D297353CC}">
              <c16:uniqueId val="{00000001-8A61-4BFF-A5EB-541B5D55CF71}"/>
            </c:ext>
          </c:extLst>
        </c:ser>
        <c:ser>
          <c:idx val="1"/>
          <c:order val="2"/>
          <c:tx>
            <c:strRef>
              <c:f>TEMP!$DL$51</c:f>
              <c:strCache>
                <c:ptCount val="1"/>
                <c:pt idx="0">
                  <c:v>Ea = 87:    PE40 (Simoneau 2000)</c:v>
                </c:pt>
              </c:strCache>
            </c:strRef>
          </c:tx>
          <c:spPr>
            <a:ln w="9525">
              <a:solidFill>
                <a:srgbClr val="0070C0"/>
              </a:solidFill>
              <a:prstDash val="dash"/>
            </a:ln>
          </c:spPr>
          <c:marker>
            <c:symbol val="none"/>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TEMP!$DM$51:$DU$51</c:f>
              <c:numCache>
                <c:formatCode>0%</c:formatCode>
                <c:ptCount val="9"/>
                <c:pt idx="0">
                  <c:v>4.0255711672084235E-2</c:v>
                </c:pt>
                <c:pt idx="1">
                  <c:v>9.4850591715467489E-2</c:v>
                </c:pt>
                <c:pt idx="2">
                  <c:v>0.21525639337853283</c:v>
                </c:pt>
                <c:pt idx="3">
                  <c:v>0.47165331115891113</c:v>
                </c:pt>
                <c:pt idx="4">
                  <c:v>1</c:v>
                </c:pt>
                <c:pt idx="5">
                  <c:v>2.0557392505221408</c:v>
                </c:pt>
                <c:pt idx="6">
                  <c:v>4.1052224856273423</c:v>
                </c:pt>
                <c:pt idx="7">
                  <c:v>7.9772248102599654</c:v>
                </c:pt>
                <c:pt idx="8">
                  <c:v>15.10781010121903</c:v>
                </c:pt>
              </c:numCache>
            </c:numRef>
          </c:yVal>
          <c:smooth val="0"/>
          <c:extLst>
            <c:ext xmlns:c16="http://schemas.microsoft.com/office/drawing/2014/chart" uri="{C3380CC4-5D6E-409C-BE32-E72D297353CC}">
              <c16:uniqueId val="{00000002-8A61-4BFF-A5EB-541B5D55CF71}"/>
            </c:ext>
          </c:extLst>
        </c:ser>
        <c:ser>
          <c:idx val="2"/>
          <c:order val="3"/>
          <c:tx>
            <c:strRef>
              <c:f>TEMP!$DL$52</c:f>
              <c:strCache>
                <c:ptCount val="1"/>
                <c:pt idx="0">
                  <c:v>Ea = 100:  PE80 (Simoneau 2000)</c:v>
                </c:pt>
              </c:strCache>
            </c:strRef>
          </c:tx>
          <c:spPr>
            <a:ln w="9525">
              <a:solidFill>
                <a:srgbClr val="0070C0"/>
              </a:solidFill>
              <a:prstDash val="solid"/>
            </a:ln>
          </c:spPr>
          <c:marker>
            <c:symbol val="none"/>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TEMP!$DM$52:$DU$52</c:f>
              <c:numCache>
                <c:formatCode>0%</c:formatCode>
                <c:ptCount val="9"/>
                <c:pt idx="0">
                  <c:v>2.4794985393777811E-2</c:v>
                </c:pt>
                <c:pt idx="1">
                  <c:v>6.6485226941103592E-2</c:v>
                </c:pt>
                <c:pt idx="2">
                  <c:v>0.17073854702028757</c:v>
                </c:pt>
                <c:pt idx="3">
                  <c:v>0.42110312087652146</c:v>
                </c:pt>
                <c:pt idx="4">
                  <c:v>1</c:v>
                </c:pt>
                <c:pt idx="5">
                  <c:v>2.2918156310510969</c:v>
                </c:pt>
                <c:pt idx="6">
                  <c:v>5.0799491764435594</c:v>
                </c:pt>
                <c:pt idx="7">
                  <c:v>10.911825103793698</c:v>
                </c:pt>
                <c:pt idx="8">
                  <c:v>22.755461963775655</c:v>
                </c:pt>
              </c:numCache>
            </c:numRef>
          </c:yVal>
          <c:smooth val="0"/>
          <c:extLst>
            <c:ext xmlns:c16="http://schemas.microsoft.com/office/drawing/2014/chart" uri="{C3380CC4-5D6E-409C-BE32-E72D297353CC}">
              <c16:uniqueId val="{00000003-8A61-4BFF-A5EB-541B5D55CF71}"/>
            </c:ext>
          </c:extLst>
        </c:ser>
        <c:dLbls>
          <c:showLegendKey val="0"/>
          <c:showVal val="0"/>
          <c:showCatName val="0"/>
          <c:showSerName val="0"/>
          <c:showPercent val="0"/>
          <c:showBubbleSize val="0"/>
        </c:dLbls>
        <c:axId val="166961152"/>
        <c:axId val="166963072"/>
      </c:scatterChart>
      <c:valAx>
        <c:axId val="166961152"/>
        <c:scaling>
          <c:orientation val="minMax"/>
          <c:max val="298"/>
          <c:min val="273"/>
        </c:scaling>
        <c:delete val="0"/>
        <c:axPos val="b"/>
        <c:title>
          <c:tx>
            <c:rich>
              <a:bodyPr/>
              <a:lstStyle/>
              <a:p>
                <a:pPr>
                  <a:defRPr/>
                </a:pPr>
                <a:r>
                  <a:rPr lang="en-US"/>
                  <a:t>T (K)</a:t>
                </a:r>
              </a:p>
            </c:rich>
          </c:tx>
          <c:layout>
            <c:manualLayout>
              <c:xMode val="edge"/>
              <c:yMode val="edge"/>
              <c:x val="0.27426888740009037"/>
              <c:y val="0.93247690918327775"/>
            </c:manualLayout>
          </c:layout>
          <c:overlay val="0"/>
        </c:title>
        <c:numFmt formatCode="General" sourceLinked="1"/>
        <c:majorTickMark val="out"/>
        <c:minorTickMark val="none"/>
        <c:tickLblPos val="nextTo"/>
        <c:spPr>
          <a:ln>
            <a:solidFill>
              <a:schemeClr val="tx1"/>
            </a:solidFill>
          </a:ln>
        </c:spPr>
        <c:crossAx val="166963072"/>
        <c:crossesAt val="-1000"/>
        <c:crossBetween val="midCat"/>
        <c:majorUnit val="5"/>
      </c:valAx>
      <c:valAx>
        <c:axId val="166963072"/>
        <c:scaling>
          <c:orientation val="minMax"/>
          <c:max val="1"/>
        </c:scaling>
        <c:delete val="0"/>
        <c:axPos val="l"/>
        <c:title>
          <c:tx>
            <c:rich>
              <a:bodyPr rot="-5400000" vert="horz"/>
              <a:lstStyle/>
              <a:p>
                <a:pPr>
                  <a:defRPr/>
                </a:pPr>
                <a:r>
                  <a:rPr lang="en-US"/>
                  <a:t>D (T)/ D (298 K)</a:t>
                </a:r>
              </a:p>
            </c:rich>
          </c:tx>
          <c:layout>
            <c:manualLayout>
              <c:xMode val="edge"/>
              <c:yMode val="edge"/>
              <c:x val="2.8768448194941391E-3"/>
              <c:y val="0.28868038453540207"/>
            </c:manualLayout>
          </c:layout>
          <c:overlay val="0"/>
        </c:title>
        <c:numFmt formatCode="0%" sourceLinked="1"/>
        <c:majorTickMark val="out"/>
        <c:minorTickMark val="none"/>
        <c:tickLblPos val="nextTo"/>
        <c:spPr>
          <a:ln>
            <a:solidFill>
              <a:schemeClr val="tx1"/>
            </a:solidFill>
          </a:ln>
        </c:spPr>
        <c:crossAx val="166961152"/>
        <c:crossesAt val="-1000"/>
        <c:crossBetween val="midCat"/>
      </c:valAx>
      <c:spPr>
        <a:ln>
          <a:solidFill>
            <a:schemeClr val="tx1"/>
          </a:solidFill>
        </a:ln>
      </c:spPr>
    </c:plotArea>
    <c:legend>
      <c:legendPos val="r"/>
      <c:layout>
        <c:manualLayout>
          <c:xMode val="edge"/>
          <c:yMode val="edge"/>
          <c:x val="0.56598405448760791"/>
          <c:y val="5.3454686006963861E-2"/>
          <c:w val="0.39979113848694597"/>
          <c:h val="0.79082222946622049"/>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TEMP!$C$51</c:f>
              <c:strCache>
                <c:ptCount val="1"/>
                <c:pt idx="0">
                  <c:v>p-Xylene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0.12048077708693043"/>
                  <c:y val="-7.8477576495090184E-2"/>
                </c:manualLayout>
              </c:layout>
              <c:tx>
                <c:rich>
                  <a:bodyPr/>
                  <a:lstStyle/>
                  <a:p>
                    <a:pPr>
                      <a:defRPr sz="900"/>
                    </a:pPr>
                    <a:r>
                      <a:rPr lang="en-US" sz="900" baseline="0"/>
                      <a:t>y = -3762x - 13.12
R² = 0.997</a:t>
                    </a:r>
                    <a:endParaRPr lang="en-US" sz="9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TEMP!$BC$51:$BG$51</c:f>
              <c:numCache>
                <c:formatCode>General</c:formatCode>
                <c:ptCount val="5"/>
                <c:pt idx="0">
                  <c:v>-25.774723125562922</c:v>
                </c:pt>
                <c:pt idx="3">
                  <c:v>-24.504260579968154</c:v>
                </c:pt>
                <c:pt idx="4">
                  <c:v>-24.047502177472438</c:v>
                </c:pt>
              </c:numCache>
            </c:numRef>
          </c:yVal>
          <c:smooth val="0"/>
          <c:extLst>
            <c:ext xmlns:c16="http://schemas.microsoft.com/office/drawing/2014/chart" uri="{C3380CC4-5D6E-409C-BE32-E72D297353CC}">
              <c16:uniqueId val="{00000001-2B4C-4716-B0BC-B1647C313A5E}"/>
            </c:ext>
          </c:extLst>
        </c:ser>
        <c:ser>
          <c:idx val="4"/>
          <c:order val="1"/>
          <c:tx>
            <c:v>HBP</c:v>
          </c:tx>
          <c:spPr>
            <a:ln w="9525">
              <a:noFill/>
              <a:prstDash val="sysDash"/>
            </a:ln>
          </c:spPr>
          <c:marker>
            <c:symbol val="circle"/>
            <c:size val="6"/>
            <c:spPr>
              <a:noFill/>
              <a:ln>
                <a:solidFill>
                  <a:schemeClr val="tx1"/>
                </a:solidFill>
              </a:ln>
            </c:spPr>
          </c:marker>
          <c:trendline>
            <c:name>3</c:name>
            <c:trendlineType val="linear"/>
            <c:dispRSqr val="1"/>
            <c:dispEq val="1"/>
            <c:trendlineLbl>
              <c:layout>
                <c:manualLayout>
                  <c:x val="-5.9270626085893173E-3"/>
                  <c:y val="-0.22892707854492139"/>
                </c:manualLayout>
              </c:layout>
              <c:tx>
                <c:rich>
                  <a:bodyPr/>
                  <a:lstStyle/>
                  <a:p>
                    <a:pPr>
                      <a:defRPr sz="900"/>
                    </a:pPr>
                    <a:r>
                      <a:rPr lang="en-US" sz="900" baseline="0"/>
                      <a:t>y = -9902x + 2.067
R² = 0.998</a:t>
                    </a:r>
                    <a:endParaRPr lang="en-US" sz="900"/>
                  </a:p>
                </c:rich>
              </c:tx>
              <c:numFmt formatCode="General" sourceLinked="0"/>
            </c:trendlineLbl>
          </c:trendline>
          <c:xVal>
            <c:numRef>
              <c:f>TEMP!$BC$75:$BF$75</c:f>
              <c:numCache>
                <c:formatCode>General</c:formatCode>
                <c:ptCount val="4"/>
                <c:pt idx="0">
                  <c:v>3.5971223021582736E-3</c:v>
                </c:pt>
                <c:pt idx="1">
                  <c:v>3.3783783783783786E-3</c:v>
                </c:pt>
                <c:pt idx="2">
                  <c:v>3.1948881789137379E-3</c:v>
                </c:pt>
                <c:pt idx="3">
                  <c:v>3.003003003003003E-3</c:v>
                </c:pt>
              </c:numCache>
            </c:numRef>
          </c:xVal>
          <c:yVal>
            <c:numRef>
              <c:f>TEMP!$BC$77:$BF$77</c:f>
              <c:numCache>
                <c:formatCode>General</c:formatCode>
                <c:ptCount val="4"/>
                <c:pt idx="0">
                  <c:v>-33.646778355605576</c:v>
                </c:pt>
                <c:pt idx="1">
                  <c:v>-31.239242667025032</c:v>
                </c:pt>
                <c:pt idx="2">
                  <c:v>-29.56204265249011</c:v>
                </c:pt>
                <c:pt idx="3">
                  <c:v>-27.727532016309393</c:v>
                </c:pt>
              </c:numCache>
            </c:numRef>
          </c:yVal>
          <c:smooth val="0"/>
          <c:extLst>
            <c:ext xmlns:c16="http://schemas.microsoft.com/office/drawing/2014/chart" uri="{C3380CC4-5D6E-409C-BE32-E72D297353CC}">
              <c16:uniqueId val="{00000003-2B4C-4716-B0BC-B1647C313A5E}"/>
            </c:ext>
          </c:extLst>
        </c:ser>
        <c:ser>
          <c:idx val="0"/>
          <c:order val="2"/>
          <c:tx>
            <c:v>HBP</c:v>
          </c:tx>
          <c:spPr>
            <a:ln w="9525">
              <a:noFill/>
              <a:prstDash val="sysDash"/>
            </a:ln>
          </c:spPr>
          <c:marker>
            <c:symbol val="circle"/>
            <c:size val="6"/>
            <c:spPr>
              <a:noFill/>
              <a:ln>
                <a:solidFill>
                  <a:schemeClr val="tx1"/>
                </a:solidFill>
              </a:ln>
            </c:spPr>
          </c:marker>
          <c:trendline>
            <c:trendlineType val="linear"/>
            <c:dispRSqr val="1"/>
            <c:dispEq val="1"/>
            <c:trendlineLbl>
              <c:layout>
                <c:manualLayout>
                  <c:x val="2.266909362042667E-2"/>
                  <c:y val="-0.12656082684789702"/>
                </c:manualLayout>
              </c:layout>
              <c:tx>
                <c:rich>
                  <a:bodyPr/>
                  <a:lstStyle/>
                  <a:p>
                    <a:pPr>
                      <a:defRPr sz="900"/>
                    </a:pPr>
                    <a:r>
                      <a:rPr lang="en-US" sz="900" baseline="0"/>
                      <a:t>y = -5953x - 9.879
R² = 0.997</a:t>
                    </a:r>
                    <a:endParaRPr lang="en-US" sz="900"/>
                  </a:p>
                </c:rich>
              </c:tx>
              <c:numFmt formatCode="General" sourceLinked="0"/>
            </c:trendlineLbl>
          </c:trendline>
          <c:xVal>
            <c:numRef>
              <c:f>TEMP!$BF$75:$BH$75</c:f>
              <c:numCache>
                <c:formatCode>General</c:formatCode>
                <c:ptCount val="3"/>
                <c:pt idx="0">
                  <c:v>3.003003003003003E-3</c:v>
                </c:pt>
                <c:pt idx="1">
                  <c:v>2.8328611898016999E-3</c:v>
                </c:pt>
                <c:pt idx="2">
                  <c:v>2.6809651474530832E-3</c:v>
                </c:pt>
              </c:numCache>
            </c:numRef>
          </c:xVal>
          <c:yVal>
            <c:numRef>
              <c:f>TEMP!$BF$77:$BH$77</c:f>
              <c:numCache>
                <c:formatCode>General</c:formatCode>
                <c:ptCount val="3"/>
                <c:pt idx="0">
                  <c:v>-27.727532016309393</c:v>
                </c:pt>
                <c:pt idx="1">
                  <c:v>-26.811241284435237</c:v>
                </c:pt>
                <c:pt idx="2">
                  <c:v>-25.806471823877501</c:v>
                </c:pt>
              </c:numCache>
            </c:numRef>
          </c:yVal>
          <c:smooth val="0"/>
          <c:extLst>
            <c:ext xmlns:c16="http://schemas.microsoft.com/office/drawing/2014/chart" uri="{C3380CC4-5D6E-409C-BE32-E72D297353CC}">
              <c16:uniqueId val="{00000005-2B4C-4716-B0BC-B1647C313A5E}"/>
            </c:ext>
          </c:extLst>
        </c:ser>
        <c:dLbls>
          <c:showLegendKey val="0"/>
          <c:showVal val="0"/>
          <c:showCatName val="0"/>
          <c:showSerName val="0"/>
          <c:showPercent val="0"/>
          <c:showBubbleSize val="0"/>
        </c:dLbls>
        <c:axId val="167021568"/>
        <c:axId val="167036032"/>
      </c:scatterChart>
      <c:valAx>
        <c:axId val="167021568"/>
        <c:scaling>
          <c:orientation val="minMax"/>
          <c:max val="3.6500000000000013E-3"/>
          <c:min val="2.6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036032"/>
        <c:crossesAt val="-1000"/>
        <c:crossBetween val="midCat"/>
      </c:valAx>
      <c:valAx>
        <c:axId val="167036032"/>
        <c:scaling>
          <c:orientation val="minMax"/>
          <c:max val="-23"/>
          <c:min val="-34"/>
        </c:scaling>
        <c:delete val="0"/>
        <c:axPos val="l"/>
        <c:title>
          <c:tx>
            <c:rich>
              <a:bodyPr rot="-5400000" vert="horz"/>
              <a:lstStyle/>
              <a:p>
                <a:pPr>
                  <a:defRPr/>
                </a:pPr>
                <a:r>
                  <a:rPr lang="en-US"/>
                  <a:t>ln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021568"/>
        <c:crossesAt val="-1000"/>
        <c:crossBetween val="midCat"/>
      </c:valAx>
      <c:spPr>
        <a:ln>
          <a:solidFill>
            <a:schemeClr val="tx1"/>
          </a:solidFill>
        </a:ln>
      </c:spPr>
    </c:plotArea>
    <c:legend>
      <c:legendPos val="r"/>
      <c:layout>
        <c:manualLayout>
          <c:xMode val="edge"/>
          <c:yMode val="edge"/>
          <c:x val="0.17819226213697822"/>
          <c:y val="0.68617647177076202"/>
          <c:w val="0.26943711542941901"/>
          <c:h val="0.10729683619711081"/>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8852624839774"/>
          <c:y val="5.1400554097404488E-2"/>
          <c:w val="0.7079782574215745"/>
          <c:h val="0.77611475648877226"/>
        </c:manualLayout>
      </c:layout>
      <c:scatterChart>
        <c:scatterStyle val="lineMarker"/>
        <c:varyColors val="0"/>
        <c:ser>
          <c:idx val="1"/>
          <c:order val="0"/>
          <c:tx>
            <c:v>Sp (polyethylene)</c:v>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0.17785220639934621"/>
                  <c:y val="9.0179397555895602E-2"/>
                </c:manualLayout>
              </c:layout>
              <c:tx>
                <c:rich>
                  <a:bodyPr/>
                  <a:lstStyle/>
                  <a:p>
                    <a:pPr>
                      <a:defRPr sz="900"/>
                    </a:pPr>
                    <a:r>
                      <a:rPr lang="en-US" sz="900" baseline="0"/>
                      <a:t>y = -1775x + 3.6371
R² = 0.992</a:t>
                    </a:r>
                    <a:endParaRPr lang="en-US" sz="9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TEMP!$W$51:$AA$51</c:f>
              <c:numCache>
                <c:formatCode>General</c:formatCode>
                <c:ptCount val="5"/>
                <c:pt idx="0">
                  <c:v>-2.3025850929940455</c:v>
                </c:pt>
                <c:pt idx="3">
                  <c:v>-1.8971199848858813</c:v>
                </c:pt>
                <c:pt idx="4">
                  <c:v>-1.5141277326297755</c:v>
                </c:pt>
              </c:numCache>
            </c:numRef>
          </c:yVal>
          <c:smooth val="0"/>
          <c:extLst>
            <c:ext xmlns:c16="http://schemas.microsoft.com/office/drawing/2014/chart" uri="{C3380CC4-5D6E-409C-BE32-E72D297353CC}">
              <c16:uniqueId val="{00000001-0C01-4926-B07E-13C51169E3E8}"/>
            </c:ext>
          </c:extLst>
        </c:ser>
        <c:ser>
          <c:idx val="0"/>
          <c:order val="1"/>
          <c:tx>
            <c:v>Sw (water)</c:v>
          </c:tx>
          <c:spPr>
            <a:ln w="28575">
              <a:noFill/>
            </a:ln>
          </c:spPr>
          <c:marker>
            <c:spPr>
              <a:solidFill>
                <a:schemeClr val="tx1"/>
              </a:solidFill>
              <a:ln>
                <a:solidFill>
                  <a:schemeClr val="tx1"/>
                </a:solidFill>
              </a:ln>
            </c:spPr>
          </c:marker>
          <c:trendline>
            <c:trendlineType val="linear"/>
            <c:dispRSqr val="1"/>
            <c:dispEq val="1"/>
            <c:trendlineLbl>
              <c:layout>
                <c:manualLayout>
                  <c:x val="0.14078744460469902"/>
                  <c:y val="-7.0630823714246491E-2"/>
                </c:manualLayout>
              </c:layout>
              <c:tx>
                <c:rich>
                  <a:bodyPr/>
                  <a:lstStyle/>
                  <a:p>
                    <a:pPr>
                      <a:defRPr sz="900"/>
                    </a:pPr>
                    <a:r>
                      <a:rPr lang="en-US" sz="900" baseline="0"/>
                      <a:t>y = -647x - 6.52
R² = 0.964</a:t>
                    </a:r>
                    <a:endParaRPr lang="en-US" sz="900"/>
                  </a:p>
                </c:rich>
              </c:tx>
              <c:numFmt formatCode="General" sourceLinked="0"/>
            </c:trendlineLbl>
          </c:trendline>
          <c:xVal>
            <c:numRef>
              <c:f>TEMP!$W$6:$Y$6</c:f>
              <c:numCache>
                <c:formatCode>General</c:formatCode>
                <c:ptCount val="3"/>
              </c:numCache>
            </c:numRef>
          </c:xVal>
          <c:yVal>
            <c:numRef>
              <c:f>TEMP!$W$8:$Y$8</c:f>
              <c:numCache>
                <c:formatCode>General</c:formatCode>
                <c:ptCount val="3"/>
              </c:numCache>
            </c:numRef>
          </c:yVal>
          <c:smooth val="0"/>
          <c:extLst>
            <c:ext xmlns:c16="http://schemas.microsoft.com/office/drawing/2014/chart" uri="{C3380CC4-5D6E-409C-BE32-E72D297353CC}">
              <c16:uniqueId val="{00000003-0C01-4926-B07E-13C51169E3E8}"/>
            </c:ext>
          </c:extLst>
        </c:ser>
        <c:dLbls>
          <c:showLegendKey val="0"/>
          <c:showVal val="0"/>
          <c:showCatName val="0"/>
          <c:showSerName val="0"/>
          <c:showPercent val="0"/>
          <c:showBubbleSize val="0"/>
        </c:dLbls>
        <c:axId val="167097088"/>
        <c:axId val="167099008"/>
      </c:scatterChart>
      <c:scatterChart>
        <c:scatterStyle val="lineMarker"/>
        <c:varyColors val="0"/>
        <c:ser>
          <c:idx val="2"/>
          <c:order val="2"/>
          <c:tx>
            <c:v>K = Sp/Sw</c:v>
          </c:tx>
          <c:spPr>
            <a:ln w="9525">
              <a:solidFill>
                <a:schemeClr val="tx1"/>
              </a:solidFill>
            </a:ln>
          </c:spPr>
          <c:marker>
            <c:symbol val="triangle"/>
            <c:size val="7"/>
            <c:spPr>
              <a:solidFill>
                <a:schemeClr val="bg1"/>
              </a:solidFill>
              <a:ln>
                <a:solidFill>
                  <a:schemeClr val="tx1"/>
                </a:solidFill>
              </a:ln>
            </c:spPr>
          </c:marker>
          <c:trendline>
            <c:trendlineType val="linear"/>
            <c:dispRSqr val="1"/>
            <c:dispEq val="1"/>
            <c:trendlineLbl>
              <c:layout>
                <c:manualLayout>
                  <c:x val="0.19387503007861698"/>
                  <c:y val="-5.0070014680553873E-2"/>
                </c:manualLayout>
              </c:layout>
              <c:tx>
                <c:rich>
                  <a:bodyPr/>
                  <a:lstStyle/>
                  <a:p>
                    <a:pPr>
                      <a:defRPr sz="900"/>
                    </a:pPr>
                    <a:r>
                      <a:rPr lang="en-US" sz="900" baseline="0"/>
                      <a:t>y = -1128x + 10.15
R² = 1</a:t>
                    </a:r>
                    <a:endParaRPr lang="en-US" sz="900"/>
                  </a:p>
                </c:rich>
              </c:tx>
              <c:numFmt formatCode="General" sourceLinked="0"/>
            </c:trendlineLbl>
          </c:trendline>
          <c:xVal>
            <c:numRef>
              <c:f>TEMP!$W$37:$Y$37</c:f>
              <c:numCache>
                <c:formatCode>General</c:formatCode>
                <c:ptCount val="3"/>
                <c:pt idx="0">
                  <c:v>3.3444816053511705E-3</c:v>
                </c:pt>
                <c:pt idx="1">
                  <c:v>3.0769230769230769E-3</c:v>
                </c:pt>
                <c:pt idx="2">
                  <c:v>2.8901734104046241E-3</c:v>
                </c:pt>
              </c:numCache>
            </c:numRef>
          </c:xVal>
          <c:yVal>
            <c:numRef>
              <c:f>TEMP!$W$38:$Y$38</c:f>
              <c:numCache>
                <c:formatCode>General</c:formatCode>
                <c:ptCount val="3"/>
                <c:pt idx="0">
                  <c:v>-2.298808727557863</c:v>
                </c:pt>
                <c:pt idx="1">
                  <c:v>-1.8239373881994805</c:v>
                </c:pt>
                <c:pt idx="2">
                  <c:v>-1.4924881730114761</c:v>
                </c:pt>
              </c:numCache>
            </c:numRef>
          </c:yVal>
          <c:smooth val="0"/>
          <c:extLst>
            <c:ext xmlns:c16="http://schemas.microsoft.com/office/drawing/2014/chart" uri="{C3380CC4-5D6E-409C-BE32-E72D297353CC}">
              <c16:uniqueId val="{00000005-0C01-4926-B07E-13C51169E3E8}"/>
            </c:ext>
          </c:extLst>
        </c:ser>
        <c:dLbls>
          <c:showLegendKey val="0"/>
          <c:showVal val="0"/>
          <c:showCatName val="0"/>
          <c:showSerName val="0"/>
          <c:showPercent val="0"/>
          <c:showBubbleSize val="0"/>
        </c:dLbls>
        <c:axId val="167103104"/>
        <c:axId val="167101184"/>
      </c:scatterChart>
      <c:valAx>
        <c:axId val="167097088"/>
        <c:scaling>
          <c:orientation val="minMax"/>
          <c:max val="3.6500000000000013E-3"/>
          <c:min val="2.6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099008"/>
        <c:crossesAt val="-1000"/>
        <c:crossBetween val="midCat"/>
      </c:valAx>
      <c:valAx>
        <c:axId val="167099008"/>
        <c:scaling>
          <c:orientation val="minMax"/>
        </c:scaling>
        <c:delete val="0"/>
        <c:axPos val="l"/>
        <c:title>
          <c:tx>
            <c:rich>
              <a:bodyPr rot="-5400000" vert="horz"/>
              <a:lstStyle/>
              <a:p>
                <a:pPr>
                  <a:defRPr/>
                </a:pPr>
                <a:r>
                  <a:rPr lang="en-US"/>
                  <a:t>ln S (-)</a:t>
                </a:r>
              </a:p>
            </c:rich>
          </c:tx>
          <c:layout>
            <c:manualLayout>
              <c:xMode val="edge"/>
              <c:yMode val="edge"/>
              <c:x val="1.6666641961437113E-2"/>
              <c:y val="0.35540946799670686"/>
            </c:manualLayout>
          </c:layout>
          <c:overlay val="0"/>
        </c:title>
        <c:numFmt formatCode="General" sourceLinked="1"/>
        <c:majorTickMark val="out"/>
        <c:minorTickMark val="none"/>
        <c:tickLblPos val="nextTo"/>
        <c:spPr>
          <a:ln>
            <a:solidFill>
              <a:schemeClr val="tx1"/>
            </a:solidFill>
          </a:ln>
        </c:spPr>
        <c:crossAx val="167097088"/>
        <c:crossesAt val="-1000"/>
        <c:crossBetween val="midCat"/>
      </c:valAx>
      <c:valAx>
        <c:axId val="167101184"/>
        <c:scaling>
          <c:orientation val="minMax"/>
          <c:max val="8"/>
          <c:min val="-2"/>
        </c:scaling>
        <c:delete val="0"/>
        <c:axPos val="r"/>
        <c:title>
          <c:tx>
            <c:rich>
              <a:bodyPr rot="-5400000" vert="horz"/>
              <a:lstStyle/>
              <a:p>
                <a:pPr>
                  <a:defRPr/>
                </a:pPr>
                <a:r>
                  <a:rPr lang="en-US"/>
                  <a:t>ln K (-)</a:t>
                </a:r>
              </a:p>
            </c:rich>
          </c:tx>
          <c:overlay val="0"/>
        </c:title>
        <c:numFmt formatCode="General" sourceLinked="1"/>
        <c:majorTickMark val="out"/>
        <c:minorTickMark val="none"/>
        <c:tickLblPos val="nextTo"/>
        <c:crossAx val="167103104"/>
        <c:crosses val="max"/>
        <c:crossBetween val="midCat"/>
      </c:valAx>
      <c:valAx>
        <c:axId val="167103104"/>
        <c:scaling>
          <c:orientation val="minMax"/>
        </c:scaling>
        <c:delete val="1"/>
        <c:axPos val="b"/>
        <c:numFmt formatCode="General" sourceLinked="1"/>
        <c:majorTickMark val="out"/>
        <c:minorTickMark val="none"/>
        <c:tickLblPos val="nextTo"/>
        <c:crossAx val="167101184"/>
        <c:crosses val="autoZero"/>
        <c:crossBetween val="midCat"/>
      </c:valAx>
      <c:spPr>
        <a:ln>
          <a:solidFill>
            <a:schemeClr val="tx1"/>
          </a:solidFill>
        </a:ln>
      </c:spPr>
    </c:plotArea>
    <c:legend>
      <c:legendPos val="r"/>
      <c:layout>
        <c:manualLayout>
          <c:xMode val="edge"/>
          <c:yMode val="edge"/>
          <c:x val="0.19921441916448604"/>
          <c:y val="0.12390105570098897"/>
          <c:w val="0.40791694444444443"/>
          <c:h val="0.162517189311383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326390333113928"/>
          <c:y val="0.18602046965376201"/>
          <c:w val="1.3104153579307779E-2"/>
          <c:h val="0.38738448057976782"/>
        </c:manualLayout>
      </c:layout>
      <c:scatterChart>
        <c:scatterStyle val="lineMarker"/>
        <c:varyColors val="0"/>
        <c:ser>
          <c:idx val="13"/>
          <c:order val="0"/>
          <c:tx>
            <c:v>Adams et al 2007</c:v>
          </c:tx>
          <c:spPr>
            <a:ln w="28575">
              <a:noFill/>
            </a:ln>
          </c:spPr>
          <c:marker>
            <c:symbol val="diamond"/>
            <c:size val="7"/>
            <c:spPr>
              <a:solidFill>
                <a:schemeClr val="bg1"/>
              </a:solidFill>
              <a:ln>
                <a:solidFill>
                  <a:schemeClr val="tx1"/>
                </a:solidFill>
              </a:ln>
            </c:spPr>
          </c:marker>
          <c:xVal>
            <c:numRef>
              <c:f>TEMP!$CI$112</c:f>
              <c:numCache>
                <c:formatCode>0.0</c:formatCode>
                <c:ptCount val="1"/>
                <c:pt idx="0">
                  <c:v>-12</c:v>
                </c:pt>
              </c:numCache>
            </c:numRef>
          </c:xVal>
          <c:yVal>
            <c:numRef>
              <c:f>TEMP!$CL$112</c:f>
              <c:numCache>
                <c:formatCode>General</c:formatCode>
                <c:ptCount val="1"/>
              </c:numCache>
            </c:numRef>
          </c:yVal>
          <c:smooth val="0"/>
          <c:extLst>
            <c:ext xmlns:c16="http://schemas.microsoft.com/office/drawing/2014/chart" uri="{C3380CC4-5D6E-409C-BE32-E72D297353CC}">
              <c16:uniqueId val="{00000000-BB6A-4A90-AEA9-7EF8907A8E23}"/>
            </c:ext>
          </c:extLst>
        </c:ser>
        <c:ser>
          <c:idx val="3"/>
          <c:order val="1"/>
          <c:tx>
            <c:v>Al-Malika 1991; PE40 (278-333 K)</c:v>
          </c:tx>
          <c:spPr>
            <a:ln w="28575">
              <a:noFill/>
            </a:ln>
          </c:spPr>
          <c:marker>
            <c:symbol val="star"/>
            <c:size val="5"/>
            <c:spPr>
              <a:noFill/>
              <a:ln>
                <a:solidFill>
                  <a:schemeClr val="tx1"/>
                </a:solidFill>
              </a:ln>
            </c:spPr>
          </c:marker>
          <c:xVal>
            <c:numRef>
              <c:f>TEMP!$I$77:$I$86</c:f>
              <c:numCache>
                <c:formatCode>General</c:formatCode>
                <c:ptCount val="10"/>
                <c:pt idx="0">
                  <c:v>214</c:v>
                </c:pt>
                <c:pt idx="1">
                  <c:v>258</c:v>
                </c:pt>
                <c:pt idx="2">
                  <c:v>326</c:v>
                </c:pt>
                <c:pt idx="3">
                  <c:v>332</c:v>
                </c:pt>
                <c:pt idx="4">
                  <c:v>346</c:v>
                </c:pt>
                <c:pt idx="5">
                  <c:v>388</c:v>
                </c:pt>
                <c:pt idx="6">
                  <c:v>388</c:v>
                </c:pt>
                <c:pt idx="7">
                  <c:v>445</c:v>
                </c:pt>
                <c:pt idx="8">
                  <c:v>551</c:v>
                </c:pt>
                <c:pt idx="9">
                  <c:v>585</c:v>
                </c:pt>
              </c:numCache>
            </c:numRef>
          </c:xVal>
          <c:yVal>
            <c:numRef>
              <c:f>TEMP!$CM$77:$CM$86</c:f>
              <c:numCache>
                <c:formatCode>0.0</c:formatCode>
                <c:ptCount val="10"/>
                <c:pt idx="0">
                  <c:v>83.306382577714444</c:v>
                </c:pt>
                <c:pt idx="1">
                  <c:v>82.607881485513062</c:v>
                </c:pt>
                <c:pt idx="2">
                  <c:v>81.665365354650319</c:v>
                </c:pt>
                <c:pt idx="3">
                  <c:v>61.793170985143334</c:v>
                </c:pt>
                <c:pt idx="4">
                  <c:v>87.913637767770695</c:v>
                </c:pt>
                <c:pt idx="5">
                  <c:v>92.186996025204266</c:v>
                </c:pt>
                <c:pt idx="6">
                  <c:v>96.913996815942241</c:v>
                </c:pt>
                <c:pt idx="7">
                  <c:v>73.530369162196109</c:v>
                </c:pt>
                <c:pt idx="8">
                  <c:v>79.541002493861967</c:v>
                </c:pt>
                <c:pt idx="9">
                  <c:v>80.571528511264461</c:v>
                </c:pt>
              </c:numCache>
            </c:numRef>
          </c:yVal>
          <c:smooth val="0"/>
          <c:extLst>
            <c:ext xmlns:c16="http://schemas.microsoft.com/office/drawing/2014/chart" uri="{C3380CC4-5D6E-409C-BE32-E72D297353CC}">
              <c16:uniqueId val="{00000001-BB6A-4A90-AEA9-7EF8907A8E23}"/>
            </c:ext>
          </c:extLst>
        </c:ser>
        <c:ser>
          <c:idx val="1"/>
          <c:order val="2"/>
          <c:tx>
            <c:v>Aminabhavi &amp; Naik 1999; PE80</c:v>
          </c:tx>
          <c:spPr>
            <a:ln w="28575">
              <a:noFill/>
            </a:ln>
          </c:spPr>
          <c:marker>
            <c:symbol val="circle"/>
            <c:size val="6"/>
            <c:spPr>
              <a:noFill/>
              <a:ln>
                <a:solidFill>
                  <a:schemeClr val="tx1"/>
                </a:solidFill>
              </a:ln>
            </c:spPr>
          </c:marker>
          <c:xVal>
            <c:numRef>
              <c:f>TEMP!$I$49:$I$62</c:f>
              <c:numCache>
                <c:formatCode>General</c:formatCode>
                <c:ptCount val="14"/>
                <c:pt idx="0">
                  <c:v>78.106666524406961</c:v>
                </c:pt>
                <c:pt idx="1">
                  <c:v>92.14249284505685</c:v>
                </c:pt>
                <c:pt idx="2">
                  <c:v>106.18666499232586</c:v>
                </c:pt>
                <c:pt idx="3">
                  <c:v>120.19</c:v>
                </c:pt>
                <c:pt idx="4">
                  <c:v>108.14</c:v>
                </c:pt>
                <c:pt idx="5">
                  <c:v>112.56</c:v>
                </c:pt>
                <c:pt idx="6">
                  <c:v>162.62</c:v>
                </c:pt>
                <c:pt idx="7">
                  <c:v>84.93</c:v>
                </c:pt>
                <c:pt idx="8">
                  <c:v>98.973331537275584</c:v>
                </c:pt>
                <c:pt idx="9">
                  <c:v>58.08</c:v>
                </c:pt>
                <c:pt idx="10">
                  <c:v>72</c:v>
                </c:pt>
                <c:pt idx="11">
                  <c:v>100.16</c:v>
                </c:pt>
                <c:pt idx="12">
                  <c:v>84.16</c:v>
                </c:pt>
                <c:pt idx="13">
                  <c:v>72.11</c:v>
                </c:pt>
              </c:numCache>
            </c:numRef>
          </c:xVal>
          <c:yVal>
            <c:numRef>
              <c:f>TEMP!$CK$49:$CK$62</c:f>
              <c:numCache>
                <c:formatCode>General</c:formatCode>
                <c:ptCount val="14"/>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numCache>
            </c:numRef>
          </c:yVal>
          <c:smooth val="0"/>
          <c:extLst>
            <c:ext xmlns:c16="http://schemas.microsoft.com/office/drawing/2014/chart" uri="{C3380CC4-5D6E-409C-BE32-E72D297353CC}">
              <c16:uniqueId val="{00000002-BB6A-4A90-AEA9-7EF8907A8E23}"/>
            </c:ext>
          </c:extLst>
        </c:ser>
        <c:ser>
          <c:idx val="11"/>
          <c:order val="3"/>
          <c:tx>
            <c:v>Booij et al 2003; PE40</c:v>
          </c:tx>
          <c:spPr>
            <a:ln w="28575">
              <a:noFill/>
            </a:ln>
          </c:spPr>
          <c:marker>
            <c:symbol val="triangle"/>
            <c:size val="7"/>
            <c:spPr>
              <a:solidFill>
                <a:schemeClr val="tx1"/>
              </a:solidFill>
              <a:ln>
                <a:solidFill>
                  <a:schemeClr val="tx1"/>
                </a:solidFill>
              </a:ln>
            </c:spPr>
          </c:marker>
          <c:yVal>
            <c:numLit>
              <c:formatCode>General</c:formatCode>
              <c:ptCount val="1"/>
              <c:pt idx="0">
                <c:v>1</c:v>
              </c:pt>
            </c:numLit>
          </c:yVal>
          <c:smooth val="0"/>
          <c:extLst>
            <c:ext xmlns:c16="http://schemas.microsoft.com/office/drawing/2014/chart" uri="{C3380CC4-5D6E-409C-BE32-E72D297353CC}">
              <c16:uniqueId val="{00000003-BB6A-4A90-AEA9-7EF8907A8E23}"/>
            </c:ext>
          </c:extLst>
        </c:ser>
        <c:ser>
          <c:idx val="0"/>
          <c:order val="4"/>
          <c:tx>
            <c:v>Chao et al 2007; PE80</c:v>
          </c:tx>
          <c:spPr>
            <a:ln w="28575">
              <a:noFill/>
            </a:ln>
          </c:spPr>
          <c:marker>
            <c:symbol val="circle"/>
            <c:size val="5"/>
            <c:spPr>
              <a:solidFill>
                <a:schemeClr val="tx1"/>
              </a:solidFill>
              <a:ln>
                <a:solidFill>
                  <a:schemeClr val="tx1"/>
                </a:solidFill>
              </a:ln>
            </c:spPr>
          </c:marker>
          <c:xVal>
            <c:numRef>
              <c:f>TEMP!$I$64:$I$69</c:f>
              <c:numCache>
                <c:formatCode>General</c:formatCode>
                <c:ptCount val="6"/>
                <c:pt idx="0">
                  <c:v>98.973331537275584</c:v>
                </c:pt>
                <c:pt idx="1">
                  <c:v>119.38</c:v>
                </c:pt>
                <c:pt idx="2">
                  <c:v>131.4</c:v>
                </c:pt>
                <c:pt idx="3">
                  <c:v>98.973331537275584</c:v>
                </c:pt>
                <c:pt idx="4">
                  <c:v>119.38</c:v>
                </c:pt>
                <c:pt idx="5">
                  <c:v>131.4</c:v>
                </c:pt>
              </c:numCache>
            </c:numRef>
          </c:xVal>
          <c:yVal>
            <c:numRef>
              <c:f>TEMP!$CK$64:$CK$69</c:f>
              <c:numCache>
                <c:formatCode>General</c:formatCode>
                <c:ptCount val="6"/>
                <c:pt idx="0">
                  <c:v>49.4</c:v>
                </c:pt>
                <c:pt idx="1">
                  <c:v>41.88</c:v>
                </c:pt>
                <c:pt idx="2">
                  <c:v>44.38</c:v>
                </c:pt>
                <c:pt idx="3">
                  <c:v>45.41</c:v>
                </c:pt>
                <c:pt idx="4">
                  <c:v>56.55</c:v>
                </c:pt>
                <c:pt idx="5">
                  <c:v>37.39</c:v>
                </c:pt>
              </c:numCache>
            </c:numRef>
          </c:yVal>
          <c:smooth val="0"/>
          <c:extLst>
            <c:ext xmlns:c16="http://schemas.microsoft.com/office/drawing/2014/chart" uri="{C3380CC4-5D6E-409C-BE32-E72D297353CC}">
              <c16:uniqueId val="{00000004-BB6A-4A90-AEA9-7EF8907A8E23}"/>
            </c:ext>
          </c:extLst>
        </c:ser>
        <c:ser>
          <c:idx val="6"/>
          <c:order val="5"/>
          <c:tx>
            <c:strRef>
              <c:f>TEMP!$B$90</c:f>
              <c:strCache>
                <c:ptCount val="1"/>
                <c:pt idx="0">
                  <c:v>Cicchetti et al 1968</c:v>
                </c:pt>
              </c:strCache>
            </c:strRef>
          </c:tx>
          <c:spPr>
            <a:ln w="28575">
              <a:noFill/>
            </a:ln>
          </c:spPr>
          <c:marker>
            <c:symbol val="square"/>
            <c:size val="4"/>
            <c:spPr>
              <a:solidFill>
                <a:schemeClr val="tx1"/>
              </a:solidFill>
              <a:ln>
                <a:solidFill>
                  <a:schemeClr val="tx1"/>
                </a:solidFill>
              </a:ln>
            </c:spPr>
          </c:marker>
          <c:xVal>
            <c:numRef>
              <c:f>TEMP!$I$90:$I$91</c:f>
              <c:numCache>
                <c:formatCode>General</c:formatCode>
                <c:ptCount val="2"/>
                <c:pt idx="0">
                  <c:v>214</c:v>
                </c:pt>
                <c:pt idx="1">
                  <c:v>326</c:v>
                </c:pt>
              </c:numCache>
            </c:numRef>
          </c:xVal>
          <c:yVal>
            <c:numRef>
              <c:f>TEMP!$CL$90:$CL$91</c:f>
              <c:numCache>
                <c:formatCode>0.0</c:formatCode>
                <c:ptCount val="2"/>
                <c:pt idx="0">
                  <c:v>56.67</c:v>
                </c:pt>
                <c:pt idx="1">
                  <c:v>74.16</c:v>
                </c:pt>
              </c:numCache>
            </c:numRef>
          </c:yVal>
          <c:smooth val="0"/>
          <c:extLst>
            <c:ext xmlns:c16="http://schemas.microsoft.com/office/drawing/2014/chart" uri="{C3380CC4-5D6E-409C-BE32-E72D297353CC}">
              <c16:uniqueId val="{00000005-BB6A-4A90-AEA9-7EF8907A8E23}"/>
            </c:ext>
          </c:extLst>
        </c:ser>
        <c:ser>
          <c:idx val="7"/>
          <c:order val="6"/>
          <c:tx>
            <c:strRef>
              <c:f>TEMP!$B$92</c:f>
              <c:strCache>
                <c:ptCount val="1"/>
                <c:pt idx="0">
                  <c:v>Moisan 1985</c:v>
                </c:pt>
              </c:strCache>
            </c:strRef>
          </c:tx>
          <c:spPr>
            <a:ln w="28575">
              <a:noFill/>
            </a:ln>
          </c:spPr>
          <c:marker>
            <c:symbol val="triangle"/>
            <c:size val="4"/>
            <c:spPr>
              <a:noFill/>
              <a:ln>
                <a:solidFill>
                  <a:schemeClr val="tx1"/>
                </a:solidFill>
              </a:ln>
            </c:spPr>
          </c:marker>
          <c:xVal>
            <c:numRef>
              <c:f>TEMP!$I$92</c:f>
              <c:numCache>
                <c:formatCode>General</c:formatCode>
                <c:ptCount val="1"/>
                <c:pt idx="0">
                  <c:v>214</c:v>
                </c:pt>
              </c:numCache>
            </c:numRef>
          </c:xVal>
          <c:yVal>
            <c:numRef>
              <c:f>TEMP!$CL$92</c:f>
              <c:numCache>
                <c:formatCode>General</c:formatCode>
                <c:ptCount val="1"/>
                <c:pt idx="0">
                  <c:v>84.8</c:v>
                </c:pt>
              </c:numCache>
            </c:numRef>
          </c:yVal>
          <c:smooth val="0"/>
          <c:extLst>
            <c:ext xmlns:c16="http://schemas.microsoft.com/office/drawing/2014/chart" uri="{C3380CC4-5D6E-409C-BE32-E72D297353CC}">
              <c16:uniqueId val="{00000006-BB6A-4A90-AEA9-7EF8907A8E23}"/>
            </c:ext>
          </c:extLst>
        </c:ser>
        <c:ser>
          <c:idx val="12"/>
          <c:order val="7"/>
          <c:tx>
            <c:v>Rowe et al 2011 PE80</c:v>
          </c:tx>
          <c:spPr>
            <a:ln w="28575">
              <a:noFill/>
            </a:ln>
          </c:spPr>
          <c:marker>
            <c:symbol val="diamond"/>
            <c:size val="7"/>
            <c:spPr>
              <a:solidFill>
                <a:schemeClr val="tx1"/>
              </a:solidFill>
              <a:ln>
                <a:solidFill>
                  <a:schemeClr val="tx1"/>
                </a:solidFill>
              </a:ln>
            </c:spPr>
          </c:marker>
          <c:xVal>
            <c:numRef>
              <c:f>TEMP!$CI$95</c:f>
              <c:numCache>
                <c:formatCode>0.0</c:formatCode>
                <c:ptCount val="1"/>
                <c:pt idx="0">
                  <c:v>21.846855227699592</c:v>
                </c:pt>
              </c:numCache>
            </c:numRef>
          </c:xVal>
          <c:yVal>
            <c:numRef>
              <c:f>TEMP!$CL$95</c:f>
              <c:numCache>
                <c:formatCode>0.00</c:formatCode>
                <c:ptCount val="1"/>
                <c:pt idx="0">
                  <c:v>46.985159916133782</c:v>
                </c:pt>
              </c:numCache>
            </c:numRef>
          </c:yVal>
          <c:smooth val="0"/>
          <c:extLst>
            <c:ext xmlns:c16="http://schemas.microsoft.com/office/drawing/2014/chart" uri="{C3380CC4-5D6E-409C-BE32-E72D297353CC}">
              <c16:uniqueId val="{00000007-BB6A-4A90-AEA9-7EF8907A8E23}"/>
            </c:ext>
          </c:extLst>
        </c:ser>
        <c:ser>
          <c:idx val="10"/>
          <c:order val="8"/>
          <c:tx>
            <c:strRef>
              <c:f>TEMP!$B$93</c:f>
              <c:strCache>
                <c:ptCount val="1"/>
                <c:pt idx="0">
                  <c:v>Saleem et al 1989</c:v>
                </c:pt>
              </c:strCache>
            </c:strRef>
          </c:tx>
          <c:spPr>
            <a:ln w="28575">
              <a:noFill/>
            </a:ln>
          </c:spPr>
          <c:marker>
            <c:symbol val="triangle"/>
            <c:size val="6"/>
            <c:spPr>
              <a:noFill/>
              <a:ln>
                <a:solidFill>
                  <a:schemeClr val="tx1"/>
                </a:solidFill>
              </a:ln>
            </c:spPr>
          </c:marker>
          <c:xVal>
            <c:numRef>
              <c:f>TEMP!$I$93:$I$94</c:f>
              <c:numCache>
                <c:formatCode>General</c:formatCode>
                <c:ptCount val="2"/>
                <c:pt idx="0">
                  <c:v>92.141999999999996</c:v>
                </c:pt>
                <c:pt idx="1">
                  <c:v>86.18</c:v>
                </c:pt>
              </c:numCache>
            </c:numRef>
          </c:xVal>
          <c:yVal>
            <c:numRef>
              <c:f>TEMP!$CL$93:$CL$94</c:f>
              <c:numCache>
                <c:formatCode>General</c:formatCode>
                <c:ptCount val="2"/>
                <c:pt idx="0">
                  <c:v>87</c:v>
                </c:pt>
                <c:pt idx="1">
                  <c:v>65.400000000000006</c:v>
                </c:pt>
              </c:numCache>
            </c:numRef>
          </c:yVal>
          <c:smooth val="0"/>
          <c:extLst>
            <c:ext xmlns:c16="http://schemas.microsoft.com/office/drawing/2014/chart" uri="{C3380CC4-5D6E-409C-BE32-E72D297353CC}">
              <c16:uniqueId val="{00000008-BB6A-4A90-AEA9-7EF8907A8E23}"/>
            </c:ext>
          </c:extLst>
        </c:ser>
        <c:ser>
          <c:idx val="5"/>
          <c:order val="9"/>
          <c:tx>
            <c:strRef>
              <c:f>TEMP!$B$88</c:f>
              <c:strCache>
                <c:ptCount val="1"/>
                <c:pt idx="0">
                  <c:v>Westlake and Johnson 1975</c:v>
                </c:pt>
              </c:strCache>
            </c:strRef>
          </c:tx>
          <c:spPr>
            <a:ln w="28575">
              <a:noFill/>
            </a:ln>
          </c:spPr>
          <c:marker>
            <c:symbol val="square"/>
            <c:size val="4"/>
            <c:spPr>
              <a:noFill/>
              <a:ln>
                <a:solidFill>
                  <a:schemeClr val="tx1"/>
                </a:solidFill>
              </a:ln>
            </c:spPr>
          </c:marker>
          <c:xVal>
            <c:numRef>
              <c:f>TEMP!$I$88:$I$89</c:f>
              <c:numCache>
                <c:formatCode>General</c:formatCode>
                <c:ptCount val="2"/>
                <c:pt idx="0">
                  <c:v>214</c:v>
                </c:pt>
                <c:pt idx="1">
                  <c:v>326</c:v>
                </c:pt>
              </c:numCache>
            </c:numRef>
          </c:xVal>
          <c:yVal>
            <c:numRef>
              <c:f>TEMP!$CL$88:$CL$89</c:f>
              <c:numCache>
                <c:formatCode>0.0</c:formatCode>
                <c:ptCount val="2"/>
                <c:pt idx="0">
                  <c:v>70.39</c:v>
                </c:pt>
                <c:pt idx="1">
                  <c:v>76.680000000000007</c:v>
                </c:pt>
              </c:numCache>
            </c:numRef>
          </c:yVal>
          <c:smooth val="0"/>
          <c:extLst>
            <c:ext xmlns:c16="http://schemas.microsoft.com/office/drawing/2014/chart" uri="{C3380CC4-5D6E-409C-BE32-E72D297353CC}">
              <c16:uniqueId val="{00000009-BB6A-4A90-AEA9-7EF8907A8E23}"/>
            </c:ext>
          </c:extLst>
        </c:ser>
        <c:ser>
          <c:idx val="4"/>
          <c:order val="10"/>
          <c:tx>
            <c:v>Piringer 2008; PE40</c:v>
          </c:tx>
          <c:spPr>
            <a:ln w="9525">
              <a:solidFill>
                <a:srgbClr val="FF0000"/>
              </a:solidFill>
            </a:ln>
          </c:spPr>
          <c:marker>
            <c:symbol val="diamond"/>
            <c:size val="7"/>
            <c:spPr>
              <a:noFill/>
              <a:ln>
                <a:solidFill>
                  <a:srgbClr val="FF0000"/>
                </a:solidFill>
              </a:ln>
            </c:spPr>
          </c:marker>
          <c:xVal>
            <c:numRef>
              <c:f>TEMP!$DA$49:$DA$53</c:f>
              <c:numCache>
                <c:formatCode>General</c:formatCode>
                <c:ptCount val="5"/>
                <c:pt idx="0">
                  <c:v>10.089090581018485</c:v>
                </c:pt>
                <c:pt idx="1">
                  <c:v>100</c:v>
                </c:pt>
                <c:pt idx="2">
                  <c:v>114</c:v>
                </c:pt>
                <c:pt idx="3">
                  <c:v>128</c:v>
                </c:pt>
                <c:pt idx="4">
                  <c:v>142</c:v>
                </c:pt>
              </c:numCache>
            </c:numRef>
          </c:xVal>
          <c:yVal>
            <c:numRef>
              <c:f>TEMP!$DE$49:$DE$53</c:f>
              <c:numCache>
                <c:formatCode>0.00</c:formatCode>
                <c:ptCount val="5"/>
                <c:pt idx="0" formatCode="General">
                  <c:v>8.4130000000000003E-3</c:v>
                </c:pt>
                <c:pt idx="1">
                  <c:v>72.869651475065908</c:v>
                </c:pt>
                <c:pt idx="2">
                  <c:v>77.759740141904231</c:v>
                </c:pt>
                <c:pt idx="3">
                  <c:v>82.609205304136623</c:v>
                </c:pt>
                <c:pt idx="4">
                  <c:v>87.431108778982818</c:v>
                </c:pt>
              </c:numCache>
            </c:numRef>
          </c:yVal>
          <c:smooth val="0"/>
          <c:extLst>
            <c:ext xmlns:c16="http://schemas.microsoft.com/office/drawing/2014/chart" uri="{C3380CC4-5D6E-409C-BE32-E72D297353CC}">
              <c16:uniqueId val="{0000000A-BB6A-4A90-AEA9-7EF8907A8E23}"/>
            </c:ext>
          </c:extLst>
        </c:ser>
        <c:ser>
          <c:idx val="2"/>
          <c:order val="11"/>
          <c:tx>
            <c:v>Piringer 2008; PE80</c:v>
          </c:tx>
          <c:spPr>
            <a:ln w="9525">
              <a:solidFill>
                <a:srgbClr val="FF0000"/>
              </a:solidFill>
            </a:ln>
          </c:spPr>
          <c:marker>
            <c:symbol val="diamond"/>
            <c:size val="6"/>
            <c:spPr>
              <a:solidFill>
                <a:srgbClr val="FF0000"/>
              </a:solidFill>
              <a:ln>
                <a:solidFill>
                  <a:srgbClr val="FF0000"/>
                </a:solidFill>
              </a:ln>
            </c:spPr>
          </c:marker>
          <c:xVal>
            <c:numRef>
              <c:f>TEMP!$DA$59:$DA$63</c:f>
              <c:numCache>
                <c:formatCode>General</c:formatCode>
                <c:ptCount val="5"/>
                <c:pt idx="0">
                  <c:v>86</c:v>
                </c:pt>
                <c:pt idx="1">
                  <c:v>100</c:v>
                </c:pt>
                <c:pt idx="2">
                  <c:v>114</c:v>
                </c:pt>
                <c:pt idx="3">
                  <c:v>128</c:v>
                </c:pt>
                <c:pt idx="4">
                  <c:v>142</c:v>
                </c:pt>
              </c:numCache>
            </c:numRef>
          </c:xVal>
          <c:yVal>
            <c:numRef>
              <c:f>TEMP!$DE$59:$DE$63</c:f>
              <c:numCache>
                <c:formatCode>0.00</c:formatCode>
                <c:ptCount val="5"/>
                <c:pt idx="0">
                  <c:v>73.311679954268769</c:v>
                </c:pt>
                <c:pt idx="1">
                  <c:v>78.652957147690188</c:v>
                </c:pt>
                <c:pt idx="2">
                  <c:v>83.931148089674409</c:v>
                </c:pt>
                <c:pt idx="3">
                  <c:v>89.165491439385562</c:v>
                </c:pt>
                <c:pt idx="4">
                  <c:v>94.370085666203678</c:v>
                </c:pt>
              </c:numCache>
            </c:numRef>
          </c:yVal>
          <c:smooth val="0"/>
          <c:extLst>
            <c:ext xmlns:c16="http://schemas.microsoft.com/office/drawing/2014/chart" uri="{C3380CC4-5D6E-409C-BE32-E72D297353CC}">
              <c16:uniqueId val="{0000000B-BB6A-4A90-AEA9-7EF8907A8E23}"/>
            </c:ext>
          </c:extLst>
        </c:ser>
        <c:ser>
          <c:idx val="8"/>
          <c:order val="12"/>
          <c:tx>
            <c:v>Simoneau 2010; PE40</c:v>
          </c:tx>
          <c:spPr>
            <a:ln w="9525">
              <a:solidFill>
                <a:srgbClr val="0070C0"/>
              </a:solidFill>
              <a:prstDash val="dash"/>
            </a:ln>
          </c:spPr>
          <c:marker>
            <c:symbol val="none"/>
          </c:marker>
          <c:xVal>
            <c:numRef>
              <c:f>TEMP!$DA$67:$DA$68</c:f>
              <c:numCache>
                <c:formatCode>General</c:formatCode>
                <c:ptCount val="2"/>
                <c:pt idx="0">
                  <c:v>1</c:v>
                </c:pt>
                <c:pt idx="1">
                  <c:v>1000</c:v>
                </c:pt>
              </c:numCache>
            </c:numRef>
          </c:xVal>
          <c:yVal>
            <c:numRef>
              <c:f>TEMP!$DE$67:$DE$68</c:f>
              <c:numCache>
                <c:formatCode>0.00</c:formatCode>
                <c:ptCount val="2"/>
                <c:pt idx="0">
                  <c:v>86.914556000000005</c:v>
                </c:pt>
                <c:pt idx="1">
                  <c:v>86.914556000000005</c:v>
                </c:pt>
              </c:numCache>
            </c:numRef>
          </c:yVal>
          <c:smooth val="0"/>
          <c:extLst>
            <c:ext xmlns:c16="http://schemas.microsoft.com/office/drawing/2014/chart" uri="{C3380CC4-5D6E-409C-BE32-E72D297353CC}">
              <c16:uniqueId val="{0000000C-BB6A-4A90-AEA9-7EF8907A8E23}"/>
            </c:ext>
          </c:extLst>
        </c:ser>
        <c:ser>
          <c:idx val="9"/>
          <c:order val="13"/>
          <c:tx>
            <c:v>Simoneau 2010; PE80</c:v>
          </c:tx>
          <c:spPr>
            <a:ln w="28575">
              <a:noFill/>
            </a:ln>
          </c:spPr>
          <c:marker>
            <c:symbol val="none"/>
          </c:marker>
          <c:dPt>
            <c:idx val="1"/>
            <c:bubble3D val="0"/>
            <c:spPr>
              <a:ln w="9525">
                <a:solidFill>
                  <a:srgbClr val="0070C0"/>
                </a:solidFill>
              </a:ln>
            </c:spPr>
            <c:extLst>
              <c:ext xmlns:c16="http://schemas.microsoft.com/office/drawing/2014/chart" uri="{C3380CC4-5D6E-409C-BE32-E72D297353CC}">
                <c16:uniqueId val="{0000000E-BB6A-4A90-AEA9-7EF8907A8E23}"/>
              </c:ext>
            </c:extLst>
          </c:dPt>
          <c:xVal>
            <c:numRef>
              <c:f>TEMP!$DA$69:$DA$70</c:f>
              <c:numCache>
                <c:formatCode>General</c:formatCode>
                <c:ptCount val="2"/>
                <c:pt idx="0">
                  <c:v>1</c:v>
                </c:pt>
                <c:pt idx="1">
                  <c:v>1000</c:v>
                </c:pt>
              </c:numCache>
            </c:numRef>
          </c:xVal>
          <c:yVal>
            <c:numRef>
              <c:f>TEMP!$DE$69:$DE$70</c:f>
              <c:numCache>
                <c:formatCode>0.00</c:formatCode>
                <c:ptCount val="2"/>
                <c:pt idx="0">
                  <c:v>100.025734</c:v>
                </c:pt>
                <c:pt idx="1">
                  <c:v>100.025734</c:v>
                </c:pt>
              </c:numCache>
            </c:numRef>
          </c:yVal>
          <c:smooth val="0"/>
          <c:extLst>
            <c:ext xmlns:c16="http://schemas.microsoft.com/office/drawing/2014/chart" uri="{C3380CC4-5D6E-409C-BE32-E72D297353CC}">
              <c16:uniqueId val="{0000000F-BB6A-4A90-AEA9-7EF8907A8E23}"/>
            </c:ext>
          </c:extLst>
        </c:ser>
        <c:dLbls>
          <c:showLegendKey val="0"/>
          <c:showVal val="0"/>
          <c:showCatName val="0"/>
          <c:showSerName val="0"/>
          <c:showPercent val="0"/>
          <c:showBubbleSize val="0"/>
        </c:dLbls>
        <c:axId val="166760832"/>
        <c:axId val="166762752"/>
      </c:scatterChart>
      <c:valAx>
        <c:axId val="166760832"/>
        <c:scaling>
          <c:logBase val="2"/>
          <c:orientation val="minMax"/>
          <c:max val="1000"/>
          <c:min val="75"/>
        </c:scaling>
        <c:delete val="0"/>
        <c:axPos val="b"/>
        <c:title>
          <c:tx>
            <c:rich>
              <a:bodyPr/>
              <a:lstStyle/>
              <a:p>
                <a:pPr>
                  <a:defRPr/>
                </a:pPr>
                <a:r>
                  <a:rPr lang="en-US"/>
                  <a:t>M (g/mol)</a:t>
                </a:r>
              </a:p>
            </c:rich>
          </c:tx>
          <c:overlay val="0"/>
        </c:title>
        <c:numFmt formatCode="0.0" sourceLinked="1"/>
        <c:majorTickMark val="out"/>
        <c:minorTickMark val="none"/>
        <c:tickLblPos val="nextTo"/>
        <c:crossAx val="166762752"/>
        <c:crosses val="autoZero"/>
        <c:crossBetween val="midCat"/>
        <c:majorUnit val="2"/>
        <c:minorUnit val="2"/>
      </c:valAx>
      <c:valAx>
        <c:axId val="166762752"/>
        <c:scaling>
          <c:orientation val="minMax"/>
        </c:scaling>
        <c:delete val="0"/>
        <c:axPos val="l"/>
        <c:numFmt formatCode="General" sourceLinked="1"/>
        <c:majorTickMark val="out"/>
        <c:minorTickMark val="none"/>
        <c:tickLblPos val="nextTo"/>
        <c:crossAx val="166760832"/>
        <c:crosses val="autoZero"/>
        <c:crossBetween val="midCat"/>
        <c:majorUnit val="40"/>
      </c:valAx>
      <c:spPr>
        <a:noFill/>
        <a:ln w="25400">
          <a:noFill/>
        </a:ln>
      </c:spPr>
    </c:plotArea>
    <c:legend>
      <c:legendPos val="r"/>
      <c:layout>
        <c:manualLayout>
          <c:xMode val="edge"/>
          <c:yMode val="edge"/>
          <c:x val="3.770276170330094E-2"/>
          <c:y val="3.8685244293274239E-2"/>
          <c:w val="0.91524021287655755"/>
          <c:h val="0.91049956284145372"/>
        </c:manualLayout>
      </c:layout>
      <c:overlay val="0"/>
      <c:spPr>
        <a:solidFill>
          <a:schemeClr val="bg1"/>
        </a:solidFill>
        <a:ln>
          <a:solidFill>
            <a:schemeClr val="tx1"/>
          </a:solidFill>
        </a:ln>
      </c:spPr>
    </c:legend>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30568038758786"/>
          <c:y val="2.9342648170581753E-2"/>
          <c:w val="0.81567439688897725"/>
          <c:h val="0.80519190707369848"/>
        </c:manualLayout>
      </c:layout>
      <c:scatterChart>
        <c:scatterStyle val="lineMarker"/>
        <c:varyColors val="0"/>
        <c:ser>
          <c:idx val="0"/>
          <c:order val="0"/>
          <c:tx>
            <c:v>Chao et al 2007; PE80</c:v>
          </c:tx>
          <c:spPr>
            <a:ln w="28575">
              <a:noFill/>
            </a:ln>
          </c:spPr>
          <c:marker>
            <c:symbol val="circle"/>
            <c:size val="5"/>
            <c:spPr>
              <a:solidFill>
                <a:schemeClr val="tx1"/>
              </a:solidFill>
              <a:ln>
                <a:solidFill>
                  <a:schemeClr val="tx1"/>
                </a:solidFill>
              </a:ln>
            </c:spPr>
          </c:marker>
          <c:xVal>
            <c:numRef>
              <c:f>TEMP!$Q$64:$Q$69</c:f>
              <c:numCache>
                <c:formatCode>General</c:formatCode>
                <c:ptCount val="6"/>
                <c:pt idx="0">
                  <c:v>3.88421052631579E-2</c:v>
                </c:pt>
                <c:pt idx="1">
                  <c:v>9.6000000000000002E-2</c:v>
                </c:pt>
                <c:pt idx="2">
                  <c:v>0.11810526315789473</c:v>
                </c:pt>
                <c:pt idx="3">
                  <c:v>1.905263157894737E-2</c:v>
                </c:pt>
                <c:pt idx="4">
                  <c:v>0.14147368421052633</c:v>
                </c:pt>
                <c:pt idx="5">
                  <c:v>0.16126315789473683</c:v>
                </c:pt>
              </c:numCache>
            </c:numRef>
          </c:xVal>
          <c:yVal>
            <c:numRef>
              <c:f>TEMP!$CC$64:$CC$69</c:f>
              <c:numCache>
                <c:formatCode>General</c:formatCode>
                <c:ptCount val="6"/>
                <c:pt idx="0">
                  <c:v>17.170000000000002</c:v>
                </c:pt>
                <c:pt idx="1">
                  <c:v>14.28</c:v>
                </c:pt>
                <c:pt idx="2">
                  <c:v>15.69</c:v>
                </c:pt>
                <c:pt idx="3">
                  <c:v>20.260000000000002</c:v>
                </c:pt>
                <c:pt idx="4">
                  <c:v>22.53</c:v>
                </c:pt>
                <c:pt idx="5">
                  <c:v>9.6</c:v>
                </c:pt>
              </c:numCache>
            </c:numRef>
          </c:yVal>
          <c:smooth val="0"/>
          <c:extLst>
            <c:ext xmlns:c16="http://schemas.microsoft.com/office/drawing/2014/chart" uri="{C3380CC4-5D6E-409C-BE32-E72D297353CC}">
              <c16:uniqueId val="{00000000-9D67-4BA0-AC91-1372215FB5B8}"/>
            </c:ext>
          </c:extLst>
        </c:ser>
        <c:ser>
          <c:idx val="1"/>
          <c:order val="1"/>
          <c:tx>
            <c:v>Aminabhavi &amp; Naik 1999; PE80</c:v>
          </c:tx>
          <c:spPr>
            <a:ln w="28575">
              <a:noFill/>
            </a:ln>
          </c:spPr>
          <c:marker>
            <c:symbol val="circle"/>
            <c:size val="6"/>
            <c:spPr>
              <a:noFill/>
              <a:ln>
                <a:solidFill>
                  <a:schemeClr val="tx1"/>
                </a:solidFill>
              </a:ln>
            </c:spPr>
          </c:marker>
          <c:xVal>
            <c:numRef>
              <c:f>TEMP!$Q$49:$Q$62</c:f>
              <c:numCache>
                <c:formatCode>General</c:formatCode>
                <c:ptCount val="14"/>
                <c:pt idx="0">
                  <c:v>0.12</c:v>
                </c:pt>
                <c:pt idx="1">
                  <c:v>0.11</c:v>
                </c:pt>
                <c:pt idx="2">
                  <c:v>0.1</c:v>
                </c:pt>
                <c:pt idx="3">
                  <c:v>0.08</c:v>
                </c:pt>
                <c:pt idx="4">
                  <c:v>0.06</c:v>
                </c:pt>
                <c:pt idx="5">
                  <c:v>0.12</c:v>
                </c:pt>
                <c:pt idx="6">
                  <c:v>0.06</c:v>
                </c:pt>
                <c:pt idx="7">
                  <c:v>0.12</c:v>
                </c:pt>
                <c:pt idx="8">
                  <c:v>0.06</c:v>
                </c:pt>
                <c:pt idx="9">
                  <c:v>0.02</c:v>
                </c:pt>
                <c:pt idx="10">
                  <c:v>0.03</c:v>
                </c:pt>
                <c:pt idx="11">
                  <c:v>0.03</c:v>
                </c:pt>
                <c:pt idx="12">
                  <c:v>0.01</c:v>
                </c:pt>
                <c:pt idx="13">
                  <c:v>0.02</c:v>
                </c:pt>
              </c:numCache>
            </c:numRef>
          </c:xVal>
          <c:yVal>
            <c:numRef>
              <c:f>TEMP!$CC$49:$CC$62</c:f>
              <c:numCache>
                <c:formatCode>General</c:formatCode>
                <c:ptCount val="14"/>
                <c:pt idx="1">
                  <c:v>16.2</c:v>
                </c:pt>
                <c:pt idx="2">
                  <c:v>15.3</c:v>
                </c:pt>
                <c:pt idx="3">
                  <c:v>15.3</c:v>
                </c:pt>
                <c:pt idx="4">
                  <c:v>15.3</c:v>
                </c:pt>
                <c:pt idx="5">
                  <c:v>15.4</c:v>
                </c:pt>
                <c:pt idx="6">
                  <c:v>13.4</c:v>
                </c:pt>
                <c:pt idx="8">
                  <c:v>16.7</c:v>
                </c:pt>
                <c:pt idx="10">
                  <c:v>13.2</c:v>
                </c:pt>
                <c:pt idx="11">
                  <c:v>14.7</c:v>
                </c:pt>
                <c:pt idx="12">
                  <c:v>32.4</c:v>
                </c:pt>
                <c:pt idx="13">
                  <c:v>19.5</c:v>
                </c:pt>
              </c:numCache>
            </c:numRef>
          </c:yVal>
          <c:smooth val="0"/>
          <c:extLst>
            <c:ext xmlns:c16="http://schemas.microsoft.com/office/drawing/2014/chart" uri="{C3380CC4-5D6E-409C-BE32-E72D297353CC}">
              <c16:uniqueId val="{00000001-9D67-4BA0-AC91-1372215FB5B8}"/>
            </c:ext>
          </c:extLst>
        </c:ser>
        <c:ser>
          <c:idx val="2"/>
          <c:order val="2"/>
          <c:tx>
            <c:v>Al-Malika 1991; PE40</c:v>
          </c:tx>
          <c:spPr>
            <a:ln w="28575">
              <a:noFill/>
            </a:ln>
          </c:spPr>
          <c:marker>
            <c:symbol val="star"/>
            <c:size val="7"/>
            <c:spPr>
              <a:noFill/>
              <a:ln>
                <a:solidFill>
                  <a:schemeClr val="tx1"/>
                </a:solidFill>
              </a:ln>
            </c:spPr>
          </c:marker>
          <c:xVal>
            <c:numRef>
              <c:f>TEMP!$R$77:$R$86</c:f>
              <c:numCache>
                <c:formatCode>General</c:formatCode>
                <c:ptCount val="10"/>
                <c:pt idx="0">
                  <c:v>3.0000000000000001E-5</c:v>
                </c:pt>
                <c:pt idx="1">
                  <c:v>1.7999999999999998E-4</c:v>
                </c:pt>
                <c:pt idx="2">
                  <c:v>2.97E-3</c:v>
                </c:pt>
                <c:pt idx="3">
                  <c:v>3.8999999999999999E-4</c:v>
                </c:pt>
                <c:pt idx="4">
                  <c:v>2.8199999999999996E-3</c:v>
                </c:pt>
                <c:pt idx="5">
                  <c:v>1.5199999999999999E-3</c:v>
                </c:pt>
                <c:pt idx="6">
                  <c:v>1.1200000000000001E-3</c:v>
                </c:pt>
                <c:pt idx="7">
                  <c:v>4.3499999999999997E-3</c:v>
                </c:pt>
                <c:pt idx="8">
                  <c:v>4.0500000000000006E-3</c:v>
                </c:pt>
                <c:pt idx="9">
                  <c:v>4.0999999999999995E-3</c:v>
                </c:pt>
              </c:numCache>
            </c:numRef>
          </c:xVal>
          <c:yVal>
            <c:numRef>
              <c:f>TEMP!$CE$77:$CE$86</c:f>
              <c:numCache>
                <c:formatCode>0.0</c:formatCode>
                <c:ptCount val="10"/>
                <c:pt idx="0">
                  <c:v>65.927226256109435</c:v>
                </c:pt>
                <c:pt idx="1">
                  <c:v>34.535177011781542</c:v>
                </c:pt>
                <c:pt idx="2">
                  <c:v>21.508985527158963</c:v>
                </c:pt>
                <c:pt idx="3">
                  <c:v>59.436881115975154</c:v>
                </c:pt>
                <c:pt idx="4">
                  <c:v>25.103735103714321</c:v>
                </c:pt>
                <c:pt idx="5">
                  <c:v>24.967671649660154</c:v>
                </c:pt>
                <c:pt idx="6">
                  <c:v>29.199914143849075</c:v>
                </c:pt>
                <c:pt idx="7">
                  <c:v>19.685509953405795</c:v>
                </c:pt>
                <c:pt idx="8">
                  <c:v>21.464377988608614</c:v>
                </c:pt>
                <c:pt idx="9">
                  <c:v>-5.0315127596893392</c:v>
                </c:pt>
              </c:numCache>
            </c:numRef>
          </c:yVal>
          <c:smooth val="0"/>
          <c:extLst>
            <c:ext xmlns:c16="http://schemas.microsoft.com/office/drawing/2014/chart" uri="{C3380CC4-5D6E-409C-BE32-E72D297353CC}">
              <c16:uniqueId val="{00000002-9D67-4BA0-AC91-1372215FB5B8}"/>
            </c:ext>
          </c:extLst>
        </c:ser>
        <c:ser>
          <c:idx val="3"/>
          <c:order val="3"/>
          <c:tx>
            <c:v>all</c:v>
          </c:tx>
          <c:spPr>
            <a:ln w="28575">
              <a:noFill/>
            </a:ln>
          </c:spPr>
          <c:marker>
            <c:symbol val="none"/>
          </c:marker>
          <c:trendline>
            <c:trendlineType val="log"/>
            <c:dispRSqr val="0"/>
            <c:dispEq val="0"/>
          </c:trendline>
          <c:xVal>
            <c:numRef>
              <c:f>(TEMP!$Q$49:$Q$69,TEMP!$R$77:$R$86)</c:f>
              <c:numCache>
                <c:formatCode>General</c:formatCode>
                <c:ptCount val="31"/>
                <c:pt idx="0">
                  <c:v>0.12</c:v>
                </c:pt>
                <c:pt idx="1">
                  <c:v>0.11</c:v>
                </c:pt>
                <c:pt idx="2">
                  <c:v>0.1</c:v>
                </c:pt>
                <c:pt idx="3">
                  <c:v>0.08</c:v>
                </c:pt>
                <c:pt idx="4">
                  <c:v>0.06</c:v>
                </c:pt>
                <c:pt idx="5">
                  <c:v>0.12</c:v>
                </c:pt>
                <c:pt idx="6">
                  <c:v>0.06</c:v>
                </c:pt>
                <c:pt idx="7">
                  <c:v>0.12</c:v>
                </c:pt>
                <c:pt idx="8">
                  <c:v>0.06</c:v>
                </c:pt>
                <c:pt idx="9">
                  <c:v>0.02</c:v>
                </c:pt>
                <c:pt idx="10">
                  <c:v>0.03</c:v>
                </c:pt>
                <c:pt idx="11">
                  <c:v>0.03</c:v>
                </c:pt>
                <c:pt idx="12">
                  <c:v>0.01</c:v>
                </c:pt>
                <c:pt idx="13">
                  <c:v>0.02</c:v>
                </c:pt>
                <c:pt idx="15">
                  <c:v>3.88421052631579E-2</c:v>
                </c:pt>
                <c:pt idx="16">
                  <c:v>9.6000000000000002E-2</c:v>
                </c:pt>
                <c:pt idx="17">
                  <c:v>0.11810526315789473</c:v>
                </c:pt>
                <c:pt idx="18">
                  <c:v>1.905263157894737E-2</c:v>
                </c:pt>
                <c:pt idx="19">
                  <c:v>0.14147368421052633</c:v>
                </c:pt>
                <c:pt idx="20">
                  <c:v>0.16126315789473683</c:v>
                </c:pt>
                <c:pt idx="21">
                  <c:v>3.0000000000000001E-5</c:v>
                </c:pt>
                <c:pt idx="22">
                  <c:v>1.7999999999999998E-4</c:v>
                </c:pt>
                <c:pt idx="23">
                  <c:v>2.97E-3</c:v>
                </c:pt>
                <c:pt idx="24">
                  <c:v>3.8999999999999999E-4</c:v>
                </c:pt>
                <c:pt idx="25">
                  <c:v>2.8199999999999996E-3</c:v>
                </c:pt>
                <c:pt idx="26">
                  <c:v>1.5199999999999999E-3</c:v>
                </c:pt>
                <c:pt idx="27">
                  <c:v>1.1200000000000001E-3</c:v>
                </c:pt>
                <c:pt idx="28">
                  <c:v>4.3499999999999997E-3</c:v>
                </c:pt>
                <c:pt idx="29">
                  <c:v>4.0500000000000006E-3</c:v>
                </c:pt>
                <c:pt idx="30">
                  <c:v>4.0999999999999995E-3</c:v>
                </c:pt>
              </c:numCache>
            </c:numRef>
          </c:xVal>
          <c:yVal>
            <c:numRef>
              <c:f>(TEMP!$CC$49:$CC$69,TEMP!$CE$77:$CE$86)</c:f>
              <c:numCache>
                <c:formatCode>General</c:formatCode>
                <c:ptCount val="31"/>
                <c:pt idx="1">
                  <c:v>16.2</c:v>
                </c:pt>
                <c:pt idx="2">
                  <c:v>15.3</c:v>
                </c:pt>
                <c:pt idx="3">
                  <c:v>15.3</c:v>
                </c:pt>
                <c:pt idx="4">
                  <c:v>15.3</c:v>
                </c:pt>
                <c:pt idx="5">
                  <c:v>15.4</c:v>
                </c:pt>
                <c:pt idx="6">
                  <c:v>13.4</c:v>
                </c:pt>
                <c:pt idx="8">
                  <c:v>16.7</c:v>
                </c:pt>
                <c:pt idx="10">
                  <c:v>13.2</c:v>
                </c:pt>
                <c:pt idx="11">
                  <c:v>14.7</c:v>
                </c:pt>
                <c:pt idx="12">
                  <c:v>32.4</c:v>
                </c:pt>
                <c:pt idx="13">
                  <c:v>19.5</c:v>
                </c:pt>
                <c:pt idx="15">
                  <c:v>17.170000000000002</c:v>
                </c:pt>
                <c:pt idx="16">
                  <c:v>14.28</c:v>
                </c:pt>
                <c:pt idx="17">
                  <c:v>15.69</c:v>
                </c:pt>
                <c:pt idx="18">
                  <c:v>20.260000000000002</c:v>
                </c:pt>
                <c:pt idx="19">
                  <c:v>22.53</c:v>
                </c:pt>
                <c:pt idx="20">
                  <c:v>9.6</c:v>
                </c:pt>
                <c:pt idx="21" formatCode="0.0">
                  <c:v>65.927226256109435</c:v>
                </c:pt>
                <c:pt idx="22" formatCode="0.0">
                  <c:v>34.535177011781542</c:v>
                </c:pt>
                <c:pt idx="23" formatCode="0.0">
                  <c:v>21.508985527158963</c:v>
                </c:pt>
                <c:pt idx="24" formatCode="0.0">
                  <c:v>59.436881115975154</c:v>
                </c:pt>
                <c:pt idx="25" formatCode="0.0">
                  <c:v>25.103735103714321</c:v>
                </c:pt>
                <c:pt idx="26" formatCode="0.0">
                  <c:v>24.967671649660154</c:v>
                </c:pt>
                <c:pt idx="27" formatCode="0.0">
                  <c:v>29.199914143849075</c:v>
                </c:pt>
                <c:pt idx="28" formatCode="0.0">
                  <c:v>19.685509953405795</c:v>
                </c:pt>
                <c:pt idx="29" formatCode="0.0">
                  <c:v>21.464377988608614</c:v>
                </c:pt>
                <c:pt idx="30" formatCode="0.0">
                  <c:v>-5.0315127596893392</c:v>
                </c:pt>
              </c:numCache>
            </c:numRef>
          </c:yVal>
          <c:smooth val="0"/>
          <c:extLst>
            <c:ext xmlns:c16="http://schemas.microsoft.com/office/drawing/2014/chart" uri="{C3380CC4-5D6E-409C-BE32-E72D297353CC}">
              <c16:uniqueId val="{00000004-9D67-4BA0-AC91-1372215FB5B8}"/>
            </c:ext>
          </c:extLst>
        </c:ser>
        <c:dLbls>
          <c:showLegendKey val="0"/>
          <c:showVal val="0"/>
          <c:showCatName val="0"/>
          <c:showSerName val="0"/>
          <c:showPercent val="0"/>
          <c:showBubbleSize val="0"/>
        </c:dLbls>
        <c:axId val="166802560"/>
        <c:axId val="166804480"/>
      </c:scatterChart>
      <c:valAx>
        <c:axId val="166802560"/>
        <c:scaling>
          <c:logBase val="10"/>
          <c:orientation val="minMax"/>
          <c:max val="10"/>
          <c:min val="1.0000000000000003E-5"/>
        </c:scaling>
        <c:delete val="0"/>
        <c:axPos val="b"/>
        <c:title>
          <c:tx>
            <c:rich>
              <a:bodyPr/>
              <a:lstStyle/>
              <a:p>
                <a:pPr>
                  <a:defRPr/>
                </a:pPr>
                <a:r>
                  <a:rPr lang="en-US" baseline="0"/>
                  <a:t>C</a:t>
                </a:r>
                <a:r>
                  <a:rPr lang="en-US" baseline="-25000"/>
                  <a:t>P</a:t>
                </a:r>
                <a:r>
                  <a:rPr lang="en-US" baseline="30000"/>
                  <a:t>sat</a:t>
                </a:r>
                <a:r>
                  <a:rPr lang="en-US" baseline="-25000"/>
                  <a:t> </a:t>
                </a:r>
                <a:r>
                  <a:rPr lang="en-US" sz="1000" b="1" i="0" u="none" strike="noStrike" baseline="0">
                    <a:effectLst/>
                  </a:rPr>
                  <a:t>(g/g) </a:t>
                </a:r>
                <a:endParaRPr lang="en-US" baseline="-25000"/>
              </a:p>
            </c:rich>
          </c:tx>
          <c:overlay val="0"/>
        </c:title>
        <c:numFmt formatCode="General" sourceLinked="1"/>
        <c:majorTickMark val="out"/>
        <c:minorTickMark val="none"/>
        <c:tickLblPos val="nextTo"/>
        <c:spPr>
          <a:ln>
            <a:solidFill>
              <a:schemeClr val="tx1"/>
            </a:solidFill>
          </a:ln>
        </c:spPr>
        <c:crossAx val="166804480"/>
        <c:crosses val="autoZero"/>
        <c:crossBetween val="midCat"/>
      </c:valAx>
      <c:valAx>
        <c:axId val="166804480"/>
        <c:scaling>
          <c:orientation val="minMax"/>
          <c:max val="120"/>
          <c:min val="0"/>
        </c:scaling>
        <c:delete val="0"/>
        <c:axPos val="l"/>
        <c:title>
          <c:tx>
            <c:rich>
              <a:bodyPr rot="-5400000" vert="horz"/>
              <a:lstStyle/>
              <a:p>
                <a:pPr>
                  <a:defRPr/>
                </a:pPr>
                <a:r>
                  <a:rPr lang="en-US">
                    <a:latin typeface="Lucida Sans"/>
                  </a:rPr>
                  <a:t>Δ</a:t>
                </a:r>
                <a:r>
                  <a:rPr lang="en-US"/>
                  <a:t>H</a:t>
                </a:r>
                <a:r>
                  <a:rPr lang="en-US" baseline="-25000"/>
                  <a:t>S,p</a:t>
                </a:r>
                <a:r>
                  <a:rPr lang="en-US"/>
                  <a:t> (kJ/mol)</a:t>
                </a:r>
              </a:p>
            </c:rich>
          </c:tx>
          <c:layout>
            <c:manualLayout>
              <c:xMode val="edge"/>
              <c:yMode val="edge"/>
              <c:x val="2.9400758510855075E-3"/>
              <c:y val="0.29812575550764253"/>
            </c:manualLayout>
          </c:layout>
          <c:overlay val="0"/>
        </c:title>
        <c:numFmt formatCode="General" sourceLinked="1"/>
        <c:majorTickMark val="out"/>
        <c:minorTickMark val="none"/>
        <c:tickLblPos val="nextTo"/>
        <c:spPr>
          <a:ln>
            <a:solidFill>
              <a:schemeClr val="tx1"/>
            </a:solidFill>
          </a:ln>
        </c:spPr>
        <c:crossAx val="166802560"/>
        <c:crossesAt val="1.0000000000000006E-10"/>
        <c:crossBetween val="midCat"/>
        <c:majorUnit val="40"/>
      </c:valAx>
      <c:spPr>
        <a:noFill/>
        <a:ln w="9525">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66604239338595"/>
          <c:y val="2.9342648170581753E-2"/>
          <c:w val="0.79931404656104776"/>
          <c:h val="0.80519190707369848"/>
        </c:manualLayout>
      </c:layout>
      <c:scatterChart>
        <c:scatterStyle val="lineMarker"/>
        <c:varyColors val="0"/>
        <c:ser>
          <c:idx val="1"/>
          <c:order val="0"/>
          <c:tx>
            <c:v>Aminabhavi &amp; Naik 1999; PE80</c:v>
          </c:tx>
          <c:spPr>
            <a:ln w="28575">
              <a:noFill/>
            </a:ln>
          </c:spPr>
          <c:marker>
            <c:symbol val="circle"/>
            <c:size val="6"/>
            <c:spPr>
              <a:noFill/>
              <a:ln>
                <a:solidFill>
                  <a:schemeClr val="tx1"/>
                </a:solidFill>
              </a:ln>
            </c:spPr>
          </c:marker>
          <c:xVal>
            <c:numRef>
              <c:f>TEMP!$L$49:$L$62</c:f>
              <c:numCache>
                <c:formatCode>General</c:formatCode>
                <c:ptCount val="14"/>
                <c:pt idx="0">
                  <c:v>3.2986126913917664</c:v>
                </c:pt>
                <c:pt idx="1">
                  <c:v>2.7857504358225516</c:v>
                </c:pt>
                <c:pt idx="2">
                  <c:v>2.3241557742331853</c:v>
                </c:pt>
                <c:pt idx="3">
                  <c:v>1.8750612633917001</c:v>
                </c:pt>
                <c:pt idx="4">
                  <c:v>3.2407987711173312</c:v>
                </c:pt>
                <c:pt idx="5">
                  <c:v>2.6972293427597176</c:v>
                </c:pt>
                <c:pt idx="6">
                  <c:v>1.2405492482825997</c:v>
                </c:pt>
                <c:pt idx="7">
                  <c:v>4.2787536009528289</c:v>
                </c:pt>
                <c:pt idx="8">
                  <c:v>4.8512583487190755</c:v>
                </c:pt>
                <c:pt idx="9">
                  <c:v>5.8976270912904418</c:v>
                </c:pt>
                <c:pt idx="10">
                  <c:v>5.5475285764597819</c:v>
                </c:pt>
                <c:pt idx="11">
                  <c:v>4.2787536009528289</c:v>
                </c:pt>
                <c:pt idx="12">
                  <c:v>1.6901960800285136</c:v>
                </c:pt>
                <c:pt idx="13">
                  <c:v>4.8512583487190755</c:v>
                </c:pt>
              </c:numCache>
            </c:numRef>
          </c:xVal>
          <c:yVal>
            <c:numRef>
              <c:f>TEMP!$CI$49:$CI$62</c:f>
              <c:numCache>
                <c:formatCode>0.0</c:formatCode>
                <c:ptCount val="14"/>
                <c:pt idx="0">
                  <c:v>0</c:v>
                </c:pt>
                <c:pt idx="1">
                  <c:v>15.332855922559485</c:v>
                </c:pt>
                <c:pt idx="2">
                  <c:v>7.855950178903166</c:v>
                </c:pt>
                <c:pt idx="3">
                  <c:v>9.2591654021189207</c:v>
                </c:pt>
                <c:pt idx="8">
                  <c:v>9.2591654021189207</c:v>
                </c:pt>
                <c:pt idx="10">
                  <c:v>21.828012786372774</c:v>
                </c:pt>
                <c:pt idx="12">
                  <c:v>49.646635763096533</c:v>
                </c:pt>
              </c:numCache>
            </c:numRef>
          </c:yVal>
          <c:smooth val="0"/>
          <c:extLst>
            <c:ext xmlns:c16="http://schemas.microsoft.com/office/drawing/2014/chart" uri="{C3380CC4-5D6E-409C-BE32-E72D297353CC}">
              <c16:uniqueId val="{00000000-0C57-4B4E-A3E4-7DC3537E68FC}"/>
            </c:ext>
          </c:extLst>
        </c:ser>
        <c:ser>
          <c:idx val="2"/>
          <c:order val="1"/>
          <c:tx>
            <c:v>Booij etal 2003; PE80</c:v>
          </c:tx>
          <c:spPr>
            <a:ln w="28575">
              <a:noFill/>
            </a:ln>
          </c:spPr>
          <c:marker>
            <c:symbol val="triangle"/>
            <c:size val="7"/>
            <c:spPr>
              <a:solidFill>
                <a:schemeClr val="tx1"/>
              </a:solidFill>
              <a:ln>
                <a:solidFill>
                  <a:schemeClr val="tx1"/>
                </a:solidFill>
              </a:ln>
            </c:spPr>
          </c:marker>
          <c:xVal>
            <c:numRef>
              <c:f>TEMP!$L$100:$L$110</c:f>
              <c:numCache>
                <c:formatCode>General</c:formatCode>
                <c:ptCount val="11"/>
                <c:pt idx="0">
                  <c:v>0.61909333062674277</c:v>
                </c:pt>
                <c:pt idx="1">
                  <c:v>-0.68922276662279047</c:v>
                </c:pt>
                <c:pt idx="2">
                  <c:v>-0.93461714855158184</c:v>
                </c:pt>
                <c:pt idx="3">
                  <c:v>1.3436843737149378</c:v>
                </c:pt>
                <c:pt idx="4">
                  <c:v>0.63850769970085575</c:v>
                </c:pt>
                <c:pt idx="5">
                  <c:v>-7.760411722919576E-2</c:v>
                </c:pt>
                <c:pt idx="6">
                  <c:v>-7.760411722919576E-2</c:v>
                </c:pt>
                <c:pt idx="7">
                  <c:v>-0.85709408850976543</c:v>
                </c:pt>
                <c:pt idx="8">
                  <c:v>-0.85709408850976543</c:v>
                </c:pt>
                <c:pt idx="9">
                  <c:v>-1.5816827494824268</c:v>
                </c:pt>
                <c:pt idx="10">
                  <c:v>-1.5816827494824268</c:v>
                </c:pt>
              </c:numCache>
            </c:numRef>
          </c:xVal>
          <c:yVal>
            <c:numRef>
              <c:f>TEMP!$CI$100:$CI$110</c:f>
              <c:numCache>
                <c:formatCode>0</c:formatCode>
                <c:ptCount val="11"/>
                <c:pt idx="0">
                  <c:v>-10.66324064943217</c:v>
                </c:pt>
                <c:pt idx="1">
                  <c:v>-9.223672010723897</c:v>
                </c:pt>
                <c:pt idx="2">
                  <c:v>-9.4796565024013582</c:v>
                </c:pt>
                <c:pt idx="3">
                  <c:v>-26.654963530393449</c:v>
                </c:pt>
                <c:pt idx="4">
                  <c:v>-22.880360441961397</c:v>
                </c:pt>
                <c:pt idx="5">
                  <c:v>-43.406104962609106</c:v>
                </c:pt>
                <c:pt idx="6">
                  <c:v>-45.49921311833932</c:v>
                </c:pt>
                <c:pt idx="7">
                  <c:v>-32.133551219367412</c:v>
                </c:pt>
                <c:pt idx="8">
                  <c:v>-14.812132111338974</c:v>
                </c:pt>
                <c:pt idx="9">
                  <c:v>28.636788748588692</c:v>
                </c:pt>
                <c:pt idx="10">
                  <c:v>32.586690644945655</c:v>
                </c:pt>
              </c:numCache>
            </c:numRef>
          </c:yVal>
          <c:smooth val="0"/>
          <c:extLst>
            <c:ext xmlns:c16="http://schemas.microsoft.com/office/drawing/2014/chart" uri="{C3380CC4-5D6E-409C-BE32-E72D297353CC}">
              <c16:uniqueId val="{00000001-0C57-4B4E-A3E4-7DC3537E68FC}"/>
            </c:ext>
          </c:extLst>
        </c:ser>
        <c:ser>
          <c:idx val="0"/>
          <c:order val="2"/>
          <c:tx>
            <c:strRef>
              <c:f>TEMP!$B$95</c:f>
              <c:strCache>
                <c:ptCount val="1"/>
                <c:pt idx="0">
                  <c:v>Rowe et al 2011</c:v>
                </c:pt>
              </c:strCache>
            </c:strRef>
          </c:tx>
          <c:spPr>
            <a:ln w="28575">
              <a:noFill/>
            </a:ln>
          </c:spPr>
          <c:marker>
            <c:spPr>
              <a:solidFill>
                <a:schemeClr val="tx1"/>
              </a:solidFill>
              <a:ln>
                <a:solidFill>
                  <a:schemeClr val="tx1"/>
                </a:solidFill>
              </a:ln>
            </c:spPr>
          </c:marker>
          <c:xVal>
            <c:numRef>
              <c:f>TEMP!$L$95:$L$99</c:f>
              <c:numCache>
                <c:formatCode>General</c:formatCode>
                <c:ptCount val="5"/>
                <c:pt idx="0">
                  <c:v>3.2986126913917664</c:v>
                </c:pt>
                <c:pt idx="1">
                  <c:v>2.7857504358225516</c:v>
                </c:pt>
                <c:pt idx="2">
                  <c:v>2.202622970157059</c:v>
                </c:pt>
                <c:pt idx="3">
                  <c:v>2.2953614937290703</c:v>
                </c:pt>
                <c:pt idx="4">
                  <c:v>2.3403124099350032</c:v>
                </c:pt>
              </c:numCache>
            </c:numRef>
          </c:xVal>
          <c:yVal>
            <c:numRef>
              <c:f>TEMP!$CI$95:$CI$99</c:f>
              <c:numCache>
                <c:formatCode>0.0</c:formatCode>
                <c:ptCount val="5"/>
                <c:pt idx="0">
                  <c:v>21.846855227699592</c:v>
                </c:pt>
                <c:pt idx="1">
                  <c:v>18.790717148074833</c:v>
                </c:pt>
                <c:pt idx="2">
                  <c:v>15.84956383174338</c:v>
                </c:pt>
                <c:pt idx="3">
                  <c:v>14.906472623507007</c:v>
                </c:pt>
                <c:pt idx="4">
                  <c:v>14.786768107285688</c:v>
                </c:pt>
              </c:numCache>
            </c:numRef>
          </c:yVal>
          <c:smooth val="0"/>
          <c:extLst>
            <c:ext xmlns:c16="http://schemas.microsoft.com/office/drawing/2014/chart" uri="{C3380CC4-5D6E-409C-BE32-E72D297353CC}">
              <c16:uniqueId val="{00000002-0C57-4B4E-A3E4-7DC3537E68FC}"/>
            </c:ext>
          </c:extLst>
        </c:ser>
        <c:ser>
          <c:idx val="3"/>
          <c:order val="3"/>
          <c:tx>
            <c:strRef>
              <c:f>TEMP!$B$112</c:f>
              <c:strCache>
                <c:ptCount val="1"/>
                <c:pt idx="0">
                  <c:v>Adams et al 2007</c:v>
                </c:pt>
              </c:strCache>
            </c:strRef>
          </c:tx>
          <c:spPr>
            <a:ln w="28575">
              <a:noFill/>
            </a:ln>
          </c:spPr>
          <c:marker>
            <c:symbol val="diamond"/>
            <c:size val="7"/>
            <c:spPr>
              <a:solidFill>
                <a:schemeClr val="bg1"/>
              </a:solidFill>
              <a:ln>
                <a:solidFill>
                  <a:schemeClr val="tx1"/>
                </a:solidFill>
              </a:ln>
            </c:spPr>
          </c:marker>
          <c:xVal>
            <c:numRef>
              <c:f>TEMP!$L$112:$L$114</c:f>
              <c:numCache>
                <c:formatCode>General</c:formatCode>
                <c:ptCount val="3"/>
                <c:pt idx="0">
                  <c:v>-0.93461714855158184</c:v>
                </c:pt>
                <c:pt idx="1">
                  <c:v>0.63850769970085575</c:v>
                </c:pt>
                <c:pt idx="2">
                  <c:v>-7.760411722919576E-2</c:v>
                </c:pt>
              </c:numCache>
            </c:numRef>
          </c:xVal>
          <c:yVal>
            <c:numRef>
              <c:f>TEMP!$CI$112:$CI$114</c:f>
              <c:numCache>
                <c:formatCode>0.0</c:formatCode>
                <c:ptCount val="3"/>
                <c:pt idx="0">
                  <c:v>-12</c:v>
                </c:pt>
                <c:pt idx="1">
                  <c:v>-18</c:v>
                </c:pt>
                <c:pt idx="2">
                  <c:v>-29</c:v>
                </c:pt>
              </c:numCache>
            </c:numRef>
          </c:yVal>
          <c:smooth val="0"/>
          <c:extLst>
            <c:ext xmlns:c16="http://schemas.microsoft.com/office/drawing/2014/chart" uri="{C3380CC4-5D6E-409C-BE32-E72D297353CC}">
              <c16:uniqueId val="{00000003-0C57-4B4E-A3E4-7DC3537E68FC}"/>
            </c:ext>
          </c:extLst>
        </c:ser>
        <c:ser>
          <c:idx val="4"/>
          <c:order val="4"/>
          <c:tx>
            <c:v>Chao et al 2007; PE80</c:v>
          </c:tx>
          <c:spPr>
            <a:ln w="28575">
              <a:noFill/>
            </a:ln>
          </c:spPr>
          <c:marker>
            <c:symbol val="circle"/>
            <c:size val="7"/>
            <c:spPr>
              <a:solidFill>
                <a:schemeClr val="tx1"/>
              </a:solidFill>
              <a:ln>
                <a:solidFill>
                  <a:schemeClr val="tx1"/>
                </a:solidFill>
              </a:ln>
            </c:spPr>
          </c:marker>
          <c:xVal>
            <c:numRef>
              <c:f>TEMP!$L$64:$L$69</c:f>
              <c:numCache>
                <c:formatCode>General</c:formatCode>
                <c:ptCount val="6"/>
                <c:pt idx="0">
                  <c:v>4.0081244215557099</c:v>
                </c:pt>
                <c:pt idx="1">
                  <c:v>3.9003671286564705</c:v>
                </c:pt>
                <c:pt idx="2">
                  <c:v>3.0662678271054604</c:v>
                </c:pt>
                <c:pt idx="3">
                  <c:v>4.0081244215557099</c:v>
                </c:pt>
                <c:pt idx="4">
                  <c:v>3.9003671286564705</c:v>
                </c:pt>
                <c:pt idx="5">
                  <c:v>3.0662678271054604</c:v>
                </c:pt>
              </c:numCache>
            </c:numRef>
          </c:xVal>
          <c:yVal>
            <c:numRef>
              <c:f>TEMP!$CI$64:$CI$69</c:f>
              <c:numCache>
                <c:formatCode>0.0</c:formatCode>
                <c:ptCount val="6"/>
                <c:pt idx="0">
                  <c:v>9.2591654021189207</c:v>
                </c:pt>
                <c:pt idx="1">
                  <c:v>9.2591654021189207</c:v>
                </c:pt>
                <c:pt idx="3">
                  <c:v>9.2591654021189207</c:v>
                </c:pt>
                <c:pt idx="4">
                  <c:v>9.2591654021189207</c:v>
                </c:pt>
              </c:numCache>
            </c:numRef>
          </c:yVal>
          <c:smooth val="0"/>
          <c:extLst>
            <c:ext xmlns:c16="http://schemas.microsoft.com/office/drawing/2014/chart" uri="{C3380CC4-5D6E-409C-BE32-E72D297353CC}">
              <c16:uniqueId val="{00000004-0C57-4B4E-A3E4-7DC3537E68FC}"/>
            </c:ext>
          </c:extLst>
        </c:ser>
        <c:ser>
          <c:idx val="6"/>
          <c:order val="5"/>
          <c:tx>
            <c:v>regressie</c:v>
          </c:tx>
          <c:spPr>
            <a:ln w="9525">
              <a:solidFill>
                <a:schemeClr val="tx1"/>
              </a:solidFill>
            </a:ln>
          </c:spPr>
          <c:marker>
            <c:symbol val="none"/>
          </c:marker>
          <c:xVal>
            <c:numRef>
              <c:f>TEMP!$CI$128:$CI$129</c:f>
              <c:numCache>
                <c:formatCode>0.0</c:formatCode>
                <c:ptCount val="2"/>
                <c:pt idx="0">
                  <c:v>-10</c:v>
                </c:pt>
                <c:pt idx="1">
                  <c:v>10</c:v>
                </c:pt>
              </c:numCache>
            </c:numRef>
          </c:xVal>
          <c:yVal>
            <c:numRef>
              <c:f>TEMP!$CJ$128:$CJ$129</c:f>
              <c:numCache>
                <c:formatCode>0.0</c:formatCode>
                <c:ptCount val="2"/>
                <c:pt idx="0">
                  <c:v>-96.404541049006625</c:v>
                </c:pt>
                <c:pt idx="1">
                  <c:v>62.029419252334904</c:v>
                </c:pt>
              </c:numCache>
            </c:numRef>
          </c:yVal>
          <c:smooth val="0"/>
          <c:extLst>
            <c:ext xmlns:c16="http://schemas.microsoft.com/office/drawing/2014/chart" uri="{C3380CC4-5D6E-409C-BE32-E72D297353CC}">
              <c16:uniqueId val="{00000005-0C57-4B4E-A3E4-7DC3537E68FC}"/>
            </c:ext>
          </c:extLst>
        </c:ser>
        <c:dLbls>
          <c:showLegendKey val="0"/>
          <c:showVal val="0"/>
          <c:showCatName val="0"/>
          <c:showSerName val="0"/>
          <c:showPercent val="0"/>
          <c:showBubbleSize val="0"/>
        </c:dLbls>
        <c:axId val="166849536"/>
        <c:axId val="167453824"/>
      </c:scatterChart>
      <c:valAx>
        <c:axId val="166849536"/>
        <c:scaling>
          <c:orientation val="minMax"/>
          <c:max val="6"/>
          <c:min val="-2"/>
        </c:scaling>
        <c:delete val="0"/>
        <c:axPos val="b"/>
        <c:title>
          <c:tx>
            <c:rich>
              <a:bodyPr/>
              <a:lstStyle/>
              <a:p>
                <a:pPr>
                  <a:defRPr/>
                </a:pPr>
                <a:r>
                  <a:rPr lang="en-US" baseline="0"/>
                  <a:t>LOG C</a:t>
                </a:r>
                <a:r>
                  <a:rPr lang="en-US" baseline="-25000"/>
                  <a:t>w</a:t>
                </a:r>
                <a:r>
                  <a:rPr lang="en-US" baseline="30000"/>
                  <a:t>sat</a:t>
                </a:r>
                <a:r>
                  <a:rPr lang="en-US" baseline="0"/>
                  <a:t> (g/m</a:t>
                </a:r>
                <a:r>
                  <a:rPr lang="en-US" baseline="30000"/>
                  <a:t>3</a:t>
                </a:r>
                <a:r>
                  <a:rPr lang="en-US" baseline="0"/>
                  <a:t>)</a:t>
                </a:r>
                <a:endParaRPr lang="en-US" baseline="-25000"/>
              </a:p>
            </c:rich>
          </c:tx>
          <c:overlay val="0"/>
        </c:title>
        <c:numFmt formatCode="General" sourceLinked="1"/>
        <c:majorTickMark val="out"/>
        <c:minorTickMark val="none"/>
        <c:tickLblPos val="nextTo"/>
        <c:spPr>
          <a:ln>
            <a:solidFill>
              <a:schemeClr val="tx1"/>
            </a:solidFill>
          </a:ln>
        </c:spPr>
        <c:crossAx val="167453824"/>
        <c:crossesAt val="-10000"/>
        <c:crossBetween val="midCat"/>
      </c:valAx>
      <c:valAx>
        <c:axId val="167453824"/>
        <c:scaling>
          <c:orientation val="minMax"/>
          <c:max val="60"/>
          <c:min val="-60"/>
        </c:scaling>
        <c:delete val="0"/>
        <c:axPos val="l"/>
        <c:title>
          <c:tx>
            <c:rich>
              <a:bodyPr rot="-5400000" vert="horz"/>
              <a:lstStyle/>
              <a:p>
                <a:pPr>
                  <a:defRPr/>
                </a:pPr>
                <a:r>
                  <a:rPr lang="en-US">
                    <a:latin typeface="Lucida Sans"/>
                  </a:rPr>
                  <a:t>Δ</a:t>
                </a:r>
                <a:r>
                  <a:rPr lang="en-US"/>
                  <a:t>H</a:t>
                </a:r>
                <a:r>
                  <a:rPr lang="en-US" baseline="-25000"/>
                  <a:t>S,pw</a:t>
                </a:r>
                <a:r>
                  <a:rPr lang="en-US"/>
                  <a:t> (kJ/mol)</a:t>
                </a:r>
              </a:p>
            </c:rich>
          </c:tx>
          <c:layout>
            <c:manualLayout>
              <c:xMode val="edge"/>
              <c:yMode val="edge"/>
              <c:x val="2.9400758510855075E-3"/>
              <c:y val="0.29812575550764253"/>
            </c:manualLayout>
          </c:layout>
          <c:overlay val="0"/>
        </c:title>
        <c:numFmt formatCode="General" sourceLinked="0"/>
        <c:majorTickMark val="out"/>
        <c:minorTickMark val="none"/>
        <c:tickLblPos val="nextTo"/>
        <c:spPr>
          <a:ln>
            <a:solidFill>
              <a:schemeClr val="tx1"/>
            </a:solidFill>
          </a:ln>
        </c:spPr>
        <c:crossAx val="166849536"/>
        <c:crossesAt val="-10000"/>
        <c:crossBetween val="midCat"/>
        <c:majorUnit val="40"/>
      </c:valAx>
      <c:spPr>
        <a:noFill/>
        <a:ln w="9525">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og"/>
            <c:dispRSqr val="1"/>
            <c:dispEq val="1"/>
            <c:trendlineLbl>
              <c:layout>
                <c:manualLayout>
                  <c:x val="7.0450131233595795E-2"/>
                  <c:y val="-0.36469561096529601"/>
                </c:manualLayout>
              </c:layout>
              <c:numFmt formatCode="General" sourceLinked="0"/>
            </c:trendlineLbl>
          </c:trendline>
          <c:trendline>
            <c:trendlineType val="log"/>
            <c:dispRSqr val="0"/>
            <c:dispEq val="0"/>
          </c:trendline>
          <c:trendline>
            <c:trendlineType val="exp"/>
            <c:dispRSqr val="1"/>
            <c:dispEq val="1"/>
            <c:trendlineLbl>
              <c:layout>
                <c:manualLayout>
                  <c:x val="8.6292432195975502E-2"/>
                  <c:y val="-0.62725685331000292"/>
                </c:manualLayout>
              </c:layout>
              <c:numFmt formatCode="General" sourceLinked="0"/>
            </c:trendlineLbl>
          </c:trendline>
          <c:xVal>
            <c:numRef>
              <c:f>TEMP!$M$49:$M$69</c:f>
              <c:numCache>
                <c:formatCode>General</c:formatCode>
                <c:ptCount val="21"/>
                <c:pt idx="0">
                  <c:v>2.13</c:v>
                </c:pt>
                <c:pt idx="1">
                  <c:v>2.73</c:v>
                </c:pt>
                <c:pt idx="2">
                  <c:v>3.15</c:v>
                </c:pt>
                <c:pt idx="3">
                  <c:v>3.6</c:v>
                </c:pt>
                <c:pt idx="4">
                  <c:v>2.11</c:v>
                </c:pt>
                <c:pt idx="5">
                  <c:v>2.84</c:v>
                </c:pt>
                <c:pt idx="6">
                  <c:v>4</c:v>
                </c:pt>
                <c:pt idx="7">
                  <c:v>1.25</c:v>
                </c:pt>
                <c:pt idx="8">
                  <c:v>1.47</c:v>
                </c:pt>
                <c:pt idx="9">
                  <c:v>-0.24</c:v>
                </c:pt>
                <c:pt idx="10">
                  <c:v>0.27549999999999997</c:v>
                </c:pt>
                <c:pt idx="11">
                  <c:v>1.31</c:v>
                </c:pt>
                <c:pt idx="12">
                  <c:v>3.48</c:v>
                </c:pt>
                <c:pt idx="13">
                  <c:v>0.88</c:v>
                </c:pt>
                <c:pt idx="15">
                  <c:v>1.47</c:v>
                </c:pt>
                <c:pt idx="16">
                  <c:v>1.97</c:v>
                </c:pt>
                <c:pt idx="17">
                  <c:v>2.61</c:v>
                </c:pt>
                <c:pt idx="18">
                  <c:v>1.47</c:v>
                </c:pt>
                <c:pt idx="19">
                  <c:v>1.97</c:v>
                </c:pt>
                <c:pt idx="20">
                  <c:v>2.61</c:v>
                </c:pt>
              </c:numCache>
            </c:numRef>
          </c:xVal>
          <c:yVal>
            <c:numRef>
              <c:f>TEMP!$K$49:$K$69</c:f>
              <c:numCache>
                <c:formatCode>General</c:formatCode>
                <c:ptCount val="21"/>
                <c:pt idx="0">
                  <c:v>1988.89882593368</c:v>
                </c:pt>
                <c:pt idx="1">
                  <c:v>610.59105234897152</c:v>
                </c:pt>
                <c:pt idx="2">
                  <c:v>210.93846155625408</c:v>
                </c:pt>
                <c:pt idx="3">
                  <c:v>75</c:v>
                </c:pt>
                <c:pt idx="4">
                  <c:v>1741</c:v>
                </c:pt>
                <c:pt idx="5">
                  <c:v>498</c:v>
                </c:pt>
                <c:pt idx="6">
                  <c:v>17.399999999999999</c:v>
                </c:pt>
                <c:pt idx="7">
                  <c:v>19000</c:v>
                </c:pt>
                <c:pt idx="8">
                  <c:v>71000</c:v>
                </c:pt>
                <c:pt idx="9">
                  <c:v>790000</c:v>
                </c:pt>
                <c:pt idx="10">
                  <c:v>352800</c:v>
                </c:pt>
                <c:pt idx="11">
                  <c:v>19000</c:v>
                </c:pt>
                <c:pt idx="12">
                  <c:v>49</c:v>
                </c:pt>
                <c:pt idx="13">
                  <c:v>71000</c:v>
                </c:pt>
                <c:pt idx="15">
                  <c:v>10188.832473485421</c:v>
                </c:pt>
                <c:pt idx="16">
                  <c:v>7950</c:v>
                </c:pt>
                <c:pt idx="17">
                  <c:v>1164.8441611748488</c:v>
                </c:pt>
                <c:pt idx="18">
                  <c:v>10188.832473485421</c:v>
                </c:pt>
                <c:pt idx="19">
                  <c:v>7950</c:v>
                </c:pt>
                <c:pt idx="20">
                  <c:v>1164.8441611748488</c:v>
                </c:pt>
              </c:numCache>
            </c:numRef>
          </c:yVal>
          <c:smooth val="0"/>
          <c:extLst>
            <c:ext xmlns:c16="http://schemas.microsoft.com/office/drawing/2014/chart" uri="{C3380CC4-5D6E-409C-BE32-E72D297353CC}">
              <c16:uniqueId val="{00000003-6198-4CD3-8123-88D5B7239FE0}"/>
            </c:ext>
          </c:extLst>
        </c:ser>
        <c:dLbls>
          <c:showLegendKey val="0"/>
          <c:showVal val="0"/>
          <c:showCatName val="0"/>
          <c:showSerName val="0"/>
          <c:showPercent val="0"/>
          <c:showBubbleSize val="0"/>
        </c:dLbls>
        <c:axId val="167517184"/>
        <c:axId val="167523456"/>
      </c:scatterChart>
      <c:valAx>
        <c:axId val="167517184"/>
        <c:scaling>
          <c:orientation val="minMax"/>
        </c:scaling>
        <c:delete val="0"/>
        <c:axPos val="b"/>
        <c:title>
          <c:tx>
            <c:rich>
              <a:bodyPr/>
              <a:lstStyle/>
              <a:p>
                <a:pPr>
                  <a:defRPr/>
                </a:pPr>
                <a:r>
                  <a:rPr lang="en-US"/>
                  <a:t>Log Kow</a:t>
                </a:r>
              </a:p>
            </c:rich>
          </c:tx>
          <c:layout>
            <c:manualLayout>
              <c:xMode val="edge"/>
              <c:yMode val="edge"/>
              <c:x val="0.30483267716535434"/>
              <c:y val="0.91108778069407992"/>
            </c:manualLayout>
          </c:layout>
          <c:overlay val="0"/>
        </c:title>
        <c:numFmt formatCode="General" sourceLinked="1"/>
        <c:majorTickMark val="out"/>
        <c:minorTickMark val="none"/>
        <c:tickLblPos val="nextTo"/>
        <c:crossAx val="167523456"/>
        <c:crosses val="autoZero"/>
        <c:crossBetween val="midCat"/>
      </c:valAx>
      <c:valAx>
        <c:axId val="167523456"/>
        <c:scaling>
          <c:logBase val="10"/>
          <c:orientation val="minMax"/>
        </c:scaling>
        <c:delete val="0"/>
        <c:axPos val="l"/>
        <c:majorGridlines/>
        <c:title>
          <c:tx>
            <c:rich>
              <a:bodyPr rot="-5400000" vert="horz"/>
              <a:lstStyle/>
              <a:p>
                <a:pPr>
                  <a:defRPr/>
                </a:pPr>
                <a:r>
                  <a:rPr lang="en-US"/>
                  <a:t>Sw (water) g/l</a:t>
                </a:r>
              </a:p>
            </c:rich>
          </c:tx>
          <c:overlay val="0"/>
        </c:title>
        <c:numFmt formatCode="General" sourceLinked="1"/>
        <c:majorTickMark val="out"/>
        <c:minorTickMark val="none"/>
        <c:tickLblPos val="nextTo"/>
        <c:crossAx val="16751718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TEMP!$C$51</c:f>
              <c:strCache>
                <c:ptCount val="1"/>
                <c:pt idx="0">
                  <c:v>p-Xylene</c:v>
                </c:pt>
              </c:strCache>
            </c:strRef>
          </c:tx>
          <c:spPr>
            <a:ln w="9525">
              <a:noFill/>
              <a:prstDash val="sysDash"/>
            </a:ln>
          </c:spPr>
          <c:marker>
            <c:symbol val="circle"/>
            <c:size val="5"/>
            <c:spPr>
              <a:noFill/>
              <a:ln>
                <a:solidFill>
                  <a:schemeClr val="tx1"/>
                </a:solidFill>
              </a:ln>
            </c:spPr>
          </c:marker>
          <c:trendline>
            <c:name>3</c:name>
            <c:trendlineType val="linear"/>
            <c:dispRSqr val="0"/>
            <c:dispEq val="0"/>
          </c:trendline>
          <c:xVal>
            <c:numRef>
              <c:f>TEMP!$AK$46:$AO$46</c:f>
              <c:numCache>
                <c:formatCode>General</c:formatCode>
                <c:ptCount val="5"/>
                <c:pt idx="0">
                  <c:v>298</c:v>
                </c:pt>
                <c:pt idx="1">
                  <c:v>308</c:v>
                </c:pt>
                <c:pt idx="2">
                  <c:v>318</c:v>
                </c:pt>
                <c:pt idx="3">
                  <c:v>323</c:v>
                </c:pt>
                <c:pt idx="4">
                  <c:v>343</c:v>
                </c:pt>
              </c:numCache>
            </c:numRef>
          </c:xVal>
          <c:yVal>
            <c:numRef>
              <c:f>TEMP!$AK$51:$AO$51</c:f>
              <c:numCache>
                <c:formatCode>General</c:formatCode>
                <c:ptCount val="5"/>
                <c:pt idx="0">
                  <c:v>1.9731278535996986</c:v>
                </c:pt>
                <c:pt idx="3">
                  <c:v>2.1492191126553797</c:v>
                </c:pt>
                <c:pt idx="4">
                  <c:v>2.3155505344219049</c:v>
                </c:pt>
              </c:numCache>
            </c:numRef>
          </c:yVal>
          <c:smooth val="0"/>
          <c:extLst>
            <c:ext xmlns:c16="http://schemas.microsoft.com/office/drawing/2014/chart" uri="{C3380CC4-5D6E-409C-BE32-E72D297353CC}">
              <c16:uniqueId val="{00000001-0C53-48CD-961B-4871DE213B4E}"/>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0"/>
            <c:dispEq val="0"/>
          </c:trendline>
          <c:xVal>
            <c:numRef>
              <c:f>TEMP!$AK$46:$AO$46</c:f>
              <c:numCache>
                <c:formatCode>General</c:formatCode>
                <c:ptCount val="5"/>
                <c:pt idx="0">
                  <c:v>298</c:v>
                </c:pt>
                <c:pt idx="1">
                  <c:v>308</c:v>
                </c:pt>
                <c:pt idx="2">
                  <c:v>318</c:v>
                </c:pt>
                <c:pt idx="3">
                  <c:v>323</c:v>
                </c:pt>
                <c:pt idx="4">
                  <c:v>343</c:v>
                </c:pt>
              </c:numCache>
            </c:numRef>
          </c:xVal>
          <c:yVal>
            <c:numRef>
              <c:f>TEMP!$AK$49:$AO$49</c:f>
              <c:numCache>
                <c:formatCode>General</c:formatCode>
                <c:ptCount val="5"/>
                <c:pt idx="0">
                  <c:v>2.2628884776986293</c:v>
                </c:pt>
                <c:pt idx="3">
                  <c:v>2.2702511096810265</c:v>
                </c:pt>
                <c:pt idx="4">
                  <c:v>2.3748260846785172</c:v>
                </c:pt>
              </c:numCache>
            </c:numRef>
          </c:yVal>
          <c:smooth val="0"/>
          <c:extLst>
            <c:ext xmlns:c16="http://schemas.microsoft.com/office/drawing/2014/chart" uri="{C3380CC4-5D6E-409C-BE32-E72D297353CC}">
              <c16:uniqueId val="{00000003-0C53-48CD-961B-4871DE213B4E}"/>
            </c:ext>
          </c:extLst>
        </c:ser>
        <c:ser>
          <c:idx val="0"/>
          <c:order val="2"/>
          <c:tx>
            <c:strRef>
              <c:f>TEMP!$C$104</c:f>
              <c:strCache>
                <c:ptCount val="1"/>
                <c:pt idx="0">
                  <c:v>phenanthrene</c:v>
                </c:pt>
              </c:strCache>
            </c:strRef>
          </c:tx>
          <c:spPr>
            <a:ln w="28575">
              <a:noFill/>
            </a:ln>
          </c:spPr>
          <c:marker>
            <c:symbol val="diamond"/>
            <c:size val="6"/>
            <c:spPr>
              <a:solidFill>
                <a:schemeClr val="tx1"/>
              </a:solidFill>
              <a:ln>
                <a:solidFill>
                  <a:schemeClr val="tx1"/>
                </a:solidFill>
              </a:ln>
            </c:spPr>
          </c:marker>
          <c:trendline>
            <c:name>2</c:name>
            <c:trendlineType val="linear"/>
            <c:dispRSqr val="0"/>
            <c:dispEq val="0"/>
          </c:trendline>
          <c:xVal>
            <c:numRef>
              <c:f>TEMP!$AH$46:$AO$46</c:f>
              <c:numCache>
                <c:formatCode>General</c:formatCode>
                <c:ptCount val="8"/>
                <c:pt idx="0">
                  <c:v>275</c:v>
                </c:pt>
                <c:pt idx="1">
                  <c:v>286</c:v>
                </c:pt>
                <c:pt idx="2">
                  <c:v>303</c:v>
                </c:pt>
                <c:pt idx="3">
                  <c:v>298</c:v>
                </c:pt>
                <c:pt idx="4">
                  <c:v>308</c:v>
                </c:pt>
                <c:pt idx="5">
                  <c:v>318</c:v>
                </c:pt>
                <c:pt idx="6">
                  <c:v>323</c:v>
                </c:pt>
                <c:pt idx="7">
                  <c:v>343</c:v>
                </c:pt>
              </c:numCache>
            </c:numRef>
          </c:xVal>
          <c:yVal>
            <c:numRef>
              <c:f>TEMP!$AH$104:$AO$104</c:f>
              <c:numCache>
                <c:formatCode>0.000</c:formatCode>
                <c:ptCount val="8"/>
              </c:numCache>
            </c:numRef>
          </c:yVal>
          <c:smooth val="0"/>
          <c:extLst>
            <c:ext xmlns:c16="http://schemas.microsoft.com/office/drawing/2014/chart" uri="{C3380CC4-5D6E-409C-BE32-E72D297353CC}">
              <c16:uniqueId val="{00000005-0C53-48CD-961B-4871DE213B4E}"/>
            </c:ext>
          </c:extLst>
        </c:ser>
        <c:dLbls>
          <c:showLegendKey val="0"/>
          <c:showVal val="0"/>
          <c:showCatName val="0"/>
          <c:showSerName val="0"/>
          <c:showPercent val="0"/>
          <c:showBubbleSize val="0"/>
        </c:dLbls>
        <c:axId val="167575936"/>
        <c:axId val="167577856"/>
      </c:scatterChart>
      <c:valAx>
        <c:axId val="167575936"/>
        <c:scaling>
          <c:orientation val="minMax"/>
          <c:max val="373"/>
          <c:min val="273"/>
        </c:scaling>
        <c:delete val="0"/>
        <c:axPos val="b"/>
        <c:title>
          <c:tx>
            <c:rich>
              <a:bodyPr/>
              <a:lstStyle/>
              <a:p>
                <a:pPr>
                  <a:defRPr/>
                </a:pPr>
                <a:r>
                  <a:rPr lang="en-US"/>
                  <a:t>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577856"/>
        <c:crossesAt val="-1000"/>
        <c:crossBetween val="midCat"/>
      </c:valAx>
      <c:valAx>
        <c:axId val="167577856"/>
        <c:scaling>
          <c:orientation val="minMax"/>
        </c:scaling>
        <c:delete val="0"/>
        <c:axPos val="l"/>
        <c:title>
          <c:tx>
            <c:rich>
              <a:bodyPr rot="-5400000" vert="horz"/>
              <a:lstStyle/>
              <a:p>
                <a:pPr>
                  <a:defRPr/>
                </a:pPr>
                <a:r>
                  <a:rPr lang="en-US"/>
                  <a:t>log K (-)</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575936"/>
        <c:crossesAt val="-1000"/>
        <c:crossBetween val="midCat"/>
      </c:valAx>
      <c:spPr>
        <a:ln>
          <a:solidFill>
            <a:schemeClr val="tx1"/>
          </a:solidFill>
        </a:ln>
      </c:spPr>
    </c:plotArea>
    <c:legend>
      <c:legendPos val="r"/>
      <c:layout>
        <c:manualLayout>
          <c:xMode val="edge"/>
          <c:yMode val="edge"/>
          <c:x val="0.59766694444444446"/>
          <c:y val="0.64215416666666658"/>
          <c:w val="0.30173916666666667"/>
          <c:h val="0.1709690972222222"/>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0"/>
            <c:dispEq val="0"/>
          </c:trendline>
          <c:xVal>
            <c:numRef>
              <c:f>TEMP!$AW$46:$BB$46</c:f>
              <c:numCache>
                <c:formatCode>General</c:formatCode>
                <c:ptCount val="6"/>
                <c:pt idx="0">
                  <c:v>298</c:v>
                </c:pt>
                <c:pt idx="1">
                  <c:v>308</c:v>
                </c:pt>
                <c:pt idx="2">
                  <c:v>318</c:v>
                </c:pt>
                <c:pt idx="3">
                  <c:v>323</c:v>
                </c:pt>
                <c:pt idx="4">
                  <c:v>343</c:v>
                </c:pt>
              </c:numCache>
            </c:numRef>
          </c:xVal>
          <c:yVal>
            <c:numRef>
              <c:f>TEMP!$AW$65:$BB$65</c:f>
              <c:numCache>
                <c:formatCode>General</c:formatCode>
                <c:ptCount val="6"/>
                <c:pt idx="0">
                  <c:v>-11.180456064458131</c:v>
                </c:pt>
                <c:pt idx="1">
                  <c:v>-10.826813731587725</c:v>
                </c:pt>
                <c:pt idx="2">
                  <c:v>-10.636388020107855</c:v>
                </c:pt>
              </c:numCache>
            </c:numRef>
          </c:yVal>
          <c:smooth val="0"/>
          <c:extLst>
            <c:ext xmlns:c16="http://schemas.microsoft.com/office/drawing/2014/chart" uri="{C3380CC4-5D6E-409C-BE32-E72D297353CC}">
              <c16:uniqueId val="{00000001-6870-4D92-A9FD-CE98906604F3}"/>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0"/>
            <c:dispEq val="0"/>
          </c:trendline>
          <c:xVal>
            <c:numRef>
              <c:f>TEMP!$AW$46:$BB$46</c:f>
              <c:numCache>
                <c:formatCode>General</c:formatCode>
                <c:ptCount val="6"/>
                <c:pt idx="0">
                  <c:v>298</c:v>
                </c:pt>
                <c:pt idx="1">
                  <c:v>308</c:v>
                </c:pt>
                <c:pt idx="2">
                  <c:v>318</c:v>
                </c:pt>
                <c:pt idx="3">
                  <c:v>323</c:v>
                </c:pt>
                <c:pt idx="4">
                  <c:v>343</c:v>
                </c:pt>
              </c:numCache>
            </c:numRef>
          </c:xVal>
          <c:yVal>
            <c:numRef>
              <c:f>TEMP!$AW$49:$BB$49</c:f>
              <c:numCache>
                <c:formatCode>General</c:formatCode>
                <c:ptCount val="6"/>
                <c:pt idx="0">
                  <c:v>-11.193820026016112</c:v>
                </c:pt>
                <c:pt idx="3">
                  <c:v>-10.735182176990463</c:v>
                </c:pt>
                <c:pt idx="4">
                  <c:v>-10.478861916295964</c:v>
                </c:pt>
              </c:numCache>
            </c:numRef>
          </c:yVal>
          <c:smooth val="0"/>
          <c:extLst>
            <c:ext xmlns:c16="http://schemas.microsoft.com/office/drawing/2014/chart" uri="{C3380CC4-5D6E-409C-BE32-E72D297353CC}">
              <c16:uniqueId val="{00000003-6870-4D92-A9FD-CE98906604F3}"/>
            </c:ext>
          </c:extLst>
        </c:ser>
        <c:ser>
          <c:idx val="0"/>
          <c:order val="2"/>
          <c:tx>
            <c:strRef>
              <c:f>TEMP!$C$77</c:f>
              <c:strCache>
                <c:ptCount val="1"/>
                <c:pt idx="0">
                  <c:v>UV1</c:v>
                </c:pt>
              </c:strCache>
            </c:strRef>
          </c:tx>
          <c:spPr>
            <a:ln w="28575">
              <a:noFill/>
            </a:ln>
          </c:spPr>
          <c:marker>
            <c:symbol val="diamond"/>
            <c:size val="6"/>
            <c:spPr>
              <a:solidFill>
                <a:schemeClr val="tx1"/>
              </a:solidFill>
              <a:ln>
                <a:solidFill>
                  <a:schemeClr val="tx1"/>
                </a:solidFill>
              </a:ln>
            </c:spPr>
          </c:marker>
          <c:trendline>
            <c:name>2</c:name>
            <c:trendlineType val="linear"/>
            <c:dispRSqr val="0"/>
            <c:dispEq val="0"/>
          </c:trendline>
          <c:xVal>
            <c:numRef>
              <c:f>TEMP!$AW$74:$BB$74</c:f>
              <c:numCache>
                <c:formatCode>General</c:formatCode>
                <c:ptCount val="6"/>
                <c:pt idx="0">
                  <c:v>278</c:v>
                </c:pt>
                <c:pt idx="1">
                  <c:v>296</c:v>
                </c:pt>
                <c:pt idx="2">
                  <c:v>313</c:v>
                </c:pt>
                <c:pt idx="3">
                  <c:v>333</c:v>
                </c:pt>
                <c:pt idx="4">
                  <c:v>353</c:v>
                </c:pt>
                <c:pt idx="5">
                  <c:v>373</c:v>
                </c:pt>
              </c:numCache>
            </c:numRef>
          </c:xVal>
          <c:yVal>
            <c:numRef>
              <c:f>TEMP!$AW$77:$BB$77</c:f>
              <c:numCache>
                <c:formatCode>General</c:formatCode>
                <c:ptCount val="6"/>
                <c:pt idx="0">
                  <c:v>-14.61261017366127</c:v>
                </c:pt>
                <c:pt idx="1">
                  <c:v>-13.567030709125595</c:v>
                </c:pt>
                <c:pt idx="2">
                  <c:v>-12.838631997765026</c:v>
                </c:pt>
                <c:pt idx="3">
                  <c:v>-12.041914151478915</c:v>
                </c:pt>
                <c:pt idx="4">
                  <c:v>-11.643974142806877</c:v>
                </c:pt>
                <c:pt idx="5">
                  <c:v>-11.207608310501746</c:v>
                </c:pt>
              </c:numCache>
            </c:numRef>
          </c:yVal>
          <c:smooth val="0"/>
          <c:extLst>
            <c:ext xmlns:c16="http://schemas.microsoft.com/office/drawing/2014/chart" uri="{C3380CC4-5D6E-409C-BE32-E72D297353CC}">
              <c16:uniqueId val="{00000005-6870-4D92-A9FD-CE98906604F3}"/>
            </c:ext>
          </c:extLst>
        </c:ser>
        <c:dLbls>
          <c:showLegendKey val="0"/>
          <c:showVal val="0"/>
          <c:showCatName val="0"/>
          <c:showSerName val="0"/>
          <c:showPercent val="0"/>
          <c:showBubbleSize val="0"/>
        </c:dLbls>
        <c:axId val="167618816"/>
        <c:axId val="167637376"/>
      </c:scatterChart>
      <c:valAx>
        <c:axId val="167618816"/>
        <c:scaling>
          <c:orientation val="minMax"/>
          <c:max val="373"/>
          <c:min val="273"/>
        </c:scaling>
        <c:delete val="0"/>
        <c:axPos val="b"/>
        <c:title>
          <c:tx>
            <c:rich>
              <a:bodyPr/>
              <a:lstStyle/>
              <a:p>
                <a:pPr>
                  <a:defRPr/>
                </a:pPr>
                <a:r>
                  <a:rPr lang="en-US"/>
                  <a:t>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637376"/>
        <c:crossesAt val="-1000"/>
        <c:crossBetween val="midCat"/>
      </c:valAx>
      <c:valAx>
        <c:axId val="167637376"/>
        <c:scaling>
          <c:orientation val="minMax"/>
          <c:max val="-10"/>
          <c:min val="-15"/>
        </c:scaling>
        <c:delete val="0"/>
        <c:axPos val="l"/>
        <c:title>
          <c:tx>
            <c:rich>
              <a:bodyPr rot="-5400000" vert="horz"/>
              <a:lstStyle/>
              <a:p>
                <a:pPr>
                  <a:defRPr/>
                </a:pPr>
                <a:r>
                  <a:rPr lang="en-US"/>
                  <a:t>log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618816"/>
        <c:crossesAt val="-1000"/>
        <c:crossBetween val="midCat"/>
        <c:majorUnit val="1"/>
      </c:valAx>
      <c:spPr>
        <a:ln>
          <a:solidFill>
            <a:schemeClr val="tx1"/>
          </a:solidFill>
        </a:ln>
      </c:spPr>
    </c:plotArea>
    <c:legend>
      <c:legendPos val="r"/>
      <c:layout>
        <c:manualLayout>
          <c:xMode val="edge"/>
          <c:yMode val="edge"/>
          <c:x val="0.59705679985976245"/>
          <c:y val="0.60540120413210807"/>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3862046590236"/>
          <c:y val="2.9342648170581753E-2"/>
          <c:w val="0.82308099761238795"/>
          <c:h val="0.80519190707369848"/>
        </c:manualLayout>
      </c:layout>
      <c:scatterChart>
        <c:scatterStyle val="lineMarker"/>
        <c:varyColors val="0"/>
        <c:ser>
          <c:idx val="0"/>
          <c:order val="0"/>
          <c:tx>
            <c:v>Chao et al 2007; PE80</c:v>
          </c:tx>
          <c:spPr>
            <a:ln w="28575">
              <a:noFill/>
            </a:ln>
          </c:spPr>
          <c:marker>
            <c:symbol val="circle"/>
            <c:size val="5"/>
            <c:spPr>
              <a:solidFill>
                <a:schemeClr val="tx1"/>
              </a:solidFill>
              <a:ln>
                <a:solidFill>
                  <a:schemeClr val="tx1"/>
                </a:solidFill>
              </a:ln>
            </c:spPr>
          </c:marker>
          <c:xVal>
            <c:numRef>
              <c:f>TEMP!$J$64:$J$69</c:f>
              <c:numCache>
                <c:formatCode>General</c:formatCode>
                <c:ptCount val="6"/>
                <c:pt idx="0">
                  <c:v>1.9955181892798926</c:v>
                </c:pt>
                <c:pt idx="1">
                  <c:v>2.0769315745556556</c:v>
                </c:pt>
                <c:pt idx="2">
                  <c:v>2.1185953652237619</c:v>
                </c:pt>
                <c:pt idx="3">
                  <c:v>1.9955181892798926</c:v>
                </c:pt>
                <c:pt idx="4">
                  <c:v>2.0769315745556556</c:v>
                </c:pt>
                <c:pt idx="5">
                  <c:v>2.1185953652237619</c:v>
                </c:pt>
              </c:numCache>
            </c:numRef>
          </c:xVal>
          <c:yVal>
            <c:numRef>
              <c:f>TEMP!$CK$64:$CK$69</c:f>
              <c:numCache>
                <c:formatCode>General</c:formatCode>
                <c:ptCount val="6"/>
                <c:pt idx="0">
                  <c:v>49.4</c:v>
                </c:pt>
                <c:pt idx="1">
                  <c:v>41.88</c:v>
                </c:pt>
                <c:pt idx="2">
                  <c:v>44.38</c:v>
                </c:pt>
                <c:pt idx="3">
                  <c:v>45.41</c:v>
                </c:pt>
                <c:pt idx="4">
                  <c:v>56.55</c:v>
                </c:pt>
                <c:pt idx="5">
                  <c:v>37.39</c:v>
                </c:pt>
              </c:numCache>
            </c:numRef>
          </c:yVal>
          <c:smooth val="0"/>
          <c:extLst>
            <c:ext xmlns:c16="http://schemas.microsoft.com/office/drawing/2014/chart" uri="{C3380CC4-5D6E-409C-BE32-E72D297353CC}">
              <c16:uniqueId val="{00000000-B7A9-44E1-A5F1-C94CFDA3D832}"/>
            </c:ext>
          </c:extLst>
        </c:ser>
        <c:ser>
          <c:idx val="1"/>
          <c:order val="1"/>
          <c:tx>
            <c:v>Aminabhavi &amp; Naik 1999; PE80</c:v>
          </c:tx>
          <c:spPr>
            <a:ln w="28575">
              <a:noFill/>
            </a:ln>
          </c:spPr>
          <c:marker>
            <c:symbol val="circle"/>
            <c:size val="6"/>
            <c:spPr>
              <a:noFill/>
              <a:ln>
                <a:solidFill>
                  <a:schemeClr val="tx1"/>
                </a:solidFill>
              </a:ln>
            </c:spPr>
          </c:marker>
          <c:xVal>
            <c:numRef>
              <c:f>TEMP!$J$49:$J$62</c:f>
              <c:numCache>
                <c:formatCode>General</c:formatCode>
                <c:ptCount val="14"/>
                <c:pt idx="0">
                  <c:v>1.8926881031628768</c:v>
                </c:pt>
                <c:pt idx="1">
                  <c:v>1.9644599575824677</c:v>
                </c:pt>
                <c:pt idx="2">
                  <c:v>2.0260699811157594</c:v>
                </c:pt>
                <c:pt idx="3">
                  <c:v>2.0798683351751732</c:v>
                </c:pt>
                <c:pt idx="4">
                  <c:v>2.0339863652396057</c:v>
                </c:pt>
                <c:pt idx="5">
                  <c:v>2.0513840844266893</c:v>
                </c:pt>
                <c:pt idx="6">
                  <c:v>2.2111739567284943</c:v>
                </c:pt>
                <c:pt idx="7">
                  <c:v>1.9290611240847655</c:v>
                </c:pt>
                <c:pt idx="8">
                  <c:v>1.9955181892798926</c:v>
                </c:pt>
                <c:pt idx="9">
                  <c:v>1.7640266076920372</c:v>
                </c:pt>
                <c:pt idx="10">
                  <c:v>1.8573324964312685</c:v>
                </c:pt>
                <c:pt idx="11">
                  <c:v>2.0006943158663546</c:v>
                </c:pt>
                <c:pt idx="12">
                  <c:v>1.9251057268096639</c:v>
                </c:pt>
                <c:pt idx="13">
                  <c:v>1.8579954955609239</c:v>
                </c:pt>
              </c:numCache>
            </c:numRef>
          </c:xVal>
          <c:yVal>
            <c:numRef>
              <c:f>TEMP!$CK$49:$CK$62</c:f>
              <c:numCache>
                <c:formatCode>General</c:formatCode>
                <c:ptCount val="14"/>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numCache>
            </c:numRef>
          </c:yVal>
          <c:smooth val="0"/>
          <c:extLst>
            <c:ext xmlns:c16="http://schemas.microsoft.com/office/drawing/2014/chart" uri="{C3380CC4-5D6E-409C-BE32-E72D297353CC}">
              <c16:uniqueId val="{00000001-B7A9-44E1-A5F1-C94CFDA3D832}"/>
            </c:ext>
          </c:extLst>
        </c:ser>
        <c:ser>
          <c:idx val="3"/>
          <c:order val="2"/>
          <c:tx>
            <c:v>Al-Malika 1991; PE40</c:v>
          </c:tx>
          <c:spPr>
            <a:ln w="28575">
              <a:noFill/>
            </a:ln>
          </c:spPr>
          <c:marker>
            <c:symbol val="star"/>
            <c:size val="5"/>
            <c:spPr>
              <a:noFill/>
              <a:ln>
                <a:solidFill>
                  <a:schemeClr val="tx1"/>
                </a:solidFill>
              </a:ln>
            </c:spPr>
          </c:marker>
          <c:xVal>
            <c:numRef>
              <c:f>TEMP!$J$77:$J$86</c:f>
              <c:numCache>
                <c:formatCode>General</c:formatCode>
                <c:ptCount val="10"/>
                <c:pt idx="0">
                  <c:v>2.330413773349191</c:v>
                </c:pt>
                <c:pt idx="1">
                  <c:v>2.4116197059632301</c:v>
                </c:pt>
                <c:pt idx="2">
                  <c:v>2.5132176000679389</c:v>
                </c:pt>
                <c:pt idx="3">
                  <c:v>2.5211380837040362</c:v>
                </c:pt>
                <c:pt idx="4">
                  <c:v>2.5390760987927767</c:v>
                </c:pt>
                <c:pt idx="5">
                  <c:v>2.5888317255942073</c:v>
                </c:pt>
                <c:pt idx="6">
                  <c:v>2.5888317255942073</c:v>
                </c:pt>
                <c:pt idx="7">
                  <c:v>2.6483600109809315</c:v>
                </c:pt>
                <c:pt idx="8">
                  <c:v>2.7411515988517849</c:v>
                </c:pt>
                <c:pt idx="9">
                  <c:v>2.7671558660821804</c:v>
                </c:pt>
              </c:numCache>
            </c:numRef>
          </c:xVal>
          <c:yVal>
            <c:numRef>
              <c:f>TEMP!$CM$77:$CM$86</c:f>
              <c:numCache>
                <c:formatCode>0.0</c:formatCode>
                <c:ptCount val="10"/>
                <c:pt idx="0">
                  <c:v>83.306382577714444</c:v>
                </c:pt>
                <c:pt idx="1">
                  <c:v>82.607881485513062</c:v>
                </c:pt>
                <c:pt idx="2">
                  <c:v>81.665365354650319</c:v>
                </c:pt>
                <c:pt idx="3">
                  <c:v>61.793170985143334</c:v>
                </c:pt>
                <c:pt idx="4">
                  <c:v>87.913637767770695</c:v>
                </c:pt>
                <c:pt idx="5">
                  <c:v>92.186996025204266</c:v>
                </c:pt>
                <c:pt idx="6">
                  <c:v>96.913996815942241</c:v>
                </c:pt>
                <c:pt idx="7">
                  <c:v>73.530369162196109</c:v>
                </c:pt>
                <c:pt idx="8">
                  <c:v>79.541002493861967</c:v>
                </c:pt>
                <c:pt idx="9">
                  <c:v>80.571528511264461</c:v>
                </c:pt>
              </c:numCache>
            </c:numRef>
          </c:yVal>
          <c:smooth val="0"/>
          <c:extLst>
            <c:ext xmlns:c16="http://schemas.microsoft.com/office/drawing/2014/chart" uri="{C3380CC4-5D6E-409C-BE32-E72D297353CC}">
              <c16:uniqueId val="{00000002-B7A9-44E1-A5F1-C94CFDA3D832}"/>
            </c:ext>
          </c:extLst>
        </c:ser>
        <c:ser>
          <c:idx val="10"/>
          <c:order val="3"/>
          <c:tx>
            <c:strRef>
              <c:f>TEMP!$B$93</c:f>
              <c:strCache>
                <c:ptCount val="1"/>
                <c:pt idx="0">
                  <c:v>Saleem et al 1989</c:v>
                </c:pt>
              </c:strCache>
            </c:strRef>
          </c:tx>
          <c:spPr>
            <a:ln w="28575">
              <a:noFill/>
            </a:ln>
          </c:spPr>
          <c:marker>
            <c:symbol val="triangle"/>
            <c:size val="6"/>
            <c:spPr>
              <a:noFill/>
              <a:ln>
                <a:solidFill>
                  <a:schemeClr val="tx1"/>
                </a:solidFill>
              </a:ln>
            </c:spPr>
          </c:marker>
          <c:xVal>
            <c:numRef>
              <c:f>TEMP!$J$93:$J$94</c:f>
              <c:numCache>
                <c:formatCode>General</c:formatCode>
                <c:ptCount val="2"/>
                <c:pt idx="0">
                  <c:v>1.9644576346535514</c:v>
                </c:pt>
                <c:pt idx="1">
                  <c:v>1.9354064897523491</c:v>
                </c:pt>
              </c:numCache>
            </c:numRef>
          </c:xVal>
          <c:yVal>
            <c:numRef>
              <c:f>TEMP!$CL$93:$CL$94</c:f>
              <c:numCache>
                <c:formatCode>General</c:formatCode>
                <c:ptCount val="2"/>
                <c:pt idx="0">
                  <c:v>87</c:v>
                </c:pt>
                <c:pt idx="1">
                  <c:v>65.400000000000006</c:v>
                </c:pt>
              </c:numCache>
            </c:numRef>
          </c:yVal>
          <c:smooth val="0"/>
          <c:extLst>
            <c:ext xmlns:c16="http://schemas.microsoft.com/office/drawing/2014/chart" uri="{C3380CC4-5D6E-409C-BE32-E72D297353CC}">
              <c16:uniqueId val="{00000003-B7A9-44E1-A5F1-C94CFDA3D832}"/>
            </c:ext>
          </c:extLst>
        </c:ser>
        <c:ser>
          <c:idx val="5"/>
          <c:order val="4"/>
          <c:tx>
            <c:strRef>
              <c:f>TEMP!$B$88</c:f>
              <c:strCache>
                <c:ptCount val="1"/>
                <c:pt idx="0">
                  <c:v>Westlake and Johnson 1975</c:v>
                </c:pt>
              </c:strCache>
            </c:strRef>
          </c:tx>
          <c:spPr>
            <a:ln w="28575">
              <a:noFill/>
            </a:ln>
          </c:spPr>
          <c:marker>
            <c:symbol val="square"/>
            <c:size val="4"/>
            <c:spPr>
              <a:noFill/>
              <a:ln>
                <a:solidFill>
                  <a:schemeClr val="tx1"/>
                </a:solidFill>
              </a:ln>
            </c:spPr>
          </c:marker>
          <c:xVal>
            <c:numRef>
              <c:f>TEMP!$J$88:$J$89</c:f>
              <c:numCache>
                <c:formatCode>General</c:formatCode>
                <c:ptCount val="2"/>
                <c:pt idx="0">
                  <c:v>2.330413773349191</c:v>
                </c:pt>
                <c:pt idx="1">
                  <c:v>2.5132176000679389</c:v>
                </c:pt>
              </c:numCache>
            </c:numRef>
          </c:xVal>
          <c:yVal>
            <c:numRef>
              <c:f>TEMP!$CL$88:$CL$89</c:f>
              <c:numCache>
                <c:formatCode>0.0</c:formatCode>
                <c:ptCount val="2"/>
                <c:pt idx="0">
                  <c:v>70.39</c:v>
                </c:pt>
                <c:pt idx="1">
                  <c:v>76.680000000000007</c:v>
                </c:pt>
              </c:numCache>
            </c:numRef>
          </c:yVal>
          <c:smooth val="0"/>
          <c:extLst>
            <c:ext xmlns:c16="http://schemas.microsoft.com/office/drawing/2014/chart" uri="{C3380CC4-5D6E-409C-BE32-E72D297353CC}">
              <c16:uniqueId val="{00000004-B7A9-44E1-A5F1-C94CFDA3D832}"/>
            </c:ext>
          </c:extLst>
        </c:ser>
        <c:ser>
          <c:idx val="6"/>
          <c:order val="5"/>
          <c:tx>
            <c:strRef>
              <c:f>TEMP!$B$90</c:f>
              <c:strCache>
                <c:ptCount val="1"/>
                <c:pt idx="0">
                  <c:v>Cicchetti et al 1968</c:v>
                </c:pt>
              </c:strCache>
            </c:strRef>
          </c:tx>
          <c:spPr>
            <a:ln w="28575">
              <a:noFill/>
            </a:ln>
          </c:spPr>
          <c:marker>
            <c:symbol val="square"/>
            <c:size val="4"/>
            <c:spPr>
              <a:solidFill>
                <a:schemeClr val="tx1"/>
              </a:solidFill>
              <a:ln>
                <a:solidFill>
                  <a:schemeClr val="tx1"/>
                </a:solidFill>
              </a:ln>
            </c:spPr>
          </c:marker>
          <c:xVal>
            <c:numRef>
              <c:f>TEMP!$J$90:$J$91</c:f>
              <c:numCache>
                <c:formatCode>General</c:formatCode>
                <c:ptCount val="2"/>
                <c:pt idx="0">
                  <c:v>2.330413773349191</c:v>
                </c:pt>
                <c:pt idx="1">
                  <c:v>2.5132176000679389</c:v>
                </c:pt>
              </c:numCache>
            </c:numRef>
          </c:xVal>
          <c:yVal>
            <c:numRef>
              <c:f>TEMP!$CL$90:$CL$91</c:f>
              <c:numCache>
                <c:formatCode>0.0</c:formatCode>
                <c:ptCount val="2"/>
                <c:pt idx="0">
                  <c:v>56.67</c:v>
                </c:pt>
                <c:pt idx="1">
                  <c:v>74.16</c:v>
                </c:pt>
              </c:numCache>
            </c:numRef>
          </c:yVal>
          <c:smooth val="0"/>
          <c:extLst>
            <c:ext xmlns:c16="http://schemas.microsoft.com/office/drawing/2014/chart" uri="{C3380CC4-5D6E-409C-BE32-E72D297353CC}">
              <c16:uniqueId val="{00000005-B7A9-44E1-A5F1-C94CFDA3D832}"/>
            </c:ext>
          </c:extLst>
        </c:ser>
        <c:ser>
          <c:idx val="7"/>
          <c:order val="6"/>
          <c:tx>
            <c:strRef>
              <c:f>TEMP!$B$92</c:f>
              <c:strCache>
                <c:ptCount val="1"/>
                <c:pt idx="0">
                  <c:v>Moisan 1985</c:v>
                </c:pt>
              </c:strCache>
            </c:strRef>
          </c:tx>
          <c:spPr>
            <a:ln w="28575">
              <a:noFill/>
            </a:ln>
          </c:spPr>
          <c:marker>
            <c:symbol val="triangle"/>
            <c:size val="4"/>
            <c:spPr>
              <a:noFill/>
              <a:ln>
                <a:solidFill>
                  <a:schemeClr val="tx1"/>
                </a:solidFill>
              </a:ln>
            </c:spPr>
          </c:marker>
          <c:xVal>
            <c:numRef>
              <c:f>TEMP!$J$92</c:f>
              <c:numCache>
                <c:formatCode>General</c:formatCode>
                <c:ptCount val="1"/>
                <c:pt idx="0">
                  <c:v>2.330413773349191</c:v>
                </c:pt>
              </c:numCache>
            </c:numRef>
          </c:xVal>
          <c:yVal>
            <c:numRef>
              <c:f>TEMP!$CL$92</c:f>
              <c:numCache>
                <c:formatCode>General</c:formatCode>
                <c:ptCount val="1"/>
                <c:pt idx="0">
                  <c:v>84.8</c:v>
                </c:pt>
              </c:numCache>
            </c:numRef>
          </c:yVal>
          <c:smooth val="0"/>
          <c:extLst>
            <c:ext xmlns:c16="http://schemas.microsoft.com/office/drawing/2014/chart" uri="{C3380CC4-5D6E-409C-BE32-E72D297353CC}">
              <c16:uniqueId val="{00000006-B7A9-44E1-A5F1-C94CFDA3D832}"/>
            </c:ext>
          </c:extLst>
        </c:ser>
        <c:ser>
          <c:idx val="4"/>
          <c:order val="7"/>
          <c:tx>
            <c:v>"Piringer 2008; PE40"</c:v>
          </c:tx>
          <c:spPr>
            <a:ln w="9525">
              <a:solidFill>
                <a:srgbClr val="FF0000"/>
              </a:solidFill>
            </a:ln>
          </c:spPr>
          <c:marker>
            <c:symbol val="diamond"/>
            <c:size val="7"/>
            <c:spPr>
              <a:noFill/>
              <a:ln>
                <a:solidFill>
                  <a:srgbClr val="FF0000"/>
                </a:solidFill>
              </a:ln>
            </c:spPr>
          </c:marker>
          <c:xVal>
            <c:numRef>
              <c:f>TEMP!$DB$49:$DB$53</c:f>
              <c:numCache>
                <c:formatCode>General</c:formatCode>
                <c:ptCount val="5"/>
                <c:pt idx="0">
                  <c:v>86</c:v>
                </c:pt>
                <c:pt idx="1">
                  <c:v>2</c:v>
                </c:pt>
                <c:pt idx="2">
                  <c:v>2.0569048513364727</c:v>
                </c:pt>
                <c:pt idx="3">
                  <c:v>2.1072099696478683</c:v>
                </c:pt>
                <c:pt idx="4">
                  <c:v>2.1522883443830563</c:v>
                </c:pt>
              </c:numCache>
            </c:numRef>
          </c:xVal>
          <c:yVal>
            <c:numRef>
              <c:f>TEMP!$DE$49:$DE$53</c:f>
              <c:numCache>
                <c:formatCode>0.00</c:formatCode>
                <c:ptCount val="5"/>
                <c:pt idx="0" formatCode="General">
                  <c:v>8.4130000000000003E-3</c:v>
                </c:pt>
                <c:pt idx="1">
                  <c:v>72.869651475065908</c:v>
                </c:pt>
                <c:pt idx="2">
                  <c:v>77.759740141904231</c:v>
                </c:pt>
                <c:pt idx="3">
                  <c:v>82.609205304136623</c:v>
                </c:pt>
                <c:pt idx="4">
                  <c:v>87.431108778982818</c:v>
                </c:pt>
              </c:numCache>
            </c:numRef>
          </c:yVal>
          <c:smooth val="0"/>
          <c:extLst>
            <c:ext xmlns:c16="http://schemas.microsoft.com/office/drawing/2014/chart" uri="{C3380CC4-5D6E-409C-BE32-E72D297353CC}">
              <c16:uniqueId val="{00000007-B7A9-44E1-A5F1-C94CFDA3D832}"/>
            </c:ext>
          </c:extLst>
        </c:ser>
        <c:ser>
          <c:idx val="2"/>
          <c:order val="8"/>
          <c:tx>
            <c:v>Piringer 2008; PE80</c:v>
          </c:tx>
          <c:spPr>
            <a:ln w="9525">
              <a:solidFill>
                <a:srgbClr val="FF0000"/>
              </a:solidFill>
            </a:ln>
          </c:spPr>
          <c:marker>
            <c:symbol val="diamond"/>
            <c:size val="6"/>
            <c:spPr>
              <a:solidFill>
                <a:srgbClr val="FF0000"/>
              </a:solidFill>
              <a:ln>
                <a:solidFill>
                  <a:srgbClr val="FF0000"/>
                </a:solidFill>
              </a:ln>
            </c:spPr>
          </c:marker>
          <c:xVal>
            <c:numRef>
              <c:f>TEMP!$DB$59:$DB$63</c:f>
              <c:numCache>
                <c:formatCode>General</c:formatCode>
                <c:ptCount val="5"/>
                <c:pt idx="0">
                  <c:v>1.9344984512435677</c:v>
                </c:pt>
                <c:pt idx="1">
                  <c:v>2</c:v>
                </c:pt>
                <c:pt idx="2">
                  <c:v>2.0569048513364727</c:v>
                </c:pt>
                <c:pt idx="3">
                  <c:v>2.1072099696478683</c:v>
                </c:pt>
                <c:pt idx="4">
                  <c:v>2.1522883443830563</c:v>
                </c:pt>
              </c:numCache>
            </c:numRef>
          </c:xVal>
          <c:yVal>
            <c:numRef>
              <c:f>TEMP!$DE$59:$DE$63</c:f>
              <c:numCache>
                <c:formatCode>0.00</c:formatCode>
                <c:ptCount val="5"/>
                <c:pt idx="0">
                  <c:v>73.311679954268769</c:v>
                </c:pt>
                <c:pt idx="1">
                  <c:v>78.652957147690188</c:v>
                </c:pt>
                <c:pt idx="2">
                  <c:v>83.931148089674409</c:v>
                </c:pt>
                <c:pt idx="3">
                  <c:v>89.165491439385562</c:v>
                </c:pt>
                <c:pt idx="4">
                  <c:v>94.370085666203678</c:v>
                </c:pt>
              </c:numCache>
            </c:numRef>
          </c:yVal>
          <c:smooth val="0"/>
          <c:extLst>
            <c:ext xmlns:c16="http://schemas.microsoft.com/office/drawing/2014/chart" uri="{C3380CC4-5D6E-409C-BE32-E72D297353CC}">
              <c16:uniqueId val="{00000008-B7A9-44E1-A5F1-C94CFDA3D832}"/>
            </c:ext>
          </c:extLst>
        </c:ser>
        <c:ser>
          <c:idx val="8"/>
          <c:order val="9"/>
          <c:tx>
            <c:v>Simoneau 2010; PE40</c:v>
          </c:tx>
          <c:spPr>
            <a:ln w="9525">
              <a:solidFill>
                <a:srgbClr val="0070C0"/>
              </a:solidFill>
              <a:prstDash val="dash"/>
            </a:ln>
          </c:spPr>
          <c:marker>
            <c:symbol val="none"/>
          </c:marker>
          <c:xVal>
            <c:numRef>
              <c:f>TEMP!$DB$67:$DB$68</c:f>
              <c:numCache>
                <c:formatCode>General</c:formatCode>
                <c:ptCount val="2"/>
                <c:pt idx="0">
                  <c:v>0</c:v>
                </c:pt>
                <c:pt idx="1">
                  <c:v>3</c:v>
                </c:pt>
              </c:numCache>
            </c:numRef>
          </c:xVal>
          <c:yVal>
            <c:numRef>
              <c:f>TEMP!$DE$67:$DE$68</c:f>
              <c:numCache>
                <c:formatCode>0.00</c:formatCode>
                <c:ptCount val="2"/>
                <c:pt idx="0">
                  <c:v>86.914556000000005</c:v>
                </c:pt>
                <c:pt idx="1">
                  <c:v>86.914556000000005</c:v>
                </c:pt>
              </c:numCache>
            </c:numRef>
          </c:yVal>
          <c:smooth val="0"/>
          <c:extLst>
            <c:ext xmlns:c16="http://schemas.microsoft.com/office/drawing/2014/chart" uri="{C3380CC4-5D6E-409C-BE32-E72D297353CC}">
              <c16:uniqueId val="{00000009-B7A9-44E1-A5F1-C94CFDA3D832}"/>
            </c:ext>
          </c:extLst>
        </c:ser>
        <c:ser>
          <c:idx val="9"/>
          <c:order val="10"/>
          <c:tx>
            <c:v>Simoneau 2010; PE80</c:v>
          </c:tx>
          <c:spPr>
            <a:ln w="28575">
              <a:noFill/>
            </a:ln>
          </c:spPr>
          <c:marker>
            <c:symbol val="none"/>
          </c:marker>
          <c:dPt>
            <c:idx val="1"/>
            <c:bubble3D val="0"/>
            <c:spPr>
              <a:ln w="9525">
                <a:solidFill>
                  <a:srgbClr val="0070C0"/>
                </a:solidFill>
              </a:ln>
            </c:spPr>
            <c:extLst>
              <c:ext xmlns:c16="http://schemas.microsoft.com/office/drawing/2014/chart" uri="{C3380CC4-5D6E-409C-BE32-E72D297353CC}">
                <c16:uniqueId val="{0000000B-B7A9-44E1-A5F1-C94CFDA3D832}"/>
              </c:ext>
            </c:extLst>
          </c:dPt>
          <c:xVal>
            <c:numRef>
              <c:f>TEMP!$DB$69:$DB$70</c:f>
              <c:numCache>
                <c:formatCode>General</c:formatCode>
                <c:ptCount val="2"/>
                <c:pt idx="0">
                  <c:v>0</c:v>
                </c:pt>
                <c:pt idx="1">
                  <c:v>3</c:v>
                </c:pt>
              </c:numCache>
            </c:numRef>
          </c:xVal>
          <c:yVal>
            <c:numRef>
              <c:f>TEMP!$DE$69:$DE$70</c:f>
              <c:numCache>
                <c:formatCode>0.00</c:formatCode>
                <c:ptCount val="2"/>
                <c:pt idx="0">
                  <c:v>100.025734</c:v>
                </c:pt>
                <c:pt idx="1">
                  <c:v>100.025734</c:v>
                </c:pt>
              </c:numCache>
            </c:numRef>
          </c:yVal>
          <c:smooth val="0"/>
          <c:extLst>
            <c:ext xmlns:c16="http://schemas.microsoft.com/office/drawing/2014/chart" uri="{C3380CC4-5D6E-409C-BE32-E72D297353CC}">
              <c16:uniqueId val="{0000000C-B7A9-44E1-A5F1-C94CFDA3D832}"/>
            </c:ext>
          </c:extLst>
        </c:ser>
        <c:ser>
          <c:idx val="11"/>
          <c:order val="11"/>
          <c:tx>
            <c:v>all</c:v>
          </c:tx>
          <c:spPr>
            <a:ln w="28575">
              <a:noFill/>
            </a:ln>
          </c:spPr>
          <c:marker>
            <c:symbol val="none"/>
          </c:marker>
          <c:xVal>
            <c:numRef>
              <c:f>(TEMP!$J$49:$J$69,TEMP!$J$77:$J$86,TEMP!$J$88:$J$99)</c:f>
              <c:numCache>
                <c:formatCode>General</c:formatCode>
                <c:ptCount val="43"/>
                <c:pt idx="0">
                  <c:v>1.8926881031628768</c:v>
                </c:pt>
                <c:pt idx="1">
                  <c:v>1.9644599575824677</c:v>
                </c:pt>
                <c:pt idx="2">
                  <c:v>2.0260699811157594</c:v>
                </c:pt>
                <c:pt idx="3">
                  <c:v>2.0798683351751732</c:v>
                </c:pt>
                <c:pt idx="4">
                  <c:v>2.0339863652396057</c:v>
                </c:pt>
                <c:pt idx="5">
                  <c:v>2.0513840844266893</c:v>
                </c:pt>
                <c:pt idx="6">
                  <c:v>2.2111739567284943</c:v>
                </c:pt>
                <c:pt idx="7">
                  <c:v>1.9290611240847655</c:v>
                </c:pt>
                <c:pt idx="8">
                  <c:v>1.9955181892798926</c:v>
                </c:pt>
                <c:pt idx="9">
                  <c:v>1.7640266076920372</c:v>
                </c:pt>
                <c:pt idx="10">
                  <c:v>1.8573324964312685</c:v>
                </c:pt>
                <c:pt idx="11">
                  <c:v>2.0006943158663546</c:v>
                </c:pt>
                <c:pt idx="12">
                  <c:v>1.9251057268096639</c:v>
                </c:pt>
                <c:pt idx="13">
                  <c:v>1.8579954955609239</c:v>
                </c:pt>
                <c:pt idx="15">
                  <c:v>1.9955181892798926</c:v>
                </c:pt>
                <c:pt idx="16">
                  <c:v>2.0769315745556556</c:v>
                </c:pt>
                <c:pt idx="17">
                  <c:v>2.1185953652237619</c:v>
                </c:pt>
                <c:pt idx="18">
                  <c:v>1.9955181892798926</c:v>
                </c:pt>
                <c:pt idx="19">
                  <c:v>2.0769315745556556</c:v>
                </c:pt>
                <c:pt idx="20">
                  <c:v>2.1185953652237619</c:v>
                </c:pt>
                <c:pt idx="21">
                  <c:v>2.330413773349191</c:v>
                </c:pt>
                <c:pt idx="22">
                  <c:v>2.4116197059632301</c:v>
                </c:pt>
                <c:pt idx="23">
                  <c:v>2.5132176000679389</c:v>
                </c:pt>
                <c:pt idx="24">
                  <c:v>2.5211380837040362</c:v>
                </c:pt>
                <c:pt idx="25">
                  <c:v>2.5390760987927767</c:v>
                </c:pt>
                <c:pt idx="26">
                  <c:v>2.5888317255942073</c:v>
                </c:pt>
                <c:pt idx="27">
                  <c:v>2.5888317255942073</c:v>
                </c:pt>
                <c:pt idx="28">
                  <c:v>2.6483600109809315</c:v>
                </c:pt>
                <c:pt idx="29">
                  <c:v>2.7411515988517849</c:v>
                </c:pt>
                <c:pt idx="30">
                  <c:v>2.7671558660821804</c:v>
                </c:pt>
                <c:pt idx="31">
                  <c:v>2.330413773349191</c:v>
                </c:pt>
                <c:pt idx="32">
                  <c:v>2.5132176000679389</c:v>
                </c:pt>
                <c:pt idx="33">
                  <c:v>2.330413773349191</c:v>
                </c:pt>
                <c:pt idx="34">
                  <c:v>2.5132176000679389</c:v>
                </c:pt>
                <c:pt idx="35">
                  <c:v>2.330413773349191</c:v>
                </c:pt>
                <c:pt idx="36">
                  <c:v>1.9644576346535514</c:v>
                </c:pt>
                <c:pt idx="37">
                  <c:v>1.9354064897523491</c:v>
                </c:pt>
                <c:pt idx="38">
                  <c:v>1.8926881031628768</c:v>
                </c:pt>
                <c:pt idx="39">
                  <c:v>1.9644599575824677</c:v>
                </c:pt>
                <c:pt idx="40">
                  <c:v>2.0260699811157594</c:v>
                </c:pt>
                <c:pt idx="41">
                  <c:v>2.0260836169493595</c:v>
                </c:pt>
                <c:pt idx="42">
                  <c:v>2.0260699811157594</c:v>
                </c:pt>
              </c:numCache>
            </c:numRef>
          </c:xVal>
          <c:yVal>
            <c:numRef>
              <c:f>(TEMP!$CK$49:$CK$69,TEMP!$CM$77:$CM$86,TEMP!$CL$88:$CL$99)</c:f>
              <c:numCache>
                <c:formatCode>General</c:formatCode>
                <c:ptCount val="43"/>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pt idx="15">
                  <c:v>49.4</c:v>
                </c:pt>
                <c:pt idx="16">
                  <c:v>41.88</c:v>
                </c:pt>
                <c:pt idx="17">
                  <c:v>44.38</c:v>
                </c:pt>
                <c:pt idx="18">
                  <c:v>45.41</c:v>
                </c:pt>
                <c:pt idx="19">
                  <c:v>56.55</c:v>
                </c:pt>
                <c:pt idx="20">
                  <c:v>37.39</c:v>
                </c:pt>
                <c:pt idx="21" formatCode="0.0">
                  <c:v>83.306382577714444</c:v>
                </c:pt>
                <c:pt idx="22" formatCode="0.0">
                  <c:v>82.607881485513062</c:v>
                </c:pt>
                <c:pt idx="23" formatCode="0.0">
                  <c:v>81.665365354650319</c:v>
                </c:pt>
                <c:pt idx="24" formatCode="0.0">
                  <c:v>61.793170985143334</c:v>
                </c:pt>
                <c:pt idx="25" formatCode="0.0">
                  <c:v>87.913637767770695</c:v>
                </c:pt>
                <c:pt idx="26" formatCode="0.0">
                  <c:v>92.186996025204266</c:v>
                </c:pt>
                <c:pt idx="27" formatCode="0.0">
                  <c:v>96.913996815942241</c:v>
                </c:pt>
                <c:pt idx="28" formatCode="0.0">
                  <c:v>73.530369162196109</c:v>
                </c:pt>
                <c:pt idx="29" formatCode="0.0">
                  <c:v>79.541002493861967</c:v>
                </c:pt>
                <c:pt idx="30" formatCode="0.0">
                  <c:v>80.571528511264461</c:v>
                </c:pt>
                <c:pt idx="31" formatCode="0.0">
                  <c:v>70.39</c:v>
                </c:pt>
                <c:pt idx="32" formatCode="0.0">
                  <c:v>76.680000000000007</c:v>
                </c:pt>
                <c:pt idx="33" formatCode="0.0">
                  <c:v>56.67</c:v>
                </c:pt>
                <c:pt idx="34" formatCode="0.0">
                  <c:v>74.16</c:v>
                </c:pt>
                <c:pt idx="35">
                  <c:v>84.8</c:v>
                </c:pt>
                <c:pt idx="36">
                  <c:v>87</c:v>
                </c:pt>
                <c:pt idx="37">
                  <c:v>65.400000000000006</c:v>
                </c:pt>
                <c:pt idx="38" formatCode="0.00">
                  <c:v>46.985159916133782</c:v>
                </c:pt>
                <c:pt idx="39" formatCode="0.00">
                  <c:v>54.045247036547721</c:v>
                </c:pt>
                <c:pt idx="40" formatCode="0.00">
                  <c:v>57.094972681101623</c:v>
                </c:pt>
                <c:pt idx="41" formatCode="0.00">
                  <c:v>57.094972681101623</c:v>
                </c:pt>
                <c:pt idx="42" formatCode="0.00">
                  <c:v>56.844134802952574</c:v>
                </c:pt>
              </c:numCache>
            </c:numRef>
          </c:yVal>
          <c:smooth val="0"/>
          <c:extLst>
            <c:ext xmlns:c16="http://schemas.microsoft.com/office/drawing/2014/chart" uri="{C3380CC4-5D6E-409C-BE32-E72D297353CC}">
              <c16:uniqueId val="{0000000D-B7A9-44E1-A5F1-C94CFDA3D832}"/>
            </c:ext>
          </c:extLst>
        </c:ser>
        <c:ser>
          <c:idx val="12"/>
          <c:order val="12"/>
          <c:tx>
            <c:strRef>
              <c:f>TEMP!$B$95</c:f>
              <c:strCache>
                <c:ptCount val="1"/>
                <c:pt idx="0">
                  <c:v>Rowe et al 2011</c:v>
                </c:pt>
              </c:strCache>
            </c:strRef>
          </c:tx>
          <c:spPr>
            <a:ln w="28575">
              <a:noFill/>
            </a:ln>
          </c:spPr>
          <c:marker>
            <c:symbol val="diamond"/>
            <c:size val="7"/>
            <c:spPr>
              <a:solidFill>
                <a:schemeClr val="tx1"/>
              </a:solidFill>
              <a:ln>
                <a:solidFill>
                  <a:schemeClr val="tx1"/>
                </a:solidFill>
              </a:ln>
            </c:spPr>
          </c:marker>
          <c:xVal>
            <c:numRef>
              <c:f>TEMP!$J$95:$J$99</c:f>
              <c:numCache>
                <c:formatCode>General</c:formatCode>
                <c:ptCount val="5"/>
                <c:pt idx="0">
                  <c:v>1.8926881031628768</c:v>
                </c:pt>
                <c:pt idx="1">
                  <c:v>1.9644599575824677</c:v>
                </c:pt>
                <c:pt idx="2">
                  <c:v>2.0260699811157594</c:v>
                </c:pt>
                <c:pt idx="3">
                  <c:v>2.0260836169493595</c:v>
                </c:pt>
                <c:pt idx="4">
                  <c:v>2.0260699811157594</c:v>
                </c:pt>
              </c:numCache>
            </c:numRef>
          </c:xVal>
          <c:yVal>
            <c:numRef>
              <c:f>TEMP!$CL$95:$CL$99</c:f>
              <c:numCache>
                <c:formatCode>0.00</c:formatCode>
                <c:ptCount val="5"/>
                <c:pt idx="0">
                  <c:v>46.985159916133782</c:v>
                </c:pt>
                <c:pt idx="1">
                  <c:v>54.045247036547721</c:v>
                </c:pt>
                <c:pt idx="2">
                  <c:v>57.094972681101623</c:v>
                </c:pt>
                <c:pt idx="3">
                  <c:v>57.094972681101623</c:v>
                </c:pt>
                <c:pt idx="4">
                  <c:v>56.844134802952574</c:v>
                </c:pt>
              </c:numCache>
            </c:numRef>
          </c:yVal>
          <c:smooth val="0"/>
          <c:extLst>
            <c:ext xmlns:c16="http://schemas.microsoft.com/office/drawing/2014/chart" uri="{C3380CC4-5D6E-409C-BE32-E72D297353CC}">
              <c16:uniqueId val="{0000000E-B7A9-44E1-A5F1-C94CFDA3D832}"/>
            </c:ext>
          </c:extLst>
        </c:ser>
        <c:ser>
          <c:idx val="13"/>
          <c:order val="13"/>
          <c:tx>
            <c:v>regressie</c:v>
          </c:tx>
          <c:spPr>
            <a:ln w="28575">
              <a:solidFill>
                <a:schemeClr val="tx1"/>
              </a:solidFill>
            </a:ln>
          </c:spPr>
          <c:marker>
            <c:symbol val="none"/>
          </c:marker>
          <c:xVal>
            <c:numRef>
              <c:f>TEMP!$CN$128:$CN$129</c:f>
              <c:numCache>
                <c:formatCode>0.0</c:formatCode>
                <c:ptCount val="2"/>
                <c:pt idx="0">
                  <c:v>-10</c:v>
                </c:pt>
                <c:pt idx="1">
                  <c:v>10</c:v>
                </c:pt>
              </c:numCache>
            </c:numRef>
          </c:xVal>
          <c:yVal>
            <c:numRef>
              <c:f>TEMP!$CO$128:$CO$129</c:f>
              <c:numCache>
                <c:formatCode>0.0</c:formatCode>
                <c:ptCount val="2"/>
                <c:pt idx="0">
                  <c:v>-687.55360666790261</c:v>
                </c:pt>
                <c:pt idx="1">
                  <c:v>533.60494193082786</c:v>
                </c:pt>
              </c:numCache>
            </c:numRef>
          </c:yVal>
          <c:smooth val="0"/>
          <c:extLst>
            <c:ext xmlns:c16="http://schemas.microsoft.com/office/drawing/2014/chart" uri="{C3380CC4-5D6E-409C-BE32-E72D297353CC}">
              <c16:uniqueId val="{0000000F-B7A9-44E1-A5F1-C94CFDA3D832}"/>
            </c:ext>
          </c:extLst>
        </c:ser>
        <c:dLbls>
          <c:showLegendKey val="0"/>
          <c:showVal val="0"/>
          <c:showCatName val="0"/>
          <c:showSerName val="0"/>
          <c:showPercent val="0"/>
          <c:showBubbleSize val="0"/>
        </c:dLbls>
        <c:axId val="167736832"/>
        <c:axId val="167738752"/>
      </c:scatterChart>
      <c:valAx>
        <c:axId val="167736832"/>
        <c:scaling>
          <c:orientation val="minMax"/>
          <c:max val="3"/>
          <c:min val="1.5"/>
        </c:scaling>
        <c:delete val="0"/>
        <c:axPos val="b"/>
        <c:title>
          <c:tx>
            <c:rich>
              <a:bodyPr/>
              <a:lstStyle/>
              <a:p>
                <a:pPr>
                  <a:defRPr/>
                </a:pPr>
                <a:r>
                  <a:rPr lang="en-US"/>
                  <a:t>log M (g/mol)</a:t>
                </a:r>
              </a:p>
            </c:rich>
          </c:tx>
          <c:overlay val="0"/>
        </c:title>
        <c:numFmt formatCode="General" sourceLinked="1"/>
        <c:majorTickMark val="out"/>
        <c:minorTickMark val="none"/>
        <c:tickLblPos val="nextTo"/>
        <c:spPr>
          <a:ln>
            <a:solidFill>
              <a:schemeClr val="tx1"/>
            </a:solidFill>
          </a:ln>
        </c:spPr>
        <c:crossAx val="167738752"/>
        <c:crosses val="autoZero"/>
        <c:crossBetween val="midCat"/>
      </c:valAx>
      <c:valAx>
        <c:axId val="167738752"/>
        <c:scaling>
          <c:orientation val="minMax"/>
          <c:max val="120"/>
          <c:min val="0"/>
        </c:scaling>
        <c:delete val="0"/>
        <c:axPos val="l"/>
        <c:title>
          <c:tx>
            <c:rich>
              <a:bodyPr rot="-5400000" vert="horz"/>
              <a:lstStyle/>
              <a:p>
                <a:pPr>
                  <a:defRPr/>
                </a:pPr>
                <a:r>
                  <a:rPr lang="en-US"/>
                  <a:t>E</a:t>
                </a:r>
                <a:r>
                  <a:rPr lang="en-US" baseline="-25000"/>
                  <a:t>A</a:t>
                </a:r>
                <a:r>
                  <a:rPr lang="en-US"/>
                  <a:t> (kJ/mol)</a:t>
                </a:r>
              </a:p>
            </c:rich>
          </c:tx>
          <c:layout>
            <c:manualLayout>
              <c:xMode val="edge"/>
              <c:yMode val="edge"/>
              <c:x val="2.9400758510855075E-3"/>
              <c:y val="0.29812575550764253"/>
            </c:manualLayout>
          </c:layout>
          <c:overlay val="0"/>
        </c:title>
        <c:numFmt formatCode="General" sourceLinked="1"/>
        <c:majorTickMark val="out"/>
        <c:minorTickMark val="none"/>
        <c:tickLblPos val="nextTo"/>
        <c:spPr>
          <a:ln>
            <a:solidFill>
              <a:schemeClr val="tx1"/>
            </a:solidFill>
          </a:ln>
        </c:spPr>
        <c:crossAx val="167736832"/>
        <c:crosses val="autoZero"/>
        <c:crossBetween val="midCat"/>
        <c:majorUnit val="40"/>
      </c:valAx>
      <c:spPr>
        <a:ln>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34722222222223"/>
          <c:y val="4.974722222222222E-2"/>
          <c:w val="0.75557277777777776"/>
          <c:h val="0.79319615279178735"/>
        </c:manualLayout>
      </c:layout>
      <c:scatterChart>
        <c:scatterStyle val="lineMarker"/>
        <c:varyColors val="0"/>
        <c:ser>
          <c:idx val="2"/>
          <c:order val="0"/>
          <c:tx>
            <c:strRef>
              <c:f>CONC!$A$7</c:f>
              <c:strCache>
                <c:ptCount val="1"/>
                <c:pt idx="0">
                  <c:v>Benzene PE80 (A, B, C, D, G, H)</c:v>
                </c:pt>
              </c:strCache>
            </c:strRef>
          </c:tx>
          <c:spPr>
            <a:ln w="28575">
              <a:noFill/>
            </a:ln>
          </c:spPr>
          <c:marker>
            <c:symbol val="square"/>
            <c:size val="6"/>
            <c:spPr>
              <a:solidFill>
                <a:schemeClr val="bg1"/>
              </a:solidFill>
              <a:ln>
                <a:solidFill>
                  <a:schemeClr val="tx1"/>
                </a:solidFill>
              </a:ln>
            </c:spPr>
          </c:marker>
          <c:trendline>
            <c:name>1</c:name>
            <c:trendlineType val="linear"/>
            <c:dispRSqr val="1"/>
            <c:dispEq val="1"/>
            <c:trendlineLbl>
              <c:layout>
                <c:manualLayout>
                  <c:x val="-3.5789166666666664E-2"/>
                  <c:y val="2.0154166666666667E-2"/>
                </c:manualLayout>
              </c:layout>
              <c:tx>
                <c:rich>
                  <a:bodyPr/>
                  <a:lstStyle/>
                  <a:p>
                    <a:pPr>
                      <a:defRPr/>
                    </a:pPr>
                    <a:r>
                      <a:rPr lang="en-US" baseline="0"/>
                      <a:t>y = 1.21x - 12.5
R² = 0.94</a:t>
                    </a:r>
                    <a:endParaRPr lang="en-US"/>
                  </a:p>
                </c:rich>
              </c:tx>
              <c:numFmt formatCode="General" sourceLinked="0"/>
            </c:trendlineLbl>
          </c:trendline>
          <c:xVal>
            <c:numRef>
              <c:f>CONC!$K$8:$K$21</c:f>
              <c:numCache>
                <c:formatCode>0.000</c:formatCode>
                <c:ptCount val="14"/>
                <c:pt idx="0">
                  <c:v>1</c:v>
                </c:pt>
                <c:pt idx="1">
                  <c:v>1</c:v>
                </c:pt>
                <c:pt idx="2">
                  <c:v>1</c:v>
                </c:pt>
                <c:pt idx="3">
                  <c:v>1</c:v>
                </c:pt>
                <c:pt idx="4">
                  <c:v>2.5139539200304831E-2</c:v>
                </c:pt>
                <c:pt idx="5">
                  <c:v>2.5139539200304831E-2</c:v>
                </c:pt>
                <c:pt idx="6">
                  <c:v>5.0279078400609661E-2</c:v>
                </c:pt>
                <c:pt idx="7">
                  <c:v>3.3938377920411524E-2</c:v>
                </c:pt>
                <c:pt idx="8">
                  <c:v>1.5687072460990215E-2</c:v>
                </c:pt>
                <c:pt idx="9">
                  <c:v>3.0167447040365795E-3</c:v>
                </c:pt>
                <c:pt idx="10">
                  <c:v>3.0167447040365796E-4</c:v>
                </c:pt>
                <c:pt idx="11">
                  <c:v>1.5083723520182897E-3</c:v>
                </c:pt>
                <c:pt idx="12">
                  <c:v>1.5083723520182897E-3</c:v>
                </c:pt>
                <c:pt idx="13">
                  <c:v>1</c:v>
                </c:pt>
              </c:numCache>
            </c:numRef>
          </c:xVal>
          <c:yVal>
            <c:numRef>
              <c:f>CONC!$Q$8:$Q$21</c:f>
              <c:numCache>
                <c:formatCode>General</c:formatCode>
                <c:ptCount val="14"/>
                <c:pt idx="0">
                  <c:v>-11.193820026016112</c:v>
                </c:pt>
                <c:pt idx="1">
                  <c:v>-11.119186407719209</c:v>
                </c:pt>
                <c:pt idx="2">
                  <c:v>-11.275724130399212</c:v>
                </c:pt>
                <c:pt idx="3">
                  <c:v>-11.443697499232712</c:v>
                </c:pt>
                <c:pt idx="4">
                  <c:v>-12.396855627379818</c:v>
                </c:pt>
                <c:pt idx="5">
                  <c:v>-12.338187314462738</c:v>
                </c:pt>
                <c:pt idx="6">
                  <c:v>-12.136677139879543</c:v>
                </c:pt>
                <c:pt idx="7">
                  <c:v>-12.431363764158988</c:v>
                </c:pt>
                <c:pt idx="8">
                  <c:v>-12.445152048644621</c:v>
                </c:pt>
                <c:pt idx="9">
                  <c:v>-12.538573733806855</c:v>
                </c:pt>
                <c:pt idx="10">
                  <c:v>-12.760422483423213</c:v>
                </c:pt>
                <c:pt idx="12">
                  <c:v>-12.455931955649724</c:v>
                </c:pt>
              </c:numCache>
            </c:numRef>
          </c:yVal>
          <c:smooth val="0"/>
          <c:extLst>
            <c:ext xmlns:c16="http://schemas.microsoft.com/office/drawing/2014/chart" uri="{C3380CC4-5D6E-409C-BE32-E72D297353CC}">
              <c16:uniqueId val="{00000001-1638-44FC-BC96-F4B7180895DB}"/>
            </c:ext>
          </c:extLst>
        </c:ser>
        <c:ser>
          <c:idx val="1"/>
          <c:order val="1"/>
          <c:tx>
            <c:strRef>
              <c:f>CONC!$A$51</c:f>
              <c:strCache>
                <c:ptCount val="1"/>
                <c:pt idx="0">
                  <c:v>Toluene PE40 (H)</c:v>
                </c:pt>
              </c:strCache>
            </c:strRef>
          </c:tx>
          <c:spPr>
            <a:ln w="28575">
              <a:noFill/>
            </a:ln>
          </c:spPr>
          <c:marker>
            <c:symbol val="star"/>
            <c:size val="4"/>
            <c:spPr>
              <a:noFill/>
              <a:ln w="12700">
                <a:solidFill>
                  <a:schemeClr val="tx1"/>
                </a:solidFill>
              </a:ln>
            </c:spPr>
          </c:marker>
          <c:trendline>
            <c:spPr>
              <a:ln>
                <a:prstDash val="dash"/>
              </a:ln>
            </c:spPr>
            <c:trendlineType val="linear"/>
            <c:dispRSqr val="1"/>
            <c:dispEq val="1"/>
            <c:trendlineLbl>
              <c:layout>
                <c:manualLayout>
                  <c:x val="3.5013055555555554E-2"/>
                  <c:y val="0.18277465277777777"/>
                </c:manualLayout>
              </c:layout>
              <c:tx>
                <c:rich>
                  <a:bodyPr/>
                  <a:lstStyle/>
                  <a:p>
                    <a:pPr>
                      <a:defRPr/>
                    </a:pPr>
                    <a:r>
                      <a:rPr lang="en-US" baseline="0"/>
                      <a:t>y = 0.96x - 12.43
R² = 0.95</a:t>
                    </a:r>
                    <a:endParaRPr lang="en-US"/>
                  </a:p>
                </c:rich>
              </c:tx>
              <c:numFmt formatCode="General" sourceLinked="0"/>
            </c:trendlineLbl>
          </c:trendline>
          <c:xVal>
            <c:numRef>
              <c:f>CONC!$K$52:$K$63</c:f>
              <c:numCache>
                <c:formatCode>0.000</c:formatCode>
                <c:ptCount val="12"/>
                <c:pt idx="4">
                  <c:v>1</c:v>
                </c:pt>
                <c:pt idx="5">
                  <c:v>0.51261805883966827</c:v>
                </c:pt>
                <c:pt idx="6">
                  <c:v>0.27350548187292201</c:v>
                </c:pt>
                <c:pt idx="7">
                  <c:v>0.14903592126009524</c:v>
                </c:pt>
                <c:pt idx="8">
                  <c:v>8.0250111447743591E-2</c:v>
                </c:pt>
                <c:pt idx="9">
                  <c:v>5.0770478671021455E-2</c:v>
                </c:pt>
                <c:pt idx="10">
                  <c:v>1.4248489175415697E-2</c:v>
                </c:pt>
                <c:pt idx="11">
                  <c:v>4.7494963918052321E-3</c:v>
                </c:pt>
              </c:numCache>
            </c:numRef>
          </c:xVal>
          <c:yVal>
            <c:numRef>
              <c:f>CONC!$Q$52:$Q$63</c:f>
              <c:numCache>
                <c:formatCode>General</c:formatCode>
                <c:ptCount val="12"/>
                <c:pt idx="0">
                  <c:v>-11.744727494896694</c:v>
                </c:pt>
                <c:pt idx="1">
                  <c:v>-11.978810700930062</c:v>
                </c:pt>
                <c:pt idx="2">
                  <c:v>-11.853871964321762</c:v>
                </c:pt>
                <c:pt idx="3">
                  <c:v>-11.494850021680094</c:v>
                </c:pt>
                <c:pt idx="4">
                  <c:v>-11.405034825436639</c:v>
                </c:pt>
                <c:pt idx="5">
                  <c:v>-12.044419139788413</c:v>
                </c:pt>
                <c:pt idx="6">
                  <c:v>-12.14412205298064</c:v>
                </c:pt>
                <c:pt idx="7">
                  <c:v>-12.323729885759159</c:v>
                </c:pt>
                <c:pt idx="8">
                  <c:v>-12.405034825436639</c:v>
                </c:pt>
                <c:pt idx="9">
                  <c:v>-12.405034825436639</c:v>
                </c:pt>
                <c:pt idx="10">
                  <c:v>-12.28330122870355</c:v>
                </c:pt>
                <c:pt idx="11">
                  <c:v>-12.392445698128618</c:v>
                </c:pt>
              </c:numCache>
            </c:numRef>
          </c:yVal>
          <c:smooth val="0"/>
          <c:extLst>
            <c:ext xmlns:c16="http://schemas.microsoft.com/office/drawing/2014/chart" uri="{C3380CC4-5D6E-409C-BE32-E72D297353CC}">
              <c16:uniqueId val="{00000003-1638-44FC-BC96-F4B7180895DB}"/>
            </c:ext>
          </c:extLst>
        </c:ser>
        <c:dLbls>
          <c:showLegendKey val="0"/>
          <c:showVal val="0"/>
          <c:showCatName val="0"/>
          <c:showSerName val="0"/>
          <c:showPercent val="0"/>
          <c:showBubbleSize val="0"/>
        </c:dLbls>
        <c:axId val="166398208"/>
        <c:axId val="166571008"/>
      </c:scatterChart>
      <c:valAx>
        <c:axId val="166398208"/>
        <c:scaling>
          <c:orientation val="minMax"/>
        </c:scaling>
        <c:delete val="0"/>
        <c:axPos val="b"/>
        <c:title>
          <c:tx>
            <c:rich>
              <a:bodyPr/>
              <a:lstStyle/>
              <a:p>
                <a:pPr>
                  <a:defRPr/>
                </a:pPr>
                <a:r>
                  <a:rPr lang="en-US"/>
                  <a:t>Cw / Sw</a:t>
                </a:r>
              </a:p>
            </c:rich>
          </c:tx>
          <c:overlay val="0"/>
        </c:title>
        <c:numFmt formatCode="General" sourceLinked="0"/>
        <c:majorTickMark val="out"/>
        <c:minorTickMark val="none"/>
        <c:tickLblPos val="nextTo"/>
        <c:spPr>
          <a:ln>
            <a:solidFill>
              <a:schemeClr val="tx1"/>
            </a:solidFill>
          </a:ln>
        </c:spPr>
        <c:crossAx val="166571008"/>
        <c:crossesAt val="-10000"/>
        <c:crossBetween val="midCat"/>
      </c:valAx>
      <c:valAx>
        <c:axId val="166571008"/>
        <c:scaling>
          <c:orientation val="minMax"/>
        </c:scaling>
        <c:delete val="0"/>
        <c:axPos val="l"/>
        <c:title>
          <c:tx>
            <c:rich>
              <a:bodyPr rot="-5400000" vert="horz"/>
              <a:lstStyle/>
              <a:p>
                <a:pPr>
                  <a:defRPr/>
                </a:pPr>
                <a:r>
                  <a:rPr lang="en-US"/>
                  <a:t>log D (m2/dag)</a:t>
                </a:r>
              </a:p>
            </c:rich>
          </c:tx>
          <c:layout>
            <c:manualLayout>
              <c:xMode val="edge"/>
              <c:yMode val="edge"/>
              <c:x val="1.548694014251663E-2"/>
              <c:y val="0.29164131944444449"/>
            </c:manualLayout>
          </c:layout>
          <c:overlay val="0"/>
        </c:title>
        <c:numFmt formatCode="General" sourceLinked="1"/>
        <c:majorTickMark val="out"/>
        <c:minorTickMark val="none"/>
        <c:tickLblPos val="nextTo"/>
        <c:spPr>
          <a:ln>
            <a:solidFill>
              <a:schemeClr val="tx1"/>
            </a:solidFill>
          </a:ln>
        </c:spPr>
        <c:crossAx val="166398208"/>
        <c:crossesAt val="-1000"/>
        <c:crossBetween val="midCat"/>
        <c:majorUnit val="1"/>
      </c:valAx>
      <c:spPr>
        <a:ln>
          <a:solidFill>
            <a:schemeClr val="tx1"/>
          </a:solidFill>
        </a:ln>
      </c:spPr>
    </c:plotArea>
    <c:legend>
      <c:legendPos val="r"/>
      <c:layout>
        <c:manualLayout>
          <c:xMode val="edge"/>
          <c:yMode val="edge"/>
          <c:x val="0.32087379975727787"/>
          <c:y val="0.69075868055555545"/>
          <c:w val="0.58051483874587817"/>
          <c:h val="0.12515833333333334"/>
        </c:manualLayout>
      </c:layout>
      <c:overlay val="0"/>
      <c:spPr>
        <a:ln>
          <a:solidFill>
            <a:schemeClr val="tx1"/>
          </a:solidFill>
        </a:ln>
      </c:spPr>
    </c:legend>
    <c:plotVisOnly val="1"/>
    <c:dispBlanksAs val="gap"/>
    <c:showDLblsOverMax val="0"/>
  </c:chart>
  <c:spPr>
    <a:ln>
      <a:noFill/>
    </a:ln>
  </c:spPr>
  <c:txPr>
    <a:bodyPr/>
    <a:lstStyle/>
    <a:p>
      <a:pPr>
        <a:defRPr sz="1000">
          <a:latin typeface="+mn-lt"/>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34722222222223"/>
          <c:y val="4.974722222222222E-2"/>
          <c:w val="0.75557277777777776"/>
          <c:h val="0.79319615279178735"/>
        </c:manualLayout>
      </c:layout>
      <c:scatterChart>
        <c:scatterStyle val="lineMarker"/>
        <c:varyColors val="0"/>
        <c:ser>
          <c:idx val="2"/>
          <c:order val="0"/>
          <c:tx>
            <c:strRef>
              <c:f>CONC!$A$7</c:f>
              <c:strCache>
                <c:ptCount val="1"/>
                <c:pt idx="0">
                  <c:v>Benzene PE80 (A, B, C, D, G, H)</c:v>
                </c:pt>
              </c:strCache>
            </c:strRef>
          </c:tx>
          <c:spPr>
            <a:ln w="28575">
              <a:noFill/>
            </a:ln>
          </c:spPr>
          <c:marker>
            <c:symbol val="square"/>
            <c:size val="6"/>
            <c:spPr>
              <a:solidFill>
                <a:schemeClr val="bg1"/>
              </a:solidFill>
              <a:ln>
                <a:solidFill>
                  <a:schemeClr val="tx1"/>
                </a:solidFill>
              </a:ln>
            </c:spPr>
          </c:marker>
          <c:trendline>
            <c:name>1</c:name>
            <c:trendlineType val="linear"/>
            <c:dispRSqr val="1"/>
            <c:dispEq val="1"/>
            <c:trendlineLbl>
              <c:layout>
                <c:manualLayout>
                  <c:x val="-6.4011648885653083E-2"/>
                  <c:y val="0.124725"/>
                </c:manualLayout>
              </c:layout>
              <c:tx>
                <c:rich>
                  <a:bodyPr/>
                  <a:lstStyle/>
                  <a:p>
                    <a:pPr>
                      <a:defRPr/>
                    </a:pPr>
                    <a:r>
                      <a:rPr lang="en-US" baseline="0"/>
                      <a:t>y = 0.34x + 1.41
R² = 0.23</a:t>
                    </a:r>
                    <a:endParaRPr lang="en-US"/>
                  </a:p>
                </c:rich>
              </c:tx>
              <c:numFmt formatCode="General" sourceLinked="0"/>
            </c:trendlineLbl>
          </c:trendline>
          <c:xVal>
            <c:numRef>
              <c:f>CONC!$K$8:$K$21</c:f>
              <c:numCache>
                <c:formatCode>0.000</c:formatCode>
                <c:ptCount val="14"/>
                <c:pt idx="0">
                  <c:v>1</c:v>
                </c:pt>
                <c:pt idx="1">
                  <c:v>1</c:v>
                </c:pt>
                <c:pt idx="2">
                  <c:v>1</c:v>
                </c:pt>
                <c:pt idx="3">
                  <c:v>1</c:v>
                </c:pt>
                <c:pt idx="4">
                  <c:v>2.5139539200304831E-2</c:v>
                </c:pt>
                <c:pt idx="5">
                  <c:v>2.5139539200304831E-2</c:v>
                </c:pt>
                <c:pt idx="6">
                  <c:v>5.0279078400609661E-2</c:v>
                </c:pt>
                <c:pt idx="7">
                  <c:v>3.3938377920411524E-2</c:v>
                </c:pt>
                <c:pt idx="8">
                  <c:v>1.5687072460990215E-2</c:v>
                </c:pt>
                <c:pt idx="9">
                  <c:v>3.0167447040365795E-3</c:v>
                </c:pt>
                <c:pt idx="10">
                  <c:v>3.0167447040365796E-4</c:v>
                </c:pt>
                <c:pt idx="11">
                  <c:v>1.5083723520182897E-3</c:v>
                </c:pt>
                <c:pt idx="12">
                  <c:v>1.5083723520182897E-3</c:v>
                </c:pt>
                <c:pt idx="13">
                  <c:v>1</c:v>
                </c:pt>
              </c:numCache>
            </c:numRef>
          </c:xVal>
          <c:yVal>
            <c:numRef>
              <c:f>CONC!$O$8:$O$21</c:f>
              <c:numCache>
                <c:formatCode>General</c:formatCode>
                <c:ptCount val="14"/>
                <c:pt idx="0">
                  <c:v>1.7573768919939248</c:v>
                </c:pt>
                <c:pt idx="2">
                  <c:v>1.687711085658999</c:v>
                </c:pt>
                <c:pt idx="3">
                  <c:v>1.9914219199707517</c:v>
                </c:pt>
                <c:pt idx="4">
                  <c:v>1.6726519228400025</c:v>
                </c:pt>
                <c:pt idx="5">
                  <c:v>1.7823292689968369</c:v>
                </c:pt>
                <c:pt idx="6">
                  <c:v>1.9596137110710439</c:v>
                </c:pt>
                <c:pt idx="7">
                  <c:v>1.1572663258814122</c:v>
                </c:pt>
                <c:pt idx="8">
                  <c:v>1.0240617330849142</c:v>
                </c:pt>
                <c:pt idx="9">
                  <c:v>1.0528031749829099</c:v>
                </c:pt>
                <c:pt idx="10">
                  <c:v>1.1815349006083489</c:v>
                </c:pt>
                <c:pt idx="11">
                  <c:v>1.4471580313422192</c:v>
                </c:pt>
                <c:pt idx="12">
                  <c:v>1.4771212547196624</c:v>
                </c:pt>
                <c:pt idx="13">
                  <c:v>1.5242089539113384</c:v>
                </c:pt>
              </c:numCache>
            </c:numRef>
          </c:yVal>
          <c:smooth val="0"/>
          <c:extLst>
            <c:ext xmlns:c16="http://schemas.microsoft.com/office/drawing/2014/chart" uri="{C3380CC4-5D6E-409C-BE32-E72D297353CC}">
              <c16:uniqueId val="{00000001-3D54-47A1-8A6D-C514999CC253}"/>
            </c:ext>
          </c:extLst>
        </c:ser>
        <c:ser>
          <c:idx val="1"/>
          <c:order val="1"/>
          <c:tx>
            <c:strRef>
              <c:f>CONC!$A$51</c:f>
              <c:strCache>
                <c:ptCount val="1"/>
                <c:pt idx="0">
                  <c:v>Toluene PE40 (H)</c:v>
                </c:pt>
              </c:strCache>
            </c:strRef>
          </c:tx>
          <c:spPr>
            <a:ln w="28575">
              <a:noFill/>
            </a:ln>
          </c:spPr>
          <c:marker>
            <c:symbol val="star"/>
            <c:size val="4"/>
            <c:spPr>
              <a:noFill/>
              <a:ln w="12700">
                <a:solidFill>
                  <a:schemeClr val="tx1"/>
                </a:solidFill>
              </a:ln>
            </c:spPr>
          </c:marker>
          <c:trendline>
            <c:spPr>
              <a:ln>
                <a:prstDash val="dash"/>
              </a:ln>
            </c:spPr>
            <c:trendlineType val="linear"/>
            <c:dispRSqr val="1"/>
            <c:dispEq val="1"/>
            <c:trendlineLbl>
              <c:layout>
                <c:manualLayout>
                  <c:x val="-4.3127210242441601E-2"/>
                  <c:y val="-2.1408680555555556E-2"/>
                </c:manualLayout>
              </c:layout>
              <c:tx>
                <c:rich>
                  <a:bodyPr/>
                  <a:lstStyle/>
                  <a:p>
                    <a:pPr>
                      <a:defRPr/>
                    </a:pPr>
                    <a:r>
                      <a:rPr lang="en-US" baseline="0"/>
                      <a:t>y = 0.62x + 1.54
R² = 0.70</a:t>
                    </a:r>
                    <a:endParaRPr lang="en-US"/>
                  </a:p>
                </c:rich>
              </c:tx>
              <c:numFmt formatCode="General" sourceLinked="0"/>
            </c:trendlineLbl>
          </c:trendline>
          <c:xVal>
            <c:numRef>
              <c:f>CONC!$K$52:$K$63</c:f>
              <c:numCache>
                <c:formatCode>0.000</c:formatCode>
                <c:ptCount val="12"/>
                <c:pt idx="4">
                  <c:v>1</c:v>
                </c:pt>
                <c:pt idx="5">
                  <c:v>0.51261805883966827</c:v>
                </c:pt>
                <c:pt idx="6">
                  <c:v>0.27350548187292201</c:v>
                </c:pt>
                <c:pt idx="7">
                  <c:v>0.14903592126009524</c:v>
                </c:pt>
                <c:pt idx="8">
                  <c:v>8.0250111447743591E-2</c:v>
                </c:pt>
                <c:pt idx="9">
                  <c:v>5.0770478671021455E-2</c:v>
                </c:pt>
                <c:pt idx="10">
                  <c:v>1.4248489175415697E-2</c:v>
                </c:pt>
                <c:pt idx="11">
                  <c:v>4.7494963918052321E-3</c:v>
                </c:pt>
              </c:numCache>
            </c:numRef>
          </c:xVal>
          <c:yVal>
            <c:numRef>
              <c:f>CONC!$O$52:$O$63</c:f>
              <c:numCache>
                <c:formatCode>General</c:formatCode>
                <c:ptCount val="12"/>
                <c:pt idx="4">
                  <c:v>2.2424953807499222</c:v>
                </c:pt>
                <c:pt idx="5">
                  <c:v>1.7323937598229686</c:v>
                </c:pt>
                <c:pt idx="6">
                  <c:v>1.6009728956867482</c:v>
                </c:pt>
                <c:pt idx="7">
                  <c:v>1.5987905067631152</c:v>
                </c:pt>
                <c:pt idx="8">
                  <c:v>1.7323937598229686</c:v>
                </c:pt>
                <c:pt idx="9">
                  <c:v>1.7759743311293692</c:v>
                </c:pt>
                <c:pt idx="10">
                  <c:v>1.3463529744506386</c:v>
                </c:pt>
                <c:pt idx="11">
                  <c:v>1.5921767573958667</c:v>
                </c:pt>
              </c:numCache>
            </c:numRef>
          </c:yVal>
          <c:smooth val="0"/>
          <c:extLst>
            <c:ext xmlns:c16="http://schemas.microsoft.com/office/drawing/2014/chart" uri="{C3380CC4-5D6E-409C-BE32-E72D297353CC}">
              <c16:uniqueId val="{00000003-3D54-47A1-8A6D-C514999CC253}"/>
            </c:ext>
          </c:extLst>
        </c:ser>
        <c:dLbls>
          <c:showLegendKey val="0"/>
          <c:showVal val="0"/>
          <c:showCatName val="0"/>
          <c:showSerName val="0"/>
          <c:showPercent val="0"/>
          <c:showBubbleSize val="0"/>
        </c:dLbls>
        <c:axId val="166443264"/>
        <c:axId val="166453632"/>
      </c:scatterChart>
      <c:valAx>
        <c:axId val="166443264"/>
        <c:scaling>
          <c:orientation val="minMax"/>
        </c:scaling>
        <c:delete val="0"/>
        <c:axPos val="b"/>
        <c:title>
          <c:tx>
            <c:rich>
              <a:bodyPr/>
              <a:lstStyle/>
              <a:p>
                <a:pPr>
                  <a:defRPr/>
                </a:pPr>
                <a:r>
                  <a:rPr lang="en-US"/>
                  <a:t>Cw / Sw</a:t>
                </a:r>
              </a:p>
            </c:rich>
          </c:tx>
          <c:overlay val="0"/>
        </c:title>
        <c:numFmt formatCode="General" sourceLinked="0"/>
        <c:majorTickMark val="out"/>
        <c:minorTickMark val="none"/>
        <c:tickLblPos val="nextTo"/>
        <c:spPr>
          <a:ln>
            <a:solidFill>
              <a:schemeClr val="tx1"/>
            </a:solidFill>
          </a:ln>
        </c:spPr>
        <c:crossAx val="166453632"/>
        <c:crossesAt val="-10000"/>
        <c:crossBetween val="midCat"/>
      </c:valAx>
      <c:valAx>
        <c:axId val="166453632"/>
        <c:scaling>
          <c:orientation val="minMax"/>
        </c:scaling>
        <c:delete val="0"/>
        <c:axPos val="l"/>
        <c:title>
          <c:tx>
            <c:rich>
              <a:bodyPr rot="-5400000" vert="horz"/>
              <a:lstStyle/>
              <a:p>
                <a:pPr>
                  <a:defRPr/>
                </a:pPr>
                <a:r>
                  <a:rPr lang="en-US"/>
                  <a:t>log K</a:t>
                </a:r>
              </a:p>
            </c:rich>
          </c:tx>
          <c:layout>
            <c:manualLayout>
              <c:xMode val="edge"/>
              <c:yMode val="edge"/>
              <c:x val="1.548694014251663E-2"/>
              <c:y val="0.29164131944444449"/>
            </c:manualLayout>
          </c:layout>
          <c:overlay val="0"/>
        </c:title>
        <c:numFmt formatCode="General" sourceLinked="1"/>
        <c:majorTickMark val="out"/>
        <c:minorTickMark val="none"/>
        <c:tickLblPos val="nextTo"/>
        <c:spPr>
          <a:ln>
            <a:solidFill>
              <a:schemeClr val="tx1"/>
            </a:solidFill>
          </a:ln>
        </c:spPr>
        <c:crossAx val="166443264"/>
        <c:crossesAt val="-1000"/>
        <c:crossBetween val="midCat"/>
        <c:majorUnit val="1"/>
      </c:valAx>
      <c:spPr>
        <a:ln>
          <a:solidFill>
            <a:schemeClr val="tx1"/>
          </a:solidFill>
        </a:ln>
      </c:spPr>
    </c:plotArea>
    <c:legend>
      <c:legendPos val="r"/>
      <c:layout>
        <c:manualLayout>
          <c:xMode val="edge"/>
          <c:yMode val="edge"/>
          <c:x val="0.32087379975727787"/>
          <c:y val="0.69075868055555545"/>
          <c:w val="0.58051483874587817"/>
          <c:h val="0.12515833333333334"/>
        </c:manualLayout>
      </c:layout>
      <c:overlay val="0"/>
      <c:spPr>
        <a:ln>
          <a:solidFill>
            <a:schemeClr val="tx1"/>
          </a:solidFill>
        </a:ln>
      </c:spPr>
    </c:legend>
    <c:plotVisOnly val="1"/>
    <c:dispBlanksAs val="gap"/>
    <c:showDLblsOverMax val="0"/>
  </c:chart>
  <c:spPr>
    <a:ln>
      <a:noFill/>
    </a:ln>
  </c:spPr>
  <c:txPr>
    <a:bodyPr/>
    <a:lstStyle/>
    <a:p>
      <a:pPr>
        <a:defRPr sz="1000">
          <a:latin typeface="+mn-lt"/>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86351706036746"/>
          <c:y val="5.1400554097404488E-2"/>
          <c:w val="0.79253280839895013"/>
          <c:h val="0.76317512394284048"/>
        </c:manualLayout>
      </c:layout>
      <c:scatterChart>
        <c:scatterStyle val="lineMarker"/>
        <c:varyColors val="0"/>
        <c:ser>
          <c:idx val="1"/>
          <c:order val="1"/>
          <c:tx>
            <c:strRef>
              <c:f>CONC!$AB$2</c:f>
              <c:strCache>
                <c:ptCount val="1"/>
                <c:pt idx="0">
                  <c:v>Cw/Sw vs logD</c:v>
                </c:pt>
              </c:strCache>
            </c:strRef>
          </c:tx>
          <c:spPr>
            <a:ln w="28575">
              <a:noFill/>
            </a:ln>
          </c:spPr>
          <c:trendline>
            <c:trendlineType val="log"/>
            <c:dispRSqr val="1"/>
            <c:dispEq val="0"/>
            <c:trendlineLbl>
              <c:layout>
                <c:manualLayout>
                  <c:x val="-0.4207865266841645"/>
                  <c:y val="-0.2627004957713619"/>
                </c:manualLayout>
              </c:layout>
              <c:numFmt formatCode="General" sourceLinked="0"/>
            </c:trendlineLbl>
          </c:trendline>
          <c:xVal>
            <c:numRef>
              <c:f>CONC!$L$8:$L$116</c:f>
              <c:numCache>
                <c:formatCode>0.000</c:formatCode>
                <c:ptCount val="109"/>
                <c:pt idx="0">
                  <c:v>0.36832276936150693</c:v>
                </c:pt>
                <c:pt idx="16">
                  <c:v>0.53746369998708443</c:v>
                </c:pt>
                <c:pt idx="44">
                  <c:v>0.26064725470733391</c:v>
                </c:pt>
                <c:pt idx="57">
                  <c:v>9.4339622641509448E-3</c:v>
                </c:pt>
                <c:pt idx="60">
                  <c:v>0.47036856862302484</c:v>
                </c:pt>
                <c:pt idx="63">
                  <c:v>3.7499999999999999E-3</c:v>
                </c:pt>
                <c:pt idx="66">
                  <c:v>0.63087500418038955</c:v>
                </c:pt>
                <c:pt idx="69">
                  <c:v>3.2005689900426744E-2</c:v>
                </c:pt>
                <c:pt idx="72">
                  <c:v>6.4386295179911318E-2</c:v>
                </c:pt>
                <c:pt idx="76">
                  <c:v>0.34256962593824875</c:v>
                </c:pt>
                <c:pt idx="79">
                  <c:v>0.35555393476688762</c:v>
                </c:pt>
                <c:pt idx="84">
                  <c:v>2.6666666666666666E-3</c:v>
                </c:pt>
                <c:pt idx="87">
                  <c:v>0.61737500000000001</c:v>
                </c:pt>
                <c:pt idx="93">
                  <c:v>4.5785809905714715E-2</c:v>
                </c:pt>
                <c:pt idx="96">
                  <c:v>0.42282480044647752</c:v>
                </c:pt>
                <c:pt idx="102">
                  <c:v>0.27017006931491033</c:v>
                </c:pt>
                <c:pt idx="105">
                  <c:v>0.37359454897452454</c:v>
                </c:pt>
              </c:numCache>
            </c:numRef>
          </c:xVal>
          <c:yVal>
            <c:numRef>
              <c:f>CONC!$AB$8:$AB$116</c:f>
              <c:numCache>
                <c:formatCode>General</c:formatCode>
                <c:ptCount val="109"/>
                <c:pt idx="0" formatCode="0.00">
                  <c:v>1.2092246468642611</c:v>
                </c:pt>
                <c:pt idx="16" formatCode="0.00">
                  <c:v>1.2009113084662855</c:v>
                </c:pt>
                <c:pt idx="44" formatCode="0.00">
                  <c:v>0.95849943643014424</c:v>
                </c:pt>
                <c:pt idx="60" formatCode="0.00">
                  <c:v>0.44747246764078952</c:v>
                </c:pt>
                <c:pt idx="66" formatCode="0.00">
                  <c:v>0.2455057811240545</c:v>
                </c:pt>
                <c:pt idx="76" formatCode="0.00">
                  <c:v>0.70395278662318939</c:v>
                </c:pt>
                <c:pt idx="79" formatCode="0.00">
                  <c:v>0.62741077321581762</c:v>
                </c:pt>
                <c:pt idx="87" formatCode="0.00">
                  <c:v>0.35977624091733362</c:v>
                </c:pt>
                <c:pt idx="93" formatCode="0.00">
                  <c:v>2.7071428033834763</c:v>
                </c:pt>
                <c:pt idx="96" formatCode="0.00">
                  <c:v>0.30505802237453727</c:v>
                </c:pt>
                <c:pt idx="102" formatCode="0.00">
                  <c:v>0.56797029912659347</c:v>
                </c:pt>
                <c:pt idx="105" formatCode="0.00">
                  <c:v>7.6001950660513767E-2</c:v>
                </c:pt>
              </c:numCache>
            </c:numRef>
          </c:yVal>
          <c:smooth val="0"/>
          <c:extLst>
            <c:ext xmlns:c16="http://schemas.microsoft.com/office/drawing/2014/chart" uri="{C3380CC4-5D6E-409C-BE32-E72D297353CC}">
              <c16:uniqueId val="{00000001-7C03-4D38-BF7C-225C1E4745CF}"/>
            </c:ext>
          </c:extLst>
        </c:ser>
        <c:ser>
          <c:idx val="0"/>
          <c:order val="0"/>
          <c:tx>
            <c:strRef>
              <c:f>CONC!$AG$2</c:f>
              <c:strCache>
                <c:ptCount val="1"/>
                <c:pt idx="0">
                  <c:v>log(Cw/Sw) vs logD</c:v>
                </c:pt>
              </c:strCache>
            </c:strRef>
          </c:tx>
          <c:spPr>
            <a:ln w="28575">
              <a:noFill/>
            </a:ln>
          </c:spPr>
          <c:trendline>
            <c:trendlineType val="linear"/>
            <c:dispRSqr val="1"/>
            <c:dispEq val="0"/>
            <c:trendlineLbl>
              <c:layout>
                <c:manualLayout>
                  <c:x val="-0.49023097112860892"/>
                  <c:y val="-5.957057451151939E-2"/>
                </c:manualLayout>
              </c:layout>
              <c:numFmt formatCode="General" sourceLinked="0"/>
            </c:trendlineLbl>
          </c:trendline>
          <c:xVal>
            <c:numRef>
              <c:f>CONC!$L$8:$L$116</c:f>
              <c:numCache>
                <c:formatCode>0.000</c:formatCode>
                <c:ptCount val="109"/>
                <c:pt idx="0">
                  <c:v>0.36832276936150693</c:v>
                </c:pt>
                <c:pt idx="16">
                  <c:v>0.53746369998708443</c:v>
                </c:pt>
                <c:pt idx="44">
                  <c:v>0.26064725470733391</c:v>
                </c:pt>
                <c:pt idx="57">
                  <c:v>9.4339622641509448E-3</c:v>
                </c:pt>
                <c:pt idx="60">
                  <c:v>0.47036856862302484</c:v>
                </c:pt>
                <c:pt idx="63">
                  <c:v>3.7499999999999999E-3</c:v>
                </c:pt>
                <c:pt idx="66">
                  <c:v>0.63087500418038955</c:v>
                </c:pt>
                <c:pt idx="69">
                  <c:v>3.2005689900426744E-2</c:v>
                </c:pt>
                <c:pt idx="72">
                  <c:v>6.4386295179911318E-2</c:v>
                </c:pt>
                <c:pt idx="76">
                  <c:v>0.34256962593824875</c:v>
                </c:pt>
                <c:pt idx="79">
                  <c:v>0.35555393476688762</c:v>
                </c:pt>
                <c:pt idx="84">
                  <c:v>2.6666666666666666E-3</c:v>
                </c:pt>
                <c:pt idx="87">
                  <c:v>0.61737500000000001</c:v>
                </c:pt>
                <c:pt idx="93">
                  <c:v>4.5785809905714715E-2</c:v>
                </c:pt>
                <c:pt idx="96">
                  <c:v>0.42282480044647752</c:v>
                </c:pt>
                <c:pt idx="102">
                  <c:v>0.27017006931491033</c:v>
                </c:pt>
                <c:pt idx="105">
                  <c:v>0.37359454897452454</c:v>
                </c:pt>
              </c:numCache>
            </c:numRef>
          </c:xVal>
          <c:yVal>
            <c:numRef>
              <c:f>CONC!$AG$8:$AG$116</c:f>
              <c:numCache>
                <c:formatCode>General</c:formatCode>
                <c:ptCount val="109"/>
                <c:pt idx="0" formatCode="0.00">
                  <c:v>0.46436840877954166</c:v>
                </c:pt>
                <c:pt idx="16" formatCode="0.00">
                  <c:v>0.67790088780460411</c:v>
                </c:pt>
                <c:pt idx="44" formatCode="0.00">
                  <c:v>0.30821120529090523</c:v>
                </c:pt>
                <c:pt idx="60" formatCode="0.00">
                  <c:v>0.46612627121130651</c:v>
                </c:pt>
                <c:pt idx="63" formatCode="0.00">
                  <c:v>0.5023336031651312</c:v>
                </c:pt>
                <c:pt idx="66" formatCode="0.00">
                  <c:v>0.34300781300619027</c:v>
                </c:pt>
                <c:pt idx="69" formatCode="0.00">
                  <c:v>1.0463699631380379</c:v>
                </c:pt>
                <c:pt idx="76" formatCode="0.00">
                  <c:v>0.53406160242112211</c:v>
                </c:pt>
                <c:pt idx="79" formatCode="0.00">
                  <c:v>0.4940335345208724</c:v>
                </c:pt>
                <c:pt idx="84" formatCode="0.00">
                  <c:v>0.58496250072115641</c:v>
                </c:pt>
                <c:pt idx="87" formatCode="0.00">
                  <c:v>0.52148931243869601</c:v>
                </c:pt>
                <c:pt idx="93" formatCode="0.00">
                  <c:v>0.18528909052942216</c:v>
                </c:pt>
                <c:pt idx="96" formatCode="0.00">
                  <c:v>0.18107143569154355</c:v>
                </c:pt>
                <c:pt idx="102" formatCode="0.00">
                  <c:v>0.23820591792768123</c:v>
                </c:pt>
                <c:pt idx="105" formatCode="0.00">
                  <c:v>5.1053809445827478E-2</c:v>
                </c:pt>
              </c:numCache>
            </c:numRef>
          </c:yVal>
          <c:smooth val="0"/>
          <c:extLst>
            <c:ext xmlns:c16="http://schemas.microsoft.com/office/drawing/2014/chart" uri="{C3380CC4-5D6E-409C-BE32-E72D297353CC}">
              <c16:uniqueId val="{00000003-7C03-4D38-BF7C-225C1E4745CF}"/>
            </c:ext>
          </c:extLst>
        </c:ser>
        <c:dLbls>
          <c:showLegendKey val="0"/>
          <c:showVal val="0"/>
          <c:showCatName val="0"/>
          <c:showSerName val="0"/>
          <c:showPercent val="0"/>
          <c:showBubbleSize val="0"/>
        </c:dLbls>
        <c:axId val="167287424"/>
        <c:axId val="167297792"/>
      </c:scatterChart>
      <c:valAx>
        <c:axId val="167287424"/>
        <c:scaling>
          <c:orientation val="minMax"/>
        </c:scaling>
        <c:delete val="0"/>
        <c:axPos val="b"/>
        <c:title>
          <c:tx>
            <c:rich>
              <a:bodyPr/>
              <a:lstStyle/>
              <a:p>
                <a:pPr>
                  <a:defRPr/>
                </a:pPr>
                <a:r>
                  <a:rPr lang="en-US"/>
                  <a:t>Cw/Sw</a:t>
                </a:r>
              </a:p>
            </c:rich>
          </c:tx>
          <c:overlay val="0"/>
        </c:title>
        <c:numFmt formatCode="0.000" sourceLinked="1"/>
        <c:majorTickMark val="out"/>
        <c:minorTickMark val="none"/>
        <c:tickLblPos val="nextTo"/>
        <c:crossAx val="167297792"/>
        <c:crosses val="autoZero"/>
        <c:crossBetween val="midCat"/>
      </c:valAx>
      <c:valAx>
        <c:axId val="167297792"/>
        <c:scaling>
          <c:orientation val="minMax"/>
        </c:scaling>
        <c:delete val="0"/>
        <c:axPos val="l"/>
        <c:title>
          <c:tx>
            <c:rich>
              <a:bodyPr rot="-5400000" vert="horz"/>
              <a:lstStyle/>
              <a:p>
                <a:pPr>
                  <a:defRPr/>
                </a:pPr>
                <a:r>
                  <a:rPr lang="en-GB"/>
                  <a:t>Slope</a:t>
                </a:r>
              </a:p>
              <a:p>
                <a:pPr>
                  <a:defRPr/>
                </a:pPr>
                <a:endParaRPr lang="en-GB"/>
              </a:p>
            </c:rich>
          </c:tx>
          <c:overlay val="0"/>
        </c:title>
        <c:numFmt formatCode="0.00" sourceLinked="1"/>
        <c:majorTickMark val="out"/>
        <c:minorTickMark val="none"/>
        <c:tickLblPos val="nextTo"/>
        <c:crossAx val="167287424"/>
        <c:crosses val="autoZero"/>
        <c:crossBetween val="midCat"/>
      </c:valAx>
      <c:spPr>
        <a:ln>
          <a:solidFill>
            <a:schemeClr val="tx1"/>
          </a:solidFill>
        </a:ln>
      </c:spPr>
    </c:plotArea>
    <c:legend>
      <c:legendPos val="r"/>
      <c:layout>
        <c:manualLayout>
          <c:xMode val="edge"/>
          <c:yMode val="edge"/>
          <c:x val="0.38395888013998253"/>
          <c:y val="0.11998651210265383"/>
          <c:w val="0.48548556430446194"/>
          <c:h val="0.16743438320209975"/>
        </c:manualLayout>
      </c:layout>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89138888888892"/>
          <c:y val="3.4913583915218142E-2"/>
          <c:w val="0.83510277777777775"/>
          <c:h val="0.61358784722222226"/>
        </c:manualLayout>
      </c:layout>
      <c:lineChart>
        <c:grouping val="standard"/>
        <c:varyColors val="0"/>
        <c:ser>
          <c:idx val="0"/>
          <c:order val="0"/>
          <c:tx>
            <c:strRef>
              <c:f>CONC!$AJ$121</c:f>
              <c:strCache>
                <c:ptCount val="1"/>
                <c:pt idx="0">
                  <c:v>D (Cw/Sw=0)</c:v>
                </c:pt>
              </c:strCache>
            </c:strRef>
          </c:tx>
          <c:spPr>
            <a:ln w="22225">
              <a:solidFill>
                <a:schemeClr val="tx1"/>
              </a:solidFill>
            </a:ln>
          </c:spPr>
          <c:marker>
            <c:spPr>
              <a:solidFill>
                <a:schemeClr val="tx1"/>
              </a:solidFill>
              <a:ln>
                <a:solidFill>
                  <a:schemeClr val="tx1"/>
                </a:solidFill>
              </a:ln>
            </c:spPr>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CONC!$AJ$143:$AJ$154</c:f>
              <c:numCache>
                <c:formatCode>General</c:formatCode>
                <c:ptCount val="12"/>
                <c:pt idx="0">
                  <c:v>-13.063858548853073</c:v>
                </c:pt>
                <c:pt idx="1">
                  <c:v>-12.867685545506953</c:v>
                </c:pt>
                <c:pt idx="2">
                  <c:v>-12.807879529486002</c:v>
                </c:pt>
                <c:pt idx="3">
                  <c:v>-12.739643660569818</c:v>
                </c:pt>
                <c:pt idx="4">
                  <c:v>-12.557355864302934</c:v>
                </c:pt>
                <c:pt idx="5">
                  <c:v>-12.463327759405756</c:v>
                </c:pt>
                <c:pt idx="6">
                  <c:v>-12.42522055695283</c:v>
                </c:pt>
                <c:pt idx="7">
                  <c:v>-12.422473509050899</c:v>
                </c:pt>
                <c:pt idx="8">
                  <c:v>-12.309241273303448</c:v>
                </c:pt>
                <c:pt idx="9">
                  <c:v>-11.513785601748099</c:v>
                </c:pt>
                <c:pt idx="10">
                  <c:v>-11.358276816522743</c:v>
                </c:pt>
                <c:pt idx="11">
                  <c:v>-10.992305851270682</c:v>
                </c:pt>
              </c:numCache>
            </c:numRef>
          </c:val>
          <c:smooth val="0"/>
          <c:extLst>
            <c:ext xmlns:c16="http://schemas.microsoft.com/office/drawing/2014/chart" uri="{C3380CC4-5D6E-409C-BE32-E72D297353CC}">
              <c16:uniqueId val="{00000000-25E5-4D58-BF69-ED8941A374B5}"/>
            </c:ext>
          </c:extLst>
        </c:ser>
        <c:ser>
          <c:idx val="1"/>
          <c:order val="1"/>
          <c:tx>
            <c:strRef>
              <c:f>CONC!$AK$121</c:f>
              <c:strCache>
                <c:ptCount val="1"/>
                <c:pt idx="0">
                  <c:v>D (Cw/Sw=1)</c:v>
                </c:pt>
              </c:strCache>
            </c:strRef>
          </c:tx>
          <c:spPr>
            <a:ln w="19050">
              <a:solidFill>
                <a:schemeClr val="tx1"/>
              </a:solidFill>
            </a:ln>
          </c:spPr>
          <c:marker>
            <c:symbol val="diamond"/>
            <c:size val="6"/>
            <c:spPr>
              <a:solidFill>
                <a:schemeClr val="bg1"/>
              </a:solidFill>
              <a:ln>
                <a:solidFill>
                  <a:schemeClr val="tx1"/>
                </a:solidFill>
              </a:ln>
            </c:spPr>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CONC!$AK$143:$AK$154</c:f>
              <c:numCache>
                <c:formatCode>General</c:formatCode>
                <c:ptCount val="12"/>
                <c:pt idx="0">
                  <c:v>-12.359905762229884</c:v>
                </c:pt>
                <c:pt idx="1">
                  <c:v>-12.240274772291135</c:v>
                </c:pt>
                <c:pt idx="2">
                  <c:v>-12.360407061845212</c:v>
                </c:pt>
                <c:pt idx="3">
                  <c:v>-12.494137879445764</c:v>
                </c:pt>
                <c:pt idx="4">
                  <c:v>-11.356444555836649</c:v>
                </c:pt>
                <c:pt idx="5">
                  <c:v>-11.254103112541495</c:v>
                </c:pt>
                <c:pt idx="6">
                  <c:v>-11.466721120522685</c:v>
                </c:pt>
                <c:pt idx="7">
                  <c:v>-9.715330705667423</c:v>
                </c:pt>
                <c:pt idx="8">
                  <c:v>-11.741270974176855</c:v>
                </c:pt>
                <c:pt idx="9">
                  <c:v>-11.437783651087585</c:v>
                </c:pt>
                <c:pt idx="10">
                  <c:v>-11.053218794148206</c:v>
                </c:pt>
                <c:pt idx="11">
                  <c:v>-10.632529610353348</c:v>
                </c:pt>
              </c:numCache>
            </c:numRef>
          </c:val>
          <c:smooth val="0"/>
          <c:extLst>
            <c:ext xmlns:c16="http://schemas.microsoft.com/office/drawing/2014/chart" uri="{C3380CC4-5D6E-409C-BE32-E72D297353CC}">
              <c16:uniqueId val="{00000001-25E5-4D58-BF69-ED8941A374B5}"/>
            </c:ext>
          </c:extLst>
        </c:ser>
        <c:ser>
          <c:idx val="2"/>
          <c:order val="2"/>
          <c:tx>
            <c:strRef>
              <c:f>CONC!$AL$121</c:f>
              <c:strCache>
                <c:ptCount val="1"/>
                <c:pt idx="0">
                  <c:v>D (Regressie)</c:v>
                </c:pt>
              </c:strCache>
            </c:strRef>
          </c:tx>
          <c:spPr>
            <a:ln w="28575">
              <a:solidFill>
                <a:srgbClr val="FF0000"/>
              </a:solidFill>
              <a:prstDash val="solid"/>
            </a:ln>
          </c:spPr>
          <c:marker>
            <c:symbol val="none"/>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CONC!$AL$143:$AL$154</c:f>
              <c:numCache>
                <c:formatCode>General</c:formatCode>
                <c:ptCount val="12"/>
                <c:pt idx="0">
                  <c:v>-12.454746659969302</c:v>
                </c:pt>
                <c:pt idx="1">
                  <c:v>-12.454746659969302</c:v>
                </c:pt>
                <c:pt idx="2">
                  <c:v>-12.454746659969302</c:v>
                </c:pt>
                <c:pt idx="3">
                  <c:v>-12.693229997964629</c:v>
                </c:pt>
                <c:pt idx="4">
                  <c:v>-12.398569971380226</c:v>
                </c:pt>
                <c:pt idx="5">
                  <c:v>-12.342426666097627</c:v>
                </c:pt>
                <c:pt idx="6">
                  <c:v>-12.398569971380226</c:v>
                </c:pt>
                <c:pt idx="7">
                  <c:v>-12.5556</c:v>
                </c:pt>
                <c:pt idx="8">
                  <c:v>-12.45475999623293</c:v>
                </c:pt>
                <c:pt idx="9">
                  <c:v>-12.45475999623293</c:v>
                </c:pt>
                <c:pt idx="10">
                  <c:v>-12.5556</c:v>
                </c:pt>
                <c:pt idx="11">
                  <c:v>-12.369719999999999</c:v>
                </c:pt>
              </c:numCache>
            </c:numRef>
          </c:val>
          <c:smooth val="0"/>
          <c:extLst>
            <c:ext xmlns:c16="http://schemas.microsoft.com/office/drawing/2014/chart" uri="{C3380CC4-5D6E-409C-BE32-E72D297353CC}">
              <c16:uniqueId val="{00000002-25E5-4D58-BF69-ED8941A374B5}"/>
            </c:ext>
          </c:extLst>
        </c:ser>
        <c:dLbls>
          <c:showLegendKey val="0"/>
          <c:showVal val="0"/>
          <c:showCatName val="0"/>
          <c:showSerName val="0"/>
          <c:showPercent val="0"/>
          <c:showBubbleSize val="0"/>
        </c:dLbls>
        <c:marker val="1"/>
        <c:smooth val="0"/>
        <c:axId val="167406208"/>
        <c:axId val="167412096"/>
      </c:lineChart>
      <c:catAx>
        <c:axId val="1674062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67412096"/>
        <c:crossesAt val="-9999"/>
        <c:auto val="1"/>
        <c:lblAlgn val="ctr"/>
        <c:lblOffset val="100"/>
        <c:noMultiLvlLbl val="0"/>
      </c:catAx>
      <c:valAx>
        <c:axId val="167412096"/>
        <c:scaling>
          <c:orientation val="minMax"/>
          <c:max val="-9"/>
          <c:min val="-14"/>
        </c:scaling>
        <c:delete val="0"/>
        <c:axPos val="l"/>
        <c:title>
          <c:tx>
            <c:rich>
              <a:bodyPr rot="-5400000" vert="horz"/>
              <a:lstStyle/>
              <a:p>
                <a:pPr>
                  <a:defRPr/>
                </a:pPr>
                <a:r>
                  <a:rPr lang="en-US"/>
                  <a:t>log D [m2/s]</a:t>
                </a:r>
              </a:p>
            </c:rich>
          </c:tx>
          <c:layout>
            <c:manualLayout>
              <c:xMode val="edge"/>
              <c:yMode val="edge"/>
              <c:x val="2.142222222222222E-3"/>
              <c:y val="0.21520347222222222"/>
            </c:manualLayout>
          </c:layout>
          <c:overlay val="0"/>
        </c:title>
        <c:numFmt formatCode="General" sourceLinked="1"/>
        <c:majorTickMark val="out"/>
        <c:minorTickMark val="none"/>
        <c:tickLblPos val="nextTo"/>
        <c:crossAx val="167406208"/>
        <c:crosses val="autoZero"/>
        <c:crossBetween val="between"/>
        <c:majorUnit val="1"/>
      </c:valAx>
      <c:spPr>
        <a:ln>
          <a:solidFill>
            <a:schemeClr val="tx1"/>
          </a:solidFill>
        </a:ln>
      </c:spPr>
    </c:plotArea>
    <c:legend>
      <c:legendPos val="r"/>
      <c:layout>
        <c:manualLayout>
          <c:xMode val="edge"/>
          <c:yMode val="edge"/>
          <c:x val="0.19130489938757653"/>
          <c:y val="9.3541280087245507E-2"/>
          <c:w val="0.293265"/>
          <c:h val="0.239221875"/>
        </c:manualLayout>
      </c:layout>
      <c:overlay val="0"/>
    </c:legend>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PermDbase!$AH$47:$AH$100</c:f>
            </c:numRef>
          </c:xVal>
          <c:yVal>
            <c:numRef>
              <c:f>PermDbase!$AG$47:$AG$100</c:f>
            </c:numRef>
          </c:yVal>
          <c:smooth val="0"/>
          <c:extLst>
            <c:ext xmlns:c16="http://schemas.microsoft.com/office/drawing/2014/chart" uri="{C3380CC4-5D6E-409C-BE32-E72D297353CC}">
              <c16:uniqueId val="{00000000-1864-416A-9C3B-AE6716A0E67D}"/>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PermDbase!$AH$101:$AH$115</c:f>
            </c:numRef>
          </c:xVal>
          <c:yVal>
            <c:numRef>
              <c:f>PermDbase!$AG$101:$AG$115</c:f>
            </c:numRef>
          </c:yVal>
          <c:smooth val="0"/>
          <c:extLst>
            <c:ext xmlns:c16="http://schemas.microsoft.com/office/drawing/2014/chart" uri="{C3380CC4-5D6E-409C-BE32-E72D297353CC}">
              <c16:uniqueId val="{00000001-1864-416A-9C3B-AE6716A0E67D}"/>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PermDbase!$AH$116:$AH$125</c:f>
            </c:numRef>
          </c:xVal>
          <c:yVal>
            <c:numRef>
              <c:f>PermDbase!$AG$116:$AG$125</c:f>
            </c:numRef>
          </c:yVal>
          <c:smooth val="0"/>
          <c:extLst>
            <c:ext xmlns:c16="http://schemas.microsoft.com/office/drawing/2014/chart" uri="{C3380CC4-5D6E-409C-BE32-E72D297353CC}">
              <c16:uniqueId val="{00000002-1864-416A-9C3B-AE6716A0E67D}"/>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PermDbase!$AH$127:$AH$138</c:f>
            </c:numRef>
          </c:xVal>
          <c:yVal>
            <c:numRef>
              <c:f>PermDbase!$AG$127:$AG$138</c:f>
            </c:numRef>
          </c:yVal>
          <c:smooth val="0"/>
          <c:extLst>
            <c:ext xmlns:c16="http://schemas.microsoft.com/office/drawing/2014/chart" uri="{C3380CC4-5D6E-409C-BE32-E72D297353CC}">
              <c16:uniqueId val="{00000003-1864-416A-9C3B-AE6716A0E67D}"/>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PermDbase!$AH$139:$AH$154</c:f>
            </c:numRef>
          </c:xVal>
          <c:yVal>
            <c:numRef>
              <c:f>PermDbase!$AG$139:$AG$154</c:f>
            </c:numRef>
          </c:yVal>
          <c:smooth val="0"/>
          <c:extLst>
            <c:ext xmlns:c16="http://schemas.microsoft.com/office/drawing/2014/chart" uri="{C3380CC4-5D6E-409C-BE32-E72D297353CC}">
              <c16:uniqueId val="{00000004-1864-416A-9C3B-AE6716A0E67D}"/>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PermDbase!$AH$155:$AH$189</c:f>
            </c:numRef>
          </c:xVal>
          <c:yVal>
            <c:numRef>
              <c:f>PermDbase!$AG$155:$AG$189</c:f>
            </c:numRef>
          </c:yVal>
          <c:smooth val="0"/>
          <c:extLst>
            <c:ext xmlns:c16="http://schemas.microsoft.com/office/drawing/2014/chart" uri="{C3380CC4-5D6E-409C-BE32-E72D297353CC}">
              <c16:uniqueId val="{00000005-1864-416A-9C3B-AE6716A0E67D}"/>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PermDbase!$AH$243:$AH$308</c:f>
            </c:numRef>
          </c:xVal>
          <c:yVal>
            <c:numRef>
              <c:f>PermDbase!$AG$243:$AG$308</c:f>
            </c:numRef>
          </c:yVal>
          <c:smooth val="0"/>
          <c:extLst>
            <c:ext xmlns:c16="http://schemas.microsoft.com/office/drawing/2014/chart" uri="{C3380CC4-5D6E-409C-BE32-E72D297353CC}">
              <c16:uniqueId val="{00000006-1864-416A-9C3B-AE6716A0E67D}"/>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PermDbase!$AH$190:$AH$233</c:f>
            </c:numRef>
          </c:xVal>
          <c:yVal>
            <c:numRef>
              <c:f>PermDbase!$AG$190:$AG$233</c:f>
            </c:numRef>
          </c:yVal>
          <c:smooth val="0"/>
          <c:extLst>
            <c:ext xmlns:c16="http://schemas.microsoft.com/office/drawing/2014/chart" uri="{C3380CC4-5D6E-409C-BE32-E72D297353CC}">
              <c16:uniqueId val="{00000007-1864-416A-9C3B-AE6716A0E67D}"/>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PermDbase!$AH$309:$AH$425</c:f>
            </c:numRef>
          </c:xVal>
          <c:yVal>
            <c:numRef>
              <c:f>PermDbase!$AG$309:$AG$425</c:f>
            </c:numRef>
          </c:yVal>
          <c:smooth val="0"/>
          <c:extLst>
            <c:ext xmlns:c16="http://schemas.microsoft.com/office/drawing/2014/chart" uri="{C3380CC4-5D6E-409C-BE32-E72D297353CC}">
              <c16:uniqueId val="{00000008-1864-416A-9C3B-AE6716A0E67D}"/>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PermDbase!$AH$426:$AH$619</c:f>
            </c:numRef>
          </c:xVal>
          <c:yVal>
            <c:numRef>
              <c:f>PermDbase!$AG$426:$AG$619</c:f>
            </c:numRef>
          </c:yVal>
          <c:smooth val="0"/>
          <c:extLst>
            <c:ext xmlns:c16="http://schemas.microsoft.com/office/drawing/2014/chart" uri="{C3380CC4-5D6E-409C-BE32-E72D297353CC}">
              <c16:uniqueId val="{00000009-1864-416A-9C3B-AE6716A0E67D}"/>
            </c:ext>
          </c:extLst>
        </c:ser>
        <c:ser>
          <c:idx val="0"/>
          <c:order val="10"/>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A-1864-416A-9C3B-AE6716A0E67D}"/>
            </c:ext>
          </c:extLst>
        </c:ser>
        <c:ser>
          <c:idx val="11"/>
          <c:order val="11"/>
          <c:tx>
            <c:strRef>
              <c:f>PermDbase!$AH$15</c:f>
              <c:strCache>
                <c:ptCount val="1"/>
                <c:pt idx="0">
                  <c:v>regressie</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PermDbase!$AH$16:$AH$17</c:f>
              <c:numCache>
                <c:formatCode>General</c:formatCode>
                <c:ptCount val="2"/>
                <c:pt idx="0">
                  <c:v>-5.8813471502610843</c:v>
                </c:pt>
                <c:pt idx="1">
                  <c:v>9.0943009893807023</c:v>
                </c:pt>
              </c:numCache>
            </c:numRef>
          </c:yVal>
          <c:smooth val="0"/>
          <c:extLst>
            <c:ext xmlns:c16="http://schemas.microsoft.com/office/drawing/2014/chart" uri="{C3380CC4-5D6E-409C-BE32-E72D297353CC}">
              <c16:uniqueId val="{0000000B-1864-416A-9C3B-AE6716A0E67D}"/>
            </c:ext>
          </c:extLst>
        </c:ser>
        <c:ser>
          <c:idx val="12"/>
          <c:order val="12"/>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PermDbase!$AH$234:$AH$242</c:f>
            </c:numRef>
          </c:xVal>
          <c:yVal>
            <c:numRef>
              <c:f>PermDbase!$AG$234:$AG$242</c:f>
            </c:numRef>
          </c:yVal>
          <c:smooth val="0"/>
          <c:extLst>
            <c:ext xmlns:c16="http://schemas.microsoft.com/office/drawing/2014/chart" uri="{C3380CC4-5D6E-409C-BE32-E72D297353CC}">
              <c16:uniqueId val="{0000000C-1864-416A-9C3B-AE6716A0E67D}"/>
            </c:ext>
          </c:extLst>
        </c:ser>
        <c:dLbls>
          <c:showLegendKey val="0"/>
          <c:showVal val="0"/>
          <c:showCatName val="0"/>
          <c:showSerName val="0"/>
          <c:showPercent val="0"/>
          <c:showBubbleSize val="0"/>
        </c:dLbls>
        <c:axId val="175688704"/>
        <c:axId val="175699456"/>
      </c:scatterChart>
      <c:valAx>
        <c:axId val="175688704"/>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699456"/>
        <c:crossesAt val="-1000"/>
        <c:crossBetween val="midCat"/>
      </c:valAx>
      <c:valAx>
        <c:axId val="175699456"/>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688704"/>
        <c:crossesAt val="-1000"/>
        <c:crossBetween val="midCat"/>
      </c:valAx>
      <c:spPr>
        <a:ln>
          <a:solidFill>
            <a:schemeClr val="tx1"/>
          </a:solidFill>
        </a:ln>
      </c:spPr>
    </c:plotArea>
    <c:legend>
      <c:legendPos val="r"/>
      <c:layout>
        <c:manualLayout>
          <c:xMode val="edge"/>
          <c:yMode val="edge"/>
          <c:x val="0.16001683753946469"/>
          <c:y val="4.8301567020410323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PermDbase!$AH$620:$AH$649</c:f>
            </c:numRef>
          </c:xVal>
          <c:yVal>
            <c:numRef>
              <c:f>PermDbase!$AG$620:$AG$649</c:f>
            </c:numRef>
          </c:yVal>
          <c:smooth val="0"/>
          <c:extLst>
            <c:ext xmlns:c16="http://schemas.microsoft.com/office/drawing/2014/chart" uri="{C3380CC4-5D6E-409C-BE32-E72D297353CC}">
              <c16:uniqueId val="{00000000-7C03-4F60-87B8-F8EC17F6876B}"/>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PermDbase!$AH$661:$AH$736</c:f>
            </c:numRef>
          </c:xVal>
          <c:yVal>
            <c:numRef>
              <c:f>PermDbase!$AG$661:$AG$736</c:f>
            </c:numRef>
          </c:yVal>
          <c:smooth val="0"/>
          <c:extLst>
            <c:ext xmlns:c16="http://schemas.microsoft.com/office/drawing/2014/chart" uri="{C3380CC4-5D6E-409C-BE32-E72D297353CC}">
              <c16:uniqueId val="{00000001-7C03-4F60-87B8-F8EC17F6876B}"/>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PermDbase!$AH$737:$AH$757</c:f>
            </c:numRef>
          </c:xVal>
          <c:yVal>
            <c:numRef>
              <c:f>PermDbase!$AG$737:$AG$757</c:f>
            </c:numRef>
          </c:yVal>
          <c:smooth val="0"/>
          <c:extLst>
            <c:ext xmlns:c16="http://schemas.microsoft.com/office/drawing/2014/chart" uri="{C3380CC4-5D6E-409C-BE32-E72D297353CC}">
              <c16:uniqueId val="{00000002-7C03-4F60-87B8-F8EC17F6876B}"/>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PermDbase!$AH$650:$AH$660</c:f>
            </c:numRef>
          </c:xVal>
          <c:yVal>
            <c:numRef>
              <c:f>PermDbase!$AG$650:$AG$660</c:f>
            </c:numRef>
          </c:yVal>
          <c:smooth val="0"/>
          <c:extLst>
            <c:ext xmlns:c16="http://schemas.microsoft.com/office/drawing/2014/chart" uri="{C3380CC4-5D6E-409C-BE32-E72D297353CC}">
              <c16:uniqueId val="{00000003-7C03-4F60-87B8-F8EC17F6876B}"/>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PermDbase!$AH$758:$AH$873</c:f>
              <c:numCache>
                <c:formatCode>General</c:formatCode>
                <c:ptCount val="22"/>
                <c:pt idx="1">
                  <c:v>2.13</c:v>
                </c:pt>
                <c:pt idx="2">
                  <c:v>2.13</c:v>
                </c:pt>
                <c:pt idx="3">
                  <c:v>2.13</c:v>
                </c:pt>
                <c:pt idx="6">
                  <c:v>2.13</c:v>
                </c:pt>
                <c:pt idx="7">
                  <c:v>2.13</c:v>
                </c:pt>
                <c:pt idx="10">
                  <c:v>2.13</c:v>
                </c:pt>
                <c:pt idx="11">
                  <c:v>2.13</c:v>
                </c:pt>
                <c:pt idx="12">
                  <c:v>2.13</c:v>
                </c:pt>
                <c:pt idx="13">
                  <c:v>2.13</c:v>
                </c:pt>
                <c:pt idx="14">
                  <c:v>2.13</c:v>
                </c:pt>
                <c:pt idx="15">
                  <c:v>2.13</c:v>
                </c:pt>
                <c:pt idx="16">
                  <c:v>2.13</c:v>
                </c:pt>
                <c:pt idx="17">
                  <c:v>2.13</c:v>
                </c:pt>
                <c:pt idx="18">
                  <c:v>2.13</c:v>
                </c:pt>
                <c:pt idx="20">
                  <c:v>2.13</c:v>
                </c:pt>
                <c:pt idx="21">
                  <c:v>2.13</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7C03-4F60-87B8-F8EC17F6876B}"/>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PermDbase!$AH$915:$AH$925</c:f>
            </c:numRef>
          </c:xVal>
          <c:yVal>
            <c:numRef>
              <c:f>PermDbase!$AG$915:$AG$925</c:f>
            </c:numRef>
          </c:yVal>
          <c:smooth val="0"/>
          <c:extLst>
            <c:ext xmlns:c16="http://schemas.microsoft.com/office/drawing/2014/chart" uri="{C3380CC4-5D6E-409C-BE32-E72D297353CC}">
              <c16:uniqueId val="{00000005-7C03-4F60-87B8-F8EC17F6876B}"/>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PermDbase!$AH$874:$AH$914</c:f>
            </c:numRef>
          </c:xVal>
          <c:yVal>
            <c:numRef>
              <c:f>PermDbase!$AG$874:$AG$914</c:f>
            </c:numRef>
          </c:yVal>
          <c:smooth val="0"/>
          <c:extLst>
            <c:ext xmlns:c16="http://schemas.microsoft.com/office/drawing/2014/chart" uri="{C3380CC4-5D6E-409C-BE32-E72D297353CC}">
              <c16:uniqueId val="{00000006-7C03-4F60-87B8-F8EC17F6876B}"/>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PermDbase!$AH$926:$AH$927</c:f>
            </c:numRef>
          </c:xVal>
          <c:yVal>
            <c:numRef>
              <c:f>PermDbase!$AG$926:$AG$927</c:f>
            </c:numRef>
          </c:yVal>
          <c:smooth val="0"/>
          <c:extLst>
            <c:ext xmlns:c16="http://schemas.microsoft.com/office/drawing/2014/chart" uri="{C3380CC4-5D6E-409C-BE32-E72D297353CC}">
              <c16:uniqueId val="{00000007-7C03-4F60-87B8-F8EC17F6876B}"/>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7C03-4F60-87B8-F8EC17F6876B}"/>
            </c:ext>
          </c:extLst>
        </c:ser>
        <c:ser>
          <c:idx val="11"/>
          <c:order val="9"/>
          <c:tx>
            <c:strRef>
              <c:f>PermDbase!$AH$29</c:f>
              <c:strCache>
                <c:ptCount val="1"/>
                <c:pt idx="0">
                  <c:v>regressie</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PermDbase!$AH$30:$AH$31</c:f>
              <c:numCache>
                <c:formatCode>General</c:formatCode>
                <c:ptCount val="2"/>
                <c:pt idx="0">
                  <c:v>-7.645072019156161</c:v>
                </c:pt>
                <c:pt idx="1">
                  <c:v>10.095356916446484</c:v>
                </c:pt>
              </c:numCache>
            </c:numRef>
          </c:yVal>
          <c:smooth val="0"/>
          <c:extLst>
            <c:ext xmlns:c16="http://schemas.microsoft.com/office/drawing/2014/chart" uri="{C3380CC4-5D6E-409C-BE32-E72D297353CC}">
              <c16:uniqueId val="{00000009-7C03-4F60-87B8-F8EC17F6876B}"/>
            </c:ext>
          </c:extLst>
        </c:ser>
        <c:dLbls>
          <c:showLegendKey val="0"/>
          <c:showVal val="0"/>
          <c:showCatName val="0"/>
          <c:showSerName val="0"/>
          <c:showPercent val="0"/>
          <c:showBubbleSize val="0"/>
        </c:dLbls>
        <c:axId val="175511808"/>
        <c:axId val="175518080"/>
      </c:scatterChart>
      <c:valAx>
        <c:axId val="175511808"/>
        <c:scaling>
          <c:orientation val="minMax"/>
          <c:max val="6"/>
          <c:min val="-3"/>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518080"/>
        <c:crossesAt val="-1000"/>
        <c:crossBetween val="midCat"/>
        <c:majorUnit val="2"/>
      </c:valAx>
      <c:valAx>
        <c:axId val="175518080"/>
        <c:scaling>
          <c:orientation val="minMax"/>
          <c:max val="6"/>
          <c:min val="-3"/>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511808"/>
        <c:crossesAt val="-1000"/>
        <c:crossBetween val="midCat"/>
        <c:majorUnit val="2"/>
      </c:valAx>
      <c:spPr>
        <a:ln>
          <a:solidFill>
            <a:schemeClr val="tx1"/>
          </a:solidFill>
        </a:ln>
      </c:spPr>
    </c:plotArea>
    <c:legend>
      <c:legendPos val="r"/>
      <c:layout>
        <c:manualLayout>
          <c:xMode val="edge"/>
          <c:yMode val="edge"/>
          <c:x val="0.16001683753946469"/>
          <c:y val="4.8301567020410323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PermDbase!$AI$43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PermDbase!$AI$47:$AI$619</c:f>
            </c:numRef>
          </c:xVal>
          <c:yVal>
            <c:numRef>
              <c:f>PermDbase!$AG$47:$AG$619</c:f>
            </c:numRef>
          </c:yVal>
          <c:smooth val="0"/>
          <c:extLst>
            <c:ext xmlns:c16="http://schemas.microsoft.com/office/drawing/2014/chart" uri="{C3380CC4-5D6E-409C-BE32-E72D297353CC}">
              <c16:uniqueId val="{00000000-64BE-4D77-8F63-B78B29ED4D8F}"/>
            </c:ext>
          </c:extLst>
        </c:ser>
        <c:ser>
          <c:idx val="11"/>
          <c:order val="1"/>
          <c:tx>
            <c:strRef>
              <c:f>PermDbase!$AI$15</c:f>
              <c:strCache>
                <c:ptCount val="1"/>
                <c:pt idx="0">
                  <c:v>regressie</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PermDbase!$AI$16:$AI$17</c:f>
              <c:numCache>
                <c:formatCode>General</c:formatCode>
                <c:ptCount val="2"/>
                <c:pt idx="0">
                  <c:v>-5.6782252896005012</c:v>
                </c:pt>
                <c:pt idx="1">
                  <c:v>9.0355429684696489</c:v>
                </c:pt>
              </c:numCache>
            </c:numRef>
          </c:yVal>
          <c:smooth val="0"/>
          <c:extLst>
            <c:ext xmlns:c16="http://schemas.microsoft.com/office/drawing/2014/chart" uri="{C3380CC4-5D6E-409C-BE32-E72D297353CC}">
              <c16:uniqueId val="{00000001-64BE-4D77-8F63-B78B29ED4D8F}"/>
            </c:ext>
          </c:extLst>
        </c:ser>
        <c:ser>
          <c:idx val="4"/>
          <c:order val="2"/>
          <c:tx>
            <c:strRef>
              <c:f>PermDbase!$AJ$43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PermDbase!$AJ$47:$AJ$619</c:f>
            </c:numRef>
          </c:xVal>
          <c:yVal>
            <c:numRef>
              <c:f>PermDbase!$AG$47:$AG$619</c:f>
            </c:numRef>
          </c:yVal>
          <c:smooth val="0"/>
          <c:extLst>
            <c:ext xmlns:c16="http://schemas.microsoft.com/office/drawing/2014/chart" uri="{C3380CC4-5D6E-409C-BE32-E72D297353CC}">
              <c16:uniqueId val="{00000002-64BE-4D77-8F63-B78B29ED4D8F}"/>
            </c:ext>
          </c:extLst>
        </c:ser>
        <c:ser>
          <c:idx val="1"/>
          <c:order val="3"/>
          <c:tx>
            <c:strRef>
              <c:f>PermDbase!$AJ$15</c:f>
              <c:strCache>
                <c:ptCount val="1"/>
                <c:pt idx="0">
                  <c:v>regressie</c:v>
                </c:pt>
              </c:strCache>
            </c:strRef>
          </c:tx>
          <c:spPr>
            <a:ln w="15875">
              <a:solidFill>
                <a:schemeClr val="tx2">
                  <a:lumMod val="60000"/>
                  <a:lumOff val="40000"/>
                </a:schemeClr>
              </a:solidFill>
              <a:prstDash val="dash"/>
            </a:ln>
          </c:spPr>
          <c:marker>
            <c:symbol val="none"/>
          </c:marker>
          <c:xVal>
            <c:numRef>
              <c:f>PermDbase!$AF$16:$AF$17</c:f>
              <c:numCache>
                <c:formatCode>General</c:formatCode>
                <c:ptCount val="2"/>
                <c:pt idx="0">
                  <c:v>-4</c:v>
                </c:pt>
                <c:pt idx="1">
                  <c:v>9</c:v>
                </c:pt>
              </c:numCache>
            </c:numRef>
          </c:xVal>
          <c:yVal>
            <c:numRef>
              <c:f>PermDbase!$AJ$16:$AJ$17</c:f>
              <c:numCache>
                <c:formatCode>General</c:formatCode>
                <c:ptCount val="2"/>
              </c:numCache>
            </c:numRef>
          </c:yVal>
          <c:smooth val="0"/>
          <c:extLst>
            <c:ext xmlns:c16="http://schemas.microsoft.com/office/drawing/2014/chart" uri="{C3380CC4-5D6E-409C-BE32-E72D297353CC}">
              <c16:uniqueId val="{00000003-64BE-4D77-8F63-B78B29ED4D8F}"/>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PermDbase!$AK$47:$AK$619</c:f>
            </c:numRef>
          </c:xVal>
          <c:yVal>
            <c:numRef>
              <c:f>PermDbase!$AG$47:$AG$619</c:f>
            </c:numRef>
          </c:yVal>
          <c:smooth val="0"/>
          <c:extLst>
            <c:ext xmlns:c16="http://schemas.microsoft.com/office/drawing/2014/chart" uri="{C3380CC4-5D6E-409C-BE32-E72D297353CC}">
              <c16:uniqueId val="{00000004-64BE-4D77-8F63-B78B29ED4D8F}"/>
            </c:ext>
          </c:extLst>
        </c:ser>
        <c:ser>
          <c:idx val="3"/>
          <c:order val="5"/>
          <c:tx>
            <c:strRef>
              <c:f>PermDbase!$AK$15</c:f>
              <c:strCache>
                <c:ptCount val="1"/>
                <c:pt idx="0">
                  <c:v>regressie</c:v>
                </c:pt>
              </c:strCache>
            </c:strRef>
          </c:tx>
          <c:spPr>
            <a:ln w="19050">
              <a:solidFill>
                <a:schemeClr val="accent6">
                  <a:lumMod val="75000"/>
                </a:schemeClr>
              </a:solidFill>
              <a:prstDash val="sysDash"/>
            </a:ln>
          </c:spPr>
          <c:marker>
            <c:symbol val="none"/>
          </c:marker>
          <c:xVal>
            <c:numRef>
              <c:f>PermDbase!$AF$16:$AF$17</c:f>
              <c:numCache>
                <c:formatCode>General</c:formatCode>
                <c:ptCount val="2"/>
                <c:pt idx="0">
                  <c:v>-4</c:v>
                </c:pt>
                <c:pt idx="1">
                  <c:v>9</c:v>
                </c:pt>
              </c:numCache>
            </c:numRef>
          </c:xVal>
          <c:yVal>
            <c:numRef>
              <c:f>PermDbase!$AK$16:$AK$17</c:f>
              <c:numCache>
                <c:formatCode>General</c:formatCode>
                <c:ptCount val="2"/>
                <c:pt idx="0">
                  <c:v>-2.5273948106662769</c:v>
                </c:pt>
                <c:pt idx="1">
                  <c:v>4.5105033928622582</c:v>
                </c:pt>
              </c:numCache>
            </c:numRef>
          </c:yVal>
          <c:smooth val="0"/>
          <c:extLst>
            <c:ext xmlns:c16="http://schemas.microsoft.com/office/drawing/2014/chart" uri="{C3380CC4-5D6E-409C-BE32-E72D297353CC}">
              <c16:uniqueId val="{00000005-64BE-4D77-8F63-B78B29ED4D8F}"/>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64BE-4D77-8F63-B78B29ED4D8F}"/>
            </c:ext>
          </c:extLst>
        </c:ser>
        <c:dLbls>
          <c:showLegendKey val="0"/>
          <c:showVal val="0"/>
          <c:showCatName val="0"/>
          <c:showSerName val="0"/>
          <c:showPercent val="0"/>
          <c:showBubbleSize val="0"/>
        </c:dLbls>
        <c:axId val="175579520"/>
        <c:axId val="175581440"/>
      </c:scatterChart>
      <c:valAx>
        <c:axId val="175579520"/>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581440"/>
        <c:crossesAt val="-1000"/>
        <c:crossBetween val="midCat"/>
      </c:valAx>
      <c:valAx>
        <c:axId val="175581440"/>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579520"/>
        <c:crossesAt val="-1000"/>
        <c:crossBetween val="midCat"/>
      </c:valAx>
      <c:spPr>
        <a:ln>
          <a:solidFill>
            <a:schemeClr val="tx1"/>
          </a:solidFill>
        </a:ln>
      </c:spPr>
    </c:plotArea>
    <c:legend>
      <c:legendPos val="r"/>
      <c:layout>
        <c:manualLayout>
          <c:xMode val="edge"/>
          <c:yMode val="edge"/>
          <c:x val="0.16001683753946469"/>
          <c:y val="4.8301567020410323E-2"/>
          <c:w val="0.26695970129277852"/>
          <c:h val="0.305287030015132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PermDbase!$AI$43</c:f>
              <c:strCache>
                <c:ptCount val="1"/>
                <c:pt idx="0">
                  <c:v>Immersion</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PermDbase!$AI$620:$AI$927</c:f>
              <c:numCache>
                <c:formatCode>General</c:formatCode>
                <c:ptCount val="22"/>
                <c:pt idx="1">
                  <c:v>2.13</c:v>
                </c:pt>
                <c:pt idx="2">
                  <c:v>2.13</c:v>
                </c:pt>
                <c:pt idx="10">
                  <c:v>2.13</c:v>
                </c:pt>
                <c:pt idx="18">
                  <c:v>2.13</c:v>
                </c:pt>
                <c:pt idx="20">
                  <c:v>2.13</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0-ABB2-42BD-A1AF-A91810A7D02A}"/>
            </c:ext>
          </c:extLst>
        </c:ser>
        <c:ser>
          <c:idx val="11"/>
          <c:order val="1"/>
          <c:tx>
            <c:strRef>
              <c:f>PermDbase!$AI$29</c:f>
              <c:strCache>
                <c:ptCount val="1"/>
                <c:pt idx="0">
                  <c:v>regressie</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PermDbase!$AI$30:$AI$31</c:f>
              <c:numCache>
                <c:formatCode>General</c:formatCode>
                <c:ptCount val="2"/>
                <c:pt idx="0">
                  <c:v>-8.3028472703121459</c:v>
                </c:pt>
                <c:pt idx="1">
                  <c:v>10.634345353765042</c:v>
                </c:pt>
              </c:numCache>
            </c:numRef>
          </c:yVal>
          <c:smooth val="0"/>
          <c:extLst>
            <c:ext xmlns:c16="http://schemas.microsoft.com/office/drawing/2014/chart" uri="{C3380CC4-5D6E-409C-BE32-E72D297353CC}">
              <c16:uniqueId val="{00000001-ABB2-42BD-A1AF-A91810A7D02A}"/>
            </c:ext>
          </c:extLst>
        </c:ser>
        <c:ser>
          <c:idx val="4"/>
          <c:order val="2"/>
          <c:tx>
            <c:strRef>
              <c:f>PermDbase!$AJ$43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PermDbase!$AJ$620:$AJ$927</c:f>
              <c:numCache>
                <c:formatCode>General</c:formatCode>
                <c:ptCount val="22"/>
                <c:pt idx="17">
                  <c:v>2.13</c:v>
                </c:pt>
                <c:pt idx="18">
                  <c:v>3.15</c:v>
                </c:pt>
                <c:pt idx="19">
                  <c:v>3.12</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2-ABB2-42BD-A1AF-A91810A7D02A}"/>
            </c:ext>
          </c:extLst>
        </c:ser>
        <c:ser>
          <c:idx val="1"/>
          <c:order val="3"/>
          <c:tx>
            <c:strRef>
              <c:f>PermDbase!$AJ$29</c:f>
              <c:strCache>
                <c:ptCount val="1"/>
                <c:pt idx="0">
                  <c:v>regressie</c:v>
                </c:pt>
              </c:strCache>
            </c:strRef>
          </c:tx>
          <c:spPr>
            <a:ln w="15875">
              <a:solidFill>
                <a:schemeClr val="tx2">
                  <a:lumMod val="60000"/>
                  <a:lumOff val="40000"/>
                </a:schemeClr>
              </a:solidFill>
              <a:prstDash val="dash"/>
            </a:ln>
          </c:spPr>
          <c:marker>
            <c:symbol val="none"/>
          </c:marker>
          <c:xVal>
            <c:numRef>
              <c:f>PermDbase!$AF$30:$AF$31</c:f>
              <c:numCache>
                <c:formatCode>General</c:formatCode>
                <c:ptCount val="2"/>
                <c:pt idx="0">
                  <c:v>-4</c:v>
                </c:pt>
                <c:pt idx="1">
                  <c:v>9</c:v>
                </c:pt>
              </c:numCache>
            </c:numRef>
          </c:xVal>
          <c:yVal>
            <c:numRef>
              <c:f>PermDbase!$AJ$30:$AJ$31</c:f>
              <c:numCache>
                <c:formatCode>General</c:formatCode>
                <c:ptCount val="2"/>
                <c:pt idx="0">
                  <c:v>-1.3671667766793132</c:v>
                </c:pt>
                <c:pt idx="1">
                  <c:v>5.0845467526813204</c:v>
                </c:pt>
              </c:numCache>
            </c:numRef>
          </c:yVal>
          <c:smooth val="0"/>
          <c:extLst>
            <c:ext xmlns:c16="http://schemas.microsoft.com/office/drawing/2014/chart" uri="{C3380CC4-5D6E-409C-BE32-E72D297353CC}">
              <c16:uniqueId val="{00000003-ABB2-42BD-A1AF-A91810A7D02A}"/>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PermDbase!$AK$620:$AK$927</c:f>
              <c:numCache>
                <c:formatCode>General</c:formatCode>
                <c:ptCount val="22"/>
                <c:pt idx="3">
                  <c:v>2.13</c:v>
                </c:pt>
                <c:pt idx="6">
                  <c:v>2.13</c:v>
                </c:pt>
                <c:pt idx="7">
                  <c:v>2.13</c:v>
                </c:pt>
                <c:pt idx="12">
                  <c:v>2.13</c:v>
                </c:pt>
                <c:pt idx="16">
                  <c:v>2.13</c:v>
                </c:pt>
                <c:pt idx="21">
                  <c:v>2.13</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ABB2-42BD-A1AF-A91810A7D02A}"/>
            </c:ext>
          </c:extLst>
        </c:ser>
        <c:ser>
          <c:idx val="3"/>
          <c:order val="5"/>
          <c:tx>
            <c:strRef>
              <c:f>PermDbase!$AK$29</c:f>
              <c:strCache>
                <c:ptCount val="1"/>
                <c:pt idx="0">
                  <c:v>regressie</c:v>
                </c:pt>
              </c:strCache>
            </c:strRef>
          </c:tx>
          <c:spPr>
            <a:ln w="19050">
              <a:solidFill>
                <a:schemeClr val="accent6">
                  <a:lumMod val="75000"/>
                </a:schemeClr>
              </a:solidFill>
              <a:prstDash val="sysDash"/>
            </a:ln>
          </c:spPr>
          <c:marker>
            <c:symbol val="none"/>
          </c:marker>
          <c:xVal>
            <c:numRef>
              <c:f>PermDbase!$AF$30:$AF$31</c:f>
              <c:numCache>
                <c:formatCode>General</c:formatCode>
                <c:ptCount val="2"/>
                <c:pt idx="0">
                  <c:v>-4</c:v>
                </c:pt>
                <c:pt idx="1">
                  <c:v>9</c:v>
                </c:pt>
              </c:numCache>
            </c:numRef>
          </c:xVal>
          <c:yVal>
            <c:numRef>
              <c:f>PermDbase!$AK$30:$AK$31</c:f>
              <c:numCache>
                <c:formatCode>General</c:formatCode>
                <c:ptCount val="2"/>
                <c:pt idx="0">
                  <c:v>-3.8356657033480204</c:v>
                </c:pt>
                <c:pt idx="1">
                  <c:v>6.696986183948054</c:v>
                </c:pt>
              </c:numCache>
            </c:numRef>
          </c:yVal>
          <c:smooth val="0"/>
          <c:extLst>
            <c:ext xmlns:c16="http://schemas.microsoft.com/office/drawing/2014/chart" uri="{C3380CC4-5D6E-409C-BE32-E72D297353CC}">
              <c16:uniqueId val="{00000005-ABB2-42BD-A1AF-A91810A7D02A}"/>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ABB2-42BD-A1AF-A91810A7D02A}"/>
            </c:ext>
          </c:extLst>
        </c:ser>
        <c:ser>
          <c:idx val="12"/>
          <c:order val="7"/>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PermDbase!$AH$234:$AH$242</c:f>
            </c:numRef>
          </c:xVal>
          <c:yVal>
            <c:numRef>
              <c:f>PermDbase!$AG$234:$AG$242</c:f>
            </c:numRef>
          </c:yVal>
          <c:smooth val="0"/>
          <c:extLst>
            <c:ext xmlns:c16="http://schemas.microsoft.com/office/drawing/2014/chart" uri="{C3380CC4-5D6E-409C-BE32-E72D297353CC}">
              <c16:uniqueId val="{00000007-ABB2-42BD-A1AF-A91810A7D02A}"/>
            </c:ext>
          </c:extLst>
        </c:ser>
        <c:dLbls>
          <c:showLegendKey val="0"/>
          <c:showVal val="0"/>
          <c:showCatName val="0"/>
          <c:showSerName val="0"/>
          <c:showPercent val="0"/>
          <c:showBubbleSize val="0"/>
        </c:dLbls>
        <c:axId val="175631744"/>
        <c:axId val="175966080"/>
      </c:scatterChart>
      <c:valAx>
        <c:axId val="175631744"/>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966080"/>
        <c:crossesAt val="-1000"/>
        <c:crossBetween val="midCat"/>
      </c:valAx>
      <c:valAx>
        <c:axId val="175966080"/>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631744"/>
        <c:crossesAt val="-1000"/>
        <c:crossBetween val="midCat"/>
      </c:valAx>
      <c:spPr>
        <a:ln>
          <a:solidFill>
            <a:schemeClr val="tx1"/>
          </a:solidFill>
        </a:ln>
      </c:spPr>
    </c:plotArea>
    <c:legend>
      <c:legendPos val="r"/>
      <c:layout>
        <c:manualLayout>
          <c:xMode val="edge"/>
          <c:yMode val="edge"/>
          <c:x val="0.16001683753946469"/>
          <c:y val="4.8301567020410323E-2"/>
          <c:w val="0.26650638888888889"/>
          <c:h val="0.28205588239048807"/>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PermDbase!$AL$47:$AL$100</c:f>
            </c:numRef>
          </c:xVal>
          <c:yVal>
            <c:numRef>
              <c:f>PermDbase!$AG$47:$AG$100</c:f>
            </c:numRef>
          </c:yVal>
          <c:smooth val="0"/>
          <c:extLst>
            <c:ext xmlns:c16="http://schemas.microsoft.com/office/drawing/2014/chart" uri="{C3380CC4-5D6E-409C-BE32-E72D297353CC}">
              <c16:uniqueId val="{00000000-23F9-46D6-9D01-3144A4DAAC17}"/>
            </c:ext>
          </c:extLst>
        </c:ser>
        <c:ser>
          <c:idx val="1"/>
          <c:order val="1"/>
          <c:tx>
            <c:strRef>
              <c:f>PermDbase!$G$127</c:f>
              <c:strCache>
                <c:ptCount val="1"/>
                <c:pt idx="0">
                  <c:v>ClAlk</c:v>
                </c:pt>
              </c:strCache>
            </c:strRef>
          </c:tx>
          <c:spPr>
            <a:ln w="28575">
              <a:noFill/>
            </a:ln>
          </c:spPr>
          <c:marker>
            <c:symbol val="square"/>
            <c:size val="3"/>
            <c:spPr>
              <a:noFill/>
              <a:ln>
                <a:solidFill>
                  <a:schemeClr val="tx1"/>
                </a:solidFill>
              </a:ln>
            </c:spPr>
          </c:marker>
          <c:xVal>
            <c:numRef>
              <c:f>PermDbase!$AL$127:$AL$138</c:f>
            </c:numRef>
          </c:xVal>
          <c:yVal>
            <c:numRef>
              <c:f>PermDbase!$AG$127:$AG$138</c:f>
            </c:numRef>
          </c:yVal>
          <c:smooth val="0"/>
          <c:extLst>
            <c:ext xmlns:c16="http://schemas.microsoft.com/office/drawing/2014/chart" uri="{C3380CC4-5D6E-409C-BE32-E72D297353CC}">
              <c16:uniqueId val="{00000001-23F9-46D6-9D01-3144A4DAAC17}"/>
            </c:ext>
          </c:extLst>
        </c:ser>
        <c:ser>
          <c:idx val="3"/>
          <c:order val="2"/>
          <c:tx>
            <c:strRef>
              <c:f>PermDbase!$G$139</c:f>
              <c:strCache>
                <c:ptCount val="1"/>
                <c:pt idx="0">
                  <c:v>ClArom</c:v>
                </c:pt>
              </c:strCache>
            </c:strRef>
          </c:tx>
          <c:spPr>
            <a:ln w="28575">
              <a:noFill/>
            </a:ln>
          </c:spPr>
          <c:marker>
            <c:symbol val="diamond"/>
            <c:size val="5"/>
            <c:spPr>
              <a:noFill/>
              <a:ln>
                <a:solidFill>
                  <a:schemeClr val="tx1"/>
                </a:solidFill>
              </a:ln>
            </c:spPr>
          </c:marker>
          <c:xVal>
            <c:numRef>
              <c:f>PermDbase!$AL$139:$AL$154</c:f>
            </c:numRef>
          </c:xVal>
          <c:yVal>
            <c:numRef>
              <c:f>PermDbase!$AG$139:$AG$154</c:f>
            </c:numRef>
          </c:yVal>
          <c:smooth val="0"/>
          <c:extLst>
            <c:ext xmlns:c16="http://schemas.microsoft.com/office/drawing/2014/chart" uri="{C3380CC4-5D6E-409C-BE32-E72D297353CC}">
              <c16:uniqueId val="{00000002-23F9-46D6-9D01-3144A4DAAC17}"/>
            </c:ext>
          </c:extLst>
        </c:ser>
        <c:ser>
          <c:idx val="6"/>
          <c:order val="3"/>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PermDbase!$AL$155:$AL$189</c:f>
            </c:numRef>
          </c:xVal>
          <c:yVal>
            <c:numRef>
              <c:f>PermDbase!$AG$155:$AG$189</c:f>
            </c:numRef>
          </c:yVal>
          <c:smooth val="0"/>
          <c:extLst>
            <c:ext xmlns:c16="http://schemas.microsoft.com/office/drawing/2014/chart" uri="{C3380CC4-5D6E-409C-BE32-E72D297353CC}">
              <c16:uniqueId val="{00000003-23F9-46D6-9D01-3144A4DAAC17}"/>
            </c:ext>
          </c:extLst>
        </c:ser>
        <c:ser>
          <c:idx val="8"/>
          <c:order val="4"/>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PermDbase!$AL$309:$AL$425</c:f>
            </c:numRef>
          </c:xVal>
          <c:yVal>
            <c:numRef>
              <c:f>PermDbase!$AG$309:$AG$425</c:f>
            </c:numRef>
          </c:yVal>
          <c:smooth val="0"/>
          <c:extLst>
            <c:ext xmlns:c16="http://schemas.microsoft.com/office/drawing/2014/chart" uri="{C3380CC4-5D6E-409C-BE32-E72D297353CC}">
              <c16:uniqueId val="{00000004-23F9-46D6-9D01-3144A4DAAC17}"/>
            </c:ext>
          </c:extLst>
        </c:ser>
        <c:ser>
          <c:idx val="11"/>
          <c:order val="5"/>
          <c:tx>
            <c:strRef>
              <c:f>PermDbase!$AL$15</c:f>
              <c:strCache>
                <c:ptCount val="1"/>
                <c:pt idx="0">
                  <c:v>regressiemodel groep1</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PermDbase!$AL$16:$AL$17</c:f>
              <c:numCache>
                <c:formatCode>General</c:formatCode>
                <c:ptCount val="2"/>
                <c:pt idx="0">
                  <c:v>-5.0625365869571315</c:v>
                </c:pt>
                <c:pt idx="1">
                  <c:v>9.1777394449022172</c:v>
                </c:pt>
              </c:numCache>
            </c:numRef>
          </c:yVal>
          <c:smooth val="0"/>
          <c:extLst>
            <c:ext xmlns:c16="http://schemas.microsoft.com/office/drawing/2014/chart" uri="{C3380CC4-5D6E-409C-BE32-E72D297353CC}">
              <c16:uniqueId val="{00000005-23F9-46D6-9D01-3144A4DAAC17}"/>
            </c:ext>
          </c:extLst>
        </c:ser>
        <c:ser>
          <c:idx val="4"/>
          <c:order val="6"/>
          <c:tx>
            <c:strRef>
              <c:f>PermDbase!$AS$15</c:f>
              <c:strCache>
                <c:ptCount val="1"/>
                <c:pt idx="0">
                  <c:v>Lohmann 2011: PAK</c:v>
                </c:pt>
              </c:strCache>
            </c:strRef>
          </c:tx>
          <c:spPr>
            <a:ln w="9525">
              <a:solidFill>
                <a:srgbClr val="FF0000"/>
              </a:solidFill>
            </a:ln>
          </c:spPr>
          <c:marker>
            <c:symbol val="none"/>
          </c:marker>
          <c:xVal>
            <c:numRef>
              <c:f>PermDbase!$AF$16:$AF$17</c:f>
              <c:numCache>
                <c:formatCode>General</c:formatCode>
                <c:ptCount val="2"/>
                <c:pt idx="0">
                  <c:v>-4</c:v>
                </c:pt>
                <c:pt idx="1">
                  <c:v>9</c:v>
                </c:pt>
              </c:numCache>
            </c:numRef>
          </c:xVal>
          <c:yVal>
            <c:numRef>
              <c:f>PermDbase!$AS$16:$AS$17</c:f>
              <c:numCache>
                <c:formatCode>General</c:formatCode>
                <c:ptCount val="2"/>
                <c:pt idx="0">
                  <c:v>-4.03</c:v>
                </c:pt>
                <c:pt idx="1">
                  <c:v>8.84</c:v>
                </c:pt>
              </c:numCache>
            </c:numRef>
          </c:yVal>
          <c:smooth val="0"/>
          <c:extLst>
            <c:ext xmlns:c16="http://schemas.microsoft.com/office/drawing/2014/chart" uri="{C3380CC4-5D6E-409C-BE32-E72D297353CC}">
              <c16:uniqueId val="{00000006-23F9-46D6-9D01-3144A4DAAC17}"/>
            </c:ext>
          </c:extLst>
        </c:ser>
        <c:ser>
          <c:idx val="0"/>
          <c:order val="7"/>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7-23F9-46D6-9D01-3144A4DAAC17}"/>
            </c:ext>
          </c:extLst>
        </c:ser>
        <c:dLbls>
          <c:showLegendKey val="0"/>
          <c:showVal val="0"/>
          <c:showCatName val="0"/>
          <c:showSerName val="0"/>
          <c:showPercent val="0"/>
          <c:showBubbleSize val="0"/>
        </c:dLbls>
        <c:axId val="175833088"/>
        <c:axId val="175835008"/>
      </c:scatterChart>
      <c:valAx>
        <c:axId val="175833088"/>
        <c:scaling>
          <c:orientation val="minMax"/>
          <c:max val="7"/>
          <c:min val="1"/>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835008"/>
        <c:crossesAt val="-1000"/>
        <c:crossBetween val="midCat"/>
      </c:valAx>
      <c:valAx>
        <c:axId val="175835008"/>
        <c:scaling>
          <c:orientation val="minMax"/>
          <c:max val="7"/>
          <c:min val="1"/>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833088"/>
        <c:crossesAt val="-1000"/>
        <c:crossBetween val="midCat"/>
      </c:valAx>
      <c:spPr>
        <a:ln>
          <a:solidFill>
            <a:schemeClr val="tx1"/>
          </a:solidFill>
        </a:ln>
      </c:spPr>
    </c:plotArea>
    <c:legend>
      <c:legendPos val="r"/>
      <c:layout>
        <c:manualLayout>
          <c:xMode val="edge"/>
          <c:yMode val="edge"/>
          <c:x val="0.16001683753946469"/>
          <c:y val="4.8301567020410323E-2"/>
          <c:w val="0.3953932118101427"/>
          <c:h val="0.34395005660339883"/>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PermDbase!$AL$620:$AL$649</c:f>
            </c:numRef>
          </c:xVal>
          <c:yVal>
            <c:numRef>
              <c:f>PermDbase!$AG$620:$AG$649</c:f>
            </c:numRef>
          </c:yVal>
          <c:smooth val="0"/>
          <c:extLst>
            <c:ext xmlns:c16="http://schemas.microsoft.com/office/drawing/2014/chart" uri="{C3380CC4-5D6E-409C-BE32-E72D297353CC}">
              <c16:uniqueId val="{00000000-BE5F-4123-A278-1034C3658716}"/>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PermDbase!$AL$661:$AL$736</c:f>
            </c:numRef>
          </c:xVal>
          <c:yVal>
            <c:numRef>
              <c:f>PermDbase!$AG$661:$AG$736</c:f>
            </c:numRef>
          </c:yVal>
          <c:smooth val="0"/>
          <c:extLst>
            <c:ext xmlns:c16="http://schemas.microsoft.com/office/drawing/2014/chart" uri="{C3380CC4-5D6E-409C-BE32-E72D297353CC}">
              <c16:uniqueId val="{00000001-BE5F-4123-A278-1034C3658716}"/>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PermDbase!$AL$737:$AL$757</c:f>
            </c:numRef>
          </c:xVal>
          <c:yVal>
            <c:numRef>
              <c:f>PermDbase!$AG$737:$AG$757</c:f>
            </c:numRef>
          </c:yVal>
          <c:smooth val="0"/>
          <c:extLst>
            <c:ext xmlns:c16="http://schemas.microsoft.com/office/drawing/2014/chart" uri="{C3380CC4-5D6E-409C-BE32-E72D297353CC}">
              <c16:uniqueId val="{00000002-BE5F-4123-A278-1034C3658716}"/>
            </c:ext>
          </c:extLst>
        </c:ser>
        <c:ser>
          <c:idx val="6"/>
          <c:order val="3"/>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PermDbase!$AL$758:$AL$873</c:f>
              <c:numCache>
                <c:formatCode>General</c:formatCode>
                <c:ptCount val="22"/>
                <c:pt idx="1">
                  <c:v>2.13</c:v>
                </c:pt>
                <c:pt idx="2">
                  <c:v>2.13</c:v>
                </c:pt>
                <c:pt idx="6">
                  <c:v>2.13</c:v>
                </c:pt>
                <c:pt idx="7">
                  <c:v>2.13</c:v>
                </c:pt>
                <c:pt idx="10">
                  <c:v>2.13</c:v>
                </c:pt>
                <c:pt idx="18">
                  <c:v>2.13</c:v>
                </c:pt>
                <c:pt idx="20">
                  <c:v>2.13</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3-BE5F-4123-A278-1034C3658716}"/>
            </c:ext>
          </c:extLst>
        </c:ser>
        <c:ser>
          <c:idx val="8"/>
          <c:order val="4"/>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PermDbase!$AL$926:$AL$927</c:f>
            </c:numRef>
          </c:xVal>
          <c:yVal>
            <c:numRef>
              <c:f>PermDbase!$AG$926:$AG$927</c:f>
            </c:numRef>
          </c:yVal>
          <c:smooth val="0"/>
          <c:extLst>
            <c:ext xmlns:c16="http://schemas.microsoft.com/office/drawing/2014/chart" uri="{C3380CC4-5D6E-409C-BE32-E72D297353CC}">
              <c16:uniqueId val="{00000004-BE5F-4123-A278-1034C3658716}"/>
            </c:ext>
          </c:extLst>
        </c:ser>
        <c:ser>
          <c:idx val="0"/>
          <c:order val="5"/>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5-BE5F-4123-A278-1034C3658716}"/>
            </c:ext>
          </c:extLst>
        </c:ser>
        <c:ser>
          <c:idx val="11"/>
          <c:order val="6"/>
          <c:tx>
            <c:strRef>
              <c:f>PermDbase!$AL$29</c:f>
              <c:strCache>
                <c:ptCount val="1"/>
                <c:pt idx="0">
                  <c:v>regressiemodel groep1</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PermDbase!$AL$30:$AL$31</c:f>
              <c:numCache>
                <c:formatCode>General</c:formatCode>
                <c:ptCount val="2"/>
                <c:pt idx="0">
                  <c:v>-6.1046480090875441</c:v>
                </c:pt>
                <c:pt idx="1">
                  <c:v>9.132118096788794</c:v>
                </c:pt>
              </c:numCache>
            </c:numRef>
          </c:yVal>
          <c:smooth val="0"/>
          <c:extLst>
            <c:ext xmlns:c16="http://schemas.microsoft.com/office/drawing/2014/chart" uri="{C3380CC4-5D6E-409C-BE32-E72D297353CC}">
              <c16:uniqueId val="{00000006-BE5F-4123-A278-1034C3658716}"/>
            </c:ext>
          </c:extLst>
        </c:ser>
        <c:dLbls>
          <c:showLegendKey val="0"/>
          <c:showVal val="0"/>
          <c:showCatName val="0"/>
          <c:showSerName val="0"/>
          <c:showPercent val="0"/>
          <c:showBubbleSize val="0"/>
        </c:dLbls>
        <c:axId val="175889792"/>
        <c:axId val="175896064"/>
      </c:scatterChart>
      <c:valAx>
        <c:axId val="175889792"/>
        <c:scaling>
          <c:orientation val="minMax"/>
          <c:max val="6"/>
          <c:min val="1"/>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896064"/>
        <c:crossesAt val="-1000"/>
        <c:crossBetween val="midCat"/>
      </c:valAx>
      <c:valAx>
        <c:axId val="175896064"/>
        <c:scaling>
          <c:orientation val="minMax"/>
          <c:max val="6"/>
          <c:min val="1"/>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889792"/>
        <c:crossesAt val="-1000"/>
        <c:crossBetween val="midCat"/>
      </c:valAx>
      <c:spPr>
        <a:ln>
          <a:solidFill>
            <a:schemeClr val="tx1"/>
          </a:solidFill>
        </a:ln>
      </c:spPr>
    </c:plotArea>
    <c:legend>
      <c:legendPos val="r"/>
      <c:layout>
        <c:manualLayout>
          <c:xMode val="edge"/>
          <c:yMode val="edge"/>
          <c:x val="0.16001683753946469"/>
          <c:y val="4.8301567020410323E-2"/>
          <c:w val="0.38462669959756524"/>
          <c:h val="0.33932590294864085"/>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9"/>
          <c:order val="0"/>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PermDbase!$AM$426:$AM$619</c:f>
            </c:numRef>
          </c:xVal>
          <c:yVal>
            <c:numRef>
              <c:f>PermDbase!$AG$426:$AG$619</c:f>
            </c:numRef>
          </c:yVal>
          <c:smooth val="0"/>
          <c:extLst>
            <c:ext xmlns:c16="http://schemas.microsoft.com/office/drawing/2014/chart" uri="{C3380CC4-5D6E-409C-BE32-E72D297353CC}">
              <c16:uniqueId val="{00000000-871C-430F-80BE-E9CBA079DAD0}"/>
            </c:ext>
          </c:extLst>
        </c:ser>
        <c:ser>
          <c:idx val="11"/>
          <c:order val="1"/>
          <c:tx>
            <c:strRef>
              <c:f>PermDbase!$AM$15</c:f>
              <c:strCache>
                <c:ptCount val="1"/>
                <c:pt idx="0">
                  <c:v>regressiemodel groep2</c:v>
                </c:pt>
              </c:strCache>
            </c:strRef>
          </c:tx>
          <c:spPr>
            <a:ln w="9525">
              <a:solidFill>
                <a:schemeClr val="accent3">
                  <a:lumMod val="75000"/>
                </a:schemeClr>
              </a:solidFill>
              <a:prstDash val="dash"/>
            </a:ln>
          </c:spPr>
          <c:marker>
            <c:symbol val="none"/>
          </c:marker>
          <c:xVal>
            <c:numRef>
              <c:f>PermDbase!$AF$16:$AF$17</c:f>
              <c:numCache>
                <c:formatCode>General</c:formatCode>
                <c:ptCount val="2"/>
                <c:pt idx="0">
                  <c:v>-4</c:v>
                </c:pt>
                <c:pt idx="1">
                  <c:v>9</c:v>
                </c:pt>
              </c:numCache>
            </c:numRef>
          </c:xVal>
          <c:yVal>
            <c:numRef>
              <c:f>PermDbase!$AM$16:$AM$17</c:f>
              <c:numCache>
                <c:formatCode>General</c:formatCode>
                <c:ptCount val="2"/>
                <c:pt idx="0">
                  <c:v>-4.9043554161533507</c:v>
                </c:pt>
                <c:pt idx="1">
                  <c:v>8.8580530089497316</c:v>
                </c:pt>
              </c:numCache>
            </c:numRef>
          </c:yVal>
          <c:smooth val="0"/>
          <c:extLst>
            <c:ext xmlns:c16="http://schemas.microsoft.com/office/drawing/2014/chart" uri="{C3380CC4-5D6E-409C-BE32-E72D297353CC}">
              <c16:uniqueId val="{00000001-871C-430F-80BE-E9CBA079DAD0}"/>
            </c:ext>
          </c:extLst>
        </c:ser>
        <c:ser>
          <c:idx val="2"/>
          <c:order val="2"/>
          <c:tx>
            <c:strRef>
              <c:f>PermDbase!$AT$15</c:f>
              <c:strCache>
                <c:ptCount val="1"/>
                <c:pt idx="0">
                  <c:v>Lohmann 2011: PCB</c:v>
                </c:pt>
              </c:strCache>
            </c:strRef>
          </c:tx>
          <c:spPr>
            <a:ln w="9525">
              <a:solidFill>
                <a:srgbClr val="FF0000"/>
              </a:solidFill>
            </a:ln>
          </c:spPr>
          <c:marker>
            <c:symbol val="none"/>
          </c:marker>
          <c:xVal>
            <c:numRef>
              <c:f>PermDbase!$AF$16:$AF$17</c:f>
              <c:numCache>
                <c:formatCode>General</c:formatCode>
                <c:ptCount val="2"/>
                <c:pt idx="0">
                  <c:v>-4</c:v>
                </c:pt>
                <c:pt idx="1">
                  <c:v>9</c:v>
                </c:pt>
              </c:numCache>
            </c:numRef>
          </c:xVal>
          <c:yVal>
            <c:numRef>
              <c:f>PermDbase!$AT$16:$AT$17</c:f>
              <c:numCache>
                <c:formatCode>General</c:formatCode>
                <c:ptCount val="2"/>
                <c:pt idx="0">
                  <c:v>-5.6999999999999993</c:v>
                </c:pt>
                <c:pt idx="1">
                  <c:v>9.1199999999999992</c:v>
                </c:pt>
              </c:numCache>
            </c:numRef>
          </c:yVal>
          <c:smooth val="0"/>
          <c:extLst>
            <c:ext xmlns:c16="http://schemas.microsoft.com/office/drawing/2014/chart" uri="{C3380CC4-5D6E-409C-BE32-E72D297353CC}">
              <c16:uniqueId val="{00000002-871C-430F-80BE-E9CBA079DAD0}"/>
            </c:ext>
          </c:extLst>
        </c:ser>
        <c:ser>
          <c:idx val="5"/>
          <c:order val="3"/>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PermDbase!$AN$116:$AN$125</c:f>
            </c:numRef>
          </c:xVal>
          <c:yVal>
            <c:numRef>
              <c:f>PermDbase!$AG$116:$AG$125</c:f>
            </c:numRef>
          </c:yVal>
          <c:smooth val="0"/>
          <c:extLst>
            <c:ext xmlns:c16="http://schemas.microsoft.com/office/drawing/2014/chart" uri="{C3380CC4-5D6E-409C-BE32-E72D297353CC}">
              <c16:uniqueId val="{00000003-871C-430F-80BE-E9CBA079DAD0}"/>
            </c:ext>
          </c:extLst>
        </c:ser>
        <c:ser>
          <c:idx val="10"/>
          <c:order val="4"/>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PermDbase!$AN$190:$AN$233</c:f>
            </c:numRef>
          </c:xVal>
          <c:yVal>
            <c:numRef>
              <c:f>PermDbase!$AG$190:$AG$233</c:f>
            </c:numRef>
          </c:yVal>
          <c:smooth val="0"/>
          <c:extLst>
            <c:ext xmlns:c16="http://schemas.microsoft.com/office/drawing/2014/chart" uri="{C3380CC4-5D6E-409C-BE32-E72D297353CC}">
              <c16:uniqueId val="{00000004-871C-430F-80BE-E9CBA079DAD0}"/>
            </c:ext>
          </c:extLst>
        </c:ser>
        <c:ser>
          <c:idx val="1"/>
          <c:order val="5"/>
          <c:tx>
            <c:strRef>
              <c:f>PermDbase!$AN$15</c:f>
              <c:strCache>
                <c:ptCount val="1"/>
                <c:pt idx="0">
                  <c:v>regressiemodel groep3</c:v>
                </c:pt>
              </c:strCache>
            </c:strRef>
          </c:tx>
          <c:spPr>
            <a:ln w="15875">
              <a:solidFill>
                <a:schemeClr val="accent6">
                  <a:lumMod val="75000"/>
                </a:schemeClr>
              </a:solidFill>
              <a:prstDash val="sysDash"/>
            </a:ln>
          </c:spPr>
          <c:marker>
            <c:symbol val="none"/>
          </c:marker>
          <c:xVal>
            <c:numRef>
              <c:f>PermDbase!$AF$16:$AF$17</c:f>
              <c:numCache>
                <c:formatCode>General</c:formatCode>
                <c:ptCount val="2"/>
                <c:pt idx="0">
                  <c:v>-4</c:v>
                </c:pt>
                <c:pt idx="1">
                  <c:v>9</c:v>
                </c:pt>
              </c:numCache>
            </c:numRef>
          </c:xVal>
          <c:yVal>
            <c:numRef>
              <c:f>PermDbase!$AN$16:$AN$17</c:f>
              <c:numCache>
                <c:formatCode>General</c:formatCode>
                <c:ptCount val="2"/>
                <c:pt idx="0">
                  <c:v>-5.7140427603647321</c:v>
                </c:pt>
                <c:pt idx="1">
                  <c:v>7.0181413501348366</c:v>
                </c:pt>
              </c:numCache>
            </c:numRef>
          </c:yVal>
          <c:smooth val="0"/>
          <c:extLst>
            <c:ext xmlns:c16="http://schemas.microsoft.com/office/drawing/2014/chart" uri="{C3380CC4-5D6E-409C-BE32-E72D297353CC}">
              <c16:uniqueId val="{00000005-871C-430F-80BE-E9CBA079DAD0}"/>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871C-430F-80BE-E9CBA079DAD0}"/>
            </c:ext>
          </c:extLst>
        </c:ser>
        <c:dLbls>
          <c:showLegendKey val="0"/>
          <c:showVal val="0"/>
          <c:showCatName val="0"/>
          <c:showSerName val="0"/>
          <c:showPercent val="0"/>
          <c:showBubbleSize val="0"/>
        </c:dLbls>
        <c:axId val="175941888"/>
        <c:axId val="175948160"/>
      </c:scatterChart>
      <c:valAx>
        <c:axId val="175941888"/>
        <c:scaling>
          <c:orientation val="minMax"/>
          <c:max val="9"/>
          <c:min val="-5"/>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948160"/>
        <c:crossesAt val="-1000"/>
        <c:crossBetween val="midCat"/>
      </c:valAx>
      <c:valAx>
        <c:axId val="175948160"/>
        <c:scaling>
          <c:orientation val="minMax"/>
          <c:max val="9"/>
          <c:min val="-5"/>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941888"/>
        <c:crossesAt val="-1000"/>
        <c:crossBetween val="midCat"/>
      </c:valAx>
      <c:spPr>
        <a:ln>
          <a:solidFill>
            <a:schemeClr val="tx1"/>
          </a:solidFill>
        </a:ln>
      </c:spPr>
    </c:plotArea>
    <c:legend>
      <c:legendPos val="r"/>
      <c:layout>
        <c:manualLayout>
          <c:xMode val="edge"/>
          <c:yMode val="edge"/>
          <c:x val="0.16001683753946469"/>
          <c:y val="4.8301567020410323E-2"/>
          <c:w val="0.43605405499034811"/>
          <c:h val="0.3573627450331344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5"/>
          <c:order val="0"/>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PermDbase!$AN$650:$AN$660</c:f>
            </c:numRef>
          </c:xVal>
          <c:yVal>
            <c:numRef>
              <c:f>PermDbase!$AG$650:$AG$660</c:f>
            </c:numRef>
          </c:yVal>
          <c:smooth val="0"/>
          <c:extLst>
            <c:ext xmlns:c16="http://schemas.microsoft.com/office/drawing/2014/chart" uri="{C3380CC4-5D6E-409C-BE32-E72D297353CC}">
              <c16:uniqueId val="{00000000-B98B-4751-B115-A718874D9BA0}"/>
            </c:ext>
          </c:extLst>
        </c:ser>
        <c:ser>
          <c:idx val="10"/>
          <c:order val="1"/>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PermDbase!$AN$874:$AN$914</c:f>
            </c:numRef>
          </c:xVal>
          <c:yVal>
            <c:numRef>
              <c:f>PermDbase!$AG$874:$AG$914</c:f>
            </c:numRef>
          </c:yVal>
          <c:smooth val="0"/>
          <c:extLst>
            <c:ext xmlns:c16="http://schemas.microsoft.com/office/drawing/2014/chart" uri="{C3380CC4-5D6E-409C-BE32-E72D297353CC}">
              <c16:uniqueId val="{00000001-B98B-4751-B115-A718874D9BA0}"/>
            </c:ext>
          </c:extLst>
        </c:ser>
        <c:ser>
          <c:idx val="1"/>
          <c:order val="2"/>
          <c:tx>
            <c:strRef>
              <c:f>PermDbase!$AN$29</c:f>
              <c:strCache>
                <c:ptCount val="1"/>
                <c:pt idx="0">
                  <c:v>regressiemodel groep3</c:v>
                </c:pt>
              </c:strCache>
            </c:strRef>
          </c:tx>
          <c:spPr>
            <a:ln w="15875">
              <a:solidFill>
                <a:schemeClr val="accent6">
                  <a:lumMod val="75000"/>
                </a:schemeClr>
              </a:solidFill>
              <a:prstDash val="sysDash"/>
            </a:ln>
          </c:spPr>
          <c:marker>
            <c:symbol val="none"/>
          </c:marker>
          <c:xVal>
            <c:numRef>
              <c:f>PermDbase!$AF$30:$AF$31</c:f>
              <c:numCache>
                <c:formatCode>General</c:formatCode>
                <c:ptCount val="2"/>
                <c:pt idx="0">
                  <c:v>-4</c:v>
                </c:pt>
                <c:pt idx="1">
                  <c:v>9</c:v>
                </c:pt>
              </c:numCache>
            </c:numRef>
          </c:xVal>
          <c:yVal>
            <c:numRef>
              <c:f>PermDbase!$AN$30:$AN$31</c:f>
              <c:numCache>
                <c:formatCode>General</c:formatCode>
                <c:ptCount val="2"/>
                <c:pt idx="0">
                  <c:v>-7.529379491567334</c:v>
                </c:pt>
                <c:pt idx="1">
                  <c:v>8.4701600820604881</c:v>
                </c:pt>
              </c:numCache>
            </c:numRef>
          </c:yVal>
          <c:smooth val="0"/>
          <c:extLst>
            <c:ext xmlns:c16="http://schemas.microsoft.com/office/drawing/2014/chart" uri="{C3380CC4-5D6E-409C-BE32-E72D297353CC}">
              <c16:uniqueId val="{00000002-B98B-4751-B115-A718874D9BA0}"/>
            </c:ext>
          </c:extLst>
        </c:ser>
        <c:ser>
          <c:idx val="0"/>
          <c:order val="3"/>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3-B98B-4751-B115-A718874D9BA0}"/>
            </c:ext>
          </c:extLst>
        </c:ser>
        <c:dLbls>
          <c:showLegendKey val="0"/>
          <c:showVal val="0"/>
          <c:showCatName val="0"/>
          <c:showSerName val="0"/>
          <c:showPercent val="0"/>
          <c:showBubbleSize val="0"/>
        </c:dLbls>
        <c:axId val="176442752"/>
        <c:axId val="176465408"/>
      </c:scatterChart>
      <c:valAx>
        <c:axId val="176442752"/>
        <c:scaling>
          <c:orientation val="minMax"/>
          <c:max val="9"/>
          <c:min val="-5"/>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465408"/>
        <c:crossesAt val="-1000"/>
        <c:crossBetween val="midCat"/>
      </c:valAx>
      <c:valAx>
        <c:axId val="176465408"/>
        <c:scaling>
          <c:orientation val="minMax"/>
          <c:max val="9"/>
          <c:min val="-5"/>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442752"/>
        <c:crossesAt val="-1000"/>
        <c:crossBetween val="midCat"/>
      </c:valAx>
      <c:spPr>
        <a:ln>
          <a:solidFill>
            <a:schemeClr val="tx1"/>
          </a:solidFill>
        </a:ln>
      </c:spPr>
    </c:plotArea>
    <c:legend>
      <c:legendPos val="r"/>
      <c:layout>
        <c:manualLayout>
          <c:xMode val="edge"/>
          <c:yMode val="edge"/>
          <c:x val="0.16001683753946469"/>
          <c:y val="4.8301567020410323E-2"/>
          <c:w val="0.39066088442172925"/>
          <c:h val="0.21863476574137211"/>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PermDbase!$BX$47:$BX$100</c:f>
            </c:numRef>
          </c:xVal>
          <c:yVal>
            <c:numRef>
              <c:f>PermDbase!$AG$47:$AG$100</c:f>
            </c:numRef>
          </c:yVal>
          <c:smooth val="0"/>
          <c:extLst>
            <c:ext xmlns:c16="http://schemas.microsoft.com/office/drawing/2014/chart" uri="{C3380CC4-5D6E-409C-BE32-E72D297353CC}">
              <c16:uniqueId val="{00000000-1402-4E9F-80B2-2856D4A790D8}"/>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PermDbase!$BX$101:$BX$115</c:f>
            </c:numRef>
          </c:xVal>
          <c:yVal>
            <c:numRef>
              <c:f>PermDbase!$AG$101:$AG$115</c:f>
            </c:numRef>
          </c:yVal>
          <c:smooth val="0"/>
          <c:extLst>
            <c:ext xmlns:c16="http://schemas.microsoft.com/office/drawing/2014/chart" uri="{C3380CC4-5D6E-409C-BE32-E72D297353CC}">
              <c16:uniqueId val="{00000001-1402-4E9F-80B2-2856D4A790D8}"/>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PermDbase!$BX$116:$BX$125</c:f>
            </c:numRef>
          </c:xVal>
          <c:yVal>
            <c:numRef>
              <c:f>PermDbase!$AG$116:$AG$125</c:f>
            </c:numRef>
          </c:yVal>
          <c:smooth val="0"/>
          <c:extLst>
            <c:ext xmlns:c16="http://schemas.microsoft.com/office/drawing/2014/chart" uri="{C3380CC4-5D6E-409C-BE32-E72D297353CC}">
              <c16:uniqueId val="{00000002-1402-4E9F-80B2-2856D4A790D8}"/>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PermDbase!$BX$127:$BX$138</c:f>
            </c:numRef>
          </c:xVal>
          <c:yVal>
            <c:numRef>
              <c:f>PermDbase!$AG$127:$AG$138</c:f>
            </c:numRef>
          </c:yVal>
          <c:smooth val="0"/>
          <c:extLst>
            <c:ext xmlns:c16="http://schemas.microsoft.com/office/drawing/2014/chart" uri="{C3380CC4-5D6E-409C-BE32-E72D297353CC}">
              <c16:uniqueId val="{00000003-1402-4E9F-80B2-2856D4A790D8}"/>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PermDbase!$BX$139:$BX$154</c:f>
            </c:numRef>
          </c:xVal>
          <c:yVal>
            <c:numRef>
              <c:f>PermDbase!$AG$139:$AG$154</c:f>
            </c:numRef>
          </c:yVal>
          <c:smooth val="0"/>
          <c:extLst>
            <c:ext xmlns:c16="http://schemas.microsoft.com/office/drawing/2014/chart" uri="{C3380CC4-5D6E-409C-BE32-E72D297353CC}">
              <c16:uniqueId val="{00000004-1402-4E9F-80B2-2856D4A790D8}"/>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PermDbase!$BX$155:$BX$189</c:f>
            </c:numRef>
          </c:xVal>
          <c:yVal>
            <c:numRef>
              <c:f>PermDbase!$AG$155:$AG$189</c:f>
            </c:numRef>
          </c:yVal>
          <c:smooth val="0"/>
          <c:extLst>
            <c:ext xmlns:c16="http://schemas.microsoft.com/office/drawing/2014/chart" uri="{C3380CC4-5D6E-409C-BE32-E72D297353CC}">
              <c16:uniqueId val="{00000005-1402-4E9F-80B2-2856D4A790D8}"/>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PermDbase!$BX$243:$BX$308</c:f>
            </c:numRef>
          </c:xVal>
          <c:yVal>
            <c:numRef>
              <c:f>PermDbase!$AG$243:$AG$308</c:f>
            </c:numRef>
          </c:yVal>
          <c:smooth val="0"/>
          <c:extLst>
            <c:ext xmlns:c16="http://schemas.microsoft.com/office/drawing/2014/chart" uri="{C3380CC4-5D6E-409C-BE32-E72D297353CC}">
              <c16:uniqueId val="{00000006-1402-4E9F-80B2-2856D4A790D8}"/>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PermDbase!$BX$190:$BX$233</c:f>
            </c:numRef>
          </c:xVal>
          <c:yVal>
            <c:numRef>
              <c:f>PermDbase!$AG$190:$AG$233</c:f>
            </c:numRef>
          </c:yVal>
          <c:smooth val="0"/>
          <c:extLst>
            <c:ext xmlns:c16="http://schemas.microsoft.com/office/drawing/2014/chart" uri="{C3380CC4-5D6E-409C-BE32-E72D297353CC}">
              <c16:uniqueId val="{00000007-1402-4E9F-80B2-2856D4A790D8}"/>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PermDbase!$BX$309:$BX$425</c:f>
            </c:numRef>
          </c:xVal>
          <c:yVal>
            <c:numRef>
              <c:f>PermDbase!$AG$309:$AG$425</c:f>
            </c:numRef>
          </c:yVal>
          <c:smooth val="0"/>
          <c:extLst>
            <c:ext xmlns:c16="http://schemas.microsoft.com/office/drawing/2014/chart" uri="{C3380CC4-5D6E-409C-BE32-E72D297353CC}">
              <c16:uniqueId val="{00000008-1402-4E9F-80B2-2856D4A790D8}"/>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PermDbase!$BX$426:$BX$619</c:f>
            </c:numRef>
          </c:xVal>
          <c:yVal>
            <c:numRef>
              <c:f>PermDbase!$AG$426:$AG$619</c:f>
            </c:numRef>
          </c:yVal>
          <c:smooth val="0"/>
          <c:extLst>
            <c:ext xmlns:c16="http://schemas.microsoft.com/office/drawing/2014/chart" uri="{C3380CC4-5D6E-409C-BE32-E72D297353CC}">
              <c16:uniqueId val="{00000009-1402-4E9F-80B2-2856D4A790D8}"/>
            </c:ext>
          </c:extLst>
        </c:ser>
        <c:ser>
          <c:idx val="11"/>
          <c:order val="10"/>
          <c:tx>
            <c:strRef>
              <c:f>PermDbase!$BV$15</c:f>
              <c:strCache>
                <c:ptCount val="1"/>
                <c:pt idx="0">
                  <c:v>x-as</c:v>
                </c:pt>
              </c:strCache>
            </c:strRef>
          </c:tx>
          <c:spPr>
            <a:ln w="9525">
              <a:solidFill>
                <a:schemeClr val="tx1"/>
              </a:solidFill>
              <a:prstDash val="dash"/>
            </a:ln>
          </c:spPr>
          <c:marker>
            <c:symbol val="none"/>
          </c:marker>
          <c:xVal>
            <c:numRef>
              <c:f>PermDbase!$BV$16:$BV$17</c:f>
              <c:numCache>
                <c:formatCode>General</c:formatCode>
                <c:ptCount val="2"/>
                <c:pt idx="0">
                  <c:v>-10</c:v>
                </c:pt>
                <c:pt idx="1">
                  <c:v>10</c:v>
                </c:pt>
              </c:numCache>
            </c:numRef>
          </c:xVal>
          <c:yVal>
            <c:numRef>
              <c:f>PermDbase!$BX$16:$BX$17</c:f>
              <c:numCache>
                <c:formatCode>General</c:formatCode>
                <c:ptCount val="2"/>
                <c:pt idx="0">
                  <c:v>15.487374819069439</c:v>
                </c:pt>
                <c:pt idx="1">
                  <c:v>-6.0672996923058857</c:v>
                </c:pt>
              </c:numCache>
            </c:numRef>
          </c:yVal>
          <c:smooth val="0"/>
          <c:extLst>
            <c:ext xmlns:c16="http://schemas.microsoft.com/office/drawing/2014/chart" uri="{C3380CC4-5D6E-409C-BE32-E72D297353CC}">
              <c16:uniqueId val="{0000000A-1402-4E9F-80B2-2856D4A790D8}"/>
            </c:ext>
          </c:extLst>
        </c:ser>
        <c:ser>
          <c:idx val="12"/>
          <c:order val="11"/>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PermDbase!$BX$234:$BX$242</c:f>
            </c:numRef>
          </c:xVal>
          <c:yVal>
            <c:numRef>
              <c:f>PermDbase!$AG$234:$AG$242</c:f>
            </c:numRef>
          </c:yVal>
          <c:smooth val="0"/>
          <c:extLst>
            <c:ext xmlns:c16="http://schemas.microsoft.com/office/drawing/2014/chart" uri="{C3380CC4-5D6E-409C-BE32-E72D297353CC}">
              <c16:uniqueId val="{0000000B-1402-4E9F-80B2-2856D4A790D8}"/>
            </c:ext>
          </c:extLst>
        </c:ser>
        <c:dLbls>
          <c:showLegendKey val="0"/>
          <c:showVal val="0"/>
          <c:showCatName val="0"/>
          <c:showSerName val="0"/>
          <c:showPercent val="0"/>
          <c:showBubbleSize val="0"/>
        </c:dLbls>
        <c:axId val="176549248"/>
        <c:axId val="176166400"/>
      </c:scatterChart>
      <c:valAx>
        <c:axId val="176549248"/>
        <c:scaling>
          <c:orientation val="minMax"/>
          <c:max val="6"/>
          <c:min val="-6"/>
        </c:scaling>
        <c:delete val="0"/>
        <c:axPos val="b"/>
        <c:title>
          <c:tx>
            <c:rich>
              <a:bodyPr/>
              <a:lstStyle/>
              <a:p>
                <a:pPr>
                  <a:defRPr/>
                </a:pPr>
                <a:r>
                  <a:rPr lang="en-US"/>
                  <a:t>log Cw,sat</a:t>
                </a:r>
                <a:r>
                  <a:rPr lang="en-US" baseline="0"/>
                  <a:t> (g/m3)</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166400"/>
        <c:crossesAt val="-1000"/>
        <c:crossBetween val="midCat"/>
      </c:valAx>
      <c:valAx>
        <c:axId val="176166400"/>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549248"/>
        <c:crossesAt val="-1000"/>
        <c:crossBetween val="midCat"/>
      </c:valAx>
      <c:spPr>
        <a:ln>
          <a:solidFill>
            <a:schemeClr val="tx1"/>
          </a:solidFill>
        </a:ln>
      </c:spPr>
    </c:plotArea>
    <c:legend>
      <c:legendPos val="r"/>
      <c:layout>
        <c:manualLayout>
          <c:xMode val="edge"/>
          <c:yMode val="edge"/>
          <c:x val="0.65235832845308506"/>
          <c:y val="3.9893810699697455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PermDbase!$BX$620:$BX$649</c:f>
            </c:numRef>
          </c:xVal>
          <c:yVal>
            <c:numRef>
              <c:f>PermDbase!$AG$620:$AG$649</c:f>
            </c:numRef>
          </c:yVal>
          <c:smooth val="0"/>
          <c:extLst>
            <c:ext xmlns:c16="http://schemas.microsoft.com/office/drawing/2014/chart" uri="{C3380CC4-5D6E-409C-BE32-E72D297353CC}">
              <c16:uniqueId val="{00000000-09CE-4130-AC0D-C6FD2622D737}"/>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PermDbase!$BX$661:$BX$736</c:f>
            </c:numRef>
          </c:xVal>
          <c:yVal>
            <c:numRef>
              <c:f>PermDbase!$AG$661:$AG$736</c:f>
            </c:numRef>
          </c:yVal>
          <c:smooth val="0"/>
          <c:extLst>
            <c:ext xmlns:c16="http://schemas.microsoft.com/office/drawing/2014/chart" uri="{C3380CC4-5D6E-409C-BE32-E72D297353CC}">
              <c16:uniqueId val="{00000001-09CE-4130-AC0D-C6FD2622D737}"/>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PermDbase!$BX$737:$BX$757</c:f>
            </c:numRef>
          </c:xVal>
          <c:yVal>
            <c:numRef>
              <c:f>PermDbase!$AG$737:$AG$757</c:f>
            </c:numRef>
          </c:yVal>
          <c:smooth val="0"/>
          <c:extLst>
            <c:ext xmlns:c16="http://schemas.microsoft.com/office/drawing/2014/chart" uri="{C3380CC4-5D6E-409C-BE32-E72D297353CC}">
              <c16:uniqueId val="{00000002-09CE-4130-AC0D-C6FD2622D737}"/>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PermDbase!$BX$650:$BX$660</c:f>
            </c:numRef>
          </c:xVal>
          <c:yVal>
            <c:numRef>
              <c:f>PermDbase!$AG$650:$AG$660</c:f>
            </c:numRef>
          </c:yVal>
          <c:smooth val="0"/>
          <c:extLst>
            <c:ext xmlns:c16="http://schemas.microsoft.com/office/drawing/2014/chart" uri="{C3380CC4-5D6E-409C-BE32-E72D297353CC}">
              <c16:uniqueId val="{00000003-09CE-4130-AC0D-C6FD2622D737}"/>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PermDbase!$BX$758:$BX$873</c:f>
              <c:numCache>
                <c:formatCode>General</c:formatCode>
                <c:ptCount val="22"/>
                <c:pt idx="1">
                  <c:v>3.2986126913917664</c:v>
                </c:pt>
                <c:pt idx="2">
                  <c:v>3.2986126913917664</c:v>
                </c:pt>
                <c:pt idx="3">
                  <c:v>3.2986126913917664</c:v>
                </c:pt>
                <c:pt idx="6">
                  <c:v>3.2986126913917664</c:v>
                </c:pt>
                <c:pt idx="7">
                  <c:v>3.2986126913917664</c:v>
                </c:pt>
                <c:pt idx="10">
                  <c:v>3.2986126913917664</c:v>
                </c:pt>
                <c:pt idx="11">
                  <c:v>3.2986126913917664</c:v>
                </c:pt>
                <c:pt idx="12">
                  <c:v>3.2986126913917664</c:v>
                </c:pt>
                <c:pt idx="13">
                  <c:v>3.2986126913917664</c:v>
                </c:pt>
                <c:pt idx="14">
                  <c:v>3.2986126913917664</c:v>
                </c:pt>
                <c:pt idx="15">
                  <c:v>3.2986126913917664</c:v>
                </c:pt>
                <c:pt idx="16">
                  <c:v>3.2986126913917664</c:v>
                </c:pt>
                <c:pt idx="17">
                  <c:v>3.2986126913917664</c:v>
                </c:pt>
                <c:pt idx="18">
                  <c:v>3.2986126913917664</c:v>
                </c:pt>
                <c:pt idx="20">
                  <c:v>3.2986126913917664</c:v>
                </c:pt>
                <c:pt idx="21">
                  <c:v>3.2986126913917664</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09CE-4130-AC0D-C6FD2622D737}"/>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PermDbase!$BX$915:$BX$925</c:f>
            </c:numRef>
          </c:xVal>
          <c:yVal>
            <c:numRef>
              <c:f>PermDbase!$AG$915:$AG$925</c:f>
            </c:numRef>
          </c:yVal>
          <c:smooth val="0"/>
          <c:extLst>
            <c:ext xmlns:c16="http://schemas.microsoft.com/office/drawing/2014/chart" uri="{C3380CC4-5D6E-409C-BE32-E72D297353CC}">
              <c16:uniqueId val="{00000005-09CE-4130-AC0D-C6FD2622D737}"/>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PermDbase!$BX$874:$BX$914</c:f>
            </c:numRef>
          </c:xVal>
          <c:yVal>
            <c:numRef>
              <c:f>PermDbase!$AG$874:$AG$914</c:f>
            </c:numRef>
          </c:yVal>
          <c:smooth val="0"/>
          <c:extLst>
            <c:ext xmlns:c16="http://schemas.microsoft.com/office/drawing/2014/chart" uri="{C3380CC4-5D6E-409C-BE32-E72D297353CC}">
              <c16:uniqueId val="{00000006-09CE-4130-AC0D-C6FD2622D737}"/>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PermDbase!$BX$926:$BX$927</c:f>
            </c:numRef>
          </c:xVal>
          <c:yVal>
            <c:numRef>
              <c:f>PermDbase!$AG$926:$AG$927</c:f>
            </c:numRef>
          </c:yVal>
          <c:smooth val="0"/>
          <c:extLst>
            <c:ext xmlns:c16="http://schemas.microsoft.com/office/drawing/2014/chart" uri="{C3380CC4-5D6E-409C-BE32-E72D297353CC}">
              <c16:uniqueId val="{00000007-09CE-4130-AC0D-C6FD2622D737}"/>
            </c:ext>
          </c:extLst>
        </c:ser>
        <c:ser>
          <c:idx val="11"/>
          <c:order val="8"/>
          <c:tx>
            <c:strRef>
              <c:f>PermDbase!$AH$29</c:f>
              <c:strCache>
                <c:ptCount val="1"/>
                <c:pt idx="0">
                  <c:v>regressie</c:v>
                </c:pt>
              </c:strCache>
            </c:strRef>
          </c:tx>
          <c:spPr>
            <a:ln w="9525">
              <a:solidFill>
                <a:schemeClr val="tx1"/>
              </a:solidFill>
              <a:prstDash val="dash"/>
            </a:ln>
          </c:spPr>
          <c:marker>
            <c:symbol val="none"/>
          </c:marker>
          <c:xVal>
            <c:numRef>
              <c:f>PermDbase!$BV$30:$BV$31</c:f>
              <c:numCache>
                <c:formatCode>General</c:formatCode>
                <c:ptCount val="2"/>
                <c:pt idx="0">
                  <c:v>-10</c:v>
                </c:pt>
                <c:pt idx="1">
                  <c:v>9</c:v>
                </c:pt>
              </c:numCache>
            </c:numRef>
          </c:xVal>
          <c:yVal>
            <c:numRef>
              <c:f>PermDbase!$BX$30:$BX$31</c:f>
              <c:numCache>
                <c:formatCode>General</c:formatCode>
                <c:ptCount val="2"/>
                <c:pt idx="0">
                  <c:v>0</c:v>
                </c:pt>
                <c:pt idx="1">
                  <c:v>0</c:v>
                </c:pt>
              </c:numCache>
            </c:numRef>
          </c:yVal>
          <c:smooth val="0"/>
          <c:extLst>
            <c:ext xmlns:c16="http://schemas.microsoft.com/office/drawing/2014/chart" uri="{C3380CC4-5D6E-409C-BE32-E72D297353CC}">
              <c16:uniqueId val="{00000008-09CE-4130-AC0D-C6FD2622D737}"/>
            </c:ext>
          </c:extLst>
        </c:ser>
        <c:dLbls>
          <c:showLegendKey val="0"/>
          <c:showVal val="0"/>
          <c:showCatName val="0"/>
          <c:showSerName val="0"/>
          <c:showPercent val="0"/>
          <c:showBubbleSize val="0"/>
        </c:dLbls>
        <c:axId val="176231168"/>
        <c:axId val="176233088"/>
      </c:scatterChart>
      <c:valAx>
        <c:axId val="176231168"/>
        <c:scaling>
          <c:orientation val="minMax"/>
          <c:max val="6"/>
          <c:min val="-6"/>
        </c:scaling>
        <c:delete val="0"/>
        <c:axPos val="b"/>
        <c:title>
          <c:tx>
            <c:rich>
              <a:bodyPr/>
              <a:lstStyle/>
              <a:p>
                <a:pPr>
                  <a:defRPr/>
                </a:pPr>
                <a:r>
                  <a:rPr lang="en-US"/>
                  <a:t>Log Cw,sat  (g/m3l)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233088"/>
        <c:crossesAt val="-1000"/>
        <c:crossBetween val="midCat"/>
        <c:majorUnit val="2"/>
      </c:valAx>
      <c:valAx>
        <c:axId val="17623308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231168"/>
        <c:crossesAt val="-1000"/>
        <c:crossBetween val="midCat"/>
        <c:majorUnit val="2"/>
      </c:valAx>
      <c:spPr>
        <a:ln>
          <a:solidFill>
            <a:schemeClr val="tx1"/>
          </a:solidFill>
        </a:ln>
      </c:spPr>
    </c:plotArea>
    <c:legend>
      <c:legendPos val="r"/>
      <c:layout>
        <c:manualLayout>
          <c:xMode val="edge"/>
          <c:yMode val="edge"/>
          <c:x val="0.67330902832193695"/>
          <c:y val="3.5689944353213272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PermDbase!$CB$47:$CB$100</c:f>
            </c:numRef>
          </c:xVal>
          <c:yVal>
            <c:numRef>
              <c:f>PermDbase!$AG$47:$AG$100</c:f>
            </c:numRef>
          </c:yVal>
          <c:smooth val="0"/>
          <c:extLst>
            <c:ext xmlns:c16="http://schemas.microsoft.com/office/drawing/2014/chart" uri="{C3380CC4-5D6E-409C-BE32-E72D297353CC}">
              <c16:uniqueId val="{00000000-2227-4A38-975C-7EE46CBC136C}"/>
            </c:ext>
          </c:extLst>
        </c:ser>
        <c:ser>
          <c:idx val="1"/>
          <c:order val="1"/>
          <c:tx>
            <c:strRef>
              <c:f>PermDbase!$G$127</c:f>
              <c:strCache>
                <c:ptCount val="1"/>
                <c:pt idx="0">
                  <c:v>ClAlk</c:v>
                </c:pt>
              </c:strCache>
            </c:strRef>
          </c:tx>
          <c:spPr>
            <a:ln w="28575">
              <a:noFill/>
            </a:ln>
          </c:spPr>
          <c:marker>
            <c:symbol val="square"/>
            <c:size val="3"/>
            <c:spPr>
              <a:noFill/>
              <a:ln>
                <a:solidFill>
                  <a:schemeClr val="tx1"/>
                </a:solidFill>
              </a:ln>
            </c:spPr>
          </c:marker>
          <c:xVal>
            <c:numRef>
              <c:f>PermDbase!$CB$127:$CB$138</c:f>
            </c:numRef>
          </c:xVal>
          <c:yVal>
            <c:numRef>
              <c:f>PermDbase!$AG$127:$AG$138</c:f>
            </c:numRef>
          </c:yVal>
          <c:smooth val="0"/>
          <c:extLst>
            <c:ext xmlns:c16="http://schemas.microsoft.com/office/drawing/2014/chart" uri="{C3380CC4-5D6E-409C-BE32-E72D297353CC}">
              <c16:uniqueId val="{00000001-2227-4A38-975C-7EE46CBC136C}"/>
            </c:ext>
          </c:extLst>
        </c:ser>
        <c:ser>
          <c:idx val="3"/>
          <c:order val="2"/>
          <c:tx>
            <c:strRef>
              <c:f>PermDbase!$G$139</c:f>
              <c:strCache>
                <c:ptCount val="1"/>
                <c:pt idx="0">
                  <c:v>ClArom</c:v>
                </c:pt>
              </c:strCache>
            </c:strRef>
          </c:tx>
          <c:spPr>
            <a:ln w="28575">
              <a:noFill/>
            </a:ln>
          </c:spPr>
          <c:marker>
            <c:symbol val="diamond"/>
            <c:size val="5"/>
            <c:spPr>
              <a:noFill/>
              <a:ln>
                <a:solidFill>
                  <a:schemeClr val="tx1"/>
                </a:solidFill>
              </a:ln>
            </c:spPr>
          </c:marker>
          <c:xVal>
            <c:numRef>
              <c:f>PermDbase!$CB$139:$CB$154</c:f>
            </c:numRef>
          </c:xVal>
          <c:yVal>
            <c:numRef>
              <c:f>PermDbase!$AG$139:$AG$154</c:f>
            </c:numRef>
          </c:yVal>
          <c:smooth val="0"/>
          <c:extLst>
            <c:ext xmlns:c16="http://schemas.microsoft.com/office/drawing/2014/chart" uri="{C3380CC4-5D6E-409C-BE32-E72D297353CC}">
              <c16:uniqueId val="{00000002-2227-4A38-975C-7EE46CBC136C}"/>
            </c:ext>
          </c:extLst>
        </c:ser>
        <c:ser>
          <c:idx val="6"/>
          <c:order val="3"/>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PermDbase!$CB$155:$CB$189</c:f>
            </c:numRef>
          </c:xVal>
          <c:yVal>
            <c:numRef>
              <c:f>PermDbase!$AG$155:$AG$189</c:f>
            </c:numRef>
          </c:yVal>
          <c:smooth val="0"/>
          <c:extLst>
            <c:ext xmlns:c16="http://schemas.microsoft.com/office/drawing/2014/chart" uri="{C3380CC4-5D6E-409C-BE32-E72D297353CC}">
              <c16:uniqueId val="{00000003-2227-4A38-975C-7EE46CBC136C}"/>
            </c:ext>
          </c:extLst>
        </c:ser>
        <c:ser>
          <c:idx val="8"/>
          <c:order val="4"/>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PermDbase!$CB$309:$CB$425</c:f>
            </c:numRef>
          </c:xVal>
          <c:yVal>
            <c:numRef>
              <c:f>PermDbase!$AG$309:$AG$425</c:f>
            </c:numRef>
          </c:yVal>
          <c:smooth val="0"/>
          <c:extLst>
            <c:ext xmlns:c16="http://schemas.microsoft.com/office/drawing/2014/chart" uri="{C3380CC4-5D6E-409C-BE32-E72D297353CC}">
              <c16:uniqueId val="{00000004-2227-4A38-975C-7EE46CBC136C}"/>
            </c:ext>
          </c:extLst>
        </c:ser>
        <c:ser>
          <c:idx val="11"/>
          <c:order val="5"/>
          <c:tx>
            <c:strRef>
              <c:f>PermDbase!$AL$15</c:f>
              <c:strCache>
                <c:ptCount val="1"/>
                <c:pt idx="0">
                  <c:v>regressiemodel groep1</c:v>
                </c:pt>
              </c:strCache>
            </c:strRef>
          </c:tx>
          <c:spPr>
            <a:ln w="9525">
              <a:solidFill>
                <a:schemeClr val="tx1"/>
              </a:solidFill>
              <a:prstDash val="dash"/>
            </a:ln>
          </c:spPr>
          <c:marker>
            <c:symbol val="none"/>
          </c:marker>
          <c:xVal>
            <c:numRef>
              <c:f>PermDbase!$BV$16:$BV$17</c:f>
              <c:numCache>
                <c:formatCode>General</c:formatCode>
                <c:ptCount val="2"/>
                <c:pt idx="0">
                  <c:v>-10</c:v>
                </c:pt>
                <c:pt idx="1">
                  <c:v>10</c:v>
                </c:pt>
              </c:numCache>
            </c:numRef>
          </c:xVal>
          <c:yVal>
            <c:numRef>
              <c:f>PermDbase!$CB$16:$CB$17</c:f>
              <c:numCache>
                <c:formatCode>General</c:formatCode>
                <c:ptCount val="2"/>
                <c:pt idx="0">
                  <c:v>14.071325367588424</c:v>
                </c:pt>
                <c:pt idx="1">
                  <c:v>-4.4757611845500289</c:v>
                </c:pt>
              </c:numCache>
            </c:numRef>
          </c:yVal>
          <c:smooth val="0"/>
          <c:extLst>
            <c:ext xmlns:c16="http://schemas.microsoft.com/office/drawing/2014/chart" uri="{C3380CC4-5D6E-409C-BE32-E72D297353CC}">
              <c16:uniqueId val="{00000005-2227-4A38-975C-7EE46CBC136C}"/>
            </c:ext>
          </c:extLst>
        </c:ser>
        <c:ser>
          <c:idx val="4"/>
          <c:order val="6"/>
          <c:tx>
            <c:strRef>
              <c:f>PermDbase!$CI$15</c:f>
              <c:strCache>
                <c:ptCount val="1"/>
                <c:pt idx="0">
                  <c:v>Lohmann 2011: PAK</c:v>
                </c:pt>
              </c:strCache>
            </c:strRef>
          </c:tx>
          <c:spPr>
            <a:ln w="9525">
              <a:solidFill>
                <a:srgbClr val="FF0000"/>
              </a:solidFill>
            </a:ln>
          </c:spPr>
          <c:marker>
            <c:symbol val="none"/>
          </c:marker>
          <c:xVal>
            <c:numRef>
              <c:f>PermDbase!$BV$16:$BV$17</c:f>
              <c:numCache>
                <c:formatCode>General</c:formatCode>
                <c:ptCount val="2"/>
                <c:pt idx="0">
                  <c:v>-10</c:v>
                </c:pt>
                <c:pt idx="1">
                  <c:v>10</c:v>
                </c:pt>
              </c:numCache>
            </c:numRef>
          </c:xVal>
          <c:yVal>
            <c:numRef>
              <c:f>PermDbase!$CI$16:$CI$17</c:f>
              <c:numCache>
                <c:formatCode>General</c:formatCode>
                <c:ptCount val="2"/>
                <c:pt idx="0">
                  <c:v>15.000000000000002</c:v>
                </c:pt>
                <c:pt idx="1">
                  <c:v>-6.2000000000000011</c:v>
                </c:pt>
              </c:numCache>
            </c:numRef>
          </c:yVal>
          <c:smooth val="0"/>
          <c:extLst>
            <c:ext xmlns:c16="http://schemas.microsoft.com/office/drawing/2014/chart" uri="{C3380CC4-5D6E-409C-BE32-E72D297353CC}">
              <c16:uniqueId val="{00000006-2227-4A38-975C-7EE46CBC136C}"/>
            </c:ext>
          </c:extLst>
        </c:ser>
        <c:dLbls>
          <c:showLegendKey val="0"/>
          <c:showVal val="0"/>
          <c:showCatName val="0"/>
          <c:showSerName val="0"/>
          <c:showPercent val="0"/>
          <c:showBubbleSize val="0"/>
        </c:dLbls>
        <c:axId val="176278144"/>
        <c:axId val="176362240"/>
      </c:scatterChart>
      <c:valAx>
        <c:axId val="176278144"/>
        <c:scaling>
          <c:orientation val="minMax"/>
          <c:max val="6"/>
          <c:min val="-6"/>
        </c:scaling>
        <c:delete val="0"/>
        <c:axPos val="b"/>
        <c:title>
          <c:tx>
            <c:rich>
              <a:bodyPr/>
              <a:lstStyle/>
              <a:p>
                <a:pPr>
                  <a:defRPr/>
                </a:pPr>
                <a:r>
                  <a:rPr lang="en-US"/>
                  <a:t>Log Cw,sat (g/m3)</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362240"/>
        <c:crossesAt val="-1000"/>
        <c:crossBetween val="midCat"/>
      </c:valAx>
      <c:valAx>
        <c:axId val="176362240"/>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278144"/>
        <c:crossesAt val="-1000"/>
        <c:crossBetween val="midCat"/>
      </c:valAx>
      <c:spPr>
        <a:ln>
          <a:solidFill>
            <a:schemeClr val="tx1"/>
          </a:solidFill>
        </a:ln>
      </c:spPr>
    </c:plotArea>
    <c:legend>
      <c:legendPos val="r"/>
      <c:layout>
        <c:manualLayout>
          <c:xMode val="edge"/>
          <c:yMode val="edge"/>
          <c:x val="0.53014576679128034"/>
          <c:y val="4.8301567020410323E-2"/>
          <c:w val="0.3953932118101427"/>
          <c:h val="0.34395005660339883"/>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PermDbase!$CB$620:$CB$649</c:f>
            </c:numRef>
          </c:xVal>
          <c:yVal>
            <c:numRef>
              <c:f>PermDbase!$AG$620:$AG$649</c:f>
            </c:numRef>
          </c:yVal>
          <c:smooth val="0"/>
          <c:extLst>
            <c:ext xmlns:c16="http://schemas.microsoft.com/office/drawing/2014/chart" uri="{C3380CC4-5D6E-409C-BE32-E72D297353CC}">
              <c16:uniqueId val="{00000000-1320-4555-BD38-395F50D80580}"/>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PermDbase!$CB$661:$CB$736</c:f>
            </c:numRef>
          </c:xVal>
          <c:yVal>
            <c:numRef>
              <c:f>PermDbase!$AG$661:$AG$736</c:f>
            </c:numRef>
          </c:yVal>
          <c:smooth val="0"/>
          <c:extLst>
            <c:ext xmlns:c16="http://schemas.microsoft.com/office/drawing/2014/chart" uri="{C3380CC4-5D6E-409C-BE32-E72D297353CC}">
              <c16:uniqueId val="{00000001-1320-4555-BD38-395F50D80580}"/>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PermDbase!$CB$737:$CB$757</c:f>
            </c:numRef>
          </c:xVal>
          <c:yVal>
            <c:numRef>
              <c:f>PermDbase!$AG$737:$AG$757</c:f>
            </c:numRef>
          </c:yVal>
          <c:smooth val="0"/>
          <c:extLst>
            <c:ext xmlns:c16="http://schemas.microsoft.com/office/drawing/2014/chart" uri="{C3380CC4-5D6E-409C-BE32-E72D297353CC}">
              <c16:uniqueId val="{00000002-1320-4555-BD38-395F50D80580}"/>
            </c:ext>
          </c:extLst>
        </c:ser>
        <c:ser>
          <c:idx val="6"/>
          <c:order val="3"/>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PermDbase!$CB$758:$CB$873</c:f>
              <c:numCache>
                <c:formatCode>General</c:formatCode>
                <c:ptCount val="22"/>
                <c:pt idx="1">
                  <c:v>3.2986126913917664</c:v>
                </c:pt>
                <c:pt idx="2">
                  <c:v>3.2986126913917664</c:v>
                </c:pt>
                <c:pt idx="6">
                  <c:v>3.2986126913917664</c:v>
                </c:pt>
                <c:pt idx="7">
                  <c:v>3.2986126913917664</c:v>
                </c:pt>
                <c:pt idx="10">
                  <c:v>3.2986126913917664</c:v>
                </c:pt>
                <c:pt idx="18">
                  <c:v>3.2986126913917664</c:v>
                </c:pt>
                <c:pt idx="20">
                  <c:v>3.2986126913917664</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3-1320-4555-BD38-395F50D80580}"/>
            </c:ext>
          </c:extLst>
        </c:ser>
        <c:ser>
          <c:idx val="8"/>
          <c:order val="4"/>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PermDbase!$CB$926:$CB$927</c:f>
            </c:numRef>
          </c:xVal>
          <c:yVal>
            <c:numRef>
              <c:f>PermDbase!$AG$926:$AG$927</c:f>
            </c:numRef>
          </c:yVal>
          <c:smooth val="0"/>
          <c:extLst>
            <c:ext xmlns:c16="http://schemas.microsoft.com/office/drawing/2014/chart" uri="{C3380CC4-5D6E-409C-BE32-E72D297353CC}">
              <c16:uniqueId val="{00000004-1320-4555-BD38-395F50D80580}"/>
            </c:ext>
          </c:extLst>
        </c:ser>
        <c:ser>
          <c:idx val="11"/>
          <c:order val="5"/>
          <c:tx>
            <c:strRef>
              <c:f>PermDbase!$AL$29</c:f>
              <c:strCache>
                <c:ptCount val="1"/>
                <c:pt idx="0">
                  <c:v>regressiemodel groep1</c:v>
                </c:pt>
              </c:strCache>
            </c:strRef>
          </c:tx>
          <c:spPr>
            <a:ln w="9525">
              <a:solidFill>
                <a:schemeClr val="tx1"/>
              </a:solidFill>
              <a:prstDash val="dash"/>
            </a:ln>
          </c:spPr>
          <c:marker>
            <c:symbol val="none"/>
          </c:marker>
          <c:xVal>
            <c:numRef>
              <c:f>PermDbase!$BV$30:$BV$31</c:f>
              <c:numCache>
                <c:formatCode>General</c:formatCode>
                <c:ptCount val="2"/>
                <c:pt idx="0">
                  <c:v>-10</c:v>
                </c:pt>
                <c:pt idx="1">
                  <c:v>9</c:v>
                </c:pt>
              </c:numCache>
            </c:numRef>
          </c:xVal>
          <c:yVal>
            <c:numRef>
              <c:f>PermDbase!$CB$30:$CB$31</c:f>
              <c:numCache>
                <c:formatCode>General</c:formatCode>
                <c:ptCount val="2"/>
                <c:pt idx="0">
                  <c:v>0</c:v>
                </c:pt>
                <c:pt idx="1">
                  <c:v>0</c:v>
                </c:pt>
              </c:numCache>
            </c:numRef>
          </c:yVal>
          <c:smooth val="0"/>
          <c:extLst>
            <c:ext xmlns:c16="http://schemas.microsoft.com/office/drawing/2014/chart" uri="{C3380CC4-5D6E-409C-BE32-E72D297353CC}">
              <c16:uniqueId val="{00000005-1320-4555-BD38-395F50D80580}"/>
            </c:ext>
          </c:extLst>
        </c:ser>
        <c:dLbls>
          <c:showLegendKey val="0"/>
          <c:showVal val="0"/>
          <c:showCatName val="0"/>
          <c:showSerName val="0"/>
          <c:showPercent val="0"/>
          <c:showBubbleSize val="0"/>
        </c:dLbls>
        <c:axId val="176408064"/>
        <c:axId val="176409984"/>
      </c:scatterChart>
      <c:valAx>
        <c:axId val="176408064"/>
        <c:scaling>
          <c:orientation val="minMax"/>
          <c:max val="6"/>
          <c:min val="-6"/>
        </c:scaling>
        <c:delete val="0"/>
        <c:axPos val="b"/>
        <c:title>
          <c:tx>
            <c:rich>
              <a:bodyPr/>
              <a:lstStyle/>
              <a:p>
                <a:pPr>
                  <a:defRPr/>
                </a:pPr>
                <a:r>
                  <a:rPr lang="en-US"/>
                  <a:t>Log Cw,sat</a:t>
                </a:r>
                <a:r>
                  <a:rPr lang="en-US" baseline="0"/>
                  <a:t> (g/m3l)</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409984"/>
        <c:crossesAt val="-1000"/>
        <c:crossBetween val="midCat"/>
      </c:valAx>
      <c:valAx>
        <c:axId val="176409984"/>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408064"/>
        <c:crossesAt val="-1000"/>
        <c:crossBetween val="midCat"/>
      </c:valAx>
      <c:spPr>
        <a:ln>
          <a:solidFill>
            <a:schemeClr val="tx1"/>
          </a:solidFill>
        </a:ln>
      </c:spPr>
    </c:plotArea>
    <c:legend>
      <c:legendPos val="r"/>
      <c:layout>
        <c:manualLayout>
          <c:xMode val="edge"/>
          <c:yMode val="edge"/>
          <c:x val="0.52316220208841568"/>
          <c:y val="3.9893823905112813E-2"/>
          <c:w val="0.3985938290032941"/>
          <c:h val="0.30149098698154497"/>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9"/>
          <c:order val="0"/>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PermDbase!$CC$426:$CC$619</c:f>
            </c:numRef>
          </c:xVal>
          <c:yVal>
            <c:numRef>
              <c:f>PermDbase!$AG$426:$AG$619</c:f>
            </c:numRef>
          </c:yVal>
          <c:smooth val="0"/>
          <c:extLst>
            <c:ext xmlns:c16="http://schemas.microsoft.com/office/drawing/2014/chart" uri="{C3380CC4-5D6E-409C-BE32-E72D297353CC}">
              <c16:uniqueId val="{00000000-8F3B-4A3E-AFEB-8C97316373E8}"/>
            </c:ext>
          </c:extLst>
        </c:ser>
        <c:ser>
          <c:idx val="11"/>
          <c:order val="1"/>
          <c:tx>
            <c:strRef>
              <c:f>PermDbase!$CC$15</c:f>
              <c:strCache>
                <c:ptCount val="1"/>
                <c:pt idx="0">
                  <c:v>regressiemodel groep2</c:v>
                </c:pt>
              </c:strCache>
            </c:strRef>
          </c:tx>
          <c:spPr>
            <a:ln w="9525">
              <a:solidFill>
                <a:schemeClr val="accent3">
                  <a:lumMod val="75000"/>
                </a:schemeClr>
              </a:solidFill>
              <a:prstDash val="dash"/>
            </a:ln>
          </c:spPr>
          <c:marker>
            <c:symbol val="none"/>
          </c:marker>
          <c:xVal>
            <c:numRef>
              <c:f>PermDbase!$BV$16:$BV$17</c:f>
              <c:numCache>
                <c:formatCode>General</c:formatCode>
                <c:ptCount val="2"/>
                <c:pt idx="0">
                  <c:v>-10</c:v>
                </c:pt>
                <c:pt idx="1">
                  <c:v>10</c:v>
                </c:pt>
              </c:numCache>
            </c:numRef>
          </c:xVal>
          <c:yVal>
            <c:numRef>
              <c:f>PermDbase!$CC$16:$CC$17</c:f>
              <c:numCache>
                <c:formatCode>General</c:formatCode>
                <c:ptCount val="2"/>
                <c:pt idx="0">
                  <c:v>15.274014042281507</c:v>
                </c:pt>
                <c:pt idx="1">
                  <c:v>-5.841515013369226</c:v>
                </c:pt>
              </c:numCache>
            </c:numRef>
          </c:yVal>
          <c:smooth val="0"/>
          <c:extLst>
            <c:ext xmlns:c16="http://schemas.microsoft.com/office/drawing/2014/chart" uri="{C3380CC4-5D6E-409C-BE32-E72D297353CC}">
              <c16:uniqueId val="{00000001-8F3B-4A3E-AFEB-8C97316373E8}"/>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PermDbase!$CD$116:$CD$125</c:f>
            </c:numRef>
          </c:xVal>
          <c:yVal>
            <c:numRef>
              <c:f>PermDbase!$AG$116:$AG$125</c:f>
            </c:numRef>
          </c:yVal>
          <c:smooth val="0"/>
          <c:extLst>
            <c:ext xmlns:c16="http://schemas.microsoft.com/office/drawing/2014/chart" uri="{C3380CC4-5D6E-409C-BE32-E72D297353CC}">
              <c16:uniqueId val="{00000002-8F3B-4A3E-AFEB-8C97316373E8}"/>
            </c:ext>
          </c:extLst>
        </c:ser>
        <c:ser>
          <c:idx val="10"/>
          <c:order val="3"/>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PermDbase!$CD$190:$ACJ$233</c:f>
            </c:numRef>
          </c:xVal>
          <c:yVal>
            <c:numRef>
              <c:f>PermDbase!$AG$190:$AG$233</c:f>
            </c:numRef>
          </c:yVal>
          <c:smooth val="0"/>
          <c:extLst>
            <c:ext xmlns:c16="http://schemas.microsoft.com/office/drawing/2014/chart" uri="{C3380CC4-5D6E-409C-BE32-E72D297353CC}">
              <c16:uniqueId val="{00000003-8F3B-4A3E-AFEB-8C97316373E8}"/>
            </c:ext>
          </c:extLst>
        </c:ser>
        <c:ser>
          <c:idx val="1"/>
          <c:order val="4"/>
          <c:tx>
            <c:strRef>
              <c:f>PermDbase!$CD$15</c:f>
              <c:strCache>
                <c:ptCount val="1"/>
                <c:pt idx="0">
                  <c:v>regressiemodel groep3</c:v>
                </c:pt>
              </c:strCache>
            </c:strRef>
          </c:tx>
          <c:spPr>
            <a:ln w="15875">
              <a:solidFill>
                <a:schemeClr val="accent6">
                  <a:lumMod val="75000"/>
                </a:schemeClr>
              </a:solidFill>
              <a:prstDash val="sysDash"/>
            </a:ln>
          </c:spPr>
          <c:marker>
            <c:symbol val="none"/>
          </c:marker>
          <c:xVal>
            <c:numRef>
              <c:f>PermDbase!$BV$16:$BV$17</c:f>
              <c:numCache>
                <c:formatCode>General</c:formatCode>
                <c:ptCount val="2"/>
                <c:pt idx="0">
                  <c:v>-10</c:v>
                </c:pt>
                <c:pt idx="1">
                  <c:v>10</c:v>
                </c:pt>
              </c:numCache>
            </c:numRef>
          </c:xVal>
          <c:yVal>
            <c:numRef>
              <c:f>PermDbase!$CD$16:$CD$17</c:f>
              <c:numCache>
                <c:formatCode>General</c:formatCode>
                <c:ptCount val="2"/>
                <c:pt idx="0">
                  <c:v>13.196579202820971</c:v>
                </c:pt>
                <c:pt idx="1">
                  <c:v>-5.8417396942388713</c:v>
                </c:pt>
              </c:numCache>
            </c:numRef>
          </c:yVal>
          <c:smooth val="0"/>
          <c:extLst>
            <c:ext xmlns:c16="http://schemas.microsoft.com/office/drawing/2014/chart" uri="{C3380CC4-5D6E-409C-BE32-E72D297353CC}">
              <c16:uniqueId val="{00000004-8F3B-4A3E-AFEB-8C97316373E8}"/>
            </c:ext>
          </c:extLst>
        </c:ser>
        <c:dLbls>
          <c:showLegendKey val="0"/>
          <c:showVal val="0"/>
          <c:showCatName val="0"/>
          <c:showSerName val="0"/>
          <c:showPercent val="0"/>
          <c:showBubbleSize val="0"/>
        </c:dLbls>
        <c:axId val="176920832"/>
        <c:axId val="176943488"/>
      </c:scatterChart>
      <c:valAx>
        <c:axId val="176920832"/>
        <c:scaling>
          <c:orientation val="minMax"/>
          <c:max val="6"/>
          <c:min val="-6"/>
        </c:scaling>
        <c:delete val="0"/>
        <c:axPos val="b"/>
        <c:title>
          <c:tx>
            <c:rich>
              <a:bodyPr/>
              <a:lstStyle/>
              <a:p>
                <a:pPr>
                  <a:defRPr/>
                </a:pPr>
                <a:r>
                  <a:rPr lang="en-US"/>
                  <a:t>Log Cw,</a:t>
                </a:r>
                <a:r>
                  <a:rPr lang="en-US" baseline="0"/>
                  <a:t>sat (g/m3)</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943488"/>
        <c:crossesAt val="-1000"/>
        <c:crossBetween val="midCat"/>
      </c:valAx>
      <c:valAx>
        <c:axId val="17694348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920832"/>
        <c:crossesAt val="-1000"/>
        <c:crossBetween val="midCat"/>
      </c:valAx>
      <c:spPr>
        <a:ln>
          <a:solidFill>
            <a:schemeClr val="tx1"/>
          </a:solidFill>
        </a:ln>
      </c:spPr>
    </c:plotArea>
    <c:legend>
      <c:legendPos val="r"/>
      <c:layout>
        <c:manualLayout>
          <c:xMode val="edge"/>
          <c:yMode val="edge"/>
          <c:x val="0.49173629612522035"/>
          <c:y val="4.4097688860053892E-2"/>
          <c:w val="0.43605405499034811"/>
          <c:h val="0.3573627450331344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1242163242878229"/>
        </c:manualLayout>
      </c:layout>
      <c:scatterChart>
        <c:scatterStyle val="lineMarker"/>
        <c:varyColors val="0"/>
        <c:ser>
          <c:idx val="5"/>
          <c:order val="0"/>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PermDbase!$CD$650:$CD$660</c:f>
            </c:numRef>
          </c:xVal>
          <c:yVal>
            <c:numRef>
              <c:f>PermDbase!$AG$650:$AG$660</c:f>
            </c:numRef>
          </c:yVal>
          <c:smooth val="0"/>
          <c:extLst>
            <c:ext xmlns:c16="http://schemas.microsoft.com/office/drawing/2014/chart" uri="{C3380CC4-5D6E-409C-BE32-E72D297353CC}">
              <c16:uniqueId val="{00000000-16BC-4C3C-9B35-35B7B864A8C0}"/>
            </c:ext>
          </c:extLst>
        </c:ser>
        <c:ser>
          <c:idx val="10"/>
          <c:order val="1"/>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PermDbase!$CD$874:$CD$914</c:f>
            </c:numRef>
          </c:xVal>
          <c:yVal>
            <c:numRef>
              <c:f>PermDbase!$AG$874:$AG$914</c:f>
            </c:numRef>
          </c:yVal>
          <c:smooth val="0"/>
          <c:extLst>
            <c:ext xmlns:c16="http://schemas.microsoft.com/office/drawing/2014/chart" uri="{C3380CC4-5D6E-409C-BE32-E72D297353CC}">
              <c16:uniqueId val="{00000001-16BC-4C3C-9B35-35B7B864A8C0}"/>
            </c:ext>
          </c:extLst>
        </c:ser>
        <c:ser>
          <c:idx val="1"/>
          <c:order val="2"/>
          <c:tx>
            <c:strRef>
              <c:f>PermDbase!$AN$29</c:f>
              <c:strCache>
                <c:ptCount val="1"/>
                <c:pt idx="0">
                  <c:v>regressiemodel groep3</c:v>
                </c:pt>
              </c:strCache>
            </c:strRef>
          </c:tx>
          <c:spPr>
            <a:ln w="15875">
              <a:solidFill>
                <a:schemeClr val="accent6">
                  <a:lumMod val="75000"/>
                </a:schemeClr>
              </a:solidFill>
              <a:prstDash val="sysDash"/>
            </a:ln>
          </c:spPr>
          <c:marker>
            <c:symbol val="none"/>
          </c:marker>
          <c:xVal>
            <c:numRef>
              <c:f>PermDbase!$BV$30:$BV$31</c:f>
              <c:numCache>
                <c:formatCode>General</c:formatCode>
                <c:ptCount val="2"/>
                <c:pt idx="0">
                  <c:v>-10</c:v>
                </c:pt>
                <c:pt idx="1">
                  <c:v>9</c:v>
                </c:pt>
              </c:numCache>
            </c:numRef>
          </c:xVal>
          <c:yVal>
            <c:numRef>
              <c:f>PermDbase!$CD$30:$CD$31</c:f>
              <c:numCache>
                <c:formatCode>General</c:formatCode>
                <c:ptCount val="2"/>
                <c:pt idx="0">
                  <c:v>16.181744418005813</c:v>
                </c:pt>
                <c:pt idx="1">
                  <c:v>-6.5111008480993728</c:v>
                </c:pt>
              </c:numCache>
            </c:numRef>
          </c:yVal>
          <c:smooth val="0"/>
          <c:extLst>
            <c:ext xmlns:c16="http://schemas.microsoft.com/office/drawing/2014/chart" uri="{C3380CC4-5D6E-409C-BE32-E72D297353CC}">
              <c16:uniqueId val="{00000002-16BC-4C3C-9B35-35B7B864A8C0}"/>
            </c:ext>
          </c:extLst>
        </c:ser>
        <c:dLbls>
          <c:showLegendKey val="0"/>
          <c:showVal val="0"/>
          <c:showCatName val="0"/>
          <c:showSerName val="0"/>
          <c:showPercent val="0"/>
          <c:showBubbleSize val="0"/>
        </c:dLbls>
        <c:axId val="176736896"/>
        <c:axId val="176743168"/>
      </c:scatterChart>
      <c:valAx>
        <c:axId val="176736896"/>
        <c:scaling>
          <c:orientation val="minMax"/>
          <c:max val="6"/>
          <c:min val="-6"/>
        </c:scaling>
        <c:delete val="0"/>
        <c:axPos val="b"/>
        <c:title>
          <c:tx>
            <c:rich>
              <a:bodyPr/>
              <a:lstStyle/>
              <a:p>
                <a:pPr>
                  <a:defRPr/>
                </a:pPr>
                <a:r>
                  <a:rPr lang="en-US"/>
                  <a:t>Log Cw,sat (g/m3)</a:t>
                </a:r>
              </a:p>
            </c:rich>
          </c:tx>
          <c:layout>
            <c:manualLayout>
              <c:xMode val="edge"/>
              <c:yMode val="edge"/>
              <c:x val="0.42109229580628577"/>
              <c:y val="0.9360798670647662"/>
            </c:manualLayout>
          </c:layout>
          <c:overlay val="0"/>
        </c:title>
        <c:numFmt formatCode="General" sourceLinked="1"/>
        <c:majorTickMark val="out"/>
        <c:minorTickMark val="none"/>
        <c:tickLblPos val="nextTo"/>
        <c:spPr>
          <a:ln>
            <a:solidFill>
              <a:schemeClr val="tx1"/>
            </a:solidFill>
          </a:ln>
        </c:spPr>
        <c:crossAx val="176743168"/>
        <c:crossesAt val="-1000"/>
        <c:crossBetween val="midCat"/>
      </c:valAx>
      <c:valAx>
        <c:axId val="17674316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736896"/>
        <c:crossesAt val="-1000"/>
        <c:crossBetween val="midCat"/>
      </c:valAx>
      <c:spPr>
        <a:ln>
          <a:solidFill>
            <a:schemeClr val="tx1"/>
          </a:solidFill>
        </a:ln>
      </c:spPr>
    </c:plotArea>
    <c:legend>
      <c:legendPos val="r"/>
      <c:layout>
        <c:manualLayout>
          <c:xMode val="edge"/>
          <c:yMode val="edge"/>
          <c:x val="0.53014591255144883"/>
          <c:y val="4.8301567020410323E-2"/>
          <c:w val="0.39066088442172925"/>
          <c:h val="0.21863476574137211"/>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PermDbase!$DH$47:$DH$100</c:f>
            </c:numRef>
          </c:xVal>
          <c:yVal>
            <c:numRef>
              <c:f>PermDbase!$DG$47:$DG$100</c:f>
            </c:numRef>
          </c:yVal>
          <c:smooth val="0"/>
          <c:extLst>
            <c:ext xmlns:c16="http://schemas.microsoft.com/office/drawing/2014/chart" uri="{C3380CC4-5D6E-409C-BE32-E72D297353CC}">
              <c16:uniqueId val="{00000000-61F3-4E9F-8CB9-14F55D1C075E}"/>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PermDbase!$DH$101:$ADL$115</c:f>
            </c:numRef>
          </c:xVal>
          <c:yVal>
            <c:numRef>
              <c:f>PermDbase!$DG$101:$DG$115</c:f>
            </c:numRef>
          </c:yVal>
          <c:smooth val="0"/>
          <c:extLst>
            <c:ext xmlns:c16="http://schemas.microsoft.com/office/drawing/2014/chart" uri="{C3380CC4-5D6E-409C-BE32-E72D297353CC}">
              <c16:uniqueId val="{00000001-61F3-4E9F-8CB9-14F55D1C075E}"/>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PermDbase!$DH$116:$DH$125</c:f>
            </c:numRef>
          </c:xVal>
          <c:yVal>
            <c:numRef>
              <c:f>PermDbase!$DG$116:$DG$125</c:f>
            </c:numRef>
          </c:yVal>
          <c:smooth val="0"/>
          <c:extLst>
            <c:ext xmlns:c16="http://schemas.microsoft.com/office/drawing/2014/chart" uri="{C3380CC4-5D6E-409C-BE32-E72D297353CC}">
              <c16:uniqueId val="{00000002-61F3-4E9F-8CB9-14F55D1C075E}"/>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PermDbase!$DH$127:$DH$138</c:f>
            </c:numRef>
          </c:xVal>
          <c:yVal>
            <c:numRef>
              <c:f>PermDbase!$DG$127:$DG$138</c:f>
            </c:numRef>
          </c:yVal>
          <c:smooth val="0"/>
          <c:extLst>
            <c:ext xmlns:c16="http://schemas.microsoft.com/office/drawing/2014/chart" uri="{C3380CC4-5D6E-409C-BE32-E72D297353CC}">
              <c16:uniqueId val="{00000003-61F3-4E9F-8CB9-14F55D1C075E}"/>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PermDbase!$DH$139:$DH$154</c:f>
            </c:numRef>
          </c:xVal>
          <c:yVal>
            <c:numRef>
              <c:f>PermDbase!$DG$139:$DG$154</c:f>
            </c:numRef>
          </c:yVal>
          <c:smooth val="0"/>
          <c:extLst>
            <c:ext xmlns:c16="http://schemas.microsoft.com/office/drawing/2014/chart" uri="{C3380CC4-5D6E-409C-BE32-E72D297353CC}">
              <c16:uniqueId val="{00000004-61F3-4E9F-8CB9-14F55D1C075E}"/>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PermDbase!$DH$155:$DH$189</c:f>
            </c:numRef>
          </c:xVal>
          <c:yVal>
            <c:numRef>
              <c:f>PermDbase!$DG$155:$DG$189</c:f>
            </c:numRef>
          </c:yVal>
          <c:smooth val="0"/>
          <c:extLst>
            <c:ext xmlns:c16="http://schemas.microsoft.com/office/drawing/2014/chart" uri="{C3380CC4-5D6E-409C-BE32-E72D297353CC}">
              <c16:uniqueId val="{00000005-61F3-4E9F-8CB9-14F55D1C075E}"/>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PermDbase!$DH$243:$DH$308</c:f>
            </c:numRef>
          </c:xVal>
          <c:yVal>
            <c:numRef>
              <c:f>PermDbase!$DG$243:$DG$308</c:f>
            </c:numRef>
          </c:yVal>
          <c:smooth val="0"/>
          <c:extLst>
            <c:ext xmlns:c16="http://schemas.microsoft.com/office/drawing/2014/chart" uri="{C3380CC4-5D6E-409C-BE32-E72D297353CC}">
              <c16:uniqueId val="{00000006-61F3-4E9F-8CB9-14F55D1C075E}"/>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PermDbase!$DH$190:$DH$233</c:f>
            </c:numRef>
          </c:xVal>
          <c:yVal>
            <c:numRef>
              <c:f>PermDbase!$DG$190:$DG$233</c:f>
            </c:numRef>
          </c:yVal>
          <c:smooth val="0"/>
          <c:extLst>
            <c:ext xmlns:c16="http://schemas.microsoft.com/office/drawing/2014/chart" uri="{C3380CC4-5D6E-409C-BE32-E72D297353CC}">
              <c16:uniqueId val="{00000007-61F3-4E9F-8CB9-14F55D1C075E}"/>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PermDbase!$DH$309:$DH$425</c:f>
            </c:numRef>
          </c:xVal>
          <c:yVal>
            <c:numRef>
              <c:f>PermDbase!$DG$309:$DG$425</c:f>
            </c:numRef>
          </c:yVal>
          <c:smooth val="0"/>
          <c:extLst>
            <c:ext xmlns:c16="http://schemas.microsoft.com/office/drawing/2014/chart" uri="{C3380CC4-5D6E-409C-BE32-E72D297353CC}">
              <c16:uniqueId val="{00000008-61F3-4E9F-8CB9-14F55D1C075E}"/>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PermDbase!$DH$426:$DH$619</c:f>
            </c:numRef>
          </c:xVal>
          <c:yVal>
            <c:numRef>
              <c:f>PermDbase!$DG$426:$DG$619</c:f>
            </c:numRef>
          </c:yVal>
          <c:smooth val="0"/>
          <c:extLst>
            <c:ext xmlns:c16="http://schemas.microsoft.com/office/drawing/2014/chart" uri="{C3380CC4-5D6E-409C-BE32-E72D297353CC}">
              <c16:uniqueId val="{00000009-61F3-4E9F-8CB9-14F55D1C075E}"/>
            </c:ext>
          </c:extLst>
        </c:ser>
        <c:ser>
          <c:idx val="11"/>
          <c:order val="10"/>
          <c:tx>
            <c:strRef>
              <c:f>PermDbase!$DH$15</c:f>
              <c:strCache>
                <c:ptCount val="1"/>
                <c:pt idx="0">
                  <c:v>regressie</c:v>
                </c:pt>
              </c:strCache>
            </c:strRef>
          </c:tx>
          <c:spPr>
            <a:ln w="9525">
              <a:solidFill>
                <a:schemeClr val="tx1"/>
              </a:solidFill>
              <a:prstDash val="dash"/>
            </a:ln>
          </c:spPr>
          <c:marker>
            <c:symbol val="none"/>
          </c:marker>
          <c:xVal>
            <c:numRef>
              <c:f>PermDbase!$DF$16:$DF$17</c:f>
              <c:numCache>
                <c:formatCode>General</c:formatCode>
                <c:ptCount val="2"/>
                <c:pt idx="0">
                  <c:v>0</c:v>
                </c:pt>
                <c:pt idx="1">
                  <c:v>600</c:v>
                </c:pt>
              </c:numCache>
            </c:numRef>
          </c:xVal>
          <c:yVal>
            <c:numRef>
              <c:f>PermDbase!$DH$16:$DH$17</c:f>
              <c:numCache>
                <c:formatCode>General</c:formatCode>
                <c:ptCount val="2"/>
                <c:pt idx="0">
                  <c:v>-11.544039442954228</c:v>
                </c:pt>
                <c:pt idx="1">
                  <c:v>-15.028093183488229</c:v>
                </c:pt>
              </c:numCache>
            </c:numRef>
          </c:yVal>
          <c:smooth val="0"/>
          <c:extLst>
            <c:ext xmlns:c16="http://schemas.microsoft.com/office/drawing/2014/chart" uri="{C3380CC4-5D6E-409C-BE32-E72D297353CC}">
              <c16:uniqueId val="{0000000A-61F3-4E9F-8CB9-14F55D1C075E}"/>
            </c:ext>
          </c:extLst>
        </c:ser>
        <c:ser>
          <c:idx val="12"/>
          <c:order val="11"/>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PermDbase!$DH$234:$DH$242</c:f>
            </c:numRef>
          </c:xVal>
          <c:yVal>
            <c:numRef>
              <c:f>PermDbase!$DG$234:$DG$242</c:f>
            </c:numRef>
          </c:yVal>
          <c:smooth val="0"/>
          <c:extLst>
            <c:ext xmlns:c16="http://schemas.microsoft.com/office/drawing/2014/chart" uri="{C3380CC4-5D6E-409C-BE32-E72D297353CC}">
              <c16:uniqueId val="{0000000B-61F3-4E9F-8CB9-14F55D1C075E}"/>
            </c:ext>
          </c:extLst>
        </c:ser>
        <c:dLbls>
          <c:showLegendKey val="0"/>
          <c:showVal val="0"/>
          <c:showCatName val="0"/>
          <c:showSerName val="0"/>
          <c:showPercent val="0"/>
          <c:showBubbleSize val="0"/>
        </c:dLbls>
        <c:axId val="177284992"/>
        <c:axId val="177299840"/>
      </c:scatterChart>
      <c:valAx>
        <c:axId val="177284992"/>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299840"/>
        <c:crossesAt val="-1000"/>
        <c:crossBetween val="midCat"/>
      </c:valAx>
      <c:valAx>
        <c:axId val="177299840"/>
        <c:scaling>
          <c:orientation val="minMax"/>
          <c:max val="-10"/>
        </c:scaling>
        <c:delete val="0"/>
        <c:axPos val="l"/>
        <c:title>
          <c:tx>
            <c:rich>
              <a:bodyPr rot="-5400000" vert="horz"/>
              <a:lstStyle/>
              <a:p>
                <a:pPr>
                  <a:defRPr/>
                </a:pPr>
                <a:r>
                  <a:rPr lang="en-US"/>
                  <a:t>log Dp</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284992"/>
        <c:crossesAt val="-1000"/>
        <c:crossBetween val="midCat"/>
      </c:valAx>
      <c:spPr>
        <a:ln>
          <a:solidFill>
            <a:schemeClr val="tx1"/>
          </a:solidFill>
        </a:ln>
      </c:spPr>
    </c:plotArea>
    <c:legend>
      <c:legendPos val="r"/>
      <c:layout>
        <c:manualLayout>
          <c:xMode val="edge"/>
          <c:yMode val="edge"/>
          <c:x val="0.64537476183013431"/>
          <c:y val="4.8301567020410323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PermDbase!$DH$620:$DH$649</c:f>
            </c:numRef>
          </c:xVal>
          <c:yVal>
            <c:numRef>
              <c:f>PermDbase!$DG$620:$DG$649</c:f>
            </c:numRef>
          </c:yVal>
          <c:smooth val="0"/>
          <c:extLst>
            <c:ext xmlns:c16="http://schemas.microsoft.com/office/drawing/2014/chart" uri="{C3380CC4-5D6E-409C-BE32-E72D297353CC}">
              <c16:uniqueId val="{00000000-0411-46BB-8130-7AA3CD9AA069}"/>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PermDbase!$DH$661:$DH$736</c:f>
            </c:numRef>
          </c:xVal>
          <c:yVal>
            <c:numRef>
              <c:f>PermDbase!$DG$661:$DG$736</c:f>
            </c:numRef>
          </c:yVal>
          <c:smooth val="0"/>
          <c:extLst>
            <c:ext xmlns:c16="http://schemas.microsoft.com/office/drawing/2014/chart" uri="{C3380CC4-5D6E-409C-BE32-E72D297353CC}">
              <c16:uniqueId val="{00000001-0411-46BB-8130-7AA3CD9AA069}"/>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PermDbase!$DH$737:$DH$757</c:f>
            </c:numRef>
          </c:xVal>
          <c:yVal>
            <c:numRef>
              <c:f>PermDbase!$DG$737:$DG$757</c:f>
            </c:numRef>
          </c:yVal>
          <c:smooth val="0"/>
          <c:extLst>
            <c:ext xmlns:c16="http://schemas.microsoft.com/office/drawing/2014/chart" uri="{C3380CC4-5D6E-409C-BE32-E72D297353CC}">
              <c16:uniqueId val="{00000002-0411-46BB-8130-7AA3CD9AA069}"/>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PermDbase!$DH$650:$DH$660</c:f>
            </c:numRef>
          </c:xVal>
          <c:yVal>
            <c:numRef>
              <c:f>PermDbase!$DG$650:$DG$660</c:f>
            </c:numRef>
          </c:yVal>
          <c:smooth val="0"/>
          <c:extLst>
            <c:ext xmlns:c16="http://schemas.microsoft.com/office/drawing/2014/chart" uri="{C3380CC4-5D6E-409C-BE32-E72D297353CC}">
              <c16:uniqueId val="{00000003-0411-46BB-8130-7AA3CD9AA069}"/>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PermDbase!$DH$758:$DH$873</c:f>
              <c:numCache>
                <c:formatCode>General</c:formatCode>
                <c:ptCount val="22"/>
                <c:pt idx="0">
                  <c:v>78.106666524406961</c:v>
                </c:pt>
                <c:pt idx="1">
                  <c:v>78.106666524406961</c:v>
                </c:pt>
                <c:pt idx="2">
                  <c:v>78.106666524406961</c:v>
                </c:pt>
                <c:pt idx="3">
                  <c:v>78.106666524406961</c:v>
                </c:pt>
                <c:pt idx="4">
                  <c:v>78.106666524406961</c:v>
                </c:pt>
                <c:pt idx="5">
                  <c:v>78.106666524406961</c:v>
                </c:pt>
                <c:pt idx="8">
                  <c:v>78.106666524406961</c:v>
                </c:pt>
                <c:pt idx="9">
                  <c:v>78.106666524406961</c:v>
                </c:pt>
                <c:pt idx="10">
                  <c:v>78.106666524406961</c:v>
                </c:pt>
                <c:pt idx="12">
                  <c:v>78.106666524406961</c:v>
                </c:pt>
                <c:pt idx="16">
                  <c:v>78.106666524406961</c:v>
                </c:pt>
                <c:pt idx="19">
                  <c:v>78.106666524406961</c:v>
                </c:pt>
                <c:pt idx="21">
                  <c:v>78.106666524406961</c:v>
                </c:pt>
              </c:numCache>
            </c:numRef>
          </c:xVal>
          <c:yVal>
            <c:numRef>
              <c:f>PermDbase!$DG$758:$DG$873</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0411-46BB-8130-7AA3CD9AA069}"/>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PermDbase!$DH$915:$DH$925</c:f>
            </c:numRef>
          </c:xVal>
          <c:yVal>
            <c:numRef>
              <c:f>PermDbase!$DG$915:$DG$925</c:f>
            </c:numRef>
          </c:yVal>
          <c:smooth val="0"/>
          <c:extLst>
            <c:ext xmlns:c16="http://schemas.microsoft.com/office/drawing/2014/chart" uri="{C3380CC4-5D6E-409C-BE32-E72D297353CC}">
              <c16:uniqueId val="{00000005-0411-46BB-8130-7AA3CD9AA069}"/>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PermDbase!$DH$874:$DH$914</c:f>
            </c:numRef>
          </c:xVal>
          <c:yVal>
            <c:numRef>
              <c:f>PermDbase!$DG$874:$DG$914</c:f>
            </c:numRef>
          </c:yVal>
          <c:smooth val="0"/>
          <c:extLst>
            <c:ext xmlns:c16="http://schemas.microsoft.com/office/drawing/2014/chart" uri="{C3380CC4-5D6E-409C-BE32-E72D297353CC}">
              <c16:uniqueId val="{00000006-0411-46BB-8130-7AA3CD9AA069}"/>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PermDbase!$DH$926:$DH$927</c:f>
            </c:numRef>
          </c:xVal>
          <c:yVal>
            <c:numRef>
              <c:f>PermDbase!$DG$926:$DG$927</c:f>
            </c:numRef>
          </c:yVal>
          <c:smooth val="0"/>
          <c:extLst>
            <c:ext xmlns:c16="http://schemas.microsoft.com/office/drawing/2014/chart" uri="{C3380CC4-5D6E-409C-BE32-E72D297353CC}">
              <c16:uniqueId val="{00000007-0411-46BB-8130-7AA3CD9AA069}"/>
            </c:ext>
          </c:extLst>
        </c:ser>
        <c:ser>
          <c:idx val="11"/>
          <c:order val="8"/>
          <c:tx>
            <c:strRef>
              <c:f>PermDbase!$DH$29</c:f>
              <c:strCache>
                <c:ptCount val="1"/>
                <c:pt idx="0">
                  <c:v>regressie</c:v>
                </c:pt>
              </c:strCache>
            </c:strRef>
          </c:tx>
          <c:spPr>
            <a:ln w="9525">
              <a:solidFill>
                <a:schemeClr val="tx1"/>
              </a:solidFill>
              <a:prstDash val="dash"/>
            </a:ln>
          </c:spPr>
          <c:marker>
            <c:symbol val="none"/>
          </c:marker>
          <c:xVal>
            <c:numRef>
              <c:f>PermDbase!$DF$30:$DF$31</c:f>
              <c:numCache>
                <c:formatCode>General</c:formatCode>
                <c:ptCount val="2"/>
                <c:pt idx="0">
                  <c:v>0</c:v>
                </c:pt>
                <c:pt idx="1">
                  <c:v>600</c:v>
                </c:pt>
              </c:numCache>
            </c:numRef>
          </c:xVal>
          <c:yVal>
            <c:numRef>
              <c:f>PermDbase!$DH$30:$DH$31</c:f>
              <c:numCache>
                <c:formatCode>General</c:formatCode>
                <c:ptCount val="2"/>
                <c:pt idx="0">
                  <c:v>-11.932453863744543</c:v>
                </c:pt>
                <c:pt idx="1">
                  <c:v>-12.753962244705763</c:v>
                </c:pt>
              </c:numCache>
            </c:numRef>
          </c:yVal>
          <c:smooth val="0"/>
          <c:extLst>
            <c:ext xmlns:c16="http://schemas.microsoft.com/office/drawing/2014/chart" uri="{C3380CC4-5D6E-409C-BE32-E72D297353CC}">
              <c16:uniqueId val="{00000008-0411-46BB-8130-7AA3CD9AA069}"/>
            </c:ext>
          </c:extLst>
        </c:ser>
        <c:dLbls>
          <c:showLegendKey val="0"/>
          <c:showVal val="0"/>
          <c:showCatName val="0"/>
          <c:showSerName val="0"/>
          <c:showPercent val="0"/>
          <c:showBubbleSize val="0"/>
        </c:dLbls>
        <c:axId val="177369472"/>
        <c:axId val="177371392"/>
      </c:scatterChart>
      <c:valAx>
        <c:axId val="177369472"/>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371392"/>
        <c:crossesAt val="-1000"/>
        <c:crossBetween val="midCat"/>
      </c:valAx>
      <c:valAx>
        <c:axId val="177371392"/>
        <c:scaling>
          <c:orientation val="minMax"/>
          <c:max val="-10"/>
        </c:scaling>
        <c:delete val="0"/>
        <c:axPos val="l"/>
        <c:title>
          <c:tx>
            <c:rich>
              <a:bodyPr rot="-5400000" vert="horz"/>
              <a:lstStyle/>
              <a:p>
                <a:pPr>
                  <a:defRPr/>
                </a:pPr>
                <a:r>
                  <a:rPr lang="en-US"/>
                  <a:t>Log Dp</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369472"/>
        <c:crossesAt val="-1000"/>
        <c:crossBetween val="midCat"/>
      </c:valAx>
      <c:spPr>
        <a:ln>
          <a:solidFill>
            <a:schemeClr val="tx1"/>
          </a:solidFill>
        </a:ln>
      </c:spPr>
    </c:plotArea>
    <c:legend>
      <c:legendPos val="r"/>
      <c:layout>
        <c:manualLayout>
          <c:xMode val="edge"/>
          <c:yMode val="edge"/>
          <c:x val="0.64886636673997578"/>
          <c:y val="3.9893823905112813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PermDbase!$DI$43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PermDbase!$DI$47:$DI$619</c:f>
            </c:numRef>
          </c:xVal>
          <c:yVal>
            <c:numRef>
              <c:f>PermDbase!$DG$47:$DG$619</c:f>
            </c:numRef>
          </c:yVal>
          <c:smooth val="0"/>
          <c:extLst>
            <c:ext xmlns:c16="http://schemas.microsoft.com/office/drawing/2014/chart" uri="{C3380CC4-5D6E-409C-BE32-E72D297353CC}">
              <c16:uniqueId val="{00000000-7012-4734-8778-1EF2533DC150}"/>
            </c:ext>
          </c:extLst>
        </c:ser>
        <c:ser>
          <c:idx val="11"/>
          <c:order val="1"/>
          <c:tx>
            <c:strRef>
              <c:f>PermDbase!$DI$15</c:f>
              <c:strCache>
                <c:ptCount val="1"/>
                <c:pt idx="0">
                  <c:v>regressie</c:v>
                </c:pt>
              </c:strCache>
            </c:strRef>
          </c:tx>
          <c:spPr>
            <a:ln w="9525">
              <a:solidFill>
                <a:schemeClr val="tx1"/>
              </a:solidFill>
              <a:prstDash val="dash"/>
            </a:ln>
          </c:spPr>
          <c:marker>
            <c:symbol val="none"/>
          </c:marker>
          <c:xVal>
            <c:numRef>
              <c:f>PermDbase!$DF$16:$DF$17</c:f>
              <c:numCache>
                <c:formatCode>General</c:formatCode>
                <c:ptCount val="2"/>
                <c:pt idx="0">
                  <c:v>0</c:v>
                </c:pt>
                <c:pt idx="1">
                  <c:v>600</c:v>
                </c:pt>
              </c:numCache>
            </c:numRef>
          </c:xVal>
          <c:yVal>
            <c:numRef>
              <c:f>PermDbase!$DI$16:$DI$17</c:f>
              <c:numCache>
                <c:formatCode>General</c:formatCode>
                <c:ptCount val="2"/>
                <c:pt idx="0">
                  <c:v>-11.144149973159493</c:v>
                </c:pt>
                <c:pt idx="1">
                  <c:v>-15.529668467354284</c:v>
                </c:pt>
              </c:numCache>
            </c:numRef>
          </c:yVal>
          <c:smooth val="0"/>
          <c:extLst>
            <c:ext xmlns:c16="http://schemas.microsoft.com/office/drawing/2014/chart" uri="{C3380CC4-5D6E-409C-BE32-E72D297353CC}">
              <c16:uniqueId val="{00000001-7012-4734-8778-1EF2533DC150}"/>
            </c:ext>
          </c:extLst>
        </c:ser>
        <c:ser>
          <c:idx val="4"/>
          <c:order val="2"/>
          <c:tx>
            <c:strRef>
              <c:f>PermDbase!$DJ$43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PermDbase!$DJ$47:$DJ$619</c:f>
            </c:numRef>
          </c:xVal>
          <c:yVal>
            <c:numRef>
              <c:f>PermDbase!$DG$47:$DG$619</c:f>
            </c:numRef>
          </c:yVal>
          <c:smooth val="0"/>
          <c:extLst>
            <c:ext xmlns:c16="http://schemas.microsoft.com/office/drawing/2014/chart" uri="{C3380CC4-5D6E-409C-BE32-E72D297353CC}">
              <c16:uniqueId val="{00000002-7012-4734-8778-1EF2533DC150}"/>
            </c:ext>
          </c:extLst>
        </c:ser>
        <c:ser>
          <c:idx val="1"/>
          <c:order val="3"/>
          <c:tx>
            <c:strRef>
              <c:f>PermDbase!$DJ$15</c:f>
              <c:strCache>
                <c:ptCount val="1"/>
                <c:pt idx="0">
                  <c:v>regressie</c:v>
                </c:pt>
              </c:strCache>
            </c:strRef>
          </c:tx>
          <c:spPr>
            <a:ln w="15875">
              <a:solidFill>
                <a:schemeClr val="tx2">
                  <a:lumMod val="60000"/>
                  <a:lumOff val="40000"/>
                </a:schemeClr>
              </a:solidFill>
              <a:prstDash val="dash"/>
            </a:ln>
          </c:spPr>
          <c:marker>
            <c:symbol val="none"/>
          </c:marker>
          <c:xVal>
            <c:numRef>
              <c:f>PermDbase!$DF$16:$DF$17</c:f>
              <c:numCache>
                <c:formatCode>General</c:formatCode>
                <c:ptCount val="2"/>
                <c:pt idx="0">
                  <c:v>0</c:v>
                </c:pt>
                <c:pt idx="1">
                  <c:v>600</c:v>
                </c:pt>
              </c:numCache>
            </c:numRef>
          </c:xVal>
          <c:yVal>
            <c:numRef>
              <c:f>PermDbase!$DJ$16:$DJ$17</c:f>
              <c:numCache>
                <c:formatCode>General</c:formatCode>
                <c:ptCount val="2"/>
              </c:numCache>
            </c:numRef>
          </c:yVal>
          <c:smooth val="0"/>
          <c:extLst>
            <c:ext xmlns:c16="http://schemas.microsoft.com/office/drawing/2014/chart" uri="{C3380CC4-5D6E-409C-BE32-E72D297353CC}">
              <c16:uniqueId val="{00000003-7012-4734-8778-1EF2533DC150}"/>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PermDbase!$DK$47:$DK$619</c:f>
            </c:numRef>
          </c:xVal>
          <c:yVal>
            <c:numRef>
              <c:f>PermDbase!$DG$47:$DG$619</c:f>
            </c:numRef>
          </c:yVal>
          <c:smooth val="0"/>
          <c:extLst>
            <c:ext xmlns:c16="http://schemas.microsoft.com/office/drawing/2014/chart" uri="{C3380CC4-5D6E-409C-BE32-E72D297353CC}">
              <c16:uniqueId val="{00000004-7012-4734-8778-1EF2533DC150}"/>
            </c:ext>
          </c:extLst>
        </c:ser>
        <c:ser>
          <c:idx val="3"/>
          <c:order val="5"/>
          <c:tx>
            <c:strRef>
              <c:f>PermDbase!$DK$15</c:f>
              <c:strCache>
                <c:ptCount val="1"/>
                <c:pt idx="0">
                  <c:v>regressie</c:v>
                </c:pt>
              </c:strCache>
            </c:strRef>
          </c:tx>
          <c:spPr>
            <a:ln w="19050">
              <a:solidFill>
                <a:schemeClr val="accent6">
                  <a:lumMod val="75000"/>
                </a:schemeClr>
              </a:solidFill>
              <a:prstDash val="sysDash"/>
            </a:ln>
          </c:spPr>
          <c:marker>
            <c:symbol val="none"/>
          </c:marker>
          <c:xVal>
            <c:numRef>
              <c:f>PermDbase!$DF$16:$DF$17</c:f>
              <c:numCache>
                <c:formatCode>General</c:formatCode>
                <c:ptCount val="2"/>
                <c:pt idx="0">
                  <c:v>0</c:v>
                </c:pt>
                <c:pt idx="1">
                  <c:v>600</c:v>
                </c:pt>
              </c:numCache>
            </c:numRef>
          </c:xVal>
          <c:yVal>
            <c:numRef>
              <c:f>PermDbase!$DK$16:$DK$17</c:f>
              <c:numCache>
                <c:formatCode>General</c:formatCode>
                <c:ptCount val="2"/>
                <c:pt idx="0">
                  <c:v>-11.831797114778391</c:v>
                </c:pt>
                <c:pt idx="1">
                  <c:v>-14.137465233690699</c:v>
                </c:pt>
              </c:numCache>
            </c:numRef>
          </c:yVal>
          <c:smooth val="0"/>
          <c:extLst>
            <c:ext xmlns:c16="http://schemas.microsoft.com/office/drawing/2014/chart" uri="{C3380CC4-5D6E-409C-BE32-E72D297353CC}">
              <c16:uniqueId val="{00000005-7012-4734-8778-1EF2533DC150}"/>
            </c:ext>
          </c:extLst>
        </c:ser>
        <c:ser>
          <c:idx val="6"/>
          <c:order val="6"/>
          <c:tx>
            <c:strRef>
              <c:f>PermDbase!$DL$43</c:f>
              <c:strCache>
                <c:ptCount val="1"/>
                <c:pt idx="0">
                  <c:v>Filmstacking</c:v>
                </c:pt>
              </c:strCache>
            </c:strRef>
          </c:tx>
          <c:spPr>
            <a:ln w="28575">
              <a:noFill/>
            </a:ln>
          </c:spPr>
          <c:marker>
            <c:symbol val="diamond"/>
            <c:size val="5"/>
            <c:spPr>
              <a:solidFill>
                <a:srgbClr val="FF0000"/>
              </a:solidFill>
              <a:ln>
                <a:solidFill>
                  <a:srgbClr val="C00000"/>
                </a:solidFill>
              </a:ln>
            </c:spPr>
          </c:marker>
          <c:xVal>
            <c:numRef>
              <c:f>PermDbase!$DL$47:$DL$619</c:f>
            </c:numRef>
          </c:xVal>
          <c:yVal>
            <c:numRef>
              <c:f>PermDbase!$DG$47:$DG$619</c:f>
            </c:numRef>
          </c:yVal>
          <c:smooth val="0"/>
          <c:extLst>
            <c:ext xmlns:c16="http://schemas.microsoft.com/office/drawing/2014/chart" uri="{C3380CC4-5D6E-409C-BE32-E72D297353CC}">
              <c16:uniqueId val="{00000006-7012-4734-8778-1EF2533DC150}"/>
            </c:ext>
          </c:extLst>
        </c:ser>
        <c:ser>
          <c:idx val="7"/>
          <c:order val="7"/>
          <c:tx>
            <c:strRef>
              <c:f>PermDbase!$DL$15</c:f>
              <c:strCache>
                <c:ptCount val="1"/>
                <c:pt idx="0">
                  <c:v>regressie</c:v>
                </c:pt>
              </c:strCache>
            </c:strRef>
          </c:tx>
          <c:spPr>
            <a:ln w="19050">
              <a:solidFill>
                <a:srgbClr val="FF0000"/>
              </a:solidFill>
            </a:ln>
          </c:spPr>
          <c:xVal>
            <c:numRef>
              <c:f>PermDbase!$DF$16:$DF$17</c:f>
              <c:numCache>
                <c:formatCode>General</c:formatCode>
                <c:ptCount val="2"/>
                <c:pt idx="0">
                  <c:v>0</c:v>
                </c:pt>
                <c:pt idx="1">
                  <c:v>600</c:v>
                </c:pt>
              </c:numCache>
            </c:numRef>
          </c:xVal>
          <c:yVal>
            <c:numRef>
              <c:f>PermDbase!$DL$16:$DL$17</c:f>
              <c:numCache>
                <c:formatCode>General</c:formatCode>
                <c:ptCount val="2"/>
                <c:pt idx="0">
                  <c:v>-11.688825593282482</c:v>
                </c:pt>
                <c:pt idx="1">
                  <c:v>-14.669393634959858</c:v>
                </c:pt>
              </c:numCache>
            </c:numRef>
          </c:yVal>
          <c:smooth val="0"/>
          <c:extLst>
            <c:ext xmlns:c16="http://schemas.microsoft.com/office/drawing/2014/chart" uri="{C3380CC4-5D6E-409C-BE32-E72D297353CC}">
              <c16:uniqueId val="{00000007-7012-4734-8778-1EF2533DC150}"/>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7012-4734-8778-1EF2533DC150}"/>
            </c:ext>
          </c:extLst>
        </c:ser>
        <c:dLbls>
          <c:showLegendKey val="0"/>
          <c:showVal val="0"/>
          <c:showCatName val="0"/>
          <c:showSerName val="0"/>
          <c:showPercent val="0"/>
          <c:showBubbleSize val="0"/>
        </c:dLbls>
        <c:axId val="177442816"/>
        <c:axId val="177444736"/>
      </c:scatterChart>
      <c:valAx>
        <c:axId val="177442816"/>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444736"/>
        <c:crossesAt val="-1000"/>
        <c:crossBetween val="midCat"/>
      </c:valAx>
      <c:valAx>
        <c:axId val="177444736"/>
        <c:scaling>
          <c:orientation val="minMax"/>
          <c:max val="-10"/>
          <c:min val="-16"/>
        </c:scaling>
        <c:delete val="0"/>
        <c:axPos val="l"/>
        <c:title>
          <c:tx>
            <c:rich>
              <a:bodyPr rot="-5400000" vert="horz"/>
              <a:lstStyle/>
              <a:p>
                <a:pPr>
                  <a:defRPr/>
                </a:pPr>
                <a:r>
                  <a:rPr lang="en-US"/>
                  <a:t>Log D (m2/dag)</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442816"/>
        <c:crossesAt val="-1000"/>
        <c:crossBetween val="midCat"/>
      </c:valAx>
      <c:spPr>
        <a:ln>
          <a:solidFill>
            <a:schemeClr val="tx1"/>
          </a:solidFill>
        </a:ln>
      </c:spPr>
    </c:plotArea>
    <c:legend>
      <c:legendPos val="r"/>
      <c:layout>
        <c:manualLayout>
          <c:xMode val="edge"/>
          <c:yMode val="edge"/>
          <c:x val="0.58601460665600069"/>
          <c:y val="5.2515962646643648E-2"/>
          <c:w val="0.33067307028741783"/>
          <c:h val="0.38211798653967782"/>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3"/>
          <c:order val="0"/>
          <c:tx>
            <c:strRef>
              <c:f>PermDbase!$DM$14</c:f>
              <c:strCache>
                <c:ptCount val="1"/>
                <c:pt idx="0">
                  <c:v>PE40 groep 1</c:v>
                </c:pt>
              </c:strCache>
            </c:strRef>
          </c:tx>
          <c:spPr>
            <a:ln w="28575">
              <a:noFill/>
            </a:ln>
          </c:spPr>
          <c:marker>
            <c:symbol val="diamond"/>
            <c:size val="6"/>
            <c:spPr>
              <a:solidFill>
                <a:schemeClr val="tx1"/>
              </a:solidFill>
              <a:ln>
                <a:solidFill>
                  <a:schemeClr val="bg1"/>
                </a:solidFill>
              </a:ln>
            </c:spPr>
          </c:marker>
          <c:xVal>
            <c:numRef>
              <c:f>PermDbase!$DM$47:$DM$619</c:f>
            </c:numRef>
          </c:xVal>
          <c:yVal>
            <c:numRef>
              <c:f>PermDbase!$DG$47:$DG$619</c:f>
            </c:numRef>
          </c:yVal>
          <c:smooth val="0"/>
          <c:extLst>
            <c:ext xmlns:c16="http://schemas.microsoft.com/office/drawing/2014/chart" uri="{C3380CC4-5D6E-409C-BE32-E72D297353CC}">
              <c16:uniqueId val="{00000000-B098-4768-9E4C-66C9687B7FD2}"/>
            </c:ext>
          </c:extLst>
        </c:ser>
        <c:ser>
          <c:idx val="4"/>
          <c:order val="1"/>
          <c:tx>
            <c:strRef>
              <c:f>PermDbase!$DM$15</c:f>
              <c:strCache>
                <c:ptCount val="1"/>
                <c:pt idx="0">
                  <c:v>PE40 groep1: regressiemodel</c:v>
                </c:pt>
              </c:strCache>
            </c:strRef>
          </c:tx>
          <c:spPr>
            <a:ln w="15875">
              <a:solidFill>
                <a:schemeClr val="tx1">
                  <a:lumMod val="95000"/>
                  <a:lumOff val="5000"/>
                </a:schemeClr>
              </a:solidFill>
              <a:prstDash val="dash"/>
            </a:ln>
          </c:spPr>
          <c:marker>
            <c:symbol val="none"/>
          </c:marker>
          <c:xVal>
            <c:numRef>
              <c:f>PermDbase!$DF$16:$DF$17</c:f>
              <c:numCache>
                <c:formatCode>General</c:formatCode>
                <c:ptCount val="2"/>
                <c:pt idx="0">
                  <c:v>0</c:v>
                </c:pt>
                <c:pt idx="1">
                  <c:v>600</c:v>
                </c:pt>
              </c:numCache>
            </c:numRef>
          </c:xVal>
          <c:yVal>
            <c:numRef>
              <c:f>PermDbase!$DM$16:$DM$17</c:f>
              <c:numCache>
                <c:formatCode>General</c:formatCode>
                <c:ptCount val="2"/>
                <c:pt idx="0">
                  <c:v>-10.68834533786805</c:v>
                </c:pt>
                <c:pt idx="1">
                  <c:v>-17.428897734392315</c:v>
                </c:pt>
              </c:numCache>
            </c:numRef>
          </c:yVal>
          <c:smooth val="0"/>
          <c:extLst>
            <c:ext xmlns:c16="http://schemas.microsoft.com/office/drawing/2014/chart" uri="{C3380CC4-5D6E-409C-BE32-E72D297353CC}">
              <c16:uniqueId val="{00000001-B098-4768-9E4C-66C9687B7FD2}"/>
            </c:ext>
          </c:extLst>
        </c:ser>
        <c:ser>
          <c:idx val="1"/>
          <c:order val="2"/>
          <c:tx>
            <c:strRef>
              <c:f>PermDbase!$DN$14</c:f>
              <c:strCache>
                <c:ptCount val="1"/>
                <c:pt idx="0">
                  <c:v>PE40 groep 2</c:v>
                </c:pt>
              </c:strCache>
            </c:strRef>
          </c:tx>
          <c:spPr>
            <a:ln w="28575">
              <a:noFill/>
            </a:ln>
          </c:spPr>
          <c:marker>
            <c:symbol val="star"/>
            <c:size val="3"/>
            <c:spPr>
              <a:ln>
                <a:solidFill>
                  <a:schemeClr val="tx1"/>
                </a:solidFill>
              </a:ln>
            </c:spPr>
          </c:marker>
          <c:xVal>
            <c:numRef>
              <c:f>PermDbase!$DN$47:$DN$619</c:f>
            </c:numRef>
          </c:xVal>
          <c:yVal>
            <c:numRef>
              <c:f>PermDbase!$DG$47:$DG$619</c:f>
            </c:numRef>
          </c:yVal>
          <c:smooth val="0"/>
          <c:extLst>
            <c:ext xmlns:c16="http://schemas.microsoft.com/office/drawing/2014/chart" uri="{C3380CC4-5D6E-409C-BE32-E72D297353CC}">
              <c16:uniqueId val="{00000002-B098-4768-9E4C-66C9687B7FD2}"/>
            </c:ext>
          </c:extLst>
        </c:ser>
        <c:ser>
          <c:idx val="5"/>
          <c:order val="3"/>
          <c:tx>
            <c:strRef>
              <c:f>PermDbase!$DN$15</c:f>
              <c:strCache>
                <c:ptCount val="1"/>
                <c:pt idx="0">
                  <c:v>PE40 groep2: regressiemodel</c:v>
                </c:pt>
              </c:strCache>
            </c:strRef>
          </c:tx>
          <c:spPr>
            <a:ln w="9525">
              <a:solidFill>
                <a:schemeClr val="tx1"/>
              </a:solidFill>
              <a:prstDash val="sysDash"/>
            </a:ln>
          </c:spPr>
          <c:marker>
            <c:symbol val="none"/>
          </c:marker>
          <c:xVal>
            <c:numRef>
              <c:f>PermDbase!$DF$16:$DF$17</c:f>
              <c:numCache>
                <c:formatCode>General</c:formatCode>
                <c:ptCount val="2"/>
                <c:pt idx="0">
                  <c:v>0</c:v>
                </c:pt>
                <c:pt idx="1">
                  <c:v>600</c:v>
                </c:pt>
              </c:numCache>
            </c:numRef>
          </c:xVal>
          <c:yVal>
            <c:numRef>
              <c:f>PermDbase!$DN$16:$DN$17</c:f>
              <c:numCache>
                <c:formatCode>General</c:formatCode>
                <c:ptCount val="2"/>
                <c:pt idx="0">
                  <c:v>-11.000207624215786</c:v>
                </c:pt>
                <c:pt idx="1">
                  <c:v>-14.7770119958968</c:v>
                </c:pt>
              </c:numCache>
            </c:numRef>
          </c:yVal>
          <c:smooth val="0"/>
          <c:extLst>
            <c:ext xmlns:c16="http://schemas.microsoft.com/office/drawing/2014/chart" uri="{C3380CC4-5D6E-409C-BE32-E72D297353CC}">
              <c16:uniqueId val="{00000003-B098-4768-9E4C-66C9687B7FD2}"/>
            </c:ext>
          </c:extLst>
        </c:ser>
        <c:ser>
          <c:idx val="2"/>
          <c:order val="4"/>
          <c:tx>
            <c:strRef>
              <c:f>PermDbase!$DM$28</c:f>
              <c:strCache>
                <c:ptCount val="1"/>
                <c:pt idx="0">
                  <c:v>PE80 groep 1</c:v>
                </c:pt>
              </c:strCache>
            </c:strRef>
          </c:tx>
          <c:spPr>
            <a:ln w="28575">
              <a:noFill/>
            </a:ln>
          </c:spPr>
          <c:marker>
            <c:symbol val="square"/>
            <c:size val="3"/>
            <c:spPr>
              <a:solidFill>
                <a:schemeClr val="bg1"/>
              </a:solidFill>
              <a:ln>
                <a:solidFill>
                  <a:schemeClr val="tx1">
                    <a:lumMod val="95000"/>
                    <a:lumOff val="5000"/>
                  </a:schemeClr>
                </a:solidFill>
              </a:ln>
            </c:spPr>
          </c:marker>
          <c:xVal>
            <c:numRef>
              <c:f>PermDbase!$DM$620:$DM$927</c:f>
              <c:numCache>
                <c:formatCode>General</c:formatCode>
                <c:ptCount val="22"/>
                <c:pt idx="8">
                  <c:v>78.106666524406961</c:v>
                </c:pt>
                <c:pt idx="9">
                  <c:v>78.106666524406961</c:v>
                </c:pt>
                <c:pt idx="12">
                  <c:v>78.106666524406961</c:v>
                </c:pt>
                <c:pt idx="16">
                  <c:v>78.106666524406961</c:v>
                </c:pt>
                <c:pt idx="19">
                  <c:v>78.106666524406961</c:v>
                </c:pt>
                <c:pt idx="21">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B098-4768-9E4C-66C9687B7FD2}"/>
            </c:ext>
          </c:extLst>
        </c:ser>
        <c:ser>
          <c:idx val="6"/>
          <c:order val="5"/>
          <c:tx>
            <c:strRef>
              <c:f>PermDbase!$DM$29</c:f>
              <c:strCache>
                <c:ptCount val="1"/>
                <c:pt idx="0">
                  <c:v>PE80 groep1: regressiemodel</c:v>
                </c:pt>
              </c:strCache>
            </c:strRef>
          </c:tx>
          <c:spPr>
            <a:ln w="14605">
              <a:solidFill>
                <a:schemeClr val="tx1"/>
              </a:solidFill>
            </a:ln>
          </c:spPr>
          <c:marker>
            <c:symbol val="none"/>
          </c:marker>
          <c:xVal>
            <c:numRef>
              <c:f>PermDbase!$DF$30:$DF$31</c:f>
              <c:numCache>
                <c:formatCode>General</c:formatCode>
                <c:ptCount val="2"/>
                <c:pt idx="0">
                  <c:v>0</c:v>
                </c:pt>
                <c:pt idx="1">
                  <c:v>600</c:v>
                </c:pt>
              </c:numCache>
            </c:numRef>
          </c:xVal>
          <c:yVal>
            <c:numRef>
              <c:f>PermDbase!$DM$30:$DM$31</c:f>
              <c:numCache>
                <c:formatCode>General</c:formatCode>
                <c:ptCount val="2"/>
                <c:pt idx="0">
                  <c:v>-12.302167471093723</c:v>
                </c:pt>
                <c:pt idx="1">
                  <c:v>-13.620002450257358</c:v>
                </c:pt>
              </c:numCache>
            </c:numRef>
          </c:yVal>
          <c:smooth val="0"/>
          <c:extLst>
            <c:ext xmlns:c16="http://schemas.microsoft.com/office/drawing/2014/chart" uri="{C3380CC4-5D6E-409C-BE32-E72D297353CC}">
              <c16:uniqueId val="{00000005-B098-4768-9E4C-66C9687B7FD2}"/>
            </c:ext>
          </c:extLst>
        </c:ser>
        <c:ser>
          <c:idx val="0"/>
          <c:order val="6"/>
          <c:tx>
            <c:strRef>
              <c:f>PermDbase!$DP$29</c:f>
              <c:strCache>
                <c:ptCount val="1"/>
                <c:pt idx="0">
                  <c:v>PE80: schatting obv PE40</c:v>
                </c:pt>
              </c:strCache>
            </c:strRef>
          </c:tx>
          <c:spPr>
            <a:ln w="28575" cmpd="sng">
              <a:solidFill>
                <a:schemeClr val="tx1"/>
              </a:solidFill>
              <a:prstDash val="solid"/>
            </a:ln>
          </c:spPr>
          <c:marker>
            <c:symbol val="none"/>
          </c:marker>
          <c:xVal>
            <c:numRef>
              <c:f>PermDbase!$DF$30:$DF$31</c:f>
              <c:numCache>
                <c:formatCode>General</c:formatCode>
                <c:ptCount val="2"/>
                <c:pt idx="0">
                  <c:v>0</c:v>
                </c:pt>
                <c:pt idx="1">
                  <c:v>600</c:v>
                </c:pt>
              </c:numCache>
            </c:numRef>
          </c:xVal>
          <c:yVal>
            <c:numRef>
              <c:f>PermDbase!$DP$30:$DP$31</c:f>
              <c:numCache>
                <c:formatCode>General</c:formatCode>
                <c:ptCount val="2"/>
                <c:pt idx="0">
                  <c:v>-11.18834533786805</c:v>
                </c:pt>
                <c:pt idx="1">
                  <c:v>-17.928897734392315</c:v>
                </c:pt>
              </c:numCache>
            </c:numRef>
          </c:yVal>
          <c:smooth val="0"/>
          <c:extLst>
            <c:ext xmlns:c16="http://schemas.microsoft.com/office/drawing/2014/chart" uri="{C3380CC4-5D6E-409C-BE32-E72D297353CC}">
              <c16:uniqueId val="{00000006-B098-4768-9E4C-66C9687B7FD2}"/>
            </c:ext>
          </c:extLst>
        </c:ser>
        <c:dLbls>
          <c:showLegendKey val="0"/>
          <c:showVal val="0"/>
          <c:showCatName val="0"/>
          <c:showSerName val="0"/>
          <c:showPercent val="0"/>
          <c:showBubbleSize val="0"/>
        </c:dLbls>
        <c:axId val="177543808"/>
        <c:axId val="177558272"/>
      </c:scatterChart>
      <c:valAx>
        <c:axId val="177543808"/>
        <c:scaling>
          <c:orientation val="minMax"/>
          <c:max val="5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558272"/>
        <c:crossesAt val="-1000"/>
        <c:crossBetween val="midCat"/>
      </c:valAx>
      <c:valAx>
        <c:axId val="177558272"/>
        <c:scaling>
          <c:orientation val="minMax"/>
          <c:max val="-10"/>
          <c:min val="-14"/>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543808"/>
        <c:crossesAt val="-1000"/>
        <c:crossBetween val="midCat"/>
        <c:majorUnit val="1"/>
      </c:valAx>
      <c:spPr>
        <a:ln>
          <a:solidFill>
            <a:schemeClr val="tx1"/>
          </a:solidFill>
        </a:ln>
      </c:spPr>
    </c:plotArea>
    <c:legend>
      <c:legendPos val="r"/>
      <c:layout>
        <c:manualLayout>
          <c:xMode val="edge"/>
          <c:yMode val="edge"/>
          <c:x val="0.40151920428697335"/>
          <c:y val="6.1615549554385141E-2"/>
          <c:w val="0.51652561481962544"/>
          <c:h val="0.34582650866601988"/>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4"/>
          <c:order val="0"/>
          <c:tx>
            <c:strRef>
              <c:f>PermDbase!$DM$15</c:f>
              <c:strCache>
                <c:ptCount val="1"/>
                <c:pt idx="0">
                  <c:v>PE40 groep1: regressiemodel</c:v>
                </c:pt>
              </c:strCache>
            </c:strRef>
          </c:tx>
          <c:spPr>
            <a:ln w="15875">
              <a:solidFill>
                <a:schemeClr val="tx1">
                  <a:lumMod val="95000"/>
                  <a:lumOff val="5000"/>
                </a:schemeClr>
              </a:solidFill>
              <a:prstDash val="dash"/>
            </a:ln>
          </c:spPr>
          <c:marker>
            <c:symbol val="none"/>
          </c:marker>
          <c:xVal>
            <c:numRef>
              <c:f>PermDbase!$DF$16:$DF$17</c:f>
              <c:numCache>
                <c:formatCode>General</c:formatCode>
                <c:ptCount val="2"/>
                <c:pt idx="0">
                  <c:v>0</c:v>
                </c:pt>
                <c:pt idx="1">
                  <c:v>600</c:v>
                </c:pt>
              </c:numCache>
            </c:numRef>
          </c:xVal>
          <c:yVal>
            <c:numRef>
              <c:f>PermDbase!$DM$16:$DM$17</c:f>
              <c:numCache>
                <c:formatCode>General</c:formatCode>
                <c:ptCount val="2"/>
                <c:pt idx="0">
                  <c:v>-10.68834533786805</c:v>
                </c:pt>
                <c:pt idx="1">
                  <c:v>-17.428897734392315</c:v>
                </c:pt>
              </c:numCache>
            </c:numRef>
          </c:yVal>
          <c:smooth val="0"/>
          <c:extLst>
            <c:ext xmlns:c16="http://schemas.microsoft.com/office/drawing/2014/chart" uri="{C3380CC4-5D6E-409C-BE32-E72D297353CC}">
              <c16:uniqueId val="{00000000-455D-4495-BF1F-EAB60AB363D0}"/>
            </c:ext>
          </c:extLst>
        </c:ser>
        <c:ser>
          <c:idx val="8"/>
          <c:order val="1"/>
          <c:tx>
            <c:strRef>
              <c:f>PermDbase!$EG$43</c:f>
              <c:strCache>
                <c:ptCount val="1"/>
                <c:pt idx="0">
                  <c:v>PE40 PAK: Russina et al 2010</c:v>
                </c:pt>
              </c:strCache>
            </c:strRef>
          </c:tx>
          <c:spPr>
            <a:ln w="15875">
              <a:solidFill>
                <a:schemeClr val="tx2">
                  <a:lumMod val="60000"/>
                  <a:lumOff val="40000"/>
                </a:schemeClr>
              </a:solidFill>
              <a:prstDash val="dash"/>
            </a:ln>
          </c:spPr>
          <c:marker>
            <c:symbol val="none"/>
          </c:marker>
          <c:xVal>
            <c:numRef>
              <c:f>PermDbase!$EB$45:$EB$87</c:f>
              <c:numCache>
                <c:formatCode>General</c:formatCode>
                <c:ptCount val="2"/>
                <c:pt idx="0">
                  <c:v>0</c:v>
                </c:pt>
                <c:pt idx="1">
                  <c:v>25</c:v>
                </c:pt>
              </c:numCache>
            </c:numRef>
          </c:xVal>
          <c:yVal>
            <c:numRef>
              <c:f>PermDbase!$EG$45:$EG$87</c:f>
              <c:numCache>
                <c:formatCode>General</c:formatCode>
                <c:ptCount val="2"/>
                <c:pt idx="0">
                  <c:v>-10.01</c:v>
                </c:pt>
                <c:pt idx="1">
                  <c:v>-10.352499999999999</c:v>
                </c:pt>
              </c:numCache>
            </c:numRef>
          </c:yVal>
          <c:smooth val="0"/>
          <c:extLst>
            <c:ext xmlns:c16="http://schemas.microsoft.com/office/drawing/2014/chart" uri="{C3380CC4-5D6E-409C-BE32-E72D297353CC}">
              <c16:uniqueId val="{00000001-455D-4495-BF1F-EAB60AB363D0}"/>
            </c:ext>
          </c:extLst>
        </c:ser>
        <c:ser>
          <c:idx val="5"/>
          <c:order val="2"/>
          <c:tx>
            <c:strRef>
              <c:f>PermDbase!$DN$15</c:f>
              <c:strCache>
                <c:ptCount val="1"/>
                <c:pt idx="0">
                  <c:v>PE40 groep2: regressiemodel</c:v>
                </c:pt>
              </c:strCache>
            </c:strRef>
          </c:tx>
          <c:spPr>
            <a:ln w="9525">
              <a:solidFill>
                <a:schemeClr val="tx1"/>
              </a:solidFill>
              <a:prstDash val="dashDot"/>
            </a:ln>
          </c:spPr>
          <c:marker>
            <c:symbol val="none"/>
          </c:marker>
          <c:xVal>
            <c:numRef>
              <c:f>PermDbase!$DF$16:$DF$17</c:f>
              <c:numCache>
                <c:formatCode>General</c:formatCode>
                <c:ptCount val="2"/>
                <c:pt idx="0">
                  <c:v>0</c:v>
                </c:pt>
                <c:pt idx="1">
                  <c:v>600</c:v>
                </c:pt>
              </c:numCache>
            </c:numRef>
          </c:xVal>
          <c:yVal>
            <c:numRef>
              <c:f>PermDbase!$DN$16:$DN$17</c:f>
              <c:numCache>
                <c:formatCode>General</c:formatCode>
                <c:ptCount val="2"/>
                <c:pt idx="0">
                  <c:v>-11.000207624215786</c:v>
                </c:pt>
                <c:pt idx="1">
                  <c:v>-14.7770119958968</c:v>
                </c:pt>
              </c:numCache>
            </c:numRef>
          </c:yVal>
          <c:smooth val="0"/>
          <c:extLst>
            <c:ext xmlns:c16="http://schemas.microsoft.com/office/drawing/2014/chart" uri="{C3380CC4-5D6E-409C-BE32-E72D297353CC}">
              <c16:uniqueId val="{00000002-455D-4495-BF1F-EAB60AB363D0}"/>
            </c:ext>
          </c:extLst>
        </c:ser>
        <c:ser>
          <c:idx val="1"/>
          <c:order val="3"/>
          <c:tx>
            <c:strRef>
              <c:f>PermDbase!$EH$43</c:f>
              <c:strCache>
                <c:ptCount val="1"/>
                <c:pt idx="0">
                  <c:v>PE40 PCB: Russina et al 2010</c:v>
                </c:pt>
              </c:strCache>
            </c:strRef>
          </c:tx>
          <c:spPr>
            <a:ln w="12700">
              <a:solidFill>
                <a:schemeClr val="tx2">
                  <a:lumMod val="60000"/>
                  <a:lumOff val="40000"/>
                </a:schemeClr>
              </a:solidFill>
              <a:prstDash val="sysDash"/>
            </a:ln>
          </c:spPr>
          <c:marker>
            <c:symbol val="none"/>
          </c:marker>
          <c:xVal>
            <c:numRef>
              <c:f>PermDbase!$EB$45:$EB$87</c:f>
              <c:numCache>
                <c:formatCode>General</c:formatCode>
                <c:ptCount val="2"/>
                <c:pt idx="0">
                  <c:v>0</c:v>
                </c:pt>
                <c:pt idx="1">
                  <c:v>25</c:v>
                </c:pt>
              </c:numCache>
            </c:numRef>
          </c:xVal>
          <c:yVal>
            <c:numRef>
              <c:f>PermDbase!$EH$45:$EH$87</c:f>
              <c:numCache>
                <c:formatCode>General</c:formatCode>
                <c:ptCount val="2"/>
                <c:pt idx="0">
                  <c:v>-11</c:v>
                </c:pt>
                <c:pt idx="1">
                  <c:v>-11.157500000000001</c:v>
                </c:pt>
              </c:numCache>
            </c:numRef>
          </c:yVal>
          <c:smooth val="0"/>
          <c:extLst>
            <c:ext xmlns:c16="http://schemas.microsoft.com/office/drawing/2014/chart" uri="{C3380CC4-5D6E-409C-BE32-E72D297353CC}">
              <c16:uniqueId val="{00000003-455D-4495-BF1F-EAB60AB363D0}"/>
            </c:ext>
          </c:extLst>
        </c:ser>
        <c:ser>
          <c:idx val="6"/>
          <c:order val="4"/>
          <c:tx>
            <c:strRef>
              <c:f>PermDbase!$EC$42:$EC$43</c:f>
              <c:strCache>
                <c:ptCount val="2"/>
                <c:pt idx="0">
                  <c:v>PE40</c:v>
                </c:pt>
                <c:pt idx="1">
                  <c:v>Simoneau 2010</c:v>
                </c:pt>
              </c:strCache>
            </c:strRef>
          </c:tx>
          <c:spPr>
            <a:ln w="28575">
              <a:solidFill>
                <a:srgbClr val="FF0000"/>
              </a:solidFill>
              <a:prstDash val="sysDash"/>
            </a:ln>
          </c:spPr>
          <c:marker>
            <c:symbol val="none"/>
          </c:marker>
          <c:xVal>
            <c:numRef>
              <c:f>PermDbase!$EB$45:$EB$87</c:f>
              <c:numCache>
                <c:formatCode>General</c:formatCode>
                <c:ptCount val="2"/>
                <c:pt idx="0">
                  <c:v>0</c:v>
                </c:pt>
                <c:pt idx="1">
                  <c:v>25</c:v>
                </c:pt>
              </c:numCache>
            </c:numRef>
          </c:xVal>
          <c:yVal>
            <c:numRef>
              <c:f>PermDbase!$EC$45:$EC$87</c:f>
              <c:numCache>
                <c:formatCode>General</c:formatCode>
                <c:ptCount val="2"/>
                <c:pt idx="0">
                  <c:v>-10.34383816695245</c:v>
                </c:pt>
                <c:pt idx="1">
                  <c:v>-10.81832621396137</c:v>
                </c:pt>
              </c:numCache>
            </c:numRef>
          </c:yVal>
          <c:smooth val="0"/>
          <c:extLst>
            <c:ext xmlns:c16="http://schemas.microsoft.com/office/drawing/2014/chart" uri="{C3380CC4-5D6E-409C-BE32-E72D297353CC}">
              <c16:uniqueId val="{00000004-455D-4495-BF1F-EAB60AB363D0}"/>
            </c:ext>
          </c:extLst>
        </c:ser>
        <c:dLbls>
          <c:showLegendKey val="0"/>
          <c:showVal val="0"/>
          <c:showCatName val="0"/>
          <c:showSerName val="0"/>
          <c:showPercent val="0"/>
          <c:showBubbleSize val="0"/>
        </c:dLbls>
        <c:axId val="177608960"/>
        <c:axId val="177619328"/>
      </c:scatterChart>
      <c:valAx>
        <c:axId val="177608960"/>
        <c:scaling>
          <c:orientation val="minMax"/>
          <c:max val="6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619328"/>
        <c:crossesAt val="-1000"/>
        <c:crossBetween val="midCat"/>
      </c:valAx>
      <c:valAx>
        <c:axId val="177619328"/>
        <c:scaling>
          <c:orientation val="minMax"/>
          <c:max val="-10"/>
          <c:min val="-15"/>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608960"/>
        <c:crossesAt val="-1000"/>
        <c:crossBetween val="midCat"/>
        <c:majorUnit val="1"/>
      </c:valAx>
      <c:spPr>
        <a:ln>
          <a:solidFill>
            <a:schemeClr val="tx1"/>
          </a:solidFill>
        </a:ln>
      </c:spPr>
    </c:plotArea>
    <c:legend>
      <c:legendPos val="r"/>
      <c:layout>
        <c:manualLayout>
          <c:xMode val="edge"/>
          <c:yMode val="edge"/>
          <c:x val="0.38408958221882106"/>
          <c:y val="6.1615644975297652E-2"/>
          <c:w val="0.54500122556318953"/>
          <c:h val="0.24750330034493029"/>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prstDash val="dash"/>
    </a:ln>
  </c:sp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0"/>
          <c:order val="0"/>
          <c:tx>
            <c:strRef>
              <c:f>PermDbase!$DP$29</c:f>
              <c:strCache>
                <c:ptCount val="1"/>
                <c:pt idx="0">
                  <c:v>PE80: schatting obv PE40</c:v>
                </c:pt>
              </c:strCache>
            </c:strRef>
          </c:tx>
          <c:spPr>
            <a:ln w="22225">
              <a:solidFill>
                <a:schemeClr val="tx1"/>
              </a:solidFill>
              <a:prstDash val="solid"/>
            </a:ln>
          </c:spPr>
          <c:marker>
            <c:symbol val="none"/>
          </c:marker>
          <c:xVal>
            <c:numRef>
              <c:f>PermDbase!$DF$30:$DF$31</c:f>
              <c:numCache>
                <c:formatCode>General</c:formatCode>
                <c:ptCount val="2"/>
                <c:pt idx="0">
                  <c:v>0</c:v>
                </c:pt>
                <c:pt idx="1">
                  <c:v>600</c:v>
                </c:pt>
              </c:numCache>
            </c:numRef>
          </c:xVal>
          <c:yVal>
            <c:numRef>
              <c:f>PermDbase!$DP$30:$DP$31</c:f>
              <c:numCache>
                <c:formatCode>General</c:formatCode>
                <c:ptCount val="2"/>
                <c:pt idx="0">
                  <c:v>-11.18834533786805</c:v>
                </c:pt>
                <c:pt idx="1">
                  <c:v>-17.928897734392315</c:v>
                </c:pt>
              </c:numCache>
            </c:numRef>
          </c:yVal>
          <c:smooth val="0"/>
          <c:extLst>
            <c:ext xmlns:c16="http://schemas.microsoft.com/office/drawing/2014/chart" uri="{C3380CC4-5D6E-409C-BE32-E72D297353CC}">
              <c16:uniqueId val="{00000000-3C4F-4A90-B678-D3CB393467BE}"/>
            </c:ext>
          </c:extLst>
        </c:ser>
        <c:ser>
          <c:idx val="7"/>
          <c:order val="1"/>
          <c:tx>
            <c:strRef>
              <c:f>PermDbase!$ED$42:$ED$43</c:f>
              <c:strCache>
                <c:ptCount val="2"/>
                <c:pt idx="0">
                  <c:v>PE80</c:v>
                </c:pt>
                <c:pt idx="1">
                  <c:v>Simoneau 2010</c:v>
                </c:pt>
              </c:strCache>
            </c:strRef>
          </c:tx>
          <c:spPr>
            <a:ln w="28575">
              <a:solidFill>
                <a:srgbClr val="FF0000"/>
              </a:solidFill>
            </a:ln>
          </c:spPr>
          <c:marker>
            <c:symbol val="none"/>
          </c:marker>
          <c:xVal>
            <c:numRef>
              <c:f>PermDbase!$EB$45:$EB$87</c:f>
              <c:numCache>
                <c:formatCode>General</c:formatCode>
                <c:ptCount val="2"/>
                <c:pt idx="0">
                  <c:v>0</c:v>
                </c:pt>
                <c:pt idx="1">
                  <c:v>25</c:v>
                </c:pt>
              </c:numCache>
            </c:numRef>
          </c:xVal>
          <c:yVal>
            <c:numRef>
              <c:f>PermDbase!$ED$45:$ED$87</c:f>
              <c:numCache>
                <c:formatCode>General</c:formatCode>
                <c:ptCount val="2"/>
                <c:pt idx="0">
                  <c:v>-11.354746606247518</c:v>
                </c:pt>
                <c:pt idx="1">
                  <c:v>-11.829234653256441</c:v>
                </c:pt>
              </c:numCache>
            </c:numRef>
          </c:yVal>
          <c:smooth val="0"/>
          <c:extLst>
            <c:ext xmlns:c16="http://schemas.microsoft.com/office/drawing/2014/chart" uri="{C3380CC4-5D6E-409C-BE32-E72D297353CC}">
              <c16:uniqueId val="{00000001-3C4F-4A90-B678-D3CB393467BE}"/>
            </c:ext>
          </c:extLst>
        </c:ser>
        <c:dLbls>
          <c:showLegendKey val="0"/>
          <c:showVal val="0"/>
          <c:showCatName val="0"/>
          <c:showSerName val="0"/>
          <c:showPercent val="0"/>
          <c:showBubbleSize val="0"/>
        </c:dLbls>
        <c:axId val="177649920"/>
        <c:axId val="177656192"/>
      </c:scatterChart>
      <c:valAx>
        <c:axId val="177649920"/>
        <c:scaling>
          <c:orientation val="minMax"/>
          <c:max val="6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656192"/>
        <c:crossesAt val="-1000"/>
        <c:crossBetween val="midCat"/>
      </c:valAx>
      <c:valAx>
        <c:axId val="177656192"/>
        <c:scaling>
          <c:orientation val="minMax"/>
          <c:max val="-10"/>
          <c:min val="-15"/>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649920"/>
        <c:crossesAt val="-1000"/>
        <c:crossBetween val="midCat"/>
        <c:majorUnit val="1"/>
      </c:valAx>
      <c:spPr>
        <a:ln>
          <a:solidFill>
            <a:schemeClr val="tx1"/>
          </a:solidFill>
        </a:ln>
      </c:spPr>
    </c:plotArea>
    <c:legend>
      <c:legendPos val="r"/>
      <c:layout>
        <c:manualLayout>
          <c:xMode val="edge"/>
          <c:yMode val="edge"/>
          <c:x val="0.38408958221882106"/>
          <c:y val="6.1615644975297652E-2"/>
          <c:w val="0.54500122556318953"/>
          <c:h val="0.12403116386724732"/>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prstDash val="dash"/>
    </a:ln>
  </c:sp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LAB!$A$9</c:f>
              <c:strCache>
                <c:ptCount val="1"/>
                <c:pt idx="0">
                  <c:v>Aminabavi et al 1999</c:v>
                </c:pt>
              </c:strCache>
            </c:strRef>
          </c:tx>
          <c:spPr>
            <a:ln w="28575">
              <a:noFill/>
            </a:ln>
          </c:spPr>
          <c:marker>
            <c:symbol val="square"/>
            <c:size val="6"/>
            <c:spPr>
              <a:noFill/>
              <a:ln>
                <a:solidFill>
                  <a:schemeClr val="tx1"/>
                </a:solidFill>
              </a:ln>
            </c:spPr>
          </c:marker>
          <c:xVal>
            <c:numRef>
              <c:f>LAB!$J$9:$J$22</c:f>
              <c:numCache>
                <c:formatCode>General</c:formatCode>
                <c:ptCount val="14"/>
                <c:pt idx="0">
                  <c:v>-11.193820026016112</c:v>
                </c:pt>
                <c:pt idx="1">
                  <c:v>-11.167491087293763</c:v>
                </c:pt>
                <c:pt idx="2">
                  <c:v>-11.193820026016112</c:v>
                </c:pt>
                <c:pt idx="3">
                  <c:v>-11.468521082957745</c:v>
                </c:pt>
                <c:pt idx="4">
                  <c:v>-11.67778070526608</c:v>
                </c:pt>
                <c:pt idx="5">
                  <c:v>-11.267606240177031</c:v>
                </c:pt>
                <c:pt idx="6">
                  <c:v>-12.154901959985743</c:v>
                </c:pt>
                <c:pt idx="7">
                  <c:v>-11.086186147616283</c:v>
                </c:pt>
                <c:pt idx="8">
                  <c:v>-11.376750709602099</c:v>
                </c:pt>
                <c:pt idx="9">
                  <c:v>-11.769551078621726</c:v>
                </c:pt>
                <c:pt idx="10">
                  <c:v>-11.721246399047171</c:v>
                </c:pt>
                <c:pt idx="11">
                  <c:v>-12.154901959985743</c:v>
                </c:pt>
                <c:pt idx="12">
                  <c:v>-11.769551078621726</c:v>
                </c:pt>
                <c:pt idx="13">
                  <c:v>-11.468521082957745</c:v>
                </c:pt>
              </c:numCache>
            </c:numRef>
          </c:xVal>
          <c:yVal>
            <c:numRef>
              <c:f>LAB!$K$9:$K$22</c:f>
              <c:numCache>
                <c:formatCode>General</c:formatCode>
                <c:ptCount val="14"/>
                <c:pt idx="0">
                  <c:v>-11.119186407719209</c:v>
                </c:pt>
                <c:pt idx="1">
                  <c:v>-11.154901959985743</c:v>
                </c:pt>
                <c:pt idx="2">
                  <c:v>-11.167491087293763</c:v>
                </c:pt>
                <c:pt idx="3">
                  <c:v>-11.522878745280337</c:v>
                </c:pt>
                <c:pt idx="4">
                  <c:v>-11.795880017344075</c:v>
                </c:pt>
                <c:pt idx="5">
                  <c:v>-11.214670164989233</c:v>
                </c:pt>
                <c:pt idx="6">
                  <c:v>-12.096910013008056</c:v>
                </c:pt>
                <c:pt idx="7">
                  <c:v>-11.769551078621726</c:v>
                </c:pt>
                <c:pt idx="8">
                  <c:v>-11.638272163982407</c:v>
                </c:pt>
                <c:pt idx="9">
                  <c:v>-12.045757490560675</c:v>
                </c:pt>
                <c:pt idx="10">
                  <c:v>-11.958607314841775</c:v>
                </c:pt>
                <c:pt idx="11">
                  <c:v>-12.301029995663981</c:v>
                </c:pt>
                <c:pt idx="12">
                  <c:v>-11.795880017344075</c:v>
                </c:pt>
                <c:pt idx="13">
                  <c:v>-12.154901959985743</c:v>
                </c:pt>
              </c:numCache>
            </c:numRef>
          </c:yVal>
          <c:smooth val="0"/>
          <c:extLst>
            <c:ext xmlns:c16="http://schemas.microsoft.com/office/drawing/2014/chart" uri="{C3380CC4-5D6E-409C-BE32-E72D297353CC}">
              <c16:uniqueId val="{00000000-D45A-41EF-80B3-E835909FB6A2}"/>
            </c:ext>
          </c:extLst>
        </c:ser>
        <c:ser>
          <c:idx val="0"/>
          <c:order val="1"/>
          <c:tx>
            <c:strRef>
              <c:f>LAB!$A$25</c:f>
              <c:strCache>
                <c:ptCount val="1"/>
                <c:pt idx="0">
                  <c:v>Welton et al 2010</c:v>
                </c:pt>
              </c:strCache>
            </c:strRef>
          </c:tx>
          <c:spPr>
            <a:ln w="28575">
              <a:noFill/>
            </a:ln>
          </c:spPr>
          <c:marker>
            <c:symbol val="diamond"/>
            <c:size val="6"/>
            <c:spPr>
              <a:solidFill>
                <a:schemeClr val="tx1"/>
              </a:solidFill>
              <a:ln>
                <a:solidFill>
                  <a:schemeClr val="tx1"/>
                </a:solidFill>
              </a:ln>
            </c:spPr>
          </c:marker>
          <c:xVal>
            <c:numRef>
              <c:f>LAB!$J$25:$J$37</c:f>
              <c:numCache>
                <c:formatCode>General</c:formatCode>
                <c:ptCount val="13"/>
                <c:pt idx="6">
                  <c:v>-12.303643611266669</c:v>
                </c:pt>
                <c:pt idx="7">
                  <c:v>-11.191114132640188</c:v>
                </c:pt>
                <c:pt idx="8">
                  <c:v>-12.177178354696895</c:v>
                </c:pt>
                <c:pt idx="9">
                  <c:v>-11.235077015350111</c:v>
                </c:pt>
                <c:pt idx="10">
                  <c:v>-11.244887733604928</c:v>
                </c:pt>
                <c:pt idx="11">
                  <c:v>-11.430626090384955</c:v>
                </c:pt>
                <c:pt idx="12">
                  <c:v>-11.260427655549908</c:v>
                </c:pt>
              </c:numCache>
            </c:numRef>
          </c:xVal>
          <c:yVal>
            <c:numRef>
              <c:f>LAB!$K$25:$K$37</c:f>
              <c:numCache>
                <c:formatCode>General</c:formatCode>
                <c:ptCount val="13"/>
                <c:pt idx="6">
                  <c:v>-13.070581074285707</c:v>
                </c:pt>
                <c:pt idx="7">
                  <c:v>-11.247874692702101</c:v>
                </c:pt>
                <c:pt idx="8">
                  <c:v>-12.690369832574101</c:v>
                </c:pt>
                <c:pt idx="9">
                  <c:v>-11.472756883611911</c:v>
                </c:pt>
                <c:pt idx="10">
                  <c:v>-11.537602002101044</c:v>
                </c:pt>
                <c:pt idx="11">
                  <c:v>-11.721475035262982</c:v>
                </c:pt>
                <c:pt idx="12">
                  <c:v>-11.588717086982616</c:v>
                </c:pt>
              </c:numCache>
            </c:numRef>
          </c:yVal>
          <c:smooth val="0"/>
          <c:extLst>
            <c:ext xmlns:c16="http://schemas.microsoft.com/office/drawing/2014/chart" uri="{C3380CC4-5D6E-409C-BE32-E72D297353CC}">
              <c16:uniqueId val="{00000001-D45A-41EF-80B3-E835909FB6A2}"/>
            </c:ext>
          </c:extLst>
        </c:ser>
        <c:dLbls>
          <c:showLegendKey val="0"/>
          <c:showVal val="0"/>
          <c:showCatName val="0"/>
          <c:showSerName val="0"/>
          <c:showPercent val="0"/>
          <c:showBubbleSize val="0"/>
        </c:dLbls>
        <c:axId val="177230592"/>
        <c:axId val="177232896"/>
      </c:scatterChart>
      <c:valAx>
        <c:axId val="177230592"/>
        <c:scaling>
          <c:orientation val="minMax"/>
          <c:max val="-10"/>
          <c:min val="-14"/>
        </c:scaling>
        <c:delete val="0"/>
        <c:axPos val="b"/>
        <c:title>
          <c:tx>
            <c:rich>
              <a:bodyPr/>
              <a:lstStyle/>
              <a:p>
                <a:pPr>
                  <a:defRPr/>
                </a:pPr>
                <a:r>
                  <a:rPr lang="en-US"/>
                  <a:t>Sorption -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77232896"/>
        <c:crossesAt val="-1000"/>
        <c:crossBetween val="midCat"/>
      </c:valAx>
      <c:valAx>
        <c:axId val="177232896"/>
        <c:scaling>
          <c:orientation val="minMax"/>
          <c:max val="-10"/>
          <c:min val="-14"/>
        </c:scaling>
        <c:delete val="0"/>
        <c:axPos val="l"/>
        <c:title>
          <c:tx>
            <c:rich>
              <a:bodyPr rot="-5400000" vert="horz"/>
              <a:lstStyle/>
              <a:p>
                <a:pPr>
                  <a:defRPr/>
                </a:pPr>
                <a:r>
                  <a:rPr lang="en-US"/>
                  <a:t>Desorption -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77230592"/>
        <c:crossesAt val="-1000"/>
        <c:crossBetween val="midCat"/>
        <c:majorUnit val="1"/>
      </c:valAx>
      <c:spPr>
        <a:ln>
          <a:solidFill>
            <a:schemeClr val="tx1"/>
          </a:solidFill>
        </a:ln>
      </c:spPr>
    </c:plotArea>
    <c:legend>
      <c:legendPos val="r"/>
      <c:layout>
        <c:manualLayout>
          <c:xMode val="edge"/>
          <c:yMode val="edge"/>
          <c:x val="0.17819561291308961"/>
          <c:y val="7.369021580635754E-2"/>
          <c:w val="0.42046797945677539"/>
          <c:h val="0.11341426071741034"/>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PermDbase!$DI$43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PermDbase!$DI$620:$DI$927</c:f>
              <c:numCache>
                <c:formatCode>General</c:formatCode>
                <c:ptCount val="22"/>
                <c:pt idx="1">
                  <c:v>78.106666524406961</c:v>
                </c:pt>
                <c:pt idx="2">
                  <c:v>78.106666524406961</c:v>
                </c:pt>
                <c:pt idx="10">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0-875B-4CF7-9497-14B006D36821}"/>
            </c:ext>
          </c:extLst>
        </c:ser>
        <c:ser>
          <c:idx val="11"/>
          <c:order val="1"/>
          <c:tx>
            <c:strRef>
              <c:f>PermDbase!$DI$15</c:f>
              <c:strCache>
                <c:ptCount val="1"/>
                <c:pt idx="0">
                  <c:v>regressie</c:v>
                </c:pt>
              </c:strCache>
            </c:strRef>
          </c:tx>
          <c:spPr>
            <a:ln w="9525">
              <a:solidFill>
                <a:schemeClr val="tx1"/>
              </a:solidFill>
              <a:prstDash val="dash"/>
            </a:ln>
          </c:spPr>
          <c:marker>
            <c:symbol val="none"/>
          </c:marker>
          <c:xVal>
            <c:numRef>
              <c:f>PermDbase!$DF$30:$DF$31</c:f>
              <c:numCache>
                <c:formatCode>General</c:formatCode>
                <c:ptCount val="2"/>
                <c:pt idx="0">
                  <c:v>0</c:v>
                </c:pt>
                <c:pt idx="1">
                  <c:v>600</c:v>
                </c:pt>
              </c:numCache>
            </c:numRef>
          </c:xVal>
          <c:yVal>
            <c:numRef>
              <c:f>PermDbase!$DI$30:$DI$31</c:f>
              <c:numCache>
                <c:formatCode>General</c:formatCode>
                <c:ptCount val="2"/>
                <c:pt idx="0">
                  <c:v>-11.746900332245584</c:v>
                </c:pt>
                <c:pt idx="1">
                  <c:v>-11.901441463342772</c:v>
                </c:pt>
              </c:numCache>
            </c:numRef>
          </c:yVal>
          <c:smooth val="0"/>
          <c:extLst>
            <c:ext xmlns:c16="http://schemas.microsoft.com/office/drawing/2014/chart" uri="{C3380CC4-5D6E-409C-BE32-E72D297353CC}">
              <c16:uniqueId val="{00000001-875B-4CF7-9497-14B006D36821}"/>
            </c:ext>
          </c:extLst>
        </c:ser>
        <c:ser>
          <c:idx val="4"/>
          <c:order val="2"/>
          <c:tx>
            <c:strRef>
              <c:f>PermDbase!$DJ$43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PermDbase!$DJ$47:$DJ$619</c:f>
            </c:numRef>
          </c:xVal>
          <c:yVal>
            <c:numRef>
              <c:f>PermDbase!$DG$47:$DG$619</c:f>
            </c:numRef>
          </c:yVal>
          <c:smooth val="0"/>
          <c:extLst>
            <c:ext xmlns:c16="http://schemas.microsoft.com/office/drawing/2014/chart" uri="{C3380CC4-5D6E-409C-BE32-E72D297353CC}">
              <c16:uniqueId val="{00000002-875B-4CF7-9497-14B006D36821}"/>
            </c:ext>
          </c:extLst>
        </c:ser>
        <c:ser>
          <c:idx val="1"/>
          <c:order val="3"/>
          <c:tx>
            <c:strRef>
              <c:f>PermDbase!$DJ$15</c:f>
              <c:strCache>
                <c:ptCount val="1"/>
                <c:pt idx="0">
                  <c:v>regressie</c:v>
                </c:pt>
              </c:strCache>
            </c:strRef>
          </c:tx>
          <c:spPr>
            <a:ln w="15875">
              <a:solidFill>
                <a:schemeClr val="tx2">
                  <a:lumMod val="60000"/>
                  <a:lumOff val="40000"/>
                </a:schemeClr>
              </a:solidFill>
              <a:prstDash val="dash"/>
            </a:ln>
          </c:spPr>
          <c:marker>
            <c:symbol val="none"/>
          </c:marker>
          <c:xVal>
            <c:numRef>
              <c:f>PermDbase!$DF$16:$DF$17</c:f>
              <c:numCache>
                <c:formatCode>General</c:formatCode>
                <c:ptCount val="2"/>
                <c:pt idx="0">
                  <c:v>0</c:v>
                </c:pt>
                <c:pt idx="1">
                  <c:v>600</c:v>
                </c:pt>
              </c:numCache>
            </c:numRef>
          </c:xVal>
          <c:yVal>
            <c:numRef>
              <c:f>PermDbase!$DJ$16:$DJ$17</c:f>
              <c:numCache>
                <c:formatCode>General</c:formatCode>
                <c:ptCount val="2"/>
              </c:numCache>
            </c:numRef>
          </c:yVal>
          <c:smooth val="0"/>
          <c:extLst>
            <c:ext xmlns:c16="http://schemas.microsoft.com/office/drawing/2014/chart" uri="{C3380CC4-5D6E-409C-BE32-E72D297353CC}">
              <c16:uniqueId val="{00000003-875B-4CF7-9497-14B006D36821}"/>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PermDbase!$DK$620:$DK$927</c:f>
              <c:numCache>
                <c:formatCode>General</c:formatCode>
                <c:ptCount val="22"/>
                <c:pt idx="3">
                  <c:v>78.106666524406961</c:v>
                </c:pt>
                <c:pt idx="8">
                  <c:v>78.106666524406961</c:v>
                </c:pt>
                <c:pt idx="9">
                  <c:v>78.106666524406961</c:v>
                </c:pt>
                <c:pt idx="12">
                  <c:v>78.106666524406961</c:v>
                </c:pt>
                <c:pt idx="16">
                  <c:v>78.106666524406961</c:v>
                </c:pt>
                <c:pt idx="19">
                  <c:v>78.106666524406961</c:v>
                </c:pt>
                <c:pt idx="21">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875B-4CF7-9497-14B006D36821}"/>
            </c:ext>
          </c:extLst>
        </c:ser>
        <c:ser>
          <c:idx val="3"/>
          <c:order val="5"/>
          <c:tx>
            <c:strRef>
              <c:f>PermDbase!$DK$15</c:f>
              <c:strCache>
                <c:ptCount val="1"/>
                <c:pt idx="0">
                  <c:v>regressie</c:v>
                </c:pt>
              </c:strCache>
            </c:strRef>
          </c:tx>
          <c:spPr>
            <a:ln w="19050">
              <a:solidFill>
                <a:schemeClr val="accent6">
                  <a:lumMod val="75000"/>
                </a:schemeClr>
              </a:solidFill>
              <a:prstDash val="sysDash"/>
            </a:ln>
          </c:spPr>
          <c:marker>
            <c:symbol val="none"/>
          </c:marker>
          <c:xVal>
            <c:numRef>
              <c:f>PermDbase!$DF$31:$DF$31</c:f>
              <c:numCache>
                <c:formatCode>General</c:formatCode>
                <c:ptCount val="1"/>
                <c:pt idx="0">
                  <c:v>600</c:v>
                </c:pt>
              </c:numCache>
            </c:numRef>
          </c:xVal>
          <c:yVal>
            <c:numRef>
              <c:f>PermDbase!$DK$30:$DK$31</c:f>
              <c:numCache>
                <c:formatCode>General</c:formatCode>
                <c:ptCount val="2"/>
                <c:pt idx="0">
                  <c:v>-12.141810131971244</c:v>
                </c:pt>
                <c:pt idx="1">
                  <c:v>-13.570605086596712</c:v>
                </c:pt>
              </c:numCache>
            </c:numRef>
          </c:yVal>
          <c:smooth val="0"/>
          <c:extLst>
            <c:ext xmlns:c16="http://schemas.microsoft.com/office/drawing/2014/chart" uri="{C3380CC4-5D6E-409C-BE32-E72D297353CC}">
              <c16:uniqueId val="{00000005-875B-4CF7-9497-14B006D36821}"/>
            </c:ext>
          </c:extLst>
        </c:ser>
        <c:ser>
          <c:idx val="6"/>
          <c:order val="6"/>
          <c:tx>
            <c:strRef>
              <c:f>PermDbase!$DL$43</c:f>
              <c:strCache>
                <c:ptCount val="1"/>
                <c:pt idx="0">
                  <c:v>Filmstacking</c:v>
                </c:pt>
              </c:strCache>
            </c:strRef>
          </c:tx>
          <c:spPr>
            <a:ln w="28575">
              <a:noFill/>
            </a:ln>
          </c:spPr>
          <c:marker>
            <c:symbol val="diamond"/>
            <c:size val="5"/>
            <c:spPr>
              <a:solidFill>
                <a:srgbClr val="FF0000"/>
              </a:solidFill>
              <a:ln>
                <a:solidFill>
                  <a:srgbClr val="C00000"/>
                </a:solidFill>
              </a:ln>
            </c:spPr>
          </c:marker>
          <c:xVal>
            <c:numRef>
              <c:f>PermDbase!$DL$620:$DL$927</c:f>
              <c:numCache>
                <c:formatCode>General</c:formatCode>
                <c:ptCount val="22"/>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6-875B-4CF7-9497-14B006D36821}"/>
            </c:ext>
          </c:extLst>
        </c:ser>
        <c:ser>
          <c:idx val="7"/>
          <c:order val="7"/>
          <c:tx>
            <c:strRef>
              <c:f>PermDbase!$DL$15</c:f>
              <c:strCache>
                <c:ptCount val="1"/>
                <c:pt idx="0">
                  <c:v>regressie</c:v>
                </c:pt>
              </c:strCache>
            </c:strRef>
          </c:tx>
          <c:spPr>
            <a:ln w="19050">
              <a:solidFill>
                <a:srgbClr val="FF0000"/>
              </a:solidFill>
            </a:ln>
          </c:spPr>
          <c:xVal>
            <c:numRef>
              <c:f>PermDbase!$DF$31:$DF$31</c:f>
              <c:numCache>
                <c:formatCode>General</c:formatCode>
                <c:ptCount val="1"/>
                <c:pt idx="0">
                  <c:v>600</c:v>
                </c:pt>
              </c:numCache>
            </c:numRef>
          </c:xVal>
          <c:yVal>
            <c:numRef>
              <c:f>PermDbase!$DL$30:$DL$31</c:f>
              <c:numCache>
                <c:formatCode>General</c:formatCode>
                <c:ptCount val="2"/>
                <c:pt idx="0">
                  <c:v>0</c:v>
                </c:pt>
                <c:pt idx="1">
                  <c:v>0</c:v>
                </c:pt>
              </c:numCache>
            </c:numRef>
          </c:yVal>
          <c:smooth val="0"/>
          <c:extLst>
            <c:ext xmlns:c16="http://schemas.microsoft.com/office/drawing/2014/chart" uri="{C3380CC4-5D6E-409C-BE32-E72D297353CC}">
              <c16:uniqueId val="{00000007-875B-4CF7-9497-14B006D36821}"/>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875B-4CF7-9497-14B006D36821}"/>
            </c:ext>
          </c:extLst>
        </c:ser>
        <c:dLbls>
          <c:showLegendKey val="0"/>
          <c:showVal val="0"/>
          <c:showCatName val="0"/>
          <c:showSerName val="0"/>
          <c:showPercent val="0"/>
          <c:showBubbleSize val="0"/>
        </c:dLbls>
        <c:axId val="178021888"/>
        <c:axId val="178023808"/>
      </c:scatterChart>
      <c:valAx>
        <c:axId val="178021888"/>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8023808"/>
        <c:crossesAt val="-1000"/>
        <c:crossBetween val="midCat"/>
      </c:valAx>
      <c:valAx>
        <c:axId val="178023808"/>
        <c:scaling>
          <c:orientation val="minMax"/>
          <c:max val="-10"/>
          <c:min val="-16"/>
        </c:scaling>
        <c:delete val="0"/>
        <c:axPos val="l"/>
        <c:title>
          <c:tx>
            <c:rich>
              <a:bodyPr rot="-5400000" vert="horz"/>
              <a:lstStyle/>
              <a:p>
                <a:pPr>
                  <a:defRPr/>
                </a:pPr>
                <a:r>
                  <a:rPr lang="en-US"/>
                  <a:t>Log D</a:t>
                </a:r>
                <a:r>
                  <a:rPr lang="en-US" baseline="0"/>
                  <a:t> (m2/dag)</a:t>
                </a:r>
                <a:endParaRPr lang="en-US"/>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8021888"/>
        <c:crossesAt val="-1000"/>
        <c:crossBetween val="midCat"/>
      </c:valAx>
      <c:spPr>
        <a:ln>
          <a:solidFill>
            <a:schemeClr val="tx1"/>
          </a:solidFill>
        </a:ln>
      </c:spPr>
    </c:plotArea>
    <c:legend>
      <c:legendPos val="r"/>
      <c:layout>
        <c:manualLayout>
          <c:xMode val="edge"/>
          <c:yMode val="edge"/>
          <c:x val="0.58601460665600069"/>
          <c:y val="5.2515962646643648E-2"/>
          <c:w val="0.33067307028741783"/>
          <c:h val="0.38211798653967782"/>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PermDbase!$FH$927</c:f>
              <c:strCache>
                <c:ptCount val="1"/>
              </c:strCache>
            </c:strRef>
          </c:tx>
          <c:spPr>
            <a:ln w="28575">
              <a:noFill/>
            </a:ln>
          </c:spPr>
          <c:xVal>
            <c:strRef>
              <c:f>PermDbase!$FH$47:$FH$926</c:f>
              <c:strCache>
                <c:ptCount val="22"/>
                <c:pt idx="1">
                  <c:v>1.76</c:v>
                </c:pt>
                <c:pt idx="2">
                  <c:v>-1.31</c:v>
                </c:pt>
                <c:pt idx="3">
                  <c:v>-1.01</c:v>
                </c:pt>
                <c:pt idx="6">
                  <c:v>1.74</c:v>
                </c:pt>
                <c:pt idx="7">
                  <c:v>1.70</c:v>
                </c:pt>
                <c:pt idx="10">
                  <c:v>1.67</c:v>
                </c:pt>
                <c:pt idx="11">
                  <c:v>1.78</c:v>
                </c:pt>
                <c:pt idx="12">
                  <c:v>1.96</c:v>
                </c:pt>
                <c:pt idx="13">
                  <c:v>1.18</c:v>
                </c:pt>
                <c:pt idx="14">
                  <c:v>1.05</c:v>
                </c:pt>
                <c:pt idx="15">
                  <c:v>1.02</c:v>
                </c:pt>
                <c:pt idx="16">
                  <c:v>1.16</c:v>
                </c:pt>
                <c:pt idx="17">
                  <c:v>1.48</c:v>
                </c:pt>
                <c:pt idx="18">
                  <c:v>1.56</c:v>
                </c:pt>
                <c:pt idx="20">
                  <c:v>1.45</c:v>
                </c:pt>
                <c:pt idx="21">
                  <c:v>1.48</c:v>
                </c:pt>
              </c:strCache>
            </c:strRef>
          </c:xVal>
          <c:yVal>
            <c:numRef>
              <c:f>PermDbase!$FI$47:$FI$926</c:f>
              <c:numCache>
                <c:formatCode>0.00</c:formatCode>
                <c:ptCount val="22"/>
                <c:pt idx="0">
                  <c:v>0</c:v>
                </c:pt>
                <c:pt idx="1">
                  <c:v>1.08007323929876</c:v>
                </c:pt>
                <c:pt idx="2">
                  <c:v>1.08007323929876</c:v>
                </c:pt>
                <c:pt idx="3">
                  <c:v>0</c:v>
                </c:pt>
                <c:pt idx="4">
                  <c:v>0</c:v>
                </c:pt>
                <c:pt idx="5">
                  <c:v>0</c:v>
                </c:pt>
                <c:pt idx="6">
                  <c:v>1.08007323929876</c:v>
                </c:pt>
                <c:pt idx="7">
                  <c:v>1.08007323929876</c:v>
                </c:pt>
                <c:pt idx="8">
                  <c:v>0</c:v>
                </c:pt>
                <c:pt idx="9">
                  <c:v>0</c:v>
                </c:pt>
                <c:pt idx="10">
                  <c:v>1.08007323929876</c:v>
                </c:pt>
                <c:pt idx="11">
                  <c:v>0</c:v>
                </c:pt>
                <c:pt idx="12">
                  <c:v>0</c:v>
                </c:pt>
                <c:pt idx="13">
                  <c:v>0</c:v>
                </c:pt>
                <c:pt idx="14">
                  <c:v>0</c:v>
                </c:pt>
                <c:pt idx="15">
                  <c:v>0</c:v>
                </c:pt>
                <c:pt idx="16">
                  <c:v>0</c:v>
                </c:pt>
                <c:pt idx="17">
                  <c:v>0</c:v>
                </c:pt>
                <c:pt idx="18">
                  <c:v>1.08007323929876</c:v>
                </c:pt>
                <c:pt idx="19">
                  <c:v>0</c:v>
                </c:pt>
                <c:pt idx="20">
                  <c:v>1.08007323929876</c:v>
                </c:pt>
                <c:pt idx="21">
                  <c:v>0</c:v>
                </c:pt>
              </c:numCache>
            </c:numRef>
          </c:yVal>
          <c:smooth val="0"/>
          <c:extLst>
            <c:ext xmlns:c16="http://schemas.microsoft.com/office/drawing/2014/chart" uri="{C3380CC4-5D6E-409C-BE32-E72D297353CC}">
              <c16:uniqueId val="{00000000-413B-41B3-B8CD-715BB384AB27}"/>
            </c:ext>
          </c:extLst>
        </c:ser>
        <c:dLbls>
          <c:showLegendKey val="0"/>
          <c:showVal val="0"/>
          <c:showCatName val="0"/>
          <c:showSerName val="0"/>
          <c:showPercent val="0"/>
          <c:showBubbleSize val="0"/>
        </c:dLbls>
        <c:axId val="178052480"/>
        <c:axId val="178197632"/>
      </c:scatterChart>
      <c:valAx>
        <c:axId val="178052480"/>
        <c:scaling>
          <c:orientation val="minMax"/>
        </c:scaling>
        <c:delete val="0"/>
        <c:axPos val="b"/>
        <c:majorTickMark val="out"/>
        <c:minorTickMark val="none"/>
        <c:tickLblPos val="nextTo"/>
        <c:crossAx val="178197632"/>
        <c:crosses val="autoZero"/>
        <c:crossBetween val="midCat"/>
      </c:valAx>
      <c:valAx>
        <c:axId val="178197632"/>
        <c:scaling>
          <c:orientation val="minMax"/>
        </c:scaling>
        <c:delete val="0"/>
        <c:axPos val="l"/>
        <c:majorGridlines/>
        <c:numFmt formatCode="0.00" sourceLinked="1"/>
        <c:majorTickMark val="out"/>
        <c:minorTickMark val="none"/>
        <c:tickLblPos val="nextTo"/>
        <c:crossAx val="1780524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0"/>
          <c:order val="0"/>
          <c:tx>
            <c:v>Vm</c:v>
          </c:tx>
          <c:spPr>
            <a:ln w="28575">
              <a:noFill/>
            </a:ln>
          </c:spPr>
          <c:marker>
            <c:symbol val="diamond"/>
            <c:size val="6"/>
            <c:spPr>
              <a:solidFill>
                <a:schemeClr val="tx1"/>
              </a:solidFill>
              <a:ln>
                <a:solidFill>
                  <a:schemeClr val="tx1"/>
                </a:solidFill>
              </a:ln>
            </c:spPr>
          </c:marker>
          <c:trendline>
            <c:trendlineType val="linear"/>
            <c:dispRSqr val="1"/>
            <c:dispEq val="1"/>
            <c:trendlineLbl>
              <c:layout>
                <c:manualLayout>
                  <c:x val="-0.10585984460237745"/>
                  <c:y val="-0.11902407378436215"/>
                </c:manualLayout>
              </c:layout>
              <c:numFmt formatCode="General" sourceLinked="0"/>
            </c:trendlineLbl>
          </c:trendline>
          <c:xVal>
            <c:numRef>
              <c:f>CompDbase!$CD$14:$CD$177</c:f>
              <c:numCache>
                <c:formatCode>General</c:formatCode>
                <c:ptCount val="164"/>
                <c:pt idx="1">
                  <c:v>212.1</c:v>
                </c:pt>
                <c:pt idx="2">
                  <c:v>212.15</c:v>
                </c:pt>
                <c:pt idx="3">
                  <c:v>212</c:v>
                </c:pt>
                <c:pt idx="4">
                  <c:v>209.9</c:v>
                </c:pt>
                <c:pt idx="5">
                  <c:v>210.5</c:v>
                </c:pt>
                <c:pt idx="6">
                  <c:v>209.7</c:v>
                </c:pt>
                <c:pt idx="7">
                  <c:v>210.25</c:v>
                </c:pt>
                <c:pt idx="8">
                  <c:v>210.75</c:v>
                </c:pt>
                <c:pt idx="9">
                  <c:v>222.6</c:v>
                </c:pt>
                <c:pt idx="10">
                  <c:v>222.64999999999998</c:v>
                </c:pt>
                <c:pt idx="11">
                  <c:v>222.2</c:v>
                </c:pt>
                <c:pt idx="12">
                  <c:v>222.9</c:v>
                </c:pt>
                <c:pt idx="13">
                  <c:v>221.7</c:v>
                </c:pt>
                <c:pt idx="14">
                  <c:v>223.25</c:v>
                </c:pt>
                <c:pt idx="15">
                  <c:v>223.55</c:v>
                </c:pt>
                <c:pt idx="16">
                  <c:v>223.7</c:v>
                </c:pt>
                <c:pt idx="17">
                  <c:v>223.15</c:v>
                </c:pt>
                <c:pt idx="18">
                  <c:v>223.75</c:v>
                </c:pt>
                <c:pt idx="19">
                  <c:v>223.85</c:v>
                </c:pt>
                <c:pt idx="20">
                  <c:v>222.05</c:v>
                </c:pt>
                <c:pt idx="21">
                  <c:v>221.6</c:v>
                </c:pt>
                <c:pt idx="22">
                  <c:v>187.4</c:v>
                </c:pt>
                <c:pt idx="23">
                  <c:v>221.5</c:v>
                </c:pt>
                <c:pt idx="24">
                  <c:v>234.1</c:v>
                </c:pt>
                <c:pt idx="25">
                  <c:v>235.1</c:v>
                </c:pt>
                <c:pt idx="26">
                  <c:v>234</c:v>
                </c:pt>
                <c:pt idx="27">
                  <c:v>234</c:v>
                </c:pt>
                <c:pt idx="28">
                  <c:v>234.7</c:v>
                </c:pt>
                <c:pt idx="29">
                  <c:v>188.35</c:v>
                </c:pt>
                <c:pt idx="30">
                  <c:v>234.9</c:v>
                </c:pt>
                <c:pt idx="31">
                  <c:v>234.6</c:v>
                </c:pt>
                <c:pt idx="32">
                  <c:v>234.4</c:v>
                </c:pt>
                <c:pt idx="33">
                  <c:v>234</c:v>
                </c:pt>
                <c:pt idx="34">
                  <c:v>246.55</c:v>
                </c:pt>
                <c:pt idx="35">
                  <c:v>245.5</c:v>
                </c:pt>
                <c:pt idx="36">
                  <c:v>245.6</c:v>
                </c:pt>
                <c:pt idx="37">
                  <c:v>246.2</c:v>
                </c:pt>
                <c:pt idx="38">
                  <c:v>245.5</c:v>
                </c:pt>
                <c:pt idx="39">
                  <c:v>245.3</c:v>
                </c:pt>
                <c:pt idx="40">
                  <c:v>244.8</c:v>
                </c:pt>
                <c:pt idx="41">
                  <c:v>257.39999999999998</c:v>
                </c:pt>
                <c:pt idx="42">
                  <c:v>257</c:v>
                </c:pt>
                <c:pt idx="43">
                  <c:v>256.89999999999998</c:v>
                </c:pt>
                <c:pt idx="44">
                  <c:v>186.8</c:v>
                </c:pt>
                <c:pt idx="45">
                  <c:v>186.1</c:v>
                </c:pt>
                <c:pt idx="46">
                  <c:v>187.6</c:v>
                </c:pt>
                <c:pt idx="47">
                  <c:v>187.4</c:v>
                </c:pt>
                <c:pt idx="48">
                  <c:v>186.6</c:v>
                </c:pt>
                <c:pt idx="49">
                  <c:v>187.5</c:v>
                </c:pt>
                <c:pt idx="50">
                  <c:v>162.4</c:v>
                </c:pt>
                <c:pt idx="51">
                  <c:v>186.6</c:v>
                </c:pt>
                <c:pt idx="52">
                  <c:v>185.8</c:v>
                </c:pt>
                <c:pt idx="53">
                  <c:v>199</c:v>
                </c:pt>
                <c:pt idx="54">
                  <c:v>199.2</c:v>
                </c:pt>
                <c:pt idx="55">
                  <c:v>199.8</c:v>
                </c:pt>
                <c:pt idx="56">
                  <c:v>199.9</c:v>
                </c:pt>
                <c:pt idx="57">
                  <c:v>199.95</c:v>
                </c:pt>
                <c:pt idx="58">
                  <c:v>198.8</c:v>
                </c:pt>
                <c:pt idx="59">
                  <c:v>198.8</c:v>
                </c:pt>
                <c:pt idx="60">
                  <c:v>199.6</c:v>
                </c:pt>
                <c:pt idx="61">
                  <c:v>198.35</c:v>
                </c:pt>
                <c:pt idx="62">
                  <c:v>175.2</c:v>
                </c:pt>
                <c:pt idx="63">
                  <c:v>198.5</c:v>
                </c:pt>
                <c:pt idx="64">
                  <c:v>199.2</c:v>
                </c:pt>
                <c:pt idx="65">
                  <c:v>198.3</c:v>
                </c:pt>
                <c:pt idx="66">
                  <c:v>199.2</c:v>
                </c:pt>
                <c:pt idx="67">
                  <c:v>198</c:v>
                </c:pt>
                <c:pt idx="68">
                  <c:v>199.25</c:v>
                </c:pt>
                <c:pt idx="69">
                  <c:v>197.2</c:v>
                </c:pt>
                <c:pt idx="70">
                  <c:v>197.6</c:v>
                </c:pt>
                <c:pt idx="71">
                  <c:v>210.8</c:v>
                </c:pt>
                <c:pt idx="72">
                  <c:v>211.5</c:v>
                </c:pt>
                <c:pt idx="73">
                  <c:v>211.85</c:v>
                </c:pt>
                <c:pt idx="74">
                  <c:v>211.7</c:v>
                </c:pt>
                <c:pt idx="75">
                  <c:v>210.5</c:v>
                </c:pt>
                <c:pt idx="76">
                  <c:v>211.2</c:v>
                </c:pt>
                <c:pt idx="77">
                  <c:v>211.45</c:v>
                </c:pt>
                <c:pt idx="78">
                  <c:v>212</c:v>
                </c:pt>
                <c:pt idx="79">
                  <c:v>223.1</c:v>
                </c:pt>
                <c:pt idx="80">
                  <c:v>360.9</c:v>
                </c:pt>
                <c:pt idx="81">
                  <c:v>360.9</c:v>
                </c:pt>
                <c:pt idx="82">
                  <c:v>360.9</c:v>
                </c:pt>
                <c:pt idx="86">
                  <c:v>360.9</c:v>
                </c:pt>
                <c:pt idx="87">
                  <c:v>360.9</c:v>
                </c:pt>
                <c:pt idx="88">
                  <c:v>360.9</c:v>
                </c:pt>
                <c:pt idx="89">
                  <c:v>235</c:v>
                </c:pt>
                <c:pt idx="90">
                  <c:v>246.5</c:v>
                </c:pt>
                <c:pt idx="91">
                  <c:v>257.5</c:v>
                </c:pt>
                <c:pt idx="92">
                  <c:v>257.5</c:v>
                </c:pt>
                <c:pt idx="93">
                  <c:v>257.5</c:v>
                </c:pt>
                <c:pt idx="94">
                  <c:v>292</c:v>
                </c:pt>
                <c:pt idx="96">
                  <c:v>292</c:v>
                </c:pt>
                <c:pt idx="97">
                  <c:v>292</c:v>
                </c:pt>
                <c:pt idx="98">
                  <c:v>292</c:v>
                </c:pt>
                <c:pt idx="100">
                  <c:v>292</c:v>
                </c:pt>
                <c:pt idx="102">
                  <c:v>326.39999999999998</c:v>
                </c:pt>
                <c:pt idx="104">
                  <c:v>326.39999999999998</c:v>
                </c:pt>
                <c:pt idx="105">
                  <c:v>154.19999999999999</c:v>
                </c:pt>
                <c:pt idx="106">
                  <c:v>155.80000000000001</c:v>
                </c:pt>
                <c:pt idx="107">
                  <c:v>186</c:v>
                </c:pt>
                <c:pt idx="108">
                  <c:v>155.6</c:v>
                </c:pt>
                <c:pt idx="109">
                  <c:v>155.6</c:v>
                </c:pt>
                <c:pt idx="110">
                  <c:v>169.4</c:v>
                </c:pt>
                <c:pt idx="111">
                  <c:v>139.9</c:v>
                </c:pt>
                <c:pt idx="112">
                  <c:v>175.9</c:v>
                </c:pt>
                <c:pt idx="113">
                  <c:v>197.7</c:v>
                </c:pt>
                <c:pt idx="114">
                  <c:v>170.2</c:v>
                </c:pt>
                <c:pt idx="115">
                  <c:v>170.3</c:v>
                </c:pt>
                <c:pt idx="116">
                  <c:v>155.9</c:v>
                </c:pt>
                <c:pt idx="117">
                  <c:v>191.2</c:v>
                </c:pt>
                <c:pt idx="118">
                  <c:v>174.8</c:v>
                </c:pt>
                <c:pt idx="119">
                  <c:v>158.25</c:v>
                </c:pt>
                <c:pt idx="120">
                  <c:v>176</c:v>
                </c:pt>
                <c:pt idx="121">
                  <c:v>192.2</c:v>
                </c:pt>
                <c:pt idx="122">
                  <c:v>211.9</c:v>
                </c:pt>
                <c:pt idx="123">
                  <c:v>226</c:v>
                </c:pt>
                <c:pt idx="124">
                  <c:v>210.3</c:v>
                </c:pt>
                <c:pt idx="125">
                  <c:v>190.15</c:v>
                </c:pt>
                <c:pt idx="126">
                  <c:v>174.3</c:v>
                </c:pt>
                <c:pt idx="127">
                  <c:v>141.80000000000001</c:v>
                </c:pt>
                <c:pt idx="128">
                  <c:v>223.1</c:v>
                </c:pt>
                <c:pt idx="129">
                  <c:v>158.89999999999998</c:v>
                </c:pt>
                <c:pt idx="130">
                  <c:v>194.89999999999998</c:v>
                </c:pt>
                <c:pt idx="131">
                  <c:v>218.2</c:v>
                </c:pt>
                <c:pt idx="132">
                  <c:v>241.3</c:v>
                </c:pt>
                <c:pt idx="133">
                  <c:v>218.05</c:v>
                </c:pt>
                <c:pt idx="134">
                  <c:v>231.8</c:v>
                </c:pt>
                <c:pt idx="135">
                  <c:v>219.45</c:v>
                </c:pt>
                <c:pt idx="136">
                  <c:v>241</c:v>
                </c:pt>
                <c:pt idx="137">
                  <c:v>229.3</c:v>
                </c:pt>
                <c:pt idx="139">
                  <c:v>196.3</c:v>
                </c:pt>
                <c:pt idx="142">
                  <c:v>0</c:v>
                </c:pt>
                <c:pt idx="144">
                  <c:v>243.8</c:v>
                </c:pt>
                <c:pt idx="145">
                  <c:v>244.2</c:v>
                </c:pt>
                <c:pt idx="147">
                  <c:v>195.85</c:v>
                </c:pt>
                <c:pt idx="148">
                  <c:v>154.60000000000002</c:v>
                </c:pt>
                <c:pt idx="149">
                  <c:v>253.4</c:v>
                </c:pt>
                <c:pt idx="150">
                  <c:v>124.6</c:v>
                </c:pt>
                <c:pt idx="151">
                  <c:v>128.19999999999999</c:v>
                </c:pt>
                <c:pt idx="152">
                  <c:v>219.45</c:v>
                </c:pt>
                <c:pt idx="153">
                  <c:v>160.35</c:v>
                </c:pt>
                <c:pt idx="154">
                  <c:v>182.10000000000002</c:v>
                </c:pt>
              </c:numCache>
            </c:numRef>
          </c:xVal>
          <c:yVal>
            <c:numRef>
              <c:f>CompDbase!$CE$14:$CE$177</c:f>
              <c:numCache>
                <c:formatCode>_-* #,##0.000_-;\-* #,##0.000_-;_-* "-"??_-;_-@_-</c:formatCode>
                <c:ptCount val="164"/>
                <c:pt idx="2">
                  <c:v>326.39999999999998</c:v>
                </c:pt>
                <c:pt idx="4">
                  <c:v>326.39999999999998</c:v>
                </c:pt>
                <c:pt idx="6">
                  <c:v>326.39999999999998</c:v>
                </c:pt>
                <c:pt idx="7">
                  <c:v>326.39999999999998</c:v>
                </c:pt>
                <c:pt idx="9">
                  <c:v>360.9</c:v>
                </c:pt>
                <c:pt idx="14">
                  <c:v>360.9</c:v>
                </c:pt>
                <c:pt idx="15">
                  <c:v>360.9</c:v>
                </c:pt>
                <c:pt idx="17">
                  <c:v>360.9</c:v>
                </c:pt>
                <c:pt idx="18">
                  <c:v>360.9</c:v>
                </c:pt>
                <c:pt idx="19">
                  <c:v>360.9</c:v>
                </c:pt>
                <c:pt idx="20">
                  <c:v>360.9</c:v>
                </c:pt>
                <c:pt idx="29">
                  <c:v>257.5</c:v>
                </c:pt>
                <c:pt idx="34">
                  <c:v>429.8</c:v>
                </c:pt>
                <c:pt idx="49">
                  <c:v>257.5</c:v>
                </c:pt>
                <c:pt idx="57">
                  <c:v>292</c:v>
                </c:pt>
                <c:pt idx="61">
                  <c:v>292</c:v>
                </c:pt>
                <c:pt idx="66">
                  <c:v>292</c:v>
                </c:pt>
                <c:pt idx="73">
                  <c:v>326.39999999999998</c:v>
                </c:pt>
                <c:pt idx="74">
                  <c:v>326.39999999999998</c:v>
                </c:pt>
                <c:pt idx="77">
                  <c:v>326.39999999999998</c:v>
                </c:pt>
                <c:pt idx="105">
                  <c:v>156</c:v>
                </c:pt>
                <c:pt idx="106">
                  <c:v>156</c:v>
                </c:pt>
                <c:pt idx="107">
                  <c:v>184</c:v>
                </c:pt>
                <c:pt idx="108">
                  <c:v>156</c:v>
                </c:pt>
                <c:pt idx="109">
                  <c:v>156</c:v>
                </c:pt>
                <c:pt idx="110">
                  <c:v>180</c:v>
                </c:pt>
                <c:pt idx="111">
                  <c:v>142</c:v>
                </c:pt>
                <c:pt idx="112">
                  <c:v>192</c:v>
                </c:pt>
                <c:pt idx="113">
                  <c:v>216</c:v>
                </c:pt>
                <c:pt idx="114">
                  <c:v>170</c:v>
                </c:pt>
                <c:pt idx="115">
                  <c:v>170</c:v>
                </c:pt>
                <c:pt idx="116">
                  <c:v>156</c:v>
                </c:pt>
                <c:pt idx="117">
                  <c:v>206</c:v>
                </c:pt>
                <c:pt idx="118">
                  <c:v>192.15</c:v>
                </c:pt>
                <c:pt idx="119">
                  <c:v>167.15</c:v>
                </c:pt>
                <c:pt idx="120">
                  <c:v>192</c:v>
                </c:pt>
                <c:pt idx="121">
                  <c:v>206.15</c:v>
                </c:pt>
                <c:pt idx="122">
                  <c:v>242</c:v>
                </c:pt>
                <c:pt idx="123">
                  <c:v>256</c:v>
                </c:pt>
                <c:pt idx="124">
                  <c:v>242</c:v>
                </c:pt>
                <c:pt idx="125">
                  <c:v>206.15</c:v>
                </c:pt>
                <c:pt idx="126">
                  <c:v>192</c:v>
                </c:pt>
                <c:pt idx="127">
                  <c:v>154.1</c:v>
                </c:pt>
                <c:pt idx="129">
                  <c:v>178.1</c:v>
                </c:pt>
                <c:pt idx="130">
                  <c:v>228.15</c:v>
                </c:pt>
                <c:pt idx="133">
                  <c:v>252.15</c:v>
                </c:pt>
                <c:pt idx="134">
                  <c:v>252.15</c:v>
                </c:pt>
                <c:pt idx="135">
                  <c:v>252.15</c:v>
                </c:pt>
                <c:pt idx="136">
                  <c:v>276</c:v>
                </c:pt>
                <c:pt idx="137">
                  <c:v>252.15</c:v>
                </c:pt>
                <c:pt idx="138">
                  <c:v>154.21</c:v>
                </c:pt>
                <c:pt idx="139">
                  <c:v>228.15</c:v>
                </c:pt>
                <c:pt idx="140">
                  <c:v>212</c:v>
                </c:pt>
                <c:pt idx="141">
                  <c:v>176</c:v>
                </c:pt>
                <c:pt idx="142">
                  <c:v>228.15</c:v>
                </c:pt>
                <c:pt idx="143">
                  <c:v>264</c:v>
                </c:pt>
                <c:pt idx="144">
                  <c:v>278</c:v>
                </c:pt>
                <c:pt idx="146">
                  <c:v>178.21</c:v>
                </c:pt>
                <c:pt idx="147">
                  <c:v>202.15</c:v>
                </c:pt>
                <c:pt idx="148">
                  <c:v>166.1</c:v>
                </c:pt>
                <c:pt idx="149">
                  <c:v>276</c:v>
                </c:pt>
                <c:pt idx="150">
                  <c:v>128.19</c:v>
                </c:pt>
                <c:pt idx="151">
                  <c:v>128</c:v>
                </c:pt>
                <c:pt idx="152">
                  <c:v>252.15</c:v>
                </c:pt>
                <c:pt idx="153">
                  <c:v>178.1</c:v>
                </c:pt>
                <c:pt idx="154">
                  <c:v>202.15</c:v>
                </c:pt>
                <c:pt idx="155">
                  <c:v>100.16</c:v>
                </c:pt>
                <c:pt idx="156">
                  <c:v>93.13</c:v>
                </c:pt>
                <c:pt idx="157">
                  <c:v>42.08</c:v>
                </c:pt>
                <c:pt idx="158">
                  <c:v>78.14</c:v>
                </c:pt>
                <c:pt idx="159">
                  <c:v>138.13</c:v>
                </c:pt>
                <c:pt idx="160">
                  <c:v>123.11</c:v>
                </c:pt>
                <c:pt idx="161">
                  <c:v>107.16</c:v>
                </c:pt>
                <c:pt idx="162">
                  <c:v>55.08</c:v>
                </c:pt>
                <c:pt idx="163">
                  <c:v>88.01</c:v>
                </c:pt>
              </c:numCache>
            </c:numRef>
          </c:yVal>
          <c:smooth val="0"/>
          <c:extLst>
            <c:ext xmlns:c16="http://schemas.microsoft.com/office/drawing/2014/chart" uri="{C3380CC4-5D6E-409C-BE32-E72D297353CC}">
              <c16:uniqueId val="{00000001-7FBF-4B7F-948A-71E257565560}"/>
            </c:ext>
          </c:extLst>
        </c:ser>
        <c:ser>
          <c:idx val="2"/>
          <c:order val="1"/>
          <c:tx>
            <c:strRef>
              <c:f>PE!$S$2</c:f>
              <c:strCache>
                <c:ptCount val="1"/>
                <c:pt idx="0">
                  <c:v>1:1</c:v>
                </c:pt>
              </c:strCache>
            </c:strRef>
          </c:tx>
          <c:spPr>
            <a:ln w="9525">
              <a:solidFill>
                <a:schemeClr val="tx1"/>
              </a:solidFill>
            </a:ln>
          </c:spPr>
          <c:marker>
            <c:symbol val="none"/>
          </c:marker>
          <c:dPt>
            <c:idx val="1"/>
            <c:bubble3D val="0"/>
            <c:extLst>
              <c:ext xmlns:c16="http://schemas.microsoft.com/office/drawing/2014/chart" uri="{C3380CC4-5D6E-409C-BE32-E72D297353CC}">
                <c16:uniqueId val="{00000002-7FBF-4B7F-948A-71E257565560}"/>
              </c:ext>
            </c:extLst>
          </c:dPt>
          <c:xVal>
            <c:numRef>
              <c:f>CompDbase!$CF$10:$CF$11</c:f>
              <c:numCache>
                <c:formatCode>General</c:formatCode>
                <c:ptCount val="2"/>
                <c:pt idx="0">
                  <c:v>0</c:v>
                </c:pt>
                <c:pt idx="1">
                  <c:v>700</c:v>
                </c:pt>
              </c:numCache>
            </c:numRef>
          </c:xVal>
          <c:yVal>
            <c:numRef>
              <c:f>CompDbase!$CF$10:$CF$11</c:f>
              <c:numCache>
                <c:formatCode>General</c:formatCode>
                <c:ptCount val="2"/>
                <c:pt idx="0">
                  <c:v>0</c:v>
                </c:pt>
                <c:pt idx="1">
                  <c:v>700</c:v>
                </c:pt>
              </c:numCache>
            </c:numRef>
          </c:yVal>
          <c:smooth val="0"/>
          <c:extLst>
            <c:ext xmlns:c16="http://schemas.microsoft.com/office/drawing/2014/chart" uri="{C3380CC4-5D6E-409C-BE32-E72D297353CC}">
              <c16:uniqueId val="{00000003-7FBF-4B7F-948A-71E257565560}"/>
            </c:ext>
          </c:extLst>
        </c:ser>
        <c:ser>
          <c:idx val="4"/>
          <c:order val="2"/>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PE!$I$6:$I$7</c:f>
              <c:numCache>
                <c:formatCode>General</c:formatCode>
                <c:ptCount val="2"/>
                <c:pt idx="0">
                  <c:v>-14.426264902569349</c:v>
                </c:pt>
                <c:pt idx="1">
                  <c:v>4.8084404663666609</c:v>
                </c:pt>
              </c:numCache>
            </c:numRef>
          </c:yVal>
          <c:smooth val="0"/>
          <c:extLst>
            <c:ext xmlns:c16="http://schemas.microsoft.com/office/drawing/2014/chart" uri="{C3380CC4-5D6E-409C-BE32-E72D297353CC}">
              <c16:uniqueId val="{00000004-7FBF-4B7F-948A-71E257565560}"/>
            </c:ext>
          </c:extLst>
        </c:ser>
        <c:dLbls>
          <c:showLegendKey val="0"/>
          <c:showVal val="0"/>
          <c:showCatName val="0"/>
          <c:showSerName val="0"/>
          <c:showPercent val="0"/>
          <c:showBubbleSize val="0"/>
        </c:dLbls>
        <c:axId val="178186112"/>
        <c:axId val="169148416"/>
      </c:scatterChart>
      <c:valAx>
        <c:axId val="178186112"/>
        <c:scaling>
          <c:orientation val="minMax"/>
          <c:max val="400"/>
          <c:min val="0"/>
        </c:scaling>
        <c:delete val="0"/>
        <c:axPos val="b"/>
        <c:title>
          <c:tx>
            <c:rich>
              <a:bodyPr/>
              <a:lstStyle/>
              <a:p>
                <a:pPr>
                  <a:defRPr/>
                </a:pPr>
                <a:r>
                  <a:rPr lang="en-US"/>
                  <a:t>M (g/mol)</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9148416"/>
        <c:crossesAt val="-1000"/>
        <c:crossBetween val="midCat"/>
      </c:valAx>
      <c:valAx>
        <c:axId val="169148416"/>
        <c:scaling>
          <c:orientation val="minMax"/>
          <c:max val="400"/>
          <c:min val="0"/>
        </c:scaling>
        <c:delete val="0"/>
        <c:axPos val="l"/>
        <c:title>
          <c:tx>
            <c:rich>
              <a:bodyPr rot="-5400000" vert="horz"/>
              <a:lstStyle/>
              <a:p>
                <a:pPr>
                  <a:defRPr/>
                </a:pPr>
                <a:r>
                  <a:rPr lang="en-US"/>
                  <a:t>Vm (cm3/mol)</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78186112"/>
        <c:crossesAt val="-1000"/>
        <c:crossBetween val="midCat"/>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0"/>
          <c:order val="0"/>
          <c:tx>
            <c:v>Vm</c:v>
          </c:tx>
          <c:spPr>
            <a:ln w="28575">
              <a:noFill/>
            </a:ln>
          </c:spPr>
          <c:marker>
            <c:symbol val="diamond"/>
            <c:size val="6"/>
            <c:spPr>
              <a:solidFill>
                <a:schemeClr val="tx1"/>
              </a:solidFill>
              <a:ln>
                <a:solidFill>
                  <a:schemeClr val="tx1"/>
                </a:solidFill>
              </a:ln>
            </c:spPr>
          </c:marker>
          <c:trendline>
            <c:trendlineType val="linear"/>
            <c:dispRSqr val="1"/>
            <c:dispEq val="1"/>
            <c:trendlineLbl>
              <c:layout>
                <c:manualLayout>
                  <c:x val="4.059634357248261E-2"/>
                  <c:y val="-0.42007555261484675"/>
                </c:manualLayout>
              </c:layout>
              <c:numFmt formatCode="General" sourceLinked="0"/>
            </c:trendlineLbl>
          </c:trendline>
          <c:xVal>
            <c:numRef>
              <c:f>CompDbase!$CH$14:$CH$177</c:f>
              <c:numCache>
                <c:formatCode>General</c:formatCode>
                <c:ptCount val="164"/>
                <c:pt idx="0">
                  <c:v>4.46</c:v>
                </c:pt>
                <c:pt idx="1">
                  <c:v>6.23</c:v>
                </c:pt>
                <c:pt idx="2">
                  <c:v>6.3933333333333335</c:v>
                </c:pt>
                <c:pt idx="3">
                  <c:v>6.22</c:v>
                </c:pt>
                <c:pt idx="4">
                  <c:v>6.7166666666666659</c:v>
                </c:pt>
                <c:pt idx="5">
                  <c:v>6.71</c:v>
                </c:pt>
                <c:pt idx="6">
                  <c:v>6.5266666666666664</c:v>
                </c:pt>
                <c:pt idx="7">
                  <c:v>6.7133333333333338</c:v>
                </c:pt>
                <c:pt idx="8">
                  <c:v>6.58</c:v>
                </c:pt>
                <c:pt idx="9">
                  <c:v>6.746666666666667</c:v>
                </c:pt>
                <c:pt idx="10">
                  <c:v>6.58</c:v>
                </c:pt>
                <c:pt idx="11">
                  <c:v>6.55</c:v>
                </c:pt>
                <c:pt idx="12">
                  <c:v>6.64</c:v>
                </c:pt>
                <c:pt idx="13">
                  <c:v>6.22</c:v>
                </c:pt>
                <c:pt idx="14">
                  <c:v>6.9433333333333325</c:v>
                </c:pt>
                <c:pt idx="15">
                  <c:v>6.84</c:v>
                </c:pt>
                <c:pt idx="16">
                  <c:v>6.89</c:v>
                </c:pt>
                <c:pt idx="17">
                  <c:v>6.6466666666666674</c:v>
                </c:pt>
                <c:pt idx="18">
                  <c:v>6.9066666666666663</c:v>
                </c:pt>
                <c:pt idx="19">
                  <c:v>6.6700000000000008</c:v>
                </c:pt>
                <c:pt idx="20">
                  <c:v>7.2266666666666666</c:v>
                </c:pt>
                <c:pt idx="21">
                  <c:v>7.02</c:v>
                </c:pt>
                <c:pt idx="22">
                  <c:v>5.16</c:v>
                </c:pt>
                <c:pt idx="23">
                  <c:v>6.99</c:v>
                </c:pt>
                <c:pt idx="24">
                  <c:v>7.11</c:v>
                </c:pt>
                <c:pt idx="25">
                  <c:v>7.33</c:v>
                </c:pt>
                <c:pt idx="26">
                  <c:v>7.11</c:v>
                </c:pt>
                <c:pt idx="27">
                  <c:v>7.08</c:v>
                </c:pt>
                <c:pt idx="28">
                  <c:v>7.14</c:v>
                </c:pt>
                <c:pt idx="29">
                  <c:v>5.246666666666667</c:v>
                </c:pt>
                <c:pt idx="30">
                  <c:v>7.36</c:v>
                </c:pt>
                <c:pt idx="31">
                  <c:v>7.2</c:v>
                </c:pt>
                <c:pt idx="32">
                  <c:v>7.11</c:v>
                </c:pt>
                <c:pt idx="33">
                  <c:v>7.52</c:v>
                </c:pt>
                <c:pt idx="34">
                  <c:v>7.8</c:v>
                </c:pt>
                <c:pt idx="35">
                  <c:v>7.56</c:v>
                </c:pt>
                <c:pt idx="36">
                  <c:v>7.3</c:v>
                </c:pt>
                <c:pt idx="37">
                  <c:v>7.2</c:v>
                </c:pt>
                <c:pt idx="38">
                  <c:v>7.62</c:v>
                </c:pt>
                <c:pt idx="39">
                  <c:v>7.24</c:v>
                </c:pt>
                <c:pt idx="40">
                  <c:v>8</c:v>
                </c:pt>
                <c:pt idx="41">
                  <c:v>8.09</c:v>
                </c:pt>
                <c:pt idx="42">
                  <c:v>7.74</c:v>
                </c:pt>
                <c:pt idx="43">
                  <c:v>7.71</c:v>
                </c:pt>
                <c:pt idx="44">
                  <c:v>5.58</c:v>
                </c:pt>
                <c:pt idx="45">
                  <c:v>5.35</c:v>
                </c:pt>
                <c:pt idx="46">
                  <c:v>5.67</c:v>
                </c:pt>
                <c:pt idx="47">
                  <c:v>5.66</c:v>
                </c:pt>
                <c:pt idx="48">
                  <c:v>5.44</c:v>
                </c:pt>
                <c:pt idx="49">
                  <c:v>5.6333333333333329</c:v>
                </c:pt>
                <c:pt idx="50">
                  <c:v>4.6900000000000004</c:v>
                </c:pt>
                <c:pt idx="51">
                  <c:v>5.44</c:v>
                </c:pt>
                <c:pt idx="52">
                  <c:v>5.83</c:v>
                </c:pt>
                <c:pt idx="53">
                  <c:v>5.66</c:v>
                </c:pt>
                <c:pt idx="54">
                  <c:v>5.69</c:v>
                </c:pt>
                <c:pt idx="55">
                  <c:v>5.76</c:v>
                </c:pt>
                <c:pt idx="56">
                  <c:v>5.75</c:v>
                </c:pt>
                <c:pt idx="57">
                  <c:v>5.7833333333333341</c:v>
                </c:pt>
                <c:pt idx="58">
                  <c:v>5.53</c:v>
                </c:pt>
                <c:pt idx="59">
                  <c:v>5.53</c:v>
                </c:pt>
                <c:pt idx="60">
                  <c:v>5.63</c:v>
                </c:pt>
                <c:pt idx="61">
                  <c:v>6.1366666666666667</c:v>
                </c:pt>
                <c:pt idx="62">
                  <c:v>5.0599999999999996</c:v>
                </c:pt>
                <c:pt idx="63">
                  <c:v>6.11</c:v>
                </c:pt>
                <c:pt idx="64">
                  <c:v>6.17</c:v>
                </c:pt>
                <c:pt idx="65">
                  <c:v>5.95</c:v>
                </c:pt>
                <c:pt idx="66">
                  <c:v>6.0466666666666669</c:v>
                </c:pt>
                <c:pt idx="67">
                  <c:v>5.98</c:v>
                </c:pt>
                <c:pt idx="68">
                  <c:v>6.2</c:v>
                </c:pt>
                <c:pt idx="69">
                  <c:v>6.36</c:v>
                </c:pt>
                <c:pt idx="70">
                  <c:v>6.36</c:v>
                </c:pt>
                <c:pt idx="71">
                  <c:v>6.2</c:v>
                </c:pt>
                <c:pt idx="72">
                  <c:v>6.26</c:v>
                </c:pt>
                <c:pt idx="73">
                  <c:v>6.333333333333333</c:v>
                </c:pt>
                <c:pt idx="74">
                  <c:v>6.3299999999999992</c:v>
                </c:pt>
                <c:pt idx="75">
                  <c:v>6.07</c:v>
                </c:pt>
                <c:pt idx="76">
                  <c:v>6.13</c:v>
                </c:pt>
                <c:pt idx="77">
                  <c:v>6.3299999999999992</c:v>
                </c:pt>
                <c:pt idx="78">
                  <c:v>6.39</c:v>
                </c:pt>
                <c:pt idx="105">
                  <c:v>4.3099999999999996</c:v>
                </c:pt>
                <c:pt idx="106">
                  <c:v>4.42</c:v>
                </c:pt>
                <c:pt idx="107">
                  <c:v>5.36</c:v>
                </c:pt>
                <c:pt idx="108">
                  <c:v>4.37</c:v>
                </c:pt>
                <c:pt idx="109">
                  <c:v>4.32</c:v>
                </c:pt>
                <c:pt idx="110">
                  <c:v>4.97</c:v>
                </c:pt>
                <c:pt idx="111">
                  <c:v>3.87</c:v>
                </c:pt>
                <c:pt idx="112">
                  <c:v>5.08</c:v>
                </c:pt>
                <c:pt idx="113">
                  <c:v>5.48</c:v>
                </c:pt>
                <c:pt idx="114">
                  <c:v>4.8099999999999996</c:v>
                </c:pt>
                <c:pt idx="115">
                  <c:v>4.7300000000000004</c:v>
                </c:pt>
                <c:pt idx="116">
                  <c:v>4.3099999999999996</c:v>
                </c:pt>
                <c:pt idx="117">
                  <c:v>5.85</c:v>
                </c:pt>
                <c:pt idx="118">
                  <c:v>4.8499999999999996</c:v>
                </c:pt>
                <c:pt idx="119">
                  <c:v>4.28</c:v>
                </c:pt>
                <c:pt idx="120">
                  <c:v>5.01</c:v>
                </c:pt>
                <c:pt idx="121">
                  <c:v>5.17</c:v>
                </c:pt>
                <c:pt idx="122">
                  <c:v>6.07</c:v>
                </c:pt>
                <c:pt idx="123">
                  <c:v>6.62</c:v>
                </c:pt>
                <c:pt idx="124">
                  <c:v>6.07</c:v>
                </c:pt>
                <c:pt idx="125">
                  <c:v>5.2949999999999999</c:v>
                </c:pt>
                <c:pt idx="126">
                  <c:v>5.07</c:v>
                </c:pt>
                <c:pt idx="127">
                  <c:v>3.96</c:v>
                </c:pt>
                <c:pt idx="129">
                  <c:v>4.5250000000000004</c:v>
                </c:pt>
                <c:pt idx="130">
                  <c:v>5.7799999999999994</c:v>
                </c:pt>
                <c:pt idx="133">
                  <c:v>6.1150000000000002</c:v>
                </c:pt>
                <c:pt idx="134">
                  <c:v>5.84</c:v>
                </c:pt>
                <c:pt idx="135">
                  <c:v>6.27</c:v>
                </c:pt>
                <c:pt idx="136">
                  <c:v>6.7</c:v>
                </c:pt>
                <c:pt idx="137">
                  <c:v>6.0050000000000008</c:v>
                </c:pt>
                <c:pt idx="138">
                  <c:v>4.0449999999999999</c:v>
                </c:pt>
                <c:pt idx="139">
                  <c:v>5.7549999999999999</c:v>
                </c:pt>
                <c:pt idx="142">
                  <c:v>5.7799999999999994</c:v>
                </c:pt>
                <c:pt idx="144">
                  <c:v>6.8</c:v>
                </c:pt>
                <c:pt idx="146">
                  <c:v>4.47</c:v>
                </c:pt>
                <c:pt idx="147">
                  <c:v>5.08</c:v>
                </c:pt>
                <c:pt idx="148">
                  <c:v>4.1399999999999997</c:v>
                </c:pt>
                <c:pt idx="149">
                  <c:v>6.7</c:v>
                </c:pt>
                <c:pt idx="150">
                  <c:v>3.3</c:v>
                </c:pt>
                <c:pt idx="151">
                  <c:v>3.3</c:v>
                </c:pt>
                <c:pt idx="152">
                  <c:v>6.1749999999999998</c:v>
                </c:pt>
                <c:pt idx="153">
                  <c:v>4.4800000000000004</c:v>
                </c:pt>
                <c:pt idx="154">
                  <c:v>4.9399999999999995</c:v>
                </c:pt>
                <c:pt idx="155">
                  <c:v>1.78</c:v>
                </c:pt>
                <c:pt idx="156">
                  <c:v>0.98799999999999999</c:v>
                </c:pt>
                <c:pt idx="157">
                  <c:v>1.72</c:v>
                </c:pt>
                <c:pt idx="158">
                  <c:v>-1.35</c:v>
                </c:pt>
                <c:pt idx="159">
                  <c:v>1.37</c:v>
                </c:pt>
                <c:pt idx="160">
                  <c:v>1.8450000000000002</c:v>
                </c:pt>
                <c:pt idx="161">
                  <c:v>1.66</c:v>
                </c:pt>
                <c:pt idx="162">
                  <c:v>0.16</c:v>
                </c:pt>
                <c:pt idx="163">
                  <c:v>1.18</c:v>
                </c:pt>
              </c:numCache>
            </c:numRef>
          </c:xVal>
          <c:yVal>
            <c:numRef>
              <c:f>CompDbase!$CG$14:$CG$177</c:f>
              <c:numCache>
                <c:formatCode>General</c:formatCode>
                <c:ptCount val="164"/>
                <c:pt idx="2">
                  <c:v>-1.4862498499181764</c:v>
                </c:pt>
                <c:pt idx="4">
                  <c:v>-1.5862498499181765</c:v>
                </c:pt>
                <c:pt idx="6">
                  <c:v>-1.4862498499181764</c:v>
                </c:pt>
                <c:pt idx="7">
                  <c:v>-1.5862498499181765</c:v>
                </c:pt>
                <c:pt idx="9">
                  <c:v>-1.7426131179404927</c:v>
                </c:pt>
                <c:pt idx="14">
                  <c:v>-2.1426131179404933</c:v>
                </c:pt>
                <c:pt idx="15">
                  <c:v>-1.8426131179404939</c:v>
                </c:pt>
                <c:pt idx="17">
                  <c:v>-1.6426131179404933</c:v>
                </c:pt>
                <c:pt idx="18">
                  <c:v>-1.9426131179404935</c:v>
                </c:pt>
                <c:pt idx="19">
                  <c:v>-1.9426131179404935</c:v>
                </c:pt>
                <c:pt idx="20">
                  <c:v>-2.2426131179404929</c:v>
                </c:pt>
                <c:pt idx="29">
                  <c:v>-8.9222766622790592E-2</c:v>
                </c:pt>
                <c:pt idx="49">
                  <c:v>-0.48922276662279052</c:v>
                </c:pt>
                <c:pt idx="57">
                  <c:v>-0.63461714855158202</c:v>
                </c:pt>
                <c:pt idx="61">
                  <c:v>-1.1346171485515821</c:v>
                </c:pt>
                <c:pt idx="66">
                  <c:v>-1.0346171485515818</c:v>
                </c:pt>
                <c:pt idx="73">
                  <c:v>-1.2862498499181769</c:v>
                </c:pt>
                <c:pt idx="74">
                  <c:v>-1.2862498499181769</c:v>
                </c:pt>
                <c:pt idx="77">
                  <c:v>-1.2862498499181769</c:v>
                </c:pt>
                <c:pt idx="79">
                  <c:v>0.24849957028383757</c:v>
                </c:pt>
                <c:pt idx="80">
                  <c:v>-0.68624984991817706</c:v>
                </c:pt>
                <c:pt idx="81">
                  <c:v>-1.7426131179404927</c:v>
                </c:pt>
                <c:pt idx="82">
                  <c:v>-1.8426131179404939</c:v>
                </c:pt>
                <c:pt idx="83">
                  <c:v>-0.25150042971616271</c:v>
                </c:pt>
                <c:pt idx="84">
                  <c:v>-1.6426131179404933</c:v>
                </c:pt>
                <c:pt idx="85">
                  <c:v>-1.1426131179404937</c:v>
                </c:pt>
                <c:pt idx="86">
                  <c:v>-1.6426131179404933</c:v>
                </c:pt>
                <c:pt idx="87">
                  <c:v>-2.3030731856570297</c:v>
                </c:pt>
                <c:pt idx="88">
                  <c:v>-2.2030731856570296</c:v>
                </c:pt>
                <c:pt idx="89">
                  <c:v>-2.2030731856570296</c:v>
                </c:pt>
                <c:pt idx="90">
                  <c:v>-2.3667335888445753</c:v>
                </c:pt>
                <c:pt idx="91">
                  <c:v>-0.48922276662279052</c:v>
                </c:pt>
                <c:pt idx="92">
                  <c:v>-0.68922276662279047</c:v>
                </c:pt>
                <c:pt idx="93">
                  <c:v>-0.38922276662279021</c:v>
                </c:pt>
                <c:pt idx="94">
                  <c:v>-0.68922276662279047</c:v>
                </c:pt>
                <c:pt idx="95">
                  <c:v>0.44849957028383741</c:v>
                </c:pt>
                <c:pt idx="96">
                  <c:v>-0.83461714855158187</c:v>
                </c:pt>
                <c:pt idx="97">
                  <c:v>-0.83461714855158187</c:v>
                </c:pt>
                <c:pt idx="98">
                  <c:v>-0.53461714855158171</c:v>
                </c:pt>
                <c:pt idx="99">
                  <c:v>-0.93461714855158184</c:v>
                </c:pt>
                <c:pt idx="100">
                  <c:v>-1.1346171485515821</c:v>
                </c:pt>
                <c:pt idx="101">
                  <c:v>-1.2346171485515824</c:v>
                </c:pt>
                <c:pt idx="102">
                  <c:v>-1.4346171485515817</c:v>
                </c:pt>
                <c:pt idx="103">
                  <c:v>0.14849957028383723</c:v>
                </c:pt>
                <c:pt idx="104">
                  <c:v>-1.3862498499181766</c:v>
                </c:pt>
                <c:pt idx="118">
                  <c:v>0.22037928423847888</c:v>
                </c:pt>
                <c:pt idx="119">
                  <c:v>0.22037928423847888</c:v>
                </c:pt>
                <c:pt idx="121">
                  <c:v>-0.19710077202684936</c:v>
                </c:pt>
                <c:pt idx="125">
                  <c:v>-0.19710077202684936</c:v>
                </c:pt>
                <c:pt idx="127">
                  <c:v>1.3436843737149378</c:v>
                </c:pt>
                <c:pt idx="129">
                  <c:v>0.63850769970085575</c:v>
                </c:pt>
                <c:pt idx="130">
                  <c:v>-0.85709408850976543</c:v>
                </c:pt>
                <c:pt idx="133">
                  <c:v>-1.5816827494824268</c:v>
                </c:pt>
                <c:pt idx="134">
                  <c:v>-1.5816827494824268</c:v>
                </c:pt>
                <c:pt idx="135">
                  <c:v>-1.5816827494824268</c:v>
                </c:pt>
                <c:pt idx="137">
                  <c:v>-1.5816827494824268</c:v>
                </c:pt>
                <c:pt idx="138">
                  <c:v>0.81135154588012004</c:v>
                </c:pt>
                <c:pt idx="139">
                  <c:v>-0.85709408850976543</c:v>
                </c:pt>
                <c:pt idx="142">
                  <c:v>-0.85709408850976543</c:v>
                </c:pt>
                <c:pt idx="146">
                  <c:v>-7.0581074285707285E-2</c:v>
                </c:pt>
                <c:pt idx="147">
                  <c:v>-7.760411722919576E-2</c:v>
                </c:pt>
                <c:pt idx="148">
                  <c:v>0.99223101944809233</c:v>
                </c:pt>
                <c:pt idx="150">
                  <c:v>1.5024271199844328</c:v>
                </c:pt>
                <c:pt idx="152">
                  <c:v>-1.5816827494824268</c:v>
                </c:pt>
                <c:pt idx="153">
                  <c:v>0.63850769970085575</c:v>
                </c:pt>
                <c:pt idx="154">
                  <c:v>-7.760411722919576E-2</c:v>
                </c:pt>
                <c:pt idx="155">
                  <c:v>3.7781512503836434</c:v>
                </c:pt>
                <c:pt idx="156">
                  <c:v>4.5481846105451078</c:v>
                </c:pt>
                <c:pt idx="157">
                  <c:v>5.7007037171450197</c:v>
                </c:pt>
                <c:pt idx="158">
                  <c:v>6</c:v>
                </c:pt>
                <c:pt idx="159">
                  <c:v>3.0791812460476247</c:v>
                </c:pt>
                <c:pt idx="160">
                  <c:v>3.3067823245530725</c:v>
                </c:pt>
                <c:pt idx="161">
                  <c:v>3.7497363155690611</c:v>
                </c:pt>
                <c:pt idx="162">
                  <c:v>5.012837224705172</c:v>
                </c:pt>
                <c:pt idx="163">
                  <c:v>1.3010299956639813</c:v>
                </c:pt>
              </c:numCache>
            </c:numRef>
          </c:yVal>
          <c:smooth val="0"/>
          <c:extLst>
            <c:ext xmlns:c16="http://schemas.microsoft.com/office/drawing/2014/chart" uri="{C3380CC4-5D6E-409C-BE32-E72D297353CC}">
              <c16:uniqueId val="{00000001-6DD2-430B-BE4D-3BB8D076ABA9}"/>
            </c:ext>
          </c:extLst>
        </c:ser>
        <c:dLbls>
          <c:showLegendKey val="0"/>
          <c:showVal val="0"/>
          <c:showCatName val="0"/>
          <c:showSerName val="0"/>
          <c:showPercent val="0"/>
          <c:showBubbleSize val="0"/>
        </c:dLbls>
        <c:axId val="169202048"/>
        <c:axId val="169203968"/>
      </c:scatterChart>
      <c:valAx>
        <c:axId val="169202048"/>
        <c:scaling>
          <c:orientation val="minMax"/>
          <c:max val="8"/>
          <c:min val="-2"/>
        </c:scaling>
        <c:delete val="0"/>
        <c:axPos val="b"/>
        <c:title>
          <c:tx>
            <c:rich>
              <a:bodyPr/>
              <a:lstStyle/>
              <a:p>
                <a:pPr>
                  <a:defRPr/>
                </a:pPr>
                <a:r>
                  <a:rPr lang="en-US"/>
                  <a:t>log Kow</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9203968"/>
        <c:crosses val="autoZero"/>
        <c:crossBetween val="midCat"/>
      </c:valAx>
      <c:valAx>
        <c:axId val="169203968"/>
        <c:scaling>
          <c:orientation val="minMax"/>
          <c:max val="5"/>
          <c:min val="-5"/>
        </c:scaling>
        <c:delete val="0"/>
        <c:axPos val="l"/>
        <c:title>
          <c:tx>
            <c:rich>
              <a:bodyPr rot="-5400000" vert="horz"/>
              <a:lstStyle/>
              <a:p>
                <a:pPr>
                  <a:defRPr/>
                </a:pPr>
                <a:r>
                  <a:rPr lang="en-US"/>
                  <a:t>log Cw</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69202048"/>
        <c:crosses val="autoZero"/>
        <c:crossBetween val="midCat"/>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25 mm, 1.5 g/kg</c:v>
          </c:tx>
          <c:spPr>
            <a:ln w="28575">
              <a:noFill/>
            </a:ln>
          </c:spPr>
          <c:marker>
            <c:spPr>
              <a:solidFill>
                <a:schemeClr val="tx2">
                  <a:lumMod val="50000"/>
                </a:schemeClr>
              </a:solidFill>
              <a:ln>
                <a:solidFill>
                  <a:schemeClr val="tx2">
                    <a:lumMod val="50000"/>
                  </a:schemeClr>
                </a:solidFill>
              </a:ln>
            </c:spPr>
          </c:marker>
          <c:xVal>
            <c:numRef>
              <c:f>Heijden1985!$F$8:$F$13</c:f>
              <c:numCache>
                <c:formatCode>General</c:formatCode>
                <c:ptCount val="6"/>
                <c:pt idx="0">
                  <c:v>7</c:v>
                </c:pt>
                <c:pt idx="1">
                  <c:v>14</c:v>
                </c:pt>
                <c:pt idx="2">
                  <c:v>30</c:v>
                </c:pt>
                <c:pt idx="3">
                  <c:v>37</c:v>
                </c:pt>
                <c:pt idx="4">
                  <c:v>44</c:v>
                </c:pt>
                <c:pt idx="5">
                  <c:v>51</c:v>
                </c:pt>
              </c:numCache>
            </c:numRef>
          </c:xVal>
          <c:yVal>
            <c:numRef>
              <c:f>Heijden1985!$M$8:$M$13</c:f>
              <c:numCache>
                <c:formatCode>0.000</c:formatCode>
                <c:ptCount val="6"/>
                <c:pt idx="0">
                  <c:v>5.2930386788276045E-2</c:v>
                </c:pt>
                <c:pt idx="1">
                  <c:v>8.949055085852857E-2</c:v>
                </c:pt>
                <c:pt idx="2">
                  <c:v>6.4935216781493291E-2</c:v>
                </c:pt>
                <c:pt idx="3">
                  <c:v>0.14733200446221167</c:v>
                </c:pt>
                <c:pt idx="4">
                  <c:v>0.21826963624031359</c:v>
                </c:pt>
                <c:pt idx="5">
                  <c:v>0.38197186342054884</c:v>
                </c:pt>
              </c:numCache>
            </c:numRef>
          </c:yVal>
          <c:smooth val="0"/>
          <c:extLst>
            <c:ext xmlns:c16="http://schemas.microsoft.com/office/drawing/2014/chart" uri="{C3380CC4-5D6E-409C-BE32-E72D297353CC}">
              <c16:uniqueId val="{00000000-F442-4038-8A25-F79D3016AF13}"/>
            </c:ext>
          </c:extLst>
        </c:ser>
        <c:ser>
          <c:idx val="2"/>
          <c:order val="1"/>
          <c:tx>
            <c:v>32 mm, 1.5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Heijden1985!$F$8:$F$13</c:f>
              <c:numCache>
                <c:formatCode>General</c:formatCode>
                <c:ptCount val="6"/>
                <c:pt idx="0">
                  <c:v>7</c:v>
                </c:pt>
                <c:pt idx="1">
                  <c:v>14</c:v>
                </c:pt>
                <c:pt idx="2">
                  <c:v>30</c:v>
                </c:pt>
                <c:pt idx="3">
                  <c:v>37</c:v>
                </c:pt>
                <c:pt idx="4">
                  <c:v>44</c:v>
                </c:pt>
                <c:pt idx="5">
                  <c:v>51</c:v>
                </c:pt>
              </c:numCache>
            </c:numRef>
          </c:xVal>
          <c:yVal>
            <c:numRef>
              <c:f>Heijden1985!$N$8:$N$13</c:f>
              <c:numCache>
                <c:formatCode>0.000</c:formatCode>
                <c:ptCount val="6"/>
                <c:pt idx="0">
                  <c:v>7.8682224991055746E-2</c:v>
                </c:pt>
                <c:pt idx="1">
                  <c:v>7.728961923900167E-2</c:v>
                </c:pt>
                <c:pt idx="2">
                  <c:v>5.8489441586271534E-2</c:v>
                </c:pt>
                <c:pt idx="3">
                  <c:v>0.149008815469787</c:v>
                </c:pt>
                <c:pt idx="4">
                  <c:v>0.20889086280811262</c:v>
                </c:pt>
                <c:pt idx="5">
                  <c:v>0.34815143801352105</c:v>
                </c:pt>
              </c:numCache>
            </c:numRef>
          </c:yVal>
          <c:smooth val="0"/>
          <c:extLst>
            <c:ext xmlns:c16="http://schemas.microsoft.com/office/drawing/2014/chart" uri="{C3380CC4-5D6E-409C-BE32-E72D297353CC}">
              <c16:uniqueId val="{00000002-F442-4038-8A25-F79D3016AF13}"/>
            </c:ext>
          </c:extLst>
        </c:ser>
        <c:ser>
          <c:idx val="4"/>
          <c:order val="2"/>
          <c:tx>
            <c:v>25 mm, 1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Heijden1985!$F$15:$F$19</c:f>
              <c:numCache>
                <c:formatCode>General</c:formatCode>
                <c:ptCount val="5"/>
                <c:pt idx="0">
                  <c:v>9</c:v>
                </c:pt>
                <c:pt idx="1">
                  <c:v>17</c:v>
                </c:pt>
                <c:pt idx="2">
                  <c:v>25</c:v>
                </c:pt>
                <c:pt idx="3">
                  <c:v>36</c:v>
                </c:pt>
                <c:pt idx="4">
                  <c:v>47</c:v>
                </c:pt>
              </c:numCache>
            </c:numRef>
          </c:xVal>
          <c:yVal>
            <c:numRef>
              <c:f>Heijden1985!$M$15:$M$19</c:f>
              <c:numCache>
                <c:formatCode>0.000</c:formatCode>
                <c:ptCount val="5"/>
                <c:pt idx="0">
                  <c:v>7.2150240868325887E-5</c:v>
                </c:pt>
                <c:pt idx="1">
                  <c:v>9.5492965855137196E-3</c:v>
                </c:pt>
                <c:pt idx="2">
                  <c:v>0.1055197272699266</c:v>
                </c:pt>
                <c:pt idx="3">
                  <c:v>9.7576448746522007E-2</c:v>
                </c:pt>
                <c:pt idx="4">
                  <c:v>0.10174341452929164</c:v>
                </c:pt>
              </c:numCache>
            </c:numRef>
          </c:yVal>
          <c:smooth val="0"/>
          <c:extLst>
            <c:ext xmlns:c16="http://schemas.microsoft.com/office/drawing/2014/chart" uri="{C3380CC4-5D6E-409C-BE32-E72D297353CC}">
              <c16:uniqueId val="{00000003-F442-4038-8A25-F79D3016AF13}"/>
            </c:ext>
          </c:extLst>
        </c:ser>
        <c:ser>
          <c:idx val="0"/>
          <c:order val="3"/>
          <c:tx>
            <c:v>32 mm, 1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Heijden1985!$F$15:$F$19</c:f>
              <c:numCache>
                <c:formatCode>General</c:formatCode>
                <c:ptCount val="5"/>
                <c:pt idx="0">
                  <c:v>9</c:v>
                </c:pt>
                <c:pt idx="1">
                  <c:v>17</c:v>
                </c:pt>
                <c:pt idx="2">
                  <c:v>25</c:v>
                </c:pt>
                <c:pt idx="3">
                  <c:v>36</c:v>
                </c:pt>
                <c:pt idx="4">
                  <c:v>47</c:v>
                </c:pt>
              </c:numCache>
            </c:numRef>
          </c:xVal>
          <c:yVal>
            <c:numRef>
              <c:f>Heijden1985!$N$15:$N$19</c:f>
              <c:numCache>
                <c:formatCode>0.000</c:formatCode>
                <c:ptCount val="5"/>
                <c:pt idx="0">
                  <c:v>9.748240264378588E-5</c:v>
                </c:pt>
                <c:pt idx="1">
                  <c:v>1.3891242376739489E-4</c:v>
                </c:pt>
                <c:pt idx="2">
                  <c:v>0.10966770297425912</c:v>
                </c:pt>
                <c:pt idx="3">
                  <c:v>0.12584091977652359</c:v>
                </c:pt>
                <c:pt idx="4">
                  <c:v>0.12406851245572749</c:v>
                </c:pt>
              </c:numCache>
            </c:numRef>
          </c:yVal>
          <c:smooth val="0"/>
          <c:extLst>
            <c:ext xmlns:c16="http://schemas.microsoft.com/office/drawing/2014/chart" uri="{C3380CC4-5D6E-409C-BE32-E72D297353CC}">
              <c16:uniqueId val="{00000005-F442-4038-8A25-F79D3016AF13}"/>
            </c:ext>
          </c:extLst>
        </c:ser>
        <c:ser>
          <c:idx val="5"/>
          <c:order val="4"/>
          <c:tx>
            <c:v>25 mm 0.2 g/kg</c:v>
          </c:tx>
          <c:spPr>
            <a:ln w="28575">
              <a:noFill/>
            </a:ln>
          </c:spPr>
          <c:marker>
            <c:symbol val="diamond"/>
            <c:size val="7"/>
            <c:spPr>
              <a:solidFill>
                <a:schemeClr val="accent3">
                  <a:lumMod val="50000"/>
                </a:schemeClr>
              </a:solidFill>
              <a:ln>
                <a:solidFill>
                  <a:schemeClr val="accent3">
                    <a:lumMod val="75000"/>
                  </a:schemeClr>
                </a:solidFill>
              </a:ln>
            </c:spPr>
          </c:marker>
          <c:xVal>
            <c:numRef>
              <c:f>Heijden1985!$F$22:$F$27</c:f>
              <c:numCache>
                <c:formatCode>General</c:formatCode>
                <c:ptCount val="6"/>
                <c:pt idx="0">
                  <c:v>16</c:v>
                </c:pt>
                <c:pt idx="1">
                  <c:v>36</c:v>
                </c:pt>
                <c:pt idx="2">
                  <c:v>54</c:v>
                </c:pt>
                <c:pt idx="3">
                  <c:v>68</c:v>
                </c:pt>
                <c:pt idx="4">
                  <c:v>85</c:v>
                </c:pt>
                <c:pt idx="5">
                  <c:v>105</c:v>
                </c:pt>
              </c:numCache>
            </c:numRef>
          </c:xVal>
          <c:yVal>
            <c:numRef>
              <c:f>Heijden1985!$M$22:$M$27</c:f>
              <c:numCache>
                <c:formatCode>0.000</c:formatCode>
                <c:ptCount val="6"/>
                <c:pt idx="0">
                  <c:v>1.2652817975805678E-3</c:v>
                </c:pt>
                <c:pt idx="1">
                  <c:v>1.2509578527022971E-2</c:v>
                </c:pt>
                <c:pt idx="2">
                  <c:v>4.6473243382833436E-3</c:v>
                </c:pt>
                <c:pt idx="3">
                  <c:v>6.9573446551599956E-3</c:v>
                </c:pt>
                <c:pt idx="4">
                  <c:v>6.5609284775764842E-3</c:v>
                </c:pt>
                <c:pt idx="5">
                  <c:v>8.4415781815941286E-3</c:v>
                </c:pt>
              </c:numCache>
            </c:numRef>
          </c:yVal>
          <c:smooth val="0"/>
          <c:extLst>
            <c:ext xmlns:c16="http://schemas.microsoft.com/office/drawing/2014/chart" uri="{C3380CC4-5D6E-409C-BE32-E72D297353CC}">
              <c16:uniqueId val="{00000006-F442-4038-8A25-F79D3016AF13}"/>
            </c:ext>
          </c:extLst>
        </c:ser>
        <c:ser>
          <c:idx val="3"/>
          <c:order val="5"/>
          <c:tx>
            <c:v>32 mm 0.2 g/kg</c:v>
          </c:tx>
          <c:spPr>
            <a:ln w="28575">
              <a:noFill/>
            </a:ln>
          </c:spPr>
          <c:marker>
            <c:symbol val="diamond"/>
            <c:size val="7"/>
            <c:spPr>
              <a:solidFill>
                <a:schemeClr val="accent3">
                  <a:lumMod val="60000"/>
                  <a:lumOff val="40000"/>
                </a:schemeClr>
              </a:solidFill>
              <a:ln>
                <a:solidFill>
                  <a:schemeClr val="accent3">
                    <a:lumMod val="75000"/>
                  </a:schemeClr>
                </a:solidFill>
              </a:ln>
            </c:spPr>
          </c:marker>
          <c:trendline>
            <c:spPr>
              <a:ln>
                <a:solidFill>
                  <a:schemeClr val="accent3">
                    <a:lumMod val="50000"/>
                  </a:schemeClr>
                </a:solidFill>
              </a:ln>
            </c:spPr>
            <c:trendlineType val="linear"/>
            <c:intercept val="0"/>
            <c:dispRSqr val="0"/>
            <c:dispEq val="1"/>
            <c:trendlineLbl>
              <c:layout>
                <c:manualLayout>
                  <c:x val="8.9606955380577433E-2"/>
                  <c:y val="0.12322834645669291"/>
                </c:manualLayout>
              </c:layout>
              <c:numFmt formatCode="General" sourceLinked="0"/>
            </c:trendlineLbl>
          </c:trendline>
          <c:xVal>
            <c:numRef>
              <c:f>Heijden1985!$F$22:$F$27</c:f>
              <c:numCache>
                <c:formatCode>General</c:formatCode>
                <c:ptCount val="6"/>
                <c:pt idx="0">
                  <c:v>16</c:v>
                </c:pt>
                <c:pt idx="1">
                  <c:v>36</c:v>
                </c:pt>
                <c:pt idx="2">
                  <c:v>54</c:v>
                </c:pt>
                <c:pt idx="3">
                  <c:v>68</c:v>
                </c:pt>
                <c:pt idx="4">
                  <c:v>85</c:v>
                </c:pt>
                <c:pt idx="5">
                  <c:v>105</c:v>
                </c:pt>
              </c:numCache>
            </c:numRef>
          </c:xVal>
          <c:yVal>
            <c:numRef>
              <c:f>Heijden1985!$N$22:$N$27</c:f>
              <c:numCache>
                <c:formatCode>0.000</c:formatCode>
                <c:ptCount val="6"/>
                <c:pt idx="0">
                  <c:v>1.035750528090225E-3</c:v>
                </c:pt>
                <c:pt idx="1">
                  <c:v>1.3330718561537721E-2</c:v>
                </c:pt>
                <c:pt idx="2">
                  <c:v>5.632316597196518E-3</c:v>
                </c:pt>
                <c:pt idx="3">
                  <c:v>7.7637770677015184E-3</c:v>
                </c:pt>
                <c:pt idx="4">
                  <c:v>7.8272635063981032E-3</c:v>
                </c:pt>
                <c:pt idx="5">
                  <c:v>8.1154100200951755E-3</c:v>
                </c:pt>
              </c:numCache>
            </c:numRef>
          </c:yVal>
          <c:smooth val="0"/>
          <c:extLst>
            <c:ext xmlns:c16="http://schemas.microsoft.com/office/drawing/2014/chart" uri="{C3380CC4-5D6E-409C-BE32-E72D297353CC}">
              <c16:uniqueId val="{00000008-F442-4038-8A25-F79D3016AF13}"/>
            </c:ext>
          </c:extLst>
        </c:ser>
        <c:dLbls>
          <c:showLegendKey val="0"/>
          <c:showVal val="0"/>
          <c:showCatName val="0"/>
          <c:showSerName val="0"/>
          <c:showPercent val="0"/>
          <c:showBubbleSize val="0"/>
        </c:dLbls>
        <c:axId val="169091840"/>
        <c:axId val="169093760"/>
      </c:scatterChart>
      <c:valAx>
        <c:axId val="169091840"/>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69093760"/>
        <c:crosses val="autoZero"/>
        <c:crossBetween val="midCat"/>
      </c:valAx>
      <c:valAx>
        <c:axId val="169093760"/>
        <c:scaling>
          <c:orientation val="minMax"/>
        </c:scaling>
        <c:delete val="0"/>
        <c:axPos val="l"/>
        <c:majorGridlines/>
        <c:title>
          <c:tx>
            <c:rich>
              <a:bodyPr rot="-5400000" vert="horz"/>
              <a:lstStyle/>
              <a:p>
                <a:pPr>
                  <a:defRPr/>
                </a:pPr>
                <a:r>
                  <a:rPr lang="en-US"/>
                  <a:t>Q (g/m2/dag)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690918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25 mm, 1.5 g/kg</c:v>
          </c:tx>
          <c:spPr>
            <a:ln w="28575">
              <a:noFill/>
            </a:ln>
          </c:spPr>
          <c:marker>
            <c:spPr>
              <a:solidFill>
                <a:schemeClr val="tx2">
                  <a:lumMod val="50000"/>
                </a:schemeClr>
              </a:solidFill>
              <a:ln>
                <a:solidFill>
                  <a:schemeClr val="tx2">
                    <a:lumMod val="50000"/>
                  </a:schemeClr>
                </a:solidFill>
              </a:ln>
            </c:spPr>
          </c:marker>
          <c:xVal>
            <c:numRef>
              <c:f>Heijden1985!$F$8:$F$13</c:f>
              <c:numCache>
                <c:formatCode>General</c:formatCode>
                <c:ptCount val="6"/>
                <c:pt idx="0">
                  <c:v>7</c:v>
                </c:pt>
                <c:pt idx="1">
                  <c:v>14</c:v>
                </c:pt>
                <c:pt idx="2">
                  <c:v>30</c:v>
                </c:pt>
                <c:pt idx="3">
                  <c:v>37</c:v>
                </c:pt>
                <c:pt idx="4">
                  <c:v>44</c:v>
                </c:pt>
                <c:pt idx="5">
                  <c:v>51</c:v>
                </c:pt>
              </c:numCache>
            </c:numRef>
          </c:xVal>
          <c:yVal>
            <c:numRef>
              <c:f>Heijden1985!$O$8:$O$13</c:f>
              <c:numCache>
                <c:formatCode>0.0</c:formatCode>
                <c:ptCount val="6"/>
                <c:pt idx="0">
                  <c:v>13.86157785970124</c:v>
                </c:pt>
                <c:pt idx="1">
                  <c:v>23.436069783412403</c:v>
                </c:pt>
                <c:pt idx="2">
                  <c:v>17.005440879427294</c:v>
                </c:pt>
                <c:pt idx="3">
                  <c:v>38.583773423910671</c:v>
                </c:pt>
                <c:pt idx="4">
                  <c:v>57.161145813200989</c:v>
                </c:pt>
                <c:pt idx="5">
                  <c:v>100.03200517310175</c:v>
                </c:pt>
              </c:numCache>
            </c:numRef>
          </c:yVal>
          <c:smooth val="0"/>
          <c:extLst>
            <c:ext xmlns:c16="http://schemas.microsoft.com/office/drawing/2014/chart" uri="{C3380CC4-5D6E-409C-BE32-E72D297353CC}">
              <c16:uniqueId val="{00000000-479B-4BFA-86A7-61E937272FAB}"/>
            </c:ext>
          </c:extLst>
        </c:ser>
        <c:ser>
          <c:idx val="2"/>
          <c:order val="1"/>
          <c:tx>
            <c:v>32 mm, 1.5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Heijden1985!$F$8:$F$13</c:f>
              <c:numCache>
                <c:formatCode>General</c:formatCode>
                <c:ptCount val="6"/>
                <c:pt idx="0">
                  <c:v>7</c:v>
                </c:pt>
                <c:pt idx="1">
                  <c:v>14</c:v>
                </c:pt>
                <c:pt idx="2">
                  <c:v>30</c:v>
                </c:pt>
                <c:pt idx="3">
                  <c:v>37</c:v>
                </c:pt>
                <c:pt idx="4">
                  <c:v>44</c:v>
                </c:pt>
                <c:pt idx="5">
                  <c:v>51</c:v>
                </c:pt>
              </c:numCache>
            </c:numRef>
          </c:xVal>
          <c:yVal>
            <c:numRef>
              <c:f>Heijden1985!$P$8:$P$13</c:f>
              <c:numCache>
                <c:formatCode>0.0</c:formatCode>
                <c:ptCount val="6"/>
                <c:pt idx="0">
                  <c:v>26.521306946225895</c:v>
                </c:pt>
                <c:pt idx="1">
                  <c:v>26.051903283460838</c:v>
                </c:pt>
                <c:pt idx="2">
                  <c:v>19.714953836132526</c:v>
                </c:pt>
                <c:pt idx="3">
                  <c:v>50.226191915861442</c:v>
                </c:pt>
                <c:pt idx="4">
                  <c:v>70.410549414759018</c:v>
                </c:pt>
                <c:pt idx="5">
                  <c:v>117.35091569126506</c:v>
                </c:pt>
              </c:numCache>
            </c:numRef>
          </c:yVal>
          <c:smooth val="0"/>
          <c:extLst>
            <c:ext xmlns:c16="http://schemas.microsoft.com/office/drawing/2014/chart" uri="{C3380CC4-5D6E-409C-BE32-E72D297353CC}">
              <c16:uniqueId val="{00000002-479B-4BFA-86A7-61E937272FAB}"/>
            </c:ext>
          </c:extLst>
        </c:ser>
        <c:ser>
          <c:idx val="4"/>
          <c:order val="2"/>
          <c:tx>
            <c:v>25 mm, 1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Heijden1985!$F$15:$F$19</c:f>
              <c:numCache>
                <c:formatCode>General</c:formatCode>
                <c:ptCount val="5"/>
                <c:pt idx="0">
                  <c:v>9</c:v>
                </c:pt>
                <c:pt idx="1">
                  <c:v>17</c:v>
                </c:pt>
                <c:pt idx="2">
                  <c:v>25</c:v>
                </c:pt>
                <c:pt idx="3">
                  <c:v>36</c:v>
                </c:pt>
                <c:pt idx="4">
                  <c:v>47</c:v>
                </c:pt>
              </c:numCache>
            </c:numRef>
          </c:xVal>
          <c:yVal>
            <c:numRef>
              <c:f>Heijden1985!$O$15:$O$19</c:f>
              <c:numCache>
                <c:formatCode>0.0</c:formatCode>
                <c:ptCount val="5"/>
                <c:pt idx="0">
                  <c:v>2.8342401465712156E-2</c:v>
                </c:pt>
                <c:pt idx="1">
                  <c:v>3.7512001939913149</c:v>
                </c:pt>
                <c:pt idx="2">
                  <c:v>41.450762143604031</c:v>
                </c:pt>
                <c:pt idx="3">
                  <c:v>38.330445618602162</c:v>
                </c:pt>
                <c:pt idx="4">
                  <c:v>39.967332975980192</c:v>
                </c:pt>
              </c:numCache>
            </c:numRef>
          </c:yVal>
          <c:smooth val="0"/>
          <c:extLst>
            <c:ext xmlns:c16="http://schemas.microsoft.com/office/drawing/2014/chart" uri="{C3380CC4-5D6E-409C-BE32-E72D297353CC}">
              <c16:uniqueId val="{00000003-479B-4BFA-86A7-61E937272FAB}"/>
            </c:ext>
          </c:extLst>
        </c:ser>
        <c:ser>
          <c:idx val="0"/>
          <c:order val="3"/>
          <c:tx>
            <c:v>32 mm, 1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Heijden1985!$F$15:$F$19</c:f>
              <c:numCache>
                <c:formatCode>General</c:formatCode>
                <c:ptCount val="5"/>
                <c:pt idx="0">
                  <c:v>9</c:v>
                </c:pt>
                <c:pt idx="1">
                  <c:v>17</c:v>
                </c:pt>
                <c:pt idx="2">
                  <c:v>25</c:v>
                </c:pt>
                <c:pt idx="3">
                  <c:v>36</c:v>
                </c:pt>
                <c:pt idx="4">
                  <c:v>47</c:v>
                </c:pt>
              </c:numCache>
            </c:numRef>
          </c:xVal>
          <c:yVal>
            <c:numRef>
              <c:f>Heijden1985!$P$15:$P$19</c:f>
              <c:numCache>
                <c:formatCode>0.0</c:formatCode>
                <c:ptCount val="5"/>
                <c:pt idx="0">
                  <c:v>4.9287384590331315E-2</c:v>
                </c:pt>
                <c:pt idx="1">
                  <c:v>7.0234523041222116E-2</c:v>
                </c:pt>
                <c:pt idx="2">
                  <c:v>55.44830766412273</c:v>
                </c:pt>
                <c:pt idx="3">
                  <c:v>63.625532834791329</c:v>
                </c:pt>
                <c:pt idx="4">
                  <c:v>62.729398569512576</c:v>
                </c:pt>
              </c:numCache>
            </c:numRef>
          </c:yVal>
          <c:smooth val="0"/>
          <c:extLst>
            <c:ext xmlns:c16="http://schemas.microsoft.com/office/drawing/2014/chart" uri="{C3380CC4-5D6E-409C-BE32-E72D297353CC}">
              <c16:uniqueId val="{00000005-479B-4BFA-86A7-61E937272FAB}"/>
            </c:ext>
          </c:extLst>
        </c:ser>
        <c:ser>
          <c:idx val="5"/>
          <c:order val="4"/>
          <c:tx>
            <c:v>25 mm 0.2 g/kg</c:v>
          </c:tx>
          <c:spPr>
            <a:ln w="28575">
              <a:noFill/>
            </a:ln>
          </c:spPr>
          <c:marker>
            <c:symbol val="diamond"/>
            <c:size val="7"/>
            <c:spPr>
              <a:solidFill>
                <a:schemeClr val="accent3">
                  <a:lumMod val="50000"/>
                </a:schemeClr>
              </a:solidFill>
              <a:ln>
                <a:solidFill>
                  <a:schemeClr val="accent3">
                    <a:lumMod val="75000"/>
                  </a:schemeClr>
                </a:solidFill>
              </a:ln>
            </c:spPr>
          </c:marker>
          <c:xVal>
            <c:numRef>
              <c:f>Heijden1985!$F$22:$F$27</c:f>
              <c:numCache>
                <c:formatCode>General</c:formatCode>
                <c:ptCount val="6"/>
                <c:pt idx="0">
                  <c:v>16</c:v>
                </c:pt>
                <c:pt idx="1">
                  <c:v>36</c:v>
                </c:pt>
                <c:pt idx="2">
                  <c:v>54</c:v>
                </c:pt>
                <c:pt idx="3">
                  <c:v>68</c:v>
                </c:pt>
                <c:pt idx="4">
                  <c:v>85</c:v>
                </c:pt>
                <c:pt idx="5">
                  <c:v>105</c:v>
                </c:pt>
              </c:numCache>
            </c:numRef>
          </c:xVal>
          <c:yVal>
            <c:numRef>
              <c:f>Heijden1985!$O$22:$O$27</c:f>
              <c:numCache>
                <c:formatCode>0.0</c:formatCode>
                <c:ptCount val="6"/>
                <c:pt idx="0">
                  <c:v>2.485170128519246</c:v>
                </c:pt>
                <c:pt idx="1">
                  <c:v>24.570361270643104</c:v>
                </c:pt>
                <c:pt idx="2">
                  <c:v>9.1279204720455311</c:v>
                </c:pt>
                <c:pt idx="3">
                  <c:v>13.665086420968359</c:v>
                </c:pt>
                <c:pt idx="4">
                  <c:v>12.886475960534867</c:v>
                </c:pt>
                <c:pt idx="5">
                  <c:v>16.580304857441611</c:v>
                </c:pt>
              </c:numCache>
            </c:numRef>
          </c:yVal>
          <c:smooth val="0"/>
          <c:extLst>
            <c:ext xmlns:c16="http://schemas.microsoft.com/office/drawing/2014/chart" uri="{C3380CC4-5D6E-409C-BE32-E72D297353CC}">
              <c16:uniqueId val="{00000006-479B-4BFA-86A7-61E937272FAB}"/>
            </c:ext>
          </c:extLst>
        </c:ser>
        <c:ser>
          <c:idx val="3"/>
          <c:order val="5"/>
          <c:tx>
            <c:v>32 mm 0.2 g/kg</c:v>
          </c:tx>
          <c:spPr>
            <a:ln w="28575">
              <a:noFill/>
            </a:ln>
          </c:spPr>
          <c:marker>
            <c:symbol val="diamond"/>
            <c:size val="7"/>
            <c:spPr>
              <a:solidFill>
                <a:schemeClr val="accent3">
                  <a:lumMod val="60000"/>
                  <a:lumOff val="40000"/>
                </a:schemeClr>
              </a:solidFill>
              <a:ln>
                <a:solidFill>
                  <a:schemeClr val="accent3">
                    <a:lumMod val="75000"/>
                  </a:schemeClr>
                </a:solidFill>
              </a:ln>
            </c:spPr>
          </c:marker>
          <c:trendline>
            <c:spPr>
              <a:ln>
                <a:solidFill>
                  <a:schemeClr val="accent3">
                    <a:lumMod val="50000"/>
                  </a:schemeClr>
                </a:solidFill>
              </a:ln>
            </c:spPr>
            <c:trendlineType val="linear"/>
            <c:intercept val="0"/>
            <c:dispRSqr val="0"/>
            <c:dispEq val="1"/>
            <c:trendlineLbl>
              <c:layout>
                <c:manualLayout>
                  <c:x val="8.9606955380577433E-2"/>
                  <c:y val="0.12322834645669291"/>
                </c:manualLayout>
              </c:layout>
              <c:numFmt formatCode="General" sourceLinked="0"/>
            </c:trendlineLbl>
          </c:trendline>
          <c:xVal>
            <c:numRef>
              <c:f>Heijden1985!$F$22:$F$27</c:f>
              <c:numCache>
                <c:formatCode>General</c:formatCode>
                <c:ptCount val="6"/>
                <c:pt idx="0">
                  <c:v>16</c:v>
                </c:pt>
                <c:pt idx="1">
                  <c:v>36</c:v>
                </c:pt>
                <c:pt idx="2">
                  <c:v>54</c:v>
                </c:pt>
                <c:pt idx="3">
                  <c:v>68</c:v>
                </c:pt>
                <c:pt idx="4">
                  <c:v>85</c:v>
                </c:pt>
                <c:pt idx="5">
                  <c:v>105</c:v>
                </c:pt>
              </c:numCache>
            </c:numRef>
          </c:xVal>
          <c:yVal>
            <c:numRef>
              <c:f>Heijden1985!$P$22:$P$27</c:f>
              <c:numCache>
                <c:formatCode>0.0</c:formatCode>
                <c:ptCount val="6"/>
                <c:pt idx="0">
                  <c:v>2.6183923063613506</c:v>
                </c:pt>
                <c:pt idx="1">
                  <c:v>33.700249213639033</c:v>
                </c:pt>
                <c:pt idx="2">
                  <c:v>14.238577770540157</c:v>
                </c:pt>
                <c:pt idx="3">
                  <c:v>19.626940649364073</c:v>
                </c:pt>
                <c:pt idx="4">
                  <c:v>19.787435284059484</c:v>
                </c:pt>
                <c:pt idx="5">
                  <c:v>20.515873835725404</c:v>
                </c:pt>
              </c:numCache>
            </c:numRef>
          </c:yVal>
          <c:smooth val="0"/>
          <c:extLst>
            <c:ext xmlns:c16="http://schemas.microsoft.com/office/drawing/2014/chart" uri="{C3380CC4-5D6E-409C-BE32-E72D297353CC}">
              <c16:uniqueId val="{00000008-479B-4BFA-86A7-61E937272FAB}"/>
            </c:ext>
          </c:extLst>
        </c:ser>
        <c:dLbls>
          <c:showLegendKey val="0"/>
          <c:showVal val="0"/>
          <c:showCatName val="0"/>
          <c:showSerName val="0"/>
          <c:showPercent val="0"/>
          <c:showBubbleSize val="0"/>
        </c:dLbls>
        <c:axId val="169235968"/>
        <c:axId val="169237888"/>
      </c:scatterChart>
      <c:valAx>
        <c:axId val="169235968"/>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69237888"/>
        <c:crosses val="autoZero"/>
        <c:crossBetween val="midCat"/>
      </c:valAx>
      <c:valAx>
        <c:axId val="169237888"/>
        <c:scaling>
          <c:orientation val="minMax"/>
        </c:scaling>
        <c:delete val="0"/>
        <c:axPos val="l"/>
        <c:majorGridlines/>
        <c:title>
          <c:tx>
            <c:rich>
              <a:bodyPr rot="-5400000" vert="horz"/>
              <a:lstStyle/>
              <a:p>
                <a:pPr>
                  <a:defRPr/>
                </a:pPr>
                <a:r>
                  <a:rPr lang="en-US"/>
                  <a:t>P (10^-8</a:t>
                </a:r>
                <a:r>
                  <a:rPr lang="en-US" baseline="0"/>
                  <a:t> </a:t>
                </a:r>
                <a:r>
                  <a:rPr lang="en-US"/>
                  <a:t>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692359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aromaten: TOL + XYL</c:v>
          </c:tx>
          <c:spPr>
            <a:ln w="28575">
              <a:noFill/>
            </a:ln>
          </c:spPr>
          <c:marker>
            <c:symbol val="square"/>
            <c:size val="7"/>
            <c:spPr>
              <a:solidFill>
                <a:schemeClr val="accent2">
                  <a:lumMod val="60000"/>
                  <a:lumOff val="40000"/>
                </a:schemeClr>
              </a:solidFill>
              <a:ln>
                <a:solidFill>
                  <a:schemeClr val="accent2">
                    <a:lumMod val="75000"/>
                  </a:schemeClr>
                </a:solidFill>
              </a:ln>
            </c:spPr>
          </c:marker>
          <c:xVal>
            <c:numRef>
              <c:f>Heijden1985!$K$8:$K$27</c:f>
              <c:numCache>
                <c:formatCode>General</c:formatCode>
                <c:ptCount val="20"/>
                <c:pt idx="5" formatCode="0%">
                  <c:v>1</c:v>
                </c:pt>
                <c:pt idx="11" formatCode="0%">
                  <c:v>0.66666666666666663</c:v>
                </c:pt>
                <c:pt idx="19" formatCode="0%">
                  <c:v>0.13333333333333333</c:v>
                </c:pt>
              </c:numCache>
            </c:numRef>
          </c:xVal>
          <c:yVal>
            <c:numRef>
              <c:f>Heijden1985!$Q$8:$Q$27</c:f>
              <c:numCache>
                <c:formatCode>General</c:formatCode>
                <c:ptCount val="20"/>
                <c:pt idx="5" formatCode="0%">
                  <c:v>1</c:v>
                </c:pt>
                <c:pt idx="11" formatCode="0%">
                  <c:v>0.39954545454545448</c:v>
                </c:pt>
                <c:pt idx="19" formatCode="0%">
                  <c:v>0.16574999999999995</c:v>
                </c:pt>
              </c:numCache>
            </c:numRef>
          </c:yVal>
          <c:smooth val="0"/>
          <c:extLst>
            <c:ext xmlns:c16="http://schemas.microsoft.com/office/drawing/2014/chart" uri="{C3380CC4-5D6E-409C-BE32-E72D297353CC}">
              <c16:uniqueId val="{00000000-15A1-4184-BCD8-8009661682C6}"/>
            </c:ext>
          </c:extLst>
        </c:ser>
        <c:ser>
          <c:idx val="1"/>
          <c:order val="1"/>
          <c:tx>
            <c:v>aromaten: TOL + XYL</c:v>
          </c:tx>
          <c:spPr>
            <a:ln w="28575">
              <a:noFill/>
            </a:ln>
          </c:spPr>
          <c:xVal>
            <c:numRef>
              <c:f>Heijden1985!$K$8:$K$27</c:f>
              <c:numCache>
                <c:formatCode>General</c:formatCode>
                <c:ptCount val="20"/>
                <c:pt idx="5" formatCode="0%">
                  <c:v>1</c:v>
                </c:pt>
                <c:pt idx="11" formatCode="0%">
                  <c:v>0.66666666666666663</c:v>
                </c:pt>
                <c:pt idx="19" formatCode="0%">
                  <c:v>0.13333333333333333</c:v>
                </c:pt>
              </c:numCache>
            </c:numRef>
          </c:xVal>
          <c:yVal>
            <c:numRef>
              <c:f>Heijden1985!$R$8:$R$27</c:f>
              <c:numCache>
                <c:formatCode>General</c:formatCode>
                <c:ptCount val="20"/>
                <c:pt idx="5" formatCode="0%">
                  <c:v>1</c:v>
                </c:pt>
                <c:pt idx="11" formatCode="0%">
                  <c:v>0.53454545454545443</c:v>
                </c:pt>
                <c:pt idx="19" formatCode="0%">
                  <c:v>0.17482499999999992</c:v>
                </c:pt>
              </c:numCache>
            </c:numRef>
          </c:yVal>
          <c:smooth val="0"/>
          <c:extLst>
            <c:ext xmlns:c16="http://schemas.microsoft.com/office/drawing/2014/chart" uri="{C3380CC4-5D6E-409C-BE32-E72D297353CC}">
              <c16:uniqueId val="{00000001-15A1-4184-BCD8-8009661682C6}"/>
            </c:ext>
          </c:extLst>
        </c:ser>
        <c:ser>
          <c:idx val="2"/>
          <c:order val="2"/>
          <c:tx>
            <c:v>gechlooreerde koolwaterstoffen: tri</c:v>
          </c:tx>
          <c:spPr>
            <a:ln w="28575">
              <a:noFill/>
            </a:ln>
          </c:spPr>
          <c:marker>
            <c:symbol val="circle"/>
            <c:size val="7"/>
            <c:spPr>
              <a:solidFill>
                <a:schemeClr val="accent1">
                  <a:lumMod val="60000"/>
                  <a:lumOff val="40000"/>
                </a:schemeClr>
              </a:solidFill>
              <a:ln>
                <a:solidFill>
                  <a:schemeClr val="tx2">
                    <a:lumMod val="75000"/>
                  </a:schemeClr>
                </a:solidFill>
              </a:ln>
            </c:spPr>
          </c:marker>
          <c:xVal>
            <c:numRef>
              <c:f>Heijden1985!$K$35:$K$58</c:f>
              <c:numCache>
                <c:formatCode>0%</c:formatCode>
                <c:ptCount val="24"/>
                <c:pt idx="1">
                  <c:v>0.3</c:v>
                </c:pt>
                <c:pt idx="3">
                  <c:v>0.3</c:v>
                </c:pt>
                <c:pt idx="6">
                  <c:v>1</c:v>
                </c:pt>
                <c:pt idx="10">
                  <c:v>1</c:v>
                </c:pt>
                <c:pt idx="14">
                  <c:v>0.3</c:v>
                </c:pt>
                <c:pt idx="16">
                  <c:v>0.3</c:v>
                </c:pt>
                <c:pt idx="19">
                  <c:v>1</c:v>
                </c:pt>
                <c:pt idx="23">
                  <c:v>1</c:v>
                </c:pt>
              </c:numCache>
            </c:numRef>
          </c:xVal>
          <c:yVal>
            <c:numRef>
              <c:f>Heijden1985!$T$35:$T$58</c:f>
              <c:numCache>
                <c:formatCode>0%</c:formatCode>
                <c:ptCount val="24"/>
                <c:pt idx="1">
                  <c:v>0.71743929359823433</c:v>
                </c:pt>
                <c:pt idx="6">
                  <c:v>1</c:v>
                </c:pt>
                <c:pt idx="14">
                  <c:v>0.85918854415274493</c:v>
                </c:pt>
                <c:pt idx="19">
                  <c:v>1</c:v>
                </c:pt>
              </c:numCache>
            </c:numRef>
          </c:yVal>
          <c:smooth val="0"/>
          <c:extLst>
            <c:ext xmlns:c16="http://schemas.microsoft.com/office/drawing/2014/chart" uri="{C3380CC4-5D6E-409C-BE32-E72D297353CC}">
              <c16:uniqueId val="{00000002-15A1-4184-BCD8-8009661682C6}"/>
            </c:ext>
          </c:extLst>
        </c:ser>
        <c:ser>
          <c:idx val="3"/>
          <c:order val="3"/>
          <c:tx>
            <c:v>gechlooreerde koolwaterstoffen: per</c:v>
          </c:tx>
          <c:spPr>
            <a:ln w="28575">
              <a:noFill/>
            </a:ln>
          </c:spPr>
          <c:marker>
            <c:symbol val="circle"/>
            <c:size val="7"/>
            <c:spPr>
              <a:solidFill>
                <a:schemeClr val="accent1">
                  <a:lumMod val="75000"/>
                </a:schemeClr>
              </a:solidFill>
            </c:spPr>
          </c:marker>
          <c:xVal>
            <c:numRef>
              <c:f>Heijden1985!$K$35:$K$58</c:f>
              <c:numCache>
                <c:formatCode>0%</c:formatCode>
                <c:ptCount val="24"/>
                <c:pt idx="1">
                  <c:v>0.3</c:v>
                </c:pt>
                <c:pt idx="3">
                  <c:v>0.3</c:v>
                </c:pt>
                <c:pt idx="6">
                  <c:v>1</c:v>
                </c:pt>
                <c:pt idx="10">
                  <c:v>1</c:v>
                </c:pt>
                <c:pt idx="14">
                  <c:v>0.3</c:v>
                </c:pt>
                <c:pt idx="16">
                  <c:v>0.3</c:v>
                </c:pt>
                <c:pt idx="19">
                  <c:v>1</c:v>
                </c:pt>
                <c:pt idx="23">
                  <c:v>1</c:v>
                </c:pt>
              </c:numCache>
            </c:numRef>
          </c:xVal>
          <c:yVal>
            <c:numRef>
              <c:f>Heijden1985!$U$35:$U$58</c:f>
              <c:numCache>
                <c:formatCode>0%</c:formatCode>
                <c:ptCount val="24"/>
                <c:pt idx="1">
                  <c:v>0.73809523809523836</c:v>
                </c:pt>
                <c:pt idx="6">
                  <c:v>1</c:v>
                </c:pt>
                <c:pt idx="14">
                  <c:v>0.21185185185185185</c:v>
                </c:pt>
                <c:pt idx="19">
                  <c:v>1</c:v>
                </c:pt>
              </c:numCache>
            </c:numRef>
          </c:yVal>
          <c:smooth val="0"/>
          <c:extLst>
            <c:ext xmlns:c16="http://schemas.microsoft.com/office/drawing/2014/chart" uri="{C3380CC4-5D6E-409C-BE32-E72D297353CC}">
              <c16:uniqueId val="{00000003-15A1-4184-BCD8-8009661682C6}"/>
            </c:ext>
          </c:extLst>
        </c:ser>
        <c:dLbls>
          <c:showLegendKey val="0"/>
          <c:showVal val="0"/>
          <c:showCatName val="0"/>
          <c:showSerName val="0"/>
          <c:showPercent val="0"/>
          <c:showBubbleSize val="0"/>
        </c:dLbls>
        <c:axId val="169274368"/>
        <c:axId val="180880896"/>
      </c:scatterChart>
      <c:valAx>
        <c:axId val="169274368"/>
        <c:scaling>
          <c:orientation val="minMax"/>
          <c:max val="1"/>
        </c:scaling>
        <c:delete val="0"/>
        <c:axPos val="b"/>
        <c:title>
          <c:tx>
            <c:rich>
              <a:bodyPr/>
              <a:lstStyle/>
              <a:p>
                <a:pPr>
                  <a:defRPr/>
                </a:pPr>
                <a:r>
                  <a:rPr lang="en-US"/>
                  <a:t>C/Cmax</a:t>
                </a:r>
              </a:p>
            </c:rich>
          </c:tx>
          <c:layout>
            <c:manualLayout>
              <c:xMode val="edge"/>
              <c:yMode val="edge"/>
              <c:x val="0.37566491688538933"/>
              <c:y val="0.90182852143482062"/>
            </c:manualLayout>
          </c:layout>
          <c:overlay val="0"/>
        </c:title>
        <c:numFmt formatCode="0%" sourceLinked="0"/>
        <c:majorTickMark val="out"/>
        <c:minorTickMark val="none"/>
        <c:tickLblPos val="nextTo"/>
        <c:crossAx val="180880896"/>
        <c:crosses val="autoZero"/>
        <c:crossBetween val="midCat"/>
      </c:valAx>
      <c:valAx>
        <c:axId val="180880896"/>
        <c:scaling>
          <c:orientation val="minMax"/>
          <c:max val="1"/>
        </c:scaling>
        <c:delete val="0"/>
        <c:axPos val="l"/>
        <c:title>
          <c:tx>
            <c:rich>
              <a:bodyPr rot="-5400000" vert="horz"/>
              <a:lstStyle/>
              <a:p>
                <a:pPr>
                  <a:defRPr/>
                </a:pPr>
                <a:r>
                  <a:rPr lang="en-US"/>
                  <a:t>P/Pmax</a:t>
                </a:r>
              </a:p>
            </c:rich>
          </c:tx>
          <c:layout>
            <c:manualLayout>
              <c:xMode val="edge"/>
              <c:yMode val="edge"/>
              <c:x val="1.1111111111111112E-2"/>
              <c:y val="0.32464311752697583"/>
            </c:manualLayout>
          </c:layout>
          <c:overlay val="0"/>
        </c:title>
        <c:numFmt formatCode="0%" sourceLinked="0"/>
        <c:majorTickMark val="out"/>
        <c:minorTickMark val="none"/>
        <c:tickLblPos val="nextTo"/>
        <c:crossAx val="169274368"/>
        <c:crosses val="autoZero"/>
        <c:crossBetween val="midCat"/>
      </c:valAx>
      <c:spPr>
        <a:ln>
          <a:solidFill>
            <a:schemeClr val="tx1">
              <a:lumMod val="50000"/>
              <a:lumOff val="50000"/>
            </a:schemeClr>
          </a:solidFill>
        </a:ln>
      </c:spPr>
    </c:plotArea>
    <c:legend>
      <c:legendPos val="r"/>
      <c:layout>
        <c:manualLayout>
          <c:xMode val="edge"/>
          <c:yMode val="edge"/>
          <c:x val="0.69799526713484705"/>
          <c:y val="8.9947207209410379E-2"/>
          <c:w val="0.28523369842246632"/>
          <c:h val="0.82010558558117919"/>
        </c:manualLayout>
      </c:layout>
      <c:overlay val="0"/>
    </c:legend>
    <c:plotVisOnly val="1"/>
    <c:dispBlanksAs val="gap"/>
    <c:showDLblsOverMax val="0"/>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per, 10 g/kg</c:v>
          </c:tx>
          <c:spPr>
            <a:ln w="28575">
              <a:noFill/>
            </a:ln>
          </c:spPr>
          <c:marker>
            <c:spPr>
              <a:solidFill>
                <a:schemeClr val="tx2">
                  <a:lumMod val="50000"/>
                </a:schemeClr>
              </a:solidFill>
              <a:ln>
                <a:solidFill>
                  <a:schemeClr val="tx2">
                    <a:lumMod val="50000"/>
                  </a:schemeClr>
                </a:solidFill>
              </a:ln>
            </c:spPr>
          </c:marker>
          <c:xVal>
            <c:numRef>
              <c:f>Heijden1985!$F$53:$F$58</c:f>
              <c:numCache>
                <c:formatCode>General</c:formatCode>
                <c:ptCount val="6"/>
                <c:pt idx="0">
                  <c:v>7</c:v>
                </c:pt>
                <c:pt idx="1">
                  <c:v>14</c:v>
                </c:pt>
                <c:pt idx="2">
                  <c:v>29</c:v>
                </c:pt>
                <c:pt idx="3">
                  <c:v>45</c:v>
                </c:pt>
                <c:pt idx="4">
                  <c:v>65</c:v>
                </c:pt>
                <c:pt idx="5">
                  <c:v>81</c:v>
                </c:pt>
              </c:numCache>
            </c:numRef>
          </c:xVal>
          <c:yVal>
            <c:numRef>
              <c:f>Heijden1985!$R$53:$R$58</c:f>
              <c:numCache>
                <c:formatCode>0.00</c:formatCode>
                <c:ptCount val="6"/>
                <c:pt idx="1">
                  <c:v>0.48229716779888337</c:v>
                </c:pt>
                <c:pt idx="2">
                  <c:v>3.3010561707123567E-3</c:v>
                </c:pt>
                <c:pt idx="3">
                  <c:v>1.5942600824463086E-2</c:v>
                </c:pt>
                <c:pt idx="4">
                  <c:v>1.1253600581973944E-2</c:v>
                </c:pt>
                <c:pt idx="5">
                  <c:v>3.0009601551930519E-2</c:v>
                </c:pt>
              </c:numCache>
            </c:numRef>
          </c:yVal>
          <c:smooth val="0"/>
          <c:extLst>
            <c:ext xmlns:c16="http://schemas.microsoft.com/office/drawing/2014/chart" uri="{C3380CC4-5D6E-409C-BE32-E72D297353CC}">
              <c16:uniqueId val="{00000000-C799-478F-B6A3-E5DF6B5353C0}"/>
            </c:ext>
          </c:extLst>
        </c:ser>
        <c:ser>
          <c:idx val="2"/>
          <c:order val="1"/>
          <c:tx>
            <c:v>tri, 10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Heijden1985!$F$53:$F$58</c:f>
              <c:numCache>
                <c:formatCode>General</c:formatCode>
                <c:ptCount val="6"/>
                <c:pt idx="0">
                  <c:v>7</c:v>
                </c:pt>
                <c:pt idx="1">
                  <c:v>14</c:v>
                </c:pt>
                <c:pt idx="2">
                  <c:v>29</c:v>
                </c:pt>
                <c:pt idx="3">
                  <c:v>45</c:v>
                </c:pt>
                <c:pt idx="4">
                  <c:v>65</c:v>
                </c:pt>
                <c:pt idx="5">
                  <c:v>81</c:v>
                </c:pt>
              </c:numCache>
            </c:numRef>
          </c:xVal>
          <c:yVal>
            <c:numRef>
              <c:f>Heijden1985!$Q$53:$Q$58</c:f>
              <c:numCache>
                <c:formatCode>0.00</c:formatCode>
                <c:ptCount val="6"/>
                <c:pt idx="1">
                  <c:v>0.89814450358992026</c:v>
                </c:pt>
                <c:pt idx="2">
                  <c:v>0.45014402327895775</c:v>
                </c:pt>
                <c:pt idx="3">
                  <c:v>0.2522682130459159</c:v>
                </c:pt>
                <c:pt idx="4">
                  <c:v>0.1800576093115831</c:v>
                </c:pt>
                <c:pt idx="5">
                  <c:v>0.2372634122699506</c:v>
                </c:pt>
              </c:numCache>
            </c:numRef>
          </c:yVal>
          <c:smooth val="0"/>
          <c:extLst>
            <c:ext xmlns:c16="http://schemas.microsoft.com/office/drawing/2014/chart" uri="{C3380CC4-5D6E-409C-BE32-E72D297353CC}">
              <c16:uniqueId val="{00000002-C799-478F-B6A3-E5DF6B5353C0}"/>
            </c:ext>
          </c:extLst>
        </c:ser>
        <c:ser>
          <c:idx val="0"/>
          <c:order val="2"/>
          <c:tx>
            <c:v>per, 3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Heijden1985!$F$48:$F$51</c:f>
              <c:numCache>
                <c:formatCode>General</c:formatCode>
                <c:ptCount val="4"/>
                <c:pt idx="0">
                  <c:v>7</c:v>
                </c:pt>
                <c:pt idx="1">
                  <c:v>14</c:v>
                </c:pt>
                <c:pt idx="2">
                  <c:v>28</c:v>
                </c:pt>
                <c:pt idx="3">
                  <c:v>48</c:v>
                </c:pt>
              </c:numCache>
            </c:numRef>
          </c:xVal>
          <c:yVal>
            <c:numRef>
              <c:f>Heijden1985!$R$48:$R$51</c:f>
              <c:numCache>
                <c:formatCode>0.00</c:formatCode>
                <c:ptCount val="4"/>
                <c:pt idx="0">
                  <c:v>0.45014402327895775</c:v>
                </c:pt>
                <c:pt idx="1">
                  <c:v>0.10217554814109678</c:v>
                </c:pt>
                <c:pt idx="2">
                  <c:v>0.45728916650560791</c:v>
                </c:pt>
                <c:pt idx="3">
                  <c:v>0.37512001939913148</c:v>
                </c:pt>
              </c:numCache>
            </c:numRef>
          </c:yVal>
          <c:smooth val="0"/>
          <c:extLst>
            <c:ext xmlns:c16="http://schemas.microsoft.com/office/drawing/2014/chart" uri="{C3380CC4-5D6E-409C-BE32-E72D297353CC}">
              <c16:uniqueId val="{00000004-C799-478F-B6A3-E5DF6B5353C0}"/>
            </c:ext>
          </c:extLst>
        </c:ser>
        <c:ser>
          <c:idx val="4"/>
          <c:order val="3"/>
          <c:tx>
            <c:v>tri, 3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Heijden1985!$F$48:$F$51</c:f>
              <c:numCache>
                <c:formatCode>General</c:formatCode>
                <c:ptCount val="4"/>
                <c:pt idx="0">
                  <c:v>7</c:v>
                </c:pt>
                <c:pt idx="1">
                  <c:v>14</c:v>
                </c:pt>
                <c:pt idx="2">
                  <c:v>28</c:v>
                </c:pt>
                <c:pt idx="3">
                  <c:v>48</c:v>
                </c:pt>
              </c:numCache>
            </c:numRef>
          </c:xVal>
          <c:yVal>
            <c:numRef>
              <c:f>Heijden1985!$Q$48:$Q$51</c:f>
              <c:numCache>
                <c:formatCode>0.00</c:formatCode>
                <c:ptCount val="4"/>
                <c:pt idx="0">
                  <c:v>1.028900624637618</c:v>
                </c:pt>
                <c:pt idx="1">
                  <c:v>0.77167546847821333</c:v>
                </c:pt>
                <c:pt idx="2">
                  <c:v>0.7180868942783375</c:v>
                </c:pt>
                <c:pt idx="3">
                  <c:v>1.0728432554815162</c:v>
                </c:pt>
              </c:numCache>
            </c:numRef>
          </c:yVal>
          <c:smooth val="0"/>
          <c:extLst>
            <c:ext xmlns:c16="http://schemas.microsoft.com/office/drawing/2014/chart" uri="{C3380CC4-5D6E-409C-BE32-E72D297353CC}">
              <c16:uniqueId val="{00000005-C799-478F-B6A3-E5DF6B5353C0}"/>
            </c:ext>
          </c:extLst>
        </c:ser>
        <c:dLbls>
          <c:showLegendKey val="0"/>
          <c:showVal val="0"/>
          <c:showCatName val="0"/>
          <c:showSerName val="0"/>
          <c:showPercent val="0"/>
          <c:showBubbleSize val="0"/>
        </c:dLbls>
        <c:axId val="180919680"/>
        <c:axId val="180930432"/>
      </c:scatterChart>
      <c:valAx>
        <c:axId val="180919680"/>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80930432"/>
        <c:crosses val="autoZero"/>
        <c:crossBetween val="midCat"/>
      </c:valAx>
      <c:valAx>
        <c:axId val="180930432"/>
        <c:scaling>
          <c:orientation val="minMax"/>
        </c:scaling>
        <c:delete val="0"/>
        <c:axPos val="l"/>
        <c:majorGridlines/>
        <c:title>
          <c:tx>
            <c:rich>
              <a:bodyPr rot="-5400000" vert="horz"/>
              <a:lstStyle/>
              <a:p>
                <a:pPr>
                  <a:defRPr/>
                </a:pPr>
                <a:r>
                  <a:rPr lang="en-US"/>
                  <a:t>P (10^-8</a:t>
                </a:r>
                <a:r>
                  <a:rPr lang="en-US" baseline="0"/>
                  <a:t> </a:t>
                </a:r>
                <a:r>
                  <a:rPr lang="en-US"/>
                  <a:t>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809196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15529308836395"/>
          <c:y val="5.1400554097404488E-2"/>
          <c:w val="0.56701093613298337"/>
          <c:h val="0.80484179060950711"/>
        </c:manualLayout>
      </c:layout>
      <c:scatterChart>
        <c:scatterStyle val="lineMarker"/>
        <c:varyColors val="0"/>
        <c:ser>
          <c:idx val="1"/>
          <c:order val="1"/>
          <c:tx>
            <c:strRef>
              <c:f>Hinrichs2002!$M$3</c:f>
              <c:strCache>
                <c:ptCount val="1"/>
                <c:pt idx="0">
                  <c:v>Dp</c:v>
                </c:pt>
              </c:strCache>
            </c:strRef>
          </c:tx>
          <c:spPr>
            <a:ln w="28575">
              <a:noFill/>
            </a:ln>
          </c:spPr>
          <c:trendline>
            <c:spPr>
              <a:ln>
                <a:solidFill>
                  <a:srgbClr val="FF0000"/>
                </a:solidFill>
              </a:ln>
            </c:spPr>
            <c:trendlineType val="exp"/>
            <c:dispRSqr val="1"/>
            <c:dispEq val="1"/>
            <c:trendlineLbl>
              <c:layout>
                <c:manualLayout>
                  <c:x val="-0.2506542700409542"/>
                  <c:y val="3.1319451172165886E-3"/>
                </c:manualLayout>
              </c:layout>
              <c:numFmt formatCode="General" sourceLinked="0"/>
            </c:trendlineLbl>
          </c:trendline>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Hinrichs2002!$M$6:$M$89</c:f>
              <c:numCache>
                <c:formatCode>General</c:formatCode>
                <c:ptCount val="84"/>
                <c:pt idx="0">
                  <c:v>18</c:v>
                </c:pt>
                <c:pt idx="1">
                  <c:v>1.94</c:v>
                </c:pt>
                <c:pt idx="2">
                  <c:v>15</c:v>
                </c:pt>
                <c:pt idx="4">
                  <c:v>12.3</c:v>
                </c:pt>
                <c:pt idx="5">
                  <c:v>7.8</c:v>
                </c:pt>
                <c:pt idx="7">
                  <c:v>4.9000000000000004</c:v>
                </c:pt>
                <c:pt idx="8">
                  <c:v>4.8</c:v>
                </c:pt>
                <c:pt idx="10">
                  <c:v>9.1</c:v>
                </c:pt>
                <c:pt idx="11">
                  <c:v>5.2</c:v>
                </c:pt>
                <c:pt idx="12">
                  <c:v>3.1</c:v>
                </c:pt>
                <c:pt idx="13">
                  <c:v>2.1</c:v>
                </c:pt>
                <c:pt idx="16">
                  <c:v>0.5</c:v>
                </c:pt>
                <c:pt idx="17">
                  <c:v>4</c:v>
                </c:pt>
                <c:pt idx="19">
                  <c:v>0.7</c:v>
                </c:pt>
                <c:pt idx="20">
                  <c:v>3.6</c:v>
                </c:pt>
                <c:pt idx="21">
                  <c:v>1.95</c:v>
                </c:pt>
                <c:pt idx="22">
                  <c:v>1.4</c:v>
                </c:pt>
                <c:pt idx="24">
                  <c:v>0.154</c:v>
                </c:pt>
                <c:pt idx="25">
                  <c:v>0.77300000000000002</c:v>
                </c:pt>
                <c:pt idx="27">
                  <c:v>1.18</c:v>
                </c:pt>
                <c:pt idx="28">
                  <c:v>1.05</c:v>
                </c:pt>
                <c:pt idx="29">
                  <c:v>2.8000000000000001E-2</c:v>
                </c:pt>
                <c:pt idx="30">
                  <c:v>1.08</c:v>
                </c:pt>
                <c:pt idx="31">
                  <c:v>0.9</c:v>
                </c:pt>
                <c:pt idx="41">
                  <c:v>0.25</c:v>
                </c:pt>
                <c:pt idx="47">
                  <c:v>7.0000000000000007E-2</c:v>
                </c:pt>
                <c:pt idx="54">
                  <c:v>1.05</c:v>
                </c:pt>
                <c:pt idx="55">
                  <c:v>0.9</c:v>
                </c:pt>
                <c:pt idx="60">
                  <c:v>5.3</c:v>
                </c:pt>
                <c:pt idx="61">
                  <c:v>4.7</c:v>
                </c:pt>
                <c:pt idx="63">
                  <c:v>0.63500000000000001</c:v>
                </c:pt>
                <c:pt idx="64">
                  <c:v>0.96899999999999997</c:v>
                </c:pt>
                <c:pt idx="69">
                  <c:v>5.0000000000000001E-3</c:v>
                </c:pt>
                <c:pt idx="73">
                  <c:v>0.8</c:v>
                </c:pt>
                <c:pt idx="74">
                  <c:v>0.6</c:v>
                </c:pt>
                <c:pt idx="75">
                  <c:v>1.4</c:v>
                </c:pt>
                <c:pt idx="76">
                  <c:v>0.03</c:v>
                </c:pt>
                <c:pt idx="78">
                  <c:v>0.7</c:v>
                </c:pt>
                <c:pt idx="79">
                  <c:v>1.44</c:v>
                </c:pt>
                <c:pt idx="80">
                  <c:v>0.40500000000000003</c:v>
                </c:pt>
                <c:pt idx="81">
                  <c:v>0.6</c:v>
                </c:pt>
                <c:pt idx="82">
                  <c:v>0.94</c:v>
                </c:pt>
                <c:pt idx="83">
                  <c:v>1.46</c:v>
                </c:pt>
              </c:numCache>
            </c:numRef>
          </c:yVal>
          <c:smooth val="0"/>
          <c:extLst>
            <c:ext xmlns:c16="http://schemas.microsoft.com/office/drawing/2014/chart" uri="{C3380CC4-5D6E-409C-BE32-E72D297353CC}">
              <c16:uniqueId val="{00000001-2EEE-4D04-8146-8E66465DE79D}"/>
            </c:ext>
          </c:extLst>
        </c:ser>
        <c:ser>
          <c:idx val="0"/>
          <c:order val="0"/>
          <c:tx>
            <c:strRef>
              <c:f>Hinrichs2002!$N$3:$N$5</c:f>
              <c:strCache>
                <c:ptCount val="3"/>
                <c:pt idx="0">
                  <c:v>Dp</c:v>
                </c:pt>
                <c:pt idx="2">
                  <c:v>C=0</c:v>
                </c:pt>
              </c:strCache>
            </c:strRef>
          </c:tx>
          <c:spPr>
            <a:ln w="28575">
              <a:noFill/>
            </a:ln>
          </c:spPr>
          <c:trendline>
            <c:spPr>
              <a:ln>
                <a:solidFill>
                  <a:schemeClr val="tx2">
                    <a:lumMod val="60000"/>
                    <a:lumOff val="40000"/>
                  </a:schemeClr>
                </a:solidFill>
              </a:ln>
            </c:spPr>
            <c:trendlineType val="exp"/>
            <c:dispRSqr val="0"/>
            <c:dispEq val="0"/>
          </c:trendline>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Hinrichs2002!$N$6:$N$89</c:f>
              <c:numCache>
                <c:formatCode>General</c:formatCode>
                <c:ptCount val="84"/>
                <c:pt idx="3">
                  <c:v>13.4</c:v>
                </c:pt>
                <c:pt idx="6">
                  <c:v>5.7</c:v>
                </c:pt>
                <c:pt idx="9">
                  <c:v>1.95</c:v>
                </c:pt>
                <c:pt idx="14">
                  <c:v>1.7</c:v>
                </c:pt>
                <c:pt idx="15">
                  <c:v>5.0999999999999996</c:v>
                </c:pt>
                <c:pt idx="18">
                  <c:v>2.6</c:v>
                </c:pt>
                <c:pt idx="23">
                  <c:v>4.5</c:v>
                </c:pt>
                <c:pt idx="26">
                  <c:v>2.5</c:v>
                </c:pt>
                <c:pt idx="32">
                  <c:v>0.99</c:v>
                </c:pt>
                <c:pt idx="33">
                  <c:v>1.1000000000000001</c:v>
                </c:pt>
                <c:pt idx="34">
                  <c:v>3</c:v>
                </c:pt>
                <c:pt idx="35">
                  <c:v>1.2</c:v>
                </c:pt>
                <c:pt idx="36">
                  <c:v>2</c:v>
                </c:pt>
                <c:pt idx="37">
                  <c:v>1.5</c:v>
                </c:pt>
                <c:pt idx="38">
                  <c:v>0.38</c:v>
                </c:pt>
                <c:pt idx="39">
                  <c:v>1.08</c:v>
                </c:pt>
                <c:pt idx="40">
                  <c:v>0.4</c:v>
                </c:pt>
                <c:pt idx="42">
                  <c:v>0.71</c:v>
                </c:pt>
                <c:pt idx="43">
                  <c:v>0.41</c:v>
                </c:pt>
                <c:pt idx="44">
                  <c:v>0.61</c:v>
                </c:pt>
                <c:pt idx="45">
                  <c:v>0.2</c:v>
                </c:pt>
                <c:pt idx="46">
                  <c:v>0.17</c:v>
                </c:pt>
                <c:pt idx="48">
                  <c:v>0.54</c:v>
                </c:pt>
                <c:pt idx="49">
                  <c:v>0.88</c:v>
                </c:pt>
                <c:pt idx="50">
                  <c:v>0.12</c:v>
                </c:pt>
                <c:pt idx="51">
                  <c:v>1</c:v>
                </c:pt>
                <c:pt idx="52">
                  <c:v>1.26</c:v>
                </c:pt>
                <c:pt idx="53">
                  <c:v>2.1</c:v>
                </c:pt>
                <c:pt idx="56">
                  <c:v>0.3</c:v>
                </c:pt>
                <c:pt idx="57">
                  <c:v>0.41</c:v>
                </c:pt>
                <c:pt idx="58">
                  <c:v>0.28000000000000003</c:v>
                </c:pt>
                <c:pt idx="59">
                  <c:v>0.74</c:v>
                </c:pt>
                <c:pt idx="62">
                  <c:v>0.4</c:v>
                </c:pt>
                <c:pt idx="65">
                  <c:v>1.8</c:v>
                </c:pt>
                <c:pt idx="66">
                  <c:v>1.05</c:v>
                </c:pt>
                <c:pt idx="67">
                  <c:v>1.4</c:v>
                </c:pt>
                <c:pt idx="68">
                  <c:v>3.2</c:v>
                </c:pt>
                <c:pt idx="70">
                  <c:v>0.35</c:v>
                </c:pt>
                <c:pt idx="71">
                  <c:v>0.11</c:v>
                </c:pt>
                <c:pt idx="72">
                  <c:v>0.9</c:v>
                </c:pt>
                <c:pt idx="77">
                  <c:v>1.22</c:v>
                </c:pt>
              </c:numCache>
            </c:numRef>
          </c:yVal>
          <c:smooth val="0"/>
          <c:extLst>
            <c:ext xmlns:c16="http://schemas.microsoft.com/office/drawing/2014/chart" uri="{C3380CC4-5D6E-409C-BE32-E72D297353CC}">
              <c16:uniqueId val="{00000003-2EEE-4D04-8146-8E66465DE79D}"/>
            </c:ext>
          </c:extLst>
        </c:ser>
        <c:ser>
          <c:idx val="2"/>
          <c:order val="2"/>
          <c:tx>
            <c:strRef>
              <c:f>Hinrichs2002!$K$3</c:f>
              <c:strCache>
                <c:ptCount val="1"/>
                <c:pt idx="0">
                  <c:v>Dldpe,mod</c:v>
                </c:pt>
              </c:strCache>
            </c:strRef>
          </c:tx>
          <c:spPr>
            <a:ln w="28575">
              <a:solidFill>
                <a:schemeClr val="tx1"/>
              </a:solidFill>
            </a:ln>
          </c:spPr>
          <c:marker>
            <c:symbol val="none"/>
          </c:marker>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Hinrichs2002!$K$6:$K$89</c:f>
              <c:numCache>
                <c:formatCode>0.0</c:formatCode>
                <c:ptCount val="84"/>
                <c:pt idx="0">
                  <c:v>20.158419047744495</c:v>
                </c:pt>
                <c:pt idx="1">
                  <c:v>20.158419047744495</c:v>
                </c:pt>
                <c:pt idx="2">
                  <c:v>20.158419047744495</c:v>
                </c:pt>
                <c:pt idx="3">
                  <c:v>14.140589892639548</c:v>
                </c:pt>
                <c:pt idx="4">
                  <c:v>14.140589892639548</c:v>
                </c:pt>
                <c:pt idx="5">
                  <c:v>13.416434142236719</c:v>
                </c:pt>
                <c:pt idx="6">
                  <c:v>13.416434142236719</c:v>
                </c:pt>
                <c:pt idx="7">
                  <c:v>13.416434142236719</c:v>
                </c:pt>
                <c:pt idx="8">
                  <c:v>12.778075843462073</c:v>
                </c:pt>
                <c:pt idx="9">
                  <c:v>12.778075843462073</c:v>
                </c:pt>
                <c:pt idx="10">
                  <c:v>10.49587049297331</c:v>
                </c:pt>
                <c:pt idx="11">
                  <c:v>10.021997744496968</c:v>
                </c:pt>
                <c:pt idx="12">
                  <c:v>9.577374090701678</c:v>
                </c:pt>
                <c:pt idx="13">
                  <c:v>9.577374090701678</c:v>
                </c:pt>
                <c:pt idx="14">
                  <c:v>9.577374090701678</c:v>
                </c:pt>
                <c:pt idx="15">
                  <c:v>9.577374090701678</c:v>
                </c:pt>
                <c:pt idx="16">
                  <c:v>7.557264483080103</c:v>
                </c:pt>
                <c:pt idx="17">
                  <c:v>7.4031922284152678</c:v>
                </c:pt>
                <c:pt idx="18">
                  <c:v>7.4031922284152678</c:v>
                </c:pt>
                <c:pt idx="19">
                  <c:v>7.107364253749564</c:v>
                </c:pt>
                <c:pt idx="20">
                  <c:v>7.107364253749564</c:v>
                </c:pt>
                <c:pt idx="21">
                  <c:v>7.107364253749564</c:v>
                </c:pt>
                <c:pt idx="22">
                  <c:v>7.107364253749564</c:v>
                </c:pt>
                <c:pt idx="23">
                  <c:v>7.107364253749564</c:v>
                </c:pt>
                <c:pt idx="24">
                  <c:v>5.416306193314357</c:v>
                </c:pt>
                <c:pt idx="25">
                  <c:v>5.416306193314357</c:v>
                </c:pt>
                <c:pt idx="26">
                  <c:v>5.416306193314357</c:v>
                </c:pt>
                <c:pt idx="27">
                  <c:v>5.416306193314357</c:v>
                </c:pt>
                <c:pt idx="28">
                  <c:v>5.416306193314357</c:v>
                </c:pt>
                <c:pt idx="29">
                  <c:v>5.416306193314357</c:v>
                </c:pt>
                <c:pt idx="30">
                  <c:v>5.2191378320223087</c:v>
                </c:pt>
                <c:pt idx="31">
                  <c:v>5.2191378320223087</c:v>
                </c:pt>
                <c:pt idx="32">
                  <c:v>4.8516206890236431</c:v>
                </c:pt>
                <c:pt idx="33">
                  <c:v>4.8516206890236431</c:v>
                </c:pt>
                <c:pt idx="34">
                  <c:v>4.8516206890236431</c:v>
                </c:pt>
                <c:pt idx="35">
                  <c:v>4.8516206890236431</c:v>
                </c:pt>
                <c:pt idx="36">
                  <c:v>4.8516206890236431</c:v>
                </c:pt>
                <c:pt idx="37">
                  <c:v>4.8516206890236431</c:v>
                </c:pt>
                <c:pt idx="38">
                  <c:v>4.8516206890236431</c:v>
                </c:pt>
                <c:pt idx="39">
                  <c:v>4.8516206890236431</c:v>
                </c:pt>
                <c:pt idx="40">
                  <c:v>4.8516206890236431</c:v>
                </c:pt>
                <c:pt idx="41">
                  <c:v>4.8516206890236431</c:v>
                </c:pt>
                <c:pt idx="42">
                  <c:v>4.3522750537187616</c:v>
                </c:pt>
                <c:pt idx="43">
                  <c:v>4.3522750537187616</c:v>
                </c:pt>
                <c:pt idx="44">
                  <c:v>4.3522750537187616</c:v>
                </c:pt>
                <c:pt idx="45">
                  <c:v>4.3522750537187616</c:v>
                </c:pt>
                <c:pt idx="46">
                  <c:v>4.3522750537187616</c:v>
                </c:pt>
                <c:pt idx="47">
                  <c:v>4.2101604158636832</c:v>
                </c:pt>
                <c:pt idx="48">
                  <c:v>4.2028440900634223</c:v>
                </c:pt>
                <c:pt idx="49">
                  <c:v>4.2028440900634223</c:v>
                </c:pt>
                <c:pt idx="50">
                  <c:v>4.2028440900634223</c:v>
                </c:pt>
                <c:pt idx="51">
                  <c:v>4.2028440900634223</c:v>
                </c:pt>
                <c:pt idx="52">
                  <c:v>4.2028440900634223</c:v>
                </c:pt>
                <c:pt idx="53">
                  <c:v>4.2028440900634223</c:v>
                </c:pt>
                <c:pt idx="54">
                  <c:v>4.2028440900634223</c:v>
                </c:pt>
                <c:pt idx="55">
                  <c:v>4.2028440900634223</c:v>
                </c:pt>
                <c:pt idx="56">
                  <c:v>4.2028440900634223</c:v>
                </c:pt>
                <c:pt idx="57">
                  <c:v>4.2028440900634223</c:v>
                </c:pt>
                <c:pt idx="58">
                  <c:v>4.2028440900634223</c:v>
                </c:pt>
                <c:pt idx="59">
                  <c:v>4.0738475383925756</c:v>
                </c:pt>
                <c:pt idx="60">
                  <c:v>4.0668281817911511</c:v>
                </c:pt>
                <c:pt idx="61">
                  <c:v>4.0668281817911511</c:v>
                </c:pt>
                <c:pt idx="62">
                  <c:v>4.0668281817911511</c:v>
                </c:pt>
                <c:pt idx="63">
                  <c:v>4.0598240289443464</c:v>
                </c:pt>
                <c:pt idx="64">
                  <c:v>4.0598240289443464</c:v>
                </c:pt>
                <c:pt idx="65">
                  <c:v>3.7980916335090829</c:v>
                </c:pt>
                <c:pt idx="66">
                  <c:v>3.7980916335090829</c:v>
                </c:pt>
                <c:pt idx="67">
                  <c:v>3.7980916335090829</c:v>
                </c:pt>
                <c:pt idx="68">
                  <c:v>3.7980916335090829</c:v>
                </c:pt>
                <c:pt idx="69">
                  <c:v>3.6720638266306125</c:v>
                </c:pt>
                <c:pt idx="70">
                  <c:v>3.3185658595123351</c:v>
                </c:pt>
                <c:pt idx="71">
                  <c:v>3.3185658595123351</c:v>
                </c:pt>
                <c:pt idx="72">
                  <c:v>3.3185658595123351</c:v>
                </c:pt>
                <c:pt idx="73">
                  <c:v>3.3185658595123351</c:v>
                </c:pt>
                <c:pt idx="74">
                  <c:v>3.3185658595123351</c:v>
                </c:pt>
                <c:pt idx="75">
                  <c:v>3.3185658595123351</c:v>
                </c:pt>
                <c:pt idx="76">
                  <c:v>3.3185658595123351</c:v>
                </c:pt>
                <c:pt idx="77">
                  <c:v>3.2171781061377978</c:v>
                </c:pt>
                <c:pt idx="78">
                  <c:v>3.2119489215377688</c:v>
                </c:pt>
                <c:pt idx="79">
                  <c:v>3.2119489215377688</c:v>
                </c:pt>
                <c:pt idx="80">
                  <c:v>3.2119489215377688</c:v>
                </c:pt>
                <c:pt idx="81">
                  <c:v>3.2119489215377688</c:v>
                </c:pt>
                <c:pt idx="82">
                  <c:v>3.0111313665656607</c:v>
                </c:pt>
                <c:pt idx="83">
                  <c:v>3.0111313665656607</c:v>
                </c:pt>
              </c:numCache>
            </c:numRef>
          </c:yVal>
          <c:smooth val="0"/>
          <c:extLst>
            <c:ext xmlns:c16="http://schemas.microsoft.com/office/drawing/2014/chart" uri="{C3380CC4-5D6E-409C-BE32-E72D297353CC}">
              <c16:uniqueId val="{00000004-2EEE-4D04-8146-8E66465DE79D}"/>
            </c:ext>
          </c:extLst>
        </c:ser>
        <c:dLbls>
          <c:showLegendKey val="0"/>
          <c:showVal val="0"/>
          <c:showCatName val="0"/>
          <c:showSerName val="0"/>
          <c:showPercent val="0"/>
          <c:showBubbleSize val="0"/>
        </c:dLbls>
        <c:axId val="180375552"/>
        <c:axId val="180377472"/>
      </c:scatterChart>
      <c:valAx>
        <c:axId val="180375552"/>
        <c:scaling>
          <c:orientation val="minMax"/>
        </c:scaling>
        <c:delete val="0"/>
        <c:axPos val="b"/>
        <c:title>
          <c:tx>
            <c:rich>
              <a:bodyPr/>
              <a:lstStyle/>
              <a:p>
                <a:pPr>
                  <a:defRPr/>
                </a:pPr>
                <a:r>
                  <a:rPr lang="en-US"/>
                  <a:t>Molar mass (M)</a:t>
                </a:r>
              </a:p>
            </c:rich>
          </c:tx>
          <c:overlay val="0"/>
        </c:title>
        <c:numFmt formatCode="General" sourceLinked="1"/>
        <c:majorTickMark val="out"/>
        <c:minorTickMark val="none"/>
        <c:tickLblPos val="nextTo"/>
        <c:crossAx val="180377472"/>
        <c:crossesAt val="1.0000000000000004E-6"/>
        <c:crossBetween val="midCat"/>
      </c:valAx>
      <c:valAx>
        <c:axId val="180377472"/>
        <c:scaling>
          <c:logBase val="10"/>
          <c:orientation val="minMax"/>
        </c:scaling>
        <c:delete val="0"/>
        <c:axPos val="l"/>
        <c:majorGridlines/>
        <c:title>
          <c:tx>
            <c:rich>
              <a:bodyPr rot="-5400000" vert="horz"/>
              <a:lstStyle/>
              <a:p>
                <a:pPr>
                  <a:defRPr/>
                </a:pPr>
                <a:r>
                  <a:rPr lang="en-US"/>
                  <a:t>Dp (10-8 cm2/s)</a:t>
                </a:r>
              </a:p>
            </c:rich>
          </c:tx>
          <c:overlay val="0"/>
        </c:title>
        <c:numFmt formatCode="General" sourceLinked="1"/>
        <c:majorTickMark val="out"/>
        <c:minorTickMark val="none"/>
        <c:tickLblPos val="nextTo"/>
        <c:crossAx val="180375552"/>
        <c:crosses val="autoZero"/>
        <c:crossBetween val="midCat"/>
      </c:valAx>
      <c:spPr>
        <a:ln>
          <a:solidFill>
            <a:schemeClr val="tx1">
              <a:lumMod val="50000"/>
              <a:lumOff val="50000"/>
            </a:schemeClr>
          </a:solidFill>
        </a:ln>
      </c:spPr>
    </c:plotArea>
    <c:legend>
      <c:legendPos val="r"/>
      <c:layout>
        <c:manualLayout>
          <c:xMode val="edge"/>
          <c:yMode val="edge"/>
          <c:x val="0.74884667541557293"/>
          <c:y val="0.19811424613589967"/>
          <c:w val="0.23448665791776027"/>
          <c:h val="0.5111785505978419"/>
        </c:manualLayout>
      </c:layout>
      <c:overlay val="0"/>
    </c:legend>
    <c:plotVisOnly val="1"/>
    <c:dispBlanksAs val="gap"/>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15529308836395"/>
          <c:y val="5.1400554097404488E-2"/>
          <c:w val="0.56701093613298337"/>
          <c:h val="0.80484179060950711"/>
        </c:manualLayout>
      </c:layout>
      <c:scatterChart>
        <c:scatterStyle val="lineMarker"/>
        <c:varyColors val="0"/>
        <c:ser>
          <c:idx val="1"/>
          <c:order val="1"/>
          <c:tx>
            <c:strRef>
              <c:f>Hinrichs2002!$M$92</c:f>
              <c:strCache>
                <c:ptCount val="1"/>
                <c:pt idx="0">
                  <c:v>Dp</c:v>
                </c:pt>
              </c:strCache>
            </c:strRef>
          </c:tx>
          <c:spPr>
            <a:ln w="28575">
              <a:noFill/>
            </a:ln>
          </c:spPr>
          <c:trendline>
            <c:spPr>
              <a:ln>
                <a:solidFill>
                  <a:srgbClr val="FF0000"/>
                </a:solidFill>
              </a:ln>
            </c:spPr>
            <c:trendlineType val="exp"/>
            <c:dispRSqr val="1"/>
            <c:dispEq val="1"/>
            <c:trendlineLbl>
              <c:layout>
                <c:manualLayout>
                  <c:x val="0.17138563073806645"/>
                  <c:y val="9.2276704314594199E-2"/>
                </c:manualLayout>
              </c:layout>
              <c:numFmt formatCode="General" sourceLinked="0"/>
            </c:trendlineLbl>
          </c:trendline>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Hinrichs2002!$M$95:$M$131</c:f>
              <c:numCache>
                <c:formatCode>General</c:formatCode>
                <c:ptCount val="37"/>
                <c:pt idx="0">
                  <c:v>5.0999999999999996</c:v>
                </c:pt>
                <c:pt idx="1">
                  <c:v>0.95</c:v>
                </c:pt>
                <c:pt idx="2">
                  <c:v>1.27</c:v>
                </c:pt>
                <c:pt idx="3">
                  <c:v>2.78</c:v>
                </c:pt>
                <c:pt idx="4">
                  <c:v>0.93</c:v>
                </c:pt>
                <c:pt idx="6">
                  <c:v>1.95</c:v>
                </c:pt>
                <c:pt idx="7">
                  <c:v>2.1800000000000002</c:v>
                </c:pt>
                <c:pt idx="8">
                  <c:v>1.1499999999999999</c:v>
                </c:pt>
                <c:pt idx="9">
                  <c:v>0.92</c:v>
                </c:pt>
                <c:pt idx="10">
                  <c:v>0.47</c:v>
                </c:pt>
                <c:pt idx="11">
                  <c:v>0.52</c:v>
                </c:pt>
                <c:pt idx="12">
                  <c:v>3.6</c:v>
                </c:pt>
                <c:pt idx="13">
                  <c:v>0.7</c:v>
                </c:pt>
                <c:pt idx="14">
                  <c:v>1</c:v>
                </c:pt>
                <c:pt idx="15">
                  <c:v>8.5000000000000006E-2</c:v>
                </c:pt>
                <c:pt idx="16">
                  <c:v>0.28000000000000003</c:v>
                </c:pt>
                <c:pt idx="17">
                  <c:v>0.26300000000000001</c:v>
                </c:pt>
                <c:pt idx="18">
                  <c:v>0.64</c:v>
                </c:pt>
                <c:pt idx="19">
                  <c:v>0.44</c:v>
                </c:pt>
                <c:pt idx="20">
                  <c:v>0.35899999999999999</c:v>
                </c:pt>
                <c:pt idx="21">
                  <c:v>0.48</c:v>
                </c:pt>
                <c:pt idx="22">
                  <c:v>0.25</c:v>
                </c:pt>
                <c:pt idx="23">
                  <c:v>0.4</c:v>
                </c:pt>
                <c:pt idx="24">
                  <c:v>0.32</c:v>
                </c:pt>
                <c:pt idx="25">
                  <c:v>0.28000000000000003</c:v>
                </c:pt>
                <c:pt idx="26">
                  <c:v>0.3</c:v>
                </c:pt>
                <c:pt idx="27">
                  <c:v>0.6</c:v>
                </c:pt>
                <c:pt idx="28">
                  <c:v>0.38</c:v>
                </c:pt>
                <c:pt idx="29">
                  <c:v>0.28999999999999998</c:v>
                </c:pt>
                <c:pt idx="30">
                  <c:v>0.2</c:v>
                </c:pt>
                <c:pt idx="31">
                  <c:v>0.29299999999999998</c:v>
                </c:pt>
                <c:pt idx="32">
                  <c:v>0.253</c:v>
                </c:pt>
                <c:pt idx="35">
                  <c:v>0.7</c:v>
                </c:pt>
                <c:pt idx="36">
                  <c:v>0.28499999999999998</c:v>
                </c:pt>
              </c:numCache>
            </c:numRef>
          </c:yVal>
          <c:smooth val="0"/>
          <c:extLst>
            <c:ext xmlns:c16="http://schemas.microsoft.com/office/drawing/2014/chart" uri="{C3380CC4-5D6E-409C-BE32-E72D297353CC}">
              <c16:uniqueId val="{00000001-B7FF-432B-BF62-3CCB07A973CC}"/>
            </c:ext>
          </c:extLst>
        </c:ser>
        <c:ser>
          <c:idx val="0"/>
          <c:order val="0"/>
          <c:tx>
            <c:strRef>
              <c:f>Hinrichs2002!$N$92:$N$94</c:f>
              <c:strCache>
                <c:ptCount val="3"/>
                <c:pt idx="0">
                  <c:v>Dp</c:v>
                </c:pt>
                <c:pt idx="2">
                  <c:v>C=0</c:v>
                </c:pt>
              </c:strCache>
            </c:strRef>
          </c:tx>
          <c:spPr>
            <a:ln w="28575">
              <a:noFill/>
            </a:ln>
          </c:spPr>
          <c:trendline>
            <c:spPr>
              <a:ln>
                <a:solidFill>
                  <a:schemeClr val="tx2">
                    <a:lumMod val="60000"/>
                    <a:lumOff val="40000"/>
                  </a:schemeClr>
                </a:solidFill>
              </a:ln>
            </c:spPr>
            <c:trendlineType val="exp"/>
            <c:dispRSqr val="0"/>
            <c:dispEq val="0"/>
          </c:trendline>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Hinrichs2002!$N$95:$N$131</c:f>
              <c:numCache>
                <c:formatCode>General</c:formatCode>
                <c:ptCount val="37"/>
                <c:pt idx="5">
                  <c:v>1.7</c:v>
                </c:pt>
                <c:pt idx="33">
                  <c:v>0.32</c:v>
                </c:pt>
                <c:pt idx="34">
                  <c:v>0.34</c:v>
                </c:pt>
              </c:numCache>
            </c:numRef>
          </c:yVal>
          <c:smooth val="0"/>
          <c:extLst>
            <c:ext xmlns:c16="http://schemas.microsoft.com/office/drawing/2014/chart" uri="{C3380CC4-5D6E-409C-BE32-E72D297353CC}">
              <c16:uniqueId val="{00000003-B7FF-432B-BF62-3CCB07A973CC}"/>
            </c:ext>
          </c:extLst>
        </c:ser>
        <c:ser>
          <c:idx val="2"/>
          <c:order val="2"/>
          <c:tx>
            <c:strRef>
              <c:f>Hinrichs2002!$K$92</c:f>
              <c:strCache>
                <c:ptCount val="1"/>
                <c:pt idx="0">
                  <c:v>Dldpe,mod</c:v>
                </c:pt>
              </c:strCache>
            </c:strRef>
          </c:tx>
          <c:spPr>
            <a:ln w="28575">
              <a:solidFill>
                <a:schemeClr val="tx1"/>
              </a:solidFill>
            </a:ln>
          </c:spPr>
          <c:marker>
            <c:symbol val="none"/>
          </c:marker>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Hinrichs2002!$K$95:$K$131</c:f>
              <c:numCache>
                <c:formatCode>0.0</c:formatCode>
                <c:ptCount val="37"/>
                <c:pt idx="0">
                  <c:v>1.9658446885026375</c:v>
                </c:pt>
                <c:pt idx="1">
                  <c:v>1.9658446885026375</c:v>
                </c:pt>
                <c:pt idx="2">
                  <c:v>1.3083677710387023</c:v>
                </c:pt>
                <c:pt idx="3">
                  <c:v>1.3083677710387023</c:v>
                </c:pt>
                <c:pt idx="4">
                  <c:v>1.3083677710387023</c:v>
                </c:pt>
                <c:pt idx="5">
                  <c:v>1.3083677710387023</c:v>
                </c:pt>
                <c:pt idx="6">
                  <c:v>1.3083677710387023</c:v>
                </c:pt>
                <c:pt idx="7">
                  <c:v>1.0235550323144895</c:v>
                </c:pt>
                <c:pt idx="8">
                  <c:v>0.97734306383561242</c:v>
                </c:pt>
                <c:pt idx="9">
                  <c:v>0.97734306383561242</c:v>
                </c:pt>
                <c:pt idx="10">
                  <c:v>0.9339834607771621</c:v>
                </c:pt>
                <c:pt idx="11">
                  <c:v>0.69310863289402658</c:v>
                </c:pt>
                <c:pt idx="12">
                  <c:v>0.69310863289402658</c:v>
                </c:pt>
                <c:pt idx="13">
                  <c:v>0.69310863289402658</c:v>
                </c:pt>
                <c:pt idx="14">
                  <c:v>0.69310863289402658</c:v>
                </c:pt>
                <c:pt idx="15">
                  <c:v>0.52819701466729452</c:v>
                </c:pt>
                <c:pt idx="16">
                  <c:v>0.52819701466729452</c:v>
                </c:pt>
                <c:pt idx="17">
                  <c:v>0.52819701466729452</c:v>
                </c:pt>
                <c:pt idx="18">
                  <c:v>0.52819701466729452</c:v>
                </c:pt>
                <c:pt idx="19">
                  <c:v>0.52819701466729452</c:v>
                </c:pt>
                <c:pt idx="20">
                  <c:v>0.52819701466729452</c:v>
                </c:pt>
                <c:pt idx="21">
                  <c:v>0.5089691984943735</c:v>
                </c:pt>
                <c:pt idx="22">
                  <c:v>0.5089691984943735</c:v>
                </c:pt>
                <c:pt idx="23">
                  <c:v>0.47312900577953693</c:v>
                </c:pt>
                <c:pt idx="24">
                  <c:v>0.47312900577953693</c:v>
                </c:pt>
                <c:pt idx="25">
                  <c:v>0.41057393794955005</c:v>
                </c:pt>
                <c:pt idx="26">
                  <c:v>0.40986045143159933</c:v>
                </c:pt>
                <c:pt idx="27">
                  <c:v>0.40986045143159933</c:v>
                </c:pt>
                <c:pt idx="28">
                  <c:v>0.40986045143159933</c:v>
                </c:pt>
                <c:pt idx="29">
                  <c:v>0.39659620932036821</c:v>
                </c:pt>
                <c:pt idx="30">
                  <c:v>0.39659620932036821</c:v>
                </c:pt>
                <c:pt idx="31">
                  <c:v>0.39591316584167369</c:v>
                </c:pt>
                <c:pt idx="32">
                  <c:v>0.39591316584167369</c:v>
                </c:pt>
                <c:pt idx="33">
                  <c:v>0.37038907894989664</c:v>
                </c:pt>
                <c:pt idx="34">
                  <c:v>0.37038907894989664</c:v>
                </c:pt>
                <c:pt idx="35">
                  <c:v>0.32362582863850392</c:v>
                </c:pt>
                <c:pt idx="36">
                  <c:v>0.32362582863850392</c:v>
                </c:pt>
              </c:numCache>
            </c:numRef>
          </c:yVal>
          <c:smooth val="0"/>
          <c:extLst>
            <c:ext xmlns:c16="http://schemas.microsoft.com/office/drawing/2014/chart" uri="{C3380CC4-5D6E-409C-BE32-E72D297353CC}">
              <c16:uniqueId val="{00000004-B7FF-432B-BF62-3CCB07A973CC}"/>
            </c:ext>
          </c:extLst>
        </c:ser>
        <c:dLbls>
          <c:showLegendKey val="0"/>
          <c:showVal val="0"/>
          <c:showCatName val="0"/>
          <c:showSerName val="0"/>
          <c:showPercent val="0"/>
          <c:showBubbleSize val="0"/>
        </c:dLbls>
        <c:axId val="180978816"/>
        <c:axId val="180980736"/>
      </c:scatterChart>
      <c:valAx>
        <c:axId val="180978816"/>
        <c:scaling>
          <c:orientation val="minMax"/>
        </c:scaling>
        <c:delete val="0"/>
        <c:axPos val="b"/>
        <c:title>
          <c:tx>
            <c:rich>
              <a:bodyPr/>
              <a:lstStyle/>
              <a:p>
                <a:pPr>
                  <a:defRPr/>
                </a:pPr>
                <a:r>
                  <a:rPr lang="en-US"/>
                  <a:t>Molar mass (M)</a:t>
                </a:r>
              </a:p>
            </c:rich>
          </c:tx>
          <c:overlay val="0"/>
        </c:title>
        <c:numFmt formatCode="General" sourceLinked="1"/>
        <c:majorTickMark val="out"/>
        <c:minorTickMark val="none"/>
        <c:tickLblPos val="nextTo"/>
        <c:crossAx val="180980736"/>
        <c:crossesAt val="1.0000000000000004E-6"/>
        <c:crossBetween val="midCat"/>
      </c:valAx>
      <c:valAx>
        <c:axId val="180980736"/>
        <c:scaling>
          <c:logBase val="10"/>
          <c:orientation val="minMax"/>
        </c:scaling>
        <c:delete val="0"/>
        <c:axPos val="l"/>
        <c:majorGridlines/>
        <c:title>
          <c:tx>
            <c:rich>
              <a:bodyPr rot="-5400000" vert="horz"/>
              <a:lstStyle/>
              <a:p>
                <a:pPr>
                  <a:defRPr/>
                </a:pPr>
                <a:r>
                  <a:rPr lang="en-US"/>
                  <a:t>Dp (10-8 cm2/s)</a:t>
                </a:r>
              </a:p>
            </c:rich>
          </c:tx>
          <c:overlay val="0"/>
        </c:title>
        <c:numFmt formatCode="General" sourceLinked="1"/>
        <c:majorTickMark val="out"/>
        <c:minorTickMark val="none"/>
        <c:tickLblPos val="nextTo"/>
        <c:crossAx val="180978816"/>
        <c:crosses val="autoZero"/>
        <c:crossBetween val="midCat"/>
      </c:valAx>
      <c:spPr>
        <a:ln>
          <a:solidFill>
            <a:schemeClr val="tx1">
              <a:lumMod val="50000"/>
              <a:lumOff val="50000"/>
            </a:schemeClr>
          </a:solidFill>
        </a:ln>
      </c:spPr>
    </c:plotArea>
    <c:legend>
      <c:legendPos val="r"/>
      <c:layout>
        <c:manualLayout>
          <c:xMode val="edge"/>
          <c:yMode val="edge"/>
          <c:x val="0.74884667541557293"/>
          <c:y val="0.19811424613589967"/>
          <c:w val="0.23448665791776027"/>
          <c:h val="0.5111785505978419"/>
        </c:manualLayout>
      </c:layout>
      <c:overlay val="0"/>
    </c:legend>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19497801174244273"/>
          <c:y val="0.21705862409369964"/>
          <c:w val="0.47062512500945103"/>
          <c:h val="0.55737755274041267"/>
        </c:manualLayout>
      </c:layout>
      <c:scatterChart>
        <c:scatterStyle val="lineMarker"/>
        <c:varyColors val="0"/>
        <c:ser>
          <c:idx val="0"/>
          <c:order val="0"/>
          <c:tx>
            <c:v>K</c:v>
          </c:tx>
          <c:spPr>
            <a:ln w="28575">
              <a:noFill/>
            </a:ln>
          </c:spPr>
          <c:xVal>
            <c:numRef>
              <c:f>'Joo2005'!$F$6:$F$15</c:f>
              <c:numCache>
                <c:formatCode>General</c:formatCode>
                <c:ptCount val="10"/>
                <c:pt idx="0">
                  <c:v>60.58</c:v>
                </c:pt>
                <c:pt idx="1">
                  <c:v>56.66</c:v>
                </c:pt>
                <c:pt idx="2">
                  <c:v>231.92</c:v>
                </c:pt>
                <c:pt idx="3">
                  <c:v>17.260000000000002</c:v>
                </c:pt>
                <c:pt idx="4">
                  <c:v>273.77</c:v>
                </c:pt>
                <c:pt idx="5">
                  <c:v>112.85</c:v>
                </c:pt>
                <c:pt idx="6">
                  <c:v>82.13</c:v>
                </c:pt>
                <c:pt idx="7">
                  <c:v>131.44</c:v>
                </c:pt>
                <c:pt idx="8">
                  <c:v>438.21</c:v>
                </c:pt>
                <c:pt idx="9">
                  <c:v>357.35</c:v>
                </c:pt>
              </c:numCache>
            </c:numRef>
          </c:xVal>
          <c:yVal>
            <c:numRef>
              <c:f>'Joo2005'!$G$6:$G$15</c:f>
              <c:numCache>
                <c:formatCode>General</c:formatCode>
                <c:ptCount val="10"/>
                <c:pt idx="0">
                  <c:v>91.12</c:v>
                </c:pt>
                <c:pt idx="1">
                  <c:v>63.01</c:v>
                </c:pt>
                <c:pt idx="2">
                  <c:v>269.42</c:v>
                </c:pt>
                <c:pt idx="3">
                  <c:v>17.07</c:v>
                </c:pt>
                <c:pt idx="4">
                  <c:v>275.05</c:v>
                </c:pt>
                <c:pt idx="5">
                  <c:v>126.31</c:v>
                </c:pt>
                <c:pt idx="6">
                  <c:v>73.709999999999994</c:v>
                </c:pt>
                <c:pt idx="7">
                  <c:v>148.91999999999999</c:v>
                </c:pt>
                <c:pt idx="8">
                  <c:v>436.57</c:v>
                </c:pt>
                <c:pt idx="9">
                  <c:v>383.39</c:v>
                </c:pt>
              </c:numCache>
            </c:numRef>
          </c:yVal>
          <c:smooth val="0"/>
          <c:extLst>
            <c:ext xmlns:c16="http://schemas.microsoft.com/office/drawing/2014/chart" uri="{C3380CC4-5D6E-409C-BE32-E72D297353CC}">
              <c16:uniqueId val="{00000000-B771-40C2-BC07-BBB23734AA98}"/>
            </c:ext>
          </c:extLst>
        </c:ser>
        <c:ser>
          <c:idx val="3"/>
          <c:order val="1"/>
          <c:tx>
            <c:v>D</c:v>
          </c:tx>
          <c:spPr>
            <a:ln w="28575">
              <a:noFill/>
            </a:ln>
          </c:spPr>
          <c:marker>
            <c:symbol val="diamond"/>
            <c:size val="7"/>
            <c:spPr>
              <a:noFill/>
            </c:spPr>
          </c:marker>
          <c:xVal>
            <c:numRef>
              <c:f>'Joo2005'!$H$6:$H$15</c:f>
              <c:numCache>
                <c:formatCode>General</c:formatCode>
                <c:ptCount val="10"/>
                <c:pt idx="0">
                  <c:v>4.59</c:v>
                </c:pt>
                <c:pt idx="1">
                  <c:v>4.1900000000000004</c:v>
                </c:pt>
                <c:pt idx="2">
                  <c:v>2.15</c:v>
                </c:pt>
                <c:pt idx="3">
                  <c:v>5.09</c:v>
                </c:pt>
                <c:pt idx="4">
                  <c:v>2.31</c:v>
                </c:pt>
                <c:pt idx="5">
                  <c:v>2.2799999999999998</c:v>
                </c:pt>
                <c:pt idx="6">
                  <c:v>1.99</c:v>
                </c:pt>
                <c:pt idx="7">
                  <c:v>2.89</c:v>
                </c:pt>
                <c:pt idx="8">
                  <c:v>1.25</c:v>
                </c:pt>
                <c:pt idx="9">
                  <c:v>1.91</c:v>
                </c:pt>
              </c:numCache>
            </c:numRef>
          </c:xVal>
          <c:yVal>
            <c:numRef>
              <c:f>'Joo2005'!$J$6:$J$15</c:f>
              <c:numCache>
                <c:formatCode>General</c:formatCode>
                <c:ptCount val="10"/>
                <c:pt idx="0">
                  <c:v>7.3</c:v>
                </c:pt>
                <c:pt idx="1">
                  <c:v>3.51</c:v>
                </c:pt>
                <c:pt idx="2">
                  <c:v>2.97</c:v>
                </c:pt>
                <c:pt idx="3">
                  <c:v>7.21</c:v>
                </c:pt>
                <c:pt idx="4">
                  <c:v>2.93</c:v>
                </c:pt>
                <c:pt idx="5">
                  <c:v>3.94</c:v>
                </c:pt>
                <c:pt idx="6">
                  <c:v>4.1100000000000003</c:v>
                </c:pt>
                <c:pt idx="7">
                  <c:v>4.54</c:v>
                </c:pt>
                <c:pt idx="8">
                  <c:v>1.81</c:v>
                </c:pt>
                <c:pt idx="9">
                  <c:v>2.69</c:v>
                </c:pt>
              </c:numCache>
            </c:numRef>
          </c:yVal>
          <c:smooth val="0"/>
          <c:extLst>
            <c:ext xmlns:c16="http://schemas.microsoft.com/office/drawing/2014/chart" uri="{C3380CC4-5D6E-409C-BE32-E72D297353CC}">
              <c16:uniqueId val="{00000001-B771-40C2-BC07-BBB23734AA98}"/>
            </c:ext>
          </c:extLst>
        </c:ser>
        <c:ser>
          <c:idx val="1"/>
          <c:order val="2"/>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2-B771-40C2-BC07-BBB23734AA98}"/>
            </c:ext>
          </c:extLst>
        </c:ser>
        <c:dLbls>
          <c:showLegendKey val="0"/>
          <c:showVal val="0"/>
          <c:showCatName val="0"/>
          <c:showSerName val="0"/>
          <c:showPercent val="0"/>
          <c:showBubbleSize val="0"/>
        </c:dLbls>
        <c:axId val="180339840"/>
        <c:axId val="180341760"/>
      </c:scatterChart>
      <c:valAx>
        <c:axId val="180339840"/>
        <c:scaling>
          <c:logBase val="10"/>
          <c:orientation val="minMax"/>
        </c:scaling>
        <c:delete val="0"/>
        <c:axPos val="b"/>
        <c:title>
          <c:tx>
            <c:rich>
              <a:bodyPr/>
              <a:lstStyle/>
              <a:p>
                <a:pPr>
                  <a:defRPr/>
                </a:pPr>
                <a:r>
                  <a:rPr lang="en-US"/>
                  <a:t>50 mg/l</a:t>
                </a:r>
              </a:p>
            </c:rich>
          </c:tx>
          <c:overlay val="0"/>
        </c:title>
        <c:numFmt formatCode="General" sourceLinked="1"/>
        <c:majorTickMark val="out"/>
        <c:minorTickMark val="none"/>
        <c:tickLblPos val="nextTo"/>
        <c:crossAx val="180341760"/>
        <c:crossesAt val="1.0000000000000003E-4"/>
        <c:crossBetween val="midCat"/>
      </c:valAx>
      <c:valAx>
        <c:axId val="180341760"/>
        <c:scaling>
          <c:logBase val="10"/>
          <c:orientation val="minMax"/>
        </c:scaling>
        <c:delete val="0"/>
        <c:axPos val="l"/>
        <c:title>
          <c:tx>
            <c:rich>
              <a:bodyPr rot="-5400000" vert="horz"/>
              <a:lstStyle/>
              <a:p>
                <a:pPr>
                  <a:defRPr/>
                </a:pPr>
                <a:r>
                  <a:rPr lang="en-US"/>
                  <a:t>100 mg/l</a:t>
                </a:r>
              </a:p>
            </c:rich>
          </c:tx>
          <c:overlay val="0"/>
        </c:title>
        <c:numFmt formatCode="General" sourceLinked="1"/>
        <c:majorTickMark val="out"/>
        <c:minorTickMark val="none"/>
        <c:tickLblPos val="nextTo"/>
        <c:crossAx val="180339840"/>
        <c:crossesAt val="1.0000000000000003E-4"/>
        <c:crossBetween val="midCat"/>
      </c:valAx>
      <c:spPr>
        <a:ln>
          <a:solidFill>
            <a:schemeClr val="tx1">
              <a:lumMod val="50000"/>
              <a:lumOff val="50000"/>
            </a:schemeClr>
          </a:solidFill>
        </a:ln>
      </c:spPr>
    </c:plotArea>
    <c:legend>
      <c:legendPos val="r"/>
      <c:layout>
        <c:manualLayout>
          <c:xMode val="edge"/>
          <c:yMode val="edge"/>
          <c:x val="0.69672559694861647"/>
          <c:y val="0.31692358375630225"/>
          <c:w val="0.179530363481922"/>
          <c:h val="0.26207120849024307"/>
        </c:manualLayout>
      </c:layout>
      <c:overlay val="0"/>
    </c:legend>
    <c:plotVisOnly val="1"/>
    <c:dispBlanksAs val="gap"/>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permeation</a:t>
            </a:r>
            <a:r>
              <a:rPr lang="nl-NL" sz="1000" baseline="0"/>
              <a:t> versus immersion</a:t>
            </a:r>
            <a:endParaRPr lang="nl-NL" sz="1000"/>
          </a:p>
        </c:rich>
      </c:tx>
      <c:layout>
        <c:manualLayout>
          <c:xMode val="edge"/>
          <c:yMode val="edge"/>
          <c:x val="0.11860234018559981"/>
          <c:y val="2.9227552606717964E-2"/>
        </c:manualLayout>
      </c:layout>
      <c:overlay val="0"/>
    </c:title>
    <c:autoTitleDeleted val="0"/>
    <c:plotArea>
      <c:layout>
        <c:manualLayout>
          <c:layoutTarget val="inner"/>
          <c:xMode val="edge"/>
          <c:yMode val="edge"/>
          <c:x val="0.19497801174244273"/>
          <c:y val="0.21705862409369964"/>
          <c:w val="0.47062512500945103"/>
          <c:h val="0.55737755274041267"/>
        </c:manualLayout>
      </c:layout>
      <c:scatterChart>
        <c:scatterStyle val="lineMarker"/>
        <c:varyColors val="0"/>
        <c:ser>
          <c:idx val="0"/>
          <c:order val="0"/>
          <c:tx>
            <c:v>K</c:v>
          </c:tx>
          <c:spPr>
            <a:ln w="28575">
              <a:noFill/>
            </a:ln>
          </c:spPr>
          <c:xVal>
            <c:numRef>
              <c:f>'Joo2005'!$F$6:$F$15</c:f>
              <c:numCache>
                <c:formatCode>General</c:formatCode>
                <c:ptCount val="10"/>
                <c:pt idx="0">
                  <c:v>60.58</c:v>
                </c:pt>
                <c:pt idx="1">
                  <c:v>56.66</c:v>
                </c:pt>
                <c:pt idx="2">
                  <c:v>231.92</c:v>
                </c:pt>
                <c:pt idx="3">
                  <c:v>17.260000000000002</c:v>
                </c:pt>
                <c:pt idx="4">
                  <c:v>273.77</c:v>
                </c:pt>
                <c:pt idx="5">
                  <c:v>112.85</c:v>
                </c:pt>
                <c:pt idx="6">
                  <c:v>82.13</c:v>
                </c:pt>
                <c:pt idx="7">
                  <c:v>131.44</c:v>
                </c:pt>
                <c:pt idx="8">
                  <c:v>438.21</c:v>
                </c:pt>
                <c:pt idx="9">
                  <c:v>357.35</c:v>
                </c:pt>
              </c:numCache>
            </c:numRef>
          </c:xVal>
          <c:yVal>
            <c:numRef>
              <c:f>'Joo2005'!$O$6:$O$15</c:f>
              <c:numCache>
                <c:formatCode>General</c:formatCode>
                <c:ptCount val="10"/>
                <c:pt idx="0">
                  <c:v>47.06</c:v>
                </c:pt>
                <c:pt idx="1">
                  <c:v>43.51</c:v>
                </c:pt>
                <c:pt idx="2">
                  <c:v>162.62</c:v>
                </c:pt>
                <c:pt idx="3">
                  <c:v>12.6</c:v>
                </c:pt>
                <c:pt idx="4">
                  <c:v>175.19</c:v>
                </c:pt>
                <c:pt idx="5">
                  <c:v>59.76</c:v>
                </c:pt>
                <c:pt idx="6">
                  <c:v>51.26</c:v>
                </c:pt>
                <c:pt idx="7">
                  <c:v>62.29</c:v>
                </c:pt>
                <c:pt idx="8">
                  <c:v>237.87</c:v>
                </c:pt>
                <c:pt idx="9">
                  <c:v>221.53</c:v>
                </c:pt>
              </c:numCache>
            </c:numRef>
          </c:yVal>
          <c:smooth val="0"/>
          <c:extLst>
            <c:ext xmlns:c16="http://schemas.microsoft.com/office/drawing/2014/chart" uri="{C3380CC4-5D6E-409C-BE32-E72D297353CC}">
              <c16:uniqueId val="{00000000-1A7D-485B-B949-618D31ACFE00}"/>
            </c:ext>
          </c:extLst>
        </c:ser>
        <c:ser>
          <c:idx val="3"/>
          <c:order val="1"/>
          <c:tx>
            <c:v>D</c:v>
          </c:tx>
          <c:spPr>
            <a:ln w="28575">
              <a:noFill/>
            </a:ln>
          </c:spPr>
          <c:marker>
            <c:symbol val="diamond"/>
            <c:size val="7"/>
            <c:spPr>
              <a:noFill/>
            </c:spPr>
          </c:marker>
          <c:xVal>
            <c:numRef>
              <c:f>'Joo2005'!$H$6:$H$15</c:f>
              <c:numCache>
                <c:formatCode>General</c:formatCode>
                <c:ptCount val="10"/>
                <c:pt idx="0">
                  <c:v>4.59</c:v>
                </c:pt>
                <c:pt idx="1">
                  <c:v>4.1900000000000004</c:v>
                </c:pt>
                <c:pt idx="2">
                  <c:v>2.15</c:v>
                </c:pt>
                <c:pt idx="3">
                  <c:v>5.09</c:v>
                </c:pt>
                <c:pt idx="4">
                  <c:v>2.31</c:v>
                </c:pt>
                <c:pt idx="5">
                  <c:v>2.2799999999999998</c:v>
                </c:pt>
                <c:pt idx="6">
                  <c:v>1.99</c:v>
                </c:pt>
                <c:pt idx="7">
                  <c:v>2.89</c:v>
                </c:pt>
                <c:pt idx="8">
                  <c:v>1.25</c:v>
                </c:pt>
                <c:pt idx="9">
                  <c:v>1.91</c:v>
                </c:pt>
              </c:numCache>
            </c:numRef>
          </c:xVal>
          <c:yVal>
            <c:numRef>
              <c:f>'Joo2005'!$P$6:$P$15</c:f>
              <c:numCache>
                <c:formatCode>General</c:formatCode>
                <c:ptCount val="10"/>
                <c:pt idx="0">
                  <c:v>4.01</c:v>
                </c:pt>
                <c:pt idx="1">
                  <c:v>3.19</c:v>
                </c:pt>
                <c:pt idx="2">
                  <c:v>1.94</c:v>
                </c:pt>
                <c:pt idx="3">
                  <c:v>5.12</c:v>
                </c:pt>
                <c:pt idx="4">
                  <c:v>2.25</c:v>
                </c:pt>
                <c:pt idx="5">
                  <c:v>3.93</c:v>
                </c:pt>
                <c:pt idx="6">
                  <c:v>3.08</c:v>
                </c:pt>
                <c:pt idx="7">
                  <c:v>3.63</c:v>
                </c:pt>
                <c:pt idx="8">
                  <c:v>2.0499999999999998</c:v>
                </c:pt>
                <c:pt idx="9">
                  <c:v>3.27</c:v>
                </c:pt>
              </c:numCache>
            </c:numRef>
          </c:yVal>
          <c:smooth val="0"/>
          <c:extLst>
            <c:ext xmlns:c16="http://schemas.microsoft.com/office/drawing/2014/chart" uri="{C3380CC4-5D6E-409C-BE32-E72D297353CC}">
              <c16:uniqueId val="{00000001-1A7D-485B-B949-618D31ACFE00}"/>
            </c:ext>
          </c:extLst>
        </c:ser>
        <c:ser>
          <c:idx val="1"/>
          <c:order val="2"/>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2-1A7D-485B-B949-618D31ACFE00}"/>
            </c:ext>
          </c:extLst>
        </c:ser>
        <c:dLbls>
          <c:showLegendKey val="0"/>
          <c:showVal val="0"/>
          <c:showCatName val="0"/>
          <c:showSerName val="0"/>
          <c:showPercent val="0"/>
          <c:showBubbleSize val="0"/>
        </c:dLbls>
        <c:axId val="180446336"/>
        <c:axId val="180448256"/>
      </c:scatterChart>
      <c:valAx>
        <c:axId val="180446336"/>
        <c:scaling>
          <c:logBase val="10"/>
          <c:orientation val="minMax"/>
        </c:scaling>
        <c:delete val="0"/>
        <c:axPos val="b"/>
        <c:title>
          <c:tx>
            <c:rich>
              <a:bodyPr/>
              <a:lstStyle/>
              <a:p>
                <a:pPr>
                  <a:defRPr/>
                </a:pPr>
                <a:r>
                  <a:rPr lang="en-US"/>
                  <a:t>Permeation test</a:t>
                </a:r>
              </a:p>
            </c:rich>
          </c:tx>
          <c:overlay val="0"/>
        </c:title>
        <c:numFmt formatCode="General" sourceLinked="1"/>
        <c:majorTickMark val="out"/>
        <c:minorTickMark val="none"/>
        <c:tickLblPos val="nextTo"/>
        <c:crossAx val="180448256"/>
        <c:crossesAt val="1.0000000000000003E-4"/>
        <c:crossBetween val="midCat"/>
      </c:valAx>
      <c:valAx>
        <c:axId val="180448256"/>
        <c:scaling>
          <c:logBase val="10"/>
          <c:orientation val="minMax"/>
        </c:scaling>
        <c:delete val="0"/>
        <c:axPos val="l"/>
        <c:title>
          <c:tx>
            <c:rich>
              <a:bodyPr rot="-5400000" vert="horz"/>
              <a:lstStyle/>
              <a:p>
                <a:pPr>
                  <a:defRPr/>
                </a:pPr>
                <a:r>
                  <a:rPr lang="en-US"/>
                  <a:t>Immersion test</a:t>
                </a:r>
              </a:p>
            </c:rich>
          </c:tx>
          <c:overlay val="0"/>
        </c:title>
        <c:numFmt formatCode="General" sourceLinked="1"/>
        <c:majorTickMark val="out"/>
        <c:minorTickMark val="none"/>
        <c:tickLblPos val="nextTo"/>
        <c:crossAx val="180446336"/>
        <c:crossesAt val="1.0000000000000003E-4"/>
        <c:crossBetween val="midCat"/>
      </c:valAx>
      <c:spPr>
        <a:ln>
          <a:solidFill>
            <a:schemeClr val="tx1">
              <a:lumMod val="50000"/>
              <a:lumOff val="50000"/>
            </a:schemeClr>
          </a:solidFill>
        </a:ln>
      </c:spPr>
    </c:plotArea>
    <c:legend>
      <c:legendPos val="r"/>
      <c:layout>
        <c:manualLayout>
          <c:xMode val="edge"/>
          <c:yMode val="edge"/>
          <c:x val="0.69672559694861647"/>
          <c:y val="0.31692358375630225"/>
          <c:w val="0.18018486035538692"/>
          <c:h val="0.2642596511334882"/>
        </c:manualLayout>
      </c:layout>
      <c:overlay val="0"/>
    </c:legend>
    <c:plotVisOnly val="1"/>
    <c:dispBlanksAs val="gap"/>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'Mao2006'!$O$6:$O$13</c:f>
              <c:numCache>
                <c:formatCode>0%</c:formatCode>
                <c:ptCount val="8"/>
                <c:pt idx="0">
                  <c:v>1</c:v>
                </c:pt>
                <c:pt idx="1">
                  <c:v>0.76619166356391488</c:v>
                </c:pt>
                <c:pt idx="2">
                  <c:v>0.73275784551748946</c:v>
                </c:pt>
                <c:pt idx="3">
                  <c:v>0.99303343224530183</c:v>
                </c:pt>
                <c:pt idx="4">
                  <c:v>1</c:v>
                </c:pt>
                <c:pt idx="5">
                  <c:v>0.73586035766235969</c:v>
                </c:pt>
                <c:pt idx="6">
                  <c:v>0.78620689655172415</c:v>
                </c:pt>
                <c:pt idx="7">
                  <c:v>1.0574712643678161</c:v>
                </c:pt>
              </c:numCache>
            </c:numRef>
          </c:yVal>
          <c:smooth val="0"/>
          <c:extLst>
            <c:ext xmlns:c16="http://schemas.microsoft.com/office/drawing/2014/chart" uri="{C3380CC4-5D6E-409C-BE32-E72D297353CC}">
              <c16:uniqueId val="{00000000-F401-48F1-BB2A-D2544541F081}"/>
            </c:ext>
          </c:extLst>
        </c:ser>
        <c:ser>
          <c:idx val="3"/>
          <c:order val="1"/>
          <c:tx>
            <c:v>D</c:v>
          </c:tx>
          <c:spPr>
            <a:ln w="28575">
              <a:noFill/>
            </a:ln>
          </c:spPr>
          <c:marker>
            <c:symbol val="diamond"/>
            <c:size val="7"/>
            <c:spPr>
              <a:noFill/>
            </c:spPr>
          </c:marker>
          <c:trendline>
            <c:trendlineType val="power"/>
            <c:dispRSqr val="1"/>
            <c:dispEq val="1"/>
            <c:trendlineLbl>
              <c:layout>
                <c:manualLayout>
                  <c:x val="-1.346487942236402E-2"/>
                  <c:y val="-5.8072368979632742E-2"/>
                </c:manualLayout>
              </c:layout>
              <c:numFmt formatCode="General" sourceLinked="0"/>
            </c:trendlineLbl>
          </c:trendline>
          <c:xVal>
            <c:numRef>
              <c:f>'Joo2005'!$E$6:$E$15</c:f>
              <c:numCache>
                <c:formatCode>0%</c:formatCode>
                <c:ptCount val="10"/>
                <c:pt idx="0">
                  <c:v>4.2134831460674156E-2</c:v>
                </c:pt>
                <c:pt idx="1">
                  <c:v>9.3749999999999997E-3</c:v>
                </c:pt>
                <c:pt idx="2">
                  <c:v>0.49342105263157893</c:v>
                </c:pt>
                <c:pt idx="3">
                  <c:v>3.7499999999999999E-3</c:v>
                </c:pt>
                <c:pt idx="4">
                  <c:v>0.5</c:v>
                </c:pt>
                <c:pt idx="5">
                  <c:v>0.14563106796116504</c:v>
                </c:pt>
                <c:pt idx="6">
                  <c:v>1.7045454545454544E-2</c:v>
                </c:pt>
                <c:pt idx="7">
                  <c:v>6.8181818181818177E-2</c:v>
                </c:pt>
                <c:pt idx="8">
                  <c:v>0.42857142857142855</c:v>
                </c:pt>
                <c:pt idx="9">
                  <c:v>0.37878787878787878</c:v>
                </c:pt>
              </c:numCache>
            </c:numRef>
          </c:xVal>
          <c:yVal>
            <c:numRef>
              <c:f>'Mao2006'!$P$6:$P$13</c:f>
              <c:numCache>
                <c:formatCode>0%</c:formatCode>
                <c:ptCount val="8"/>
                <c:pt idx="0">
                  <c:v>1</c:v>
                </c:pt>
                <c:pt idx="1">
                  <c:v>0.89655172413793105</c:v>
                </c:pt>
                <c:pt idx="2">
                  <c:v>0.75862068965517249</c:v>
                </c:pt>
                <c:pt idx="3">
                  <c:v>0.51724137931034486</c:v>
                </c:pt>
                <c:pt idx="4">
                  <c:v>1</c:v>
                </c:pt>
                <c:pt idx="5">
                  <c:v>0.96875</c:v>
                </c:pt>
                <c:pt idx="6">
                  <c:v>0.78125</c:v>
                </c:pt>
                <c:pt idx="7">
                  <c:v>0.46875</c:v>
                </c:pt>
              </c:numCache>
            </c:numRef>
          </c:yVal>
          <c:smooth val="0"/>
          <c:extLst>
            <c:ext xmlns:c16="http://schemas.microsoft.com/office/drawing/2014/chart" uri="{C3380CC4-5D6E-409C-BE32-E72D297353CC}">
              <c16:uniqueId val="{00000002-F401-48F1-BB2A-D2544541F081}"/>
            </c:ext>
          </c:extLst>
        </c:ser>
        <c:dLbls>
          <c:showLegendKey val="0"/>
          <c:showVal val="0"/>
          <c:showCatName val="0"/>
          <c:showSerName val="0"/>
          <c:showPercent val="0"/>
          <c:showBubbleSize val="0"/>
        </c:dLbls>
        <c:axId val="181404800"/>
        <c:axId val="181406720"/>
      </c:scatterChart>
      <c:valAx>
        <c:axId val="181404800"/>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406720"/>
        <c:crossesAt val="1.0000000000000003E-4"/>
        <c:crossBetween val="midCat"/>
      </c:valAx>
      <c:valAx>
        <c:axId val="181406720"/>
        <c:scaling>
          <c:logBase val="10"/>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404800"/>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8862642169728"/>
          <c:y val="5.1400554097404488E-2"/>
          <c:w val="0.78144291338582672"/>
          <c:h val="0.73444808982210552"/>
        </c:manualLayout>
      </c:layout>
      <c:scatterChart>
        <c:scatterStyle val="lineMarker"/>
        <c:varyColors val="0"/>
        <c:ser>
          <c:idx val="0"/>
          <c:order val="0"/>
          <c:tx>
            <c:strRef>
              <c:f>Lohman2011!$AI$30</c:f>
              <c:strCache>
                <c:ptCount val="1"/>
                <c:pt idx="0">
                  <c:v>Russina et al 2010</c:v>
                </c:pt>
              </c:strCache>
            </c:strRef>
          </c:tx>
          <c:spPr>
            <a:ln w="28575">
              <a:noFill/>
            </a:ln>
          </c:spPr>
          <c:xVal>
            <c:numRef>
              <c:f>Lohman2011!$AH$31:$AH$77</c:f>
              <c:numCache>
                <c:formatCode>General</c:formatCode>
                <c:ptCount val="47"/>
                <c:pt idx="0">
                  <c:v>176.4</c:v>
                </c:pt>
                <c:pt idx="3">
                  <c:v>175.1</c:v>
                </c:pt>
                <c:pt idx="4">
                  <c:v>188.6</c:v>
                </c:pt>
                <c:pt idx="6">
                  <c:v>188.1</c:v>
                </c:pt>
                <c:pt idx="7">
                  <c:v>188.1</c:v>
                </c:pt>
                <c:pt idx="8">
                  <c:v>187.6</c:v>
                </c:pt>
                <c:pt idx="9">
                  <c:v>187.9</c:v>
                </c:pt>
                <c:pt idx="10">
                  <c:v>200.2</c:v>
                </c:pt>
                <c:pt idx="11">
                  <c:v>201.1</c:v>
                </c:pt>
                <c:pt idx="12">
                  <c:v>201</c:v>
                </c:pt>
                <c:pt idx="13">
                  <c:v>200.3</c:v>
                </c:pt>
                <c:pt idx="14">
                  <c:v>200.8</c:v>
                </c:pt>
                <c:pt idx="16">
                  <c:v>198.6</c:v>
                </c:pt>
                <c:pt idx="17">
                  <c:v>199.4</c:v>
                </c:pt>
                <c:pt idx="19">
                  <c:v>199.5</c:v>
                </c:pt>
                <c:pt idx="21">
                  <c:v>212.1</c:v>
                </c:pt>
                <c:pt idx="22">
                  <c:v>212</c:v>
                </c:pt>
                <c:pt idx="23">
                  <c:v>211.7</c:v>
                </c:pt>
                <c:pt idx="24">
                  <c:v>212.5</c:v>
                </c:pt>
                <c:pt idx="25">
                  <c:v>212.4</c:v>
                </c:pt>
                <c:pt idx="26">
                  <c:v>211.5</c:v>
                </c:pt>
                <c:pt idx="27">
                  <c:v>210.4</c:v>
                </c:pt>
                <c:pt idx="28">
                  <c:v>210.1</c:v>
                </c:pt>
                <c:pt idx="29">
                  <c:v>210.9</c:v>
                </c:pt>
                <c:pt idx="30">
                  <c:v>223.1</c:v>
                </c:pt>
                <c:pt idx="32">
                  <c:v>223.9</c:v>
                </c:pt>
                <c:pt idx="33">
                  <c:v>223.5</c:v>
                </c:pt>
                <c:pt idx="34">
                  <c:v>223.8</c:v>
                </c:pt>
                <c:pt idx="36">
                  <c:v>222.5</c:v>
                </c:pt>
                <c:pt idx="37">
                  <c:v>223.1</c:v>
                </c:pt>
                <c:pt idx="38">
                  <c:v>223.4</c:v>
                </c:pt>
                <c:pt idx="39">
                  <c:v>224</c:v>
                </c:pt>
                <c:pt idx="40">
                  <c:v>224.1</c:v>
                </c:pt>
                <c:pt idx="41">
                  <c:v>222.3</c:v>
                </c:pt>
                <c:pt idx="42">
                  <c:v>234.9</c:v>
                </c:pt>
                <c:pt idx="43">
                  <c:v>235.4</c:v>
                </c:pt>
                <c:pt idx="44">
                  <c:v>235</c:v>
                </c:pt>
                <c:pt idx="45">
                  <c:v>246.8</c:v>
                </c:pt>
                <c:pt idx="46">
                  <c:v>246.5</c:v>
                </c:pt>
              </c:numCache>
            </c:numRef>
          </c:xVal>
          <c:yVal>
            <c:numRef>
              <c:f>Lohman2011!$AI$31:$AI$77</c:f>
              <c:numCache>
                <c:formatCode>General</c:formatCode>
                <c:ptCount val="47"/>
                <c:pt idx="0">
                  <c:v>-12.53</c:v>
                </c:pt>
                <c:pt idx="3">
                  <c:v>-12.42</c:v>
                </c:pt>
                <c:pt idx="4">
                  <c:v>-12.68</c:v>
                </c:pt>
                <c:pt idx="6">
                  <c:v>-12.51</c:v>
                </c:pt>
                <c:pt idx="7">
                  <c:v>-12.56</c:v>
                </c:pt>
                <c:pt idx="8">
                  <c:v>-12.64</c:v>
                </c:pt>
                <c:pt idx="9">
                  <c:v>-12.57</c:v>
                </c:pt>
                <c:pt idx="10">
                  <c:v>-12.86</c:v>
                </c:pt>
                <c:pt idx="11">
                  <c:v>-12.84</c:v>
                </c:pt>
                <c:pt idx="12">
                  <c:v>-12.85</c:v>
                </c:pt>
                <c:pt idx="13">
                  <c:v>-12.91</c:v>
                </c:pt>
                <c:pt idx="14">
                  <c:v>-12.88</c:v>
                </c:pt>
                <c:pt idx="16">
                  <c:v>-12.81</c:v>
                </c:pt>
                <c:pt idx="17">
                  <c:v>-12.75</c:v>
                </c:pt>
                <c:pt idx="19">
                  <c:v>-12.91</c:v>
                </c:pt>
                <c:pt idx="21">
                  <c:v>-12.99</c:v>
                </c:pt>
                <c:pt idx="22">
                  <c:v>-13.03</c:v>
                </c:pt>
                <c:pt idx="23">
                  <c:v>-13.02</c:v>
                </c:pt>
                <c:pt idx="24">
                  <c:v>-13.03</c:v>
                </c:pt>
                <c:pt idx="25">
                  <c:v>-13.06</c:v>
                </c:pt>
                <c:pt idx="26">
                  <c:v>-13.04</c:v>
                </c:pt>
                <c:pt idx="27">
                  <c:v>-13.02</c:v>
                </c:pt>
                <c:pt idx="28">
                  <c:v>-13.04</c:v>
                </c:pt>
                <c:pt idx="29">
                  <c:v>-13.05</c:v>
                </c:pt>
                <c:pt idx="30">
                  <c:v>-13.25</c:v>
                </c:pt>
                <c:pt idx="32">
                  <c:v>-13.28</c:v>
                </c:pt>
                <c:pt idx="33">
                  <c:v>-13.28</c:v>
                </c:pt>
                <c:pt idx="34">
                  <c:v>-13.29</c:v>
                </c:pt>
                <c:pt idx="36">
                  <c:v>-13.22</c:v>
                </c:pt>
                <c:pt idx="37">
                  <c:v>-13.25</c:v>
                </c:pt>
                <c:pt idx="38">
                  <c:v>-13.26</c:v>
                </c:pt>
                <c:pt idx="39">
                  <c:v>-13.28</c:v>
                </c:pt>
                <c:pt idx="40">
                  <c:v>-13.24</c:v>
                </c:pt>
                <c:pt idx="41">
                  <c:v>-13.34</c:v>
                </c:pt>
                <c:pt idx="42">
                  <c:v>-13.56</c:v>
                </c:pt>
                <c:pt idx="43">
                  <c:v>-13.57</c:v>
                </c:pt>
                <c:pt idx="44">
                  <c:v>-13.5</c:v>
                </c:pt>
                <c:pt idx="45">
                  <c:v>-13.17</c:v>
                </c:pt>
                <c:pt idx="46">
                  <c:v>-13.68</c:v>
                </c:pt>
              </c:numCache>
            </c:numRef>
          </c:yVal>
          <c:smooth val="0"/>
          <c:extLst>
            <c:ext xmlns:c16="http://schemas.microsoft.com/office/drawing/2014/chart" uri="{C3380CC4-5D6E-409C-BE32-E72D297353CC}">
              <c16:uniqueId val="{00000000-0F08-4364-84A6-04759504F0F1}"/>
            </c:ext>
          </c:extLst>
        </c:ser>
        <c:ser>
          <c:idx val="2"/>
          <c:order val="1"/>
          <c:tx>
            <c:strRef>
              <c:f>Lohman2011!$AI$30</c:f>
              <c:strCache>
                <c:ptCount val="1"/>
                <c:pt idx="0">
                  <c:v>Russina et al 2010</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Lohman2011!$AI$7:$AI$28</c:f>
              <c:numCache>
                <c:formatCode>General</c:formatCode>
                <c:ptCount val="22"/>
                <c:pt idx="1">
                  <c:v>-12.36</c:v>
                </c:pt>
                <c:pt idx="2">
                  <c:v>-12.26</c:v>
                </c:pt>
                <c:pt idx="3">
                  <c:v>-12.29</c:v>
                </c:pt>
                <c:pt idx="4">
                  <c:v>-12.45</c:v>
                </c:pt>
                <c:pt idx="5">
                  <c:v>-12.36</c:v>
                </c:pt>
                <c:pt idx="6">
                  <c:v>-12.7</c:v>
                </c:pt>
                <c:pt idx="8">
                  <c:v>-13.28</c:v>
                </c:pt>
                <c:pt idx="9">
                  <c:v>-13.28</c:v>
                </c:pt>
                <c:pt idx="11">
                  <c:v>-13.7</c:v>
                </c:pt>
                <c:pt idx="14">
                  <c:v>-13.72</c:v>
                </c:pt>
                <c:pt idx="15">
                  <c:v>-13.75</c:v>
                </c:pt>
                <c:pt idx="16">
                  <c:v>-13.69</c:v>
                </c:pt>
              </c:numCache>
            </c:numRef>
          </c:yVal>
          <c:smooth val="0"/>
          <c:extLst>
            <c:ext xmlns:c16="http://schemas.microsoft.com/office/drawing/2014/chart" uri="{C3380CC4-5D6E-409C-BE32-E72D297353CC}">
              <c16:uniqueId val="{00000001-0F08-4364-84A6-04759504F0F1}"/>
            </c:ext>
          </c:extLst>
        </c:ser>
        <c:ser>
          <c:idx val="1"/>
          <c:order val="2"/>
          <c:tx>
            <c:strRef>
              <c:f>Lohman2011!$AJ$5</c:f>
              <c:strCache>
                <c:ptCount val="1"/>
                <c:pt idx="0">
                  <c:v>Hale et al 2010</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Lohman2011!$AJ$7:$AJ$28</c:f>
              <c:numCache>
                <c:formatCode>General</c:formatCode>
                <c:ptCount val="22"/>
                <c:pt idx="4">
                  <c:v>-12.73</c:v>
                </c:pt>
                <c:pt idx="5">
                  <c:v>-12.73</c:v>
                </c:pt>
                <c:pt idx="7">
                  <c:v>-13.4</c:v>
                </c:pt>
              </c:numCache>
            </c:numRef>
          </c:yVal>
          <c:smooth val="0"/>
          <c:extLst>
            <c:ext xmlns:c16="http://schemas.microsoft.com/office/drawing/2014/chart" uri="{C3380CC4-5D6E-409C-BE32-E72D297353CC}">
              <c16:uniqueId val="{00000002-0F08-4364-84A6-04759504F0F1}"/>
            </c:ext>
          </c:extLst>
        </c:ser>
        <c:ser>
          <c:idx val="3"/>
          <c:order val="3"/>
          <c:tx>
            <c:strRef>
              <c:f>Lohman2011!$AK$5</c:f>
              <c:strCache>
                <c:ptCount val="1"/>
                <c:pt idx="0">
                  <c:v>Simko et al 1999</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Lohman2011!$AK$7:$AK$28</c:f>
              <c:numCache>
                <c:formatCode>General</c:formatCode>
                <c:ptCount val="22"/>
                <c:pt idx="6">
                  <c:v>-13.15</c:v>
                </c:pt>
                <c:pt idx="7">
                  <c:v>-13.26</c:v>
                </c:pt>
                <c:pt idx="14">
                  <c:v>-13.6</c:v>
                </c:pt>
              </c:numCache>
            </c:numRef>
          </c:yVal>
          <c:smooth val="0"/>
          <c:extLst>
            <c:ext xmlns:c16="http://schemas.microsoft.com/office/drawing/2014/chart" uri="{C3380CC4-5D6E-409C-BE32-E72D297353CC}">
              <c16:uniqueId val="{00000003-0F08-4364-84A6-04759504F0F1}"/>
            </c:ext>
          </c:extLst>
        </c:ser>
        <c:ser>
          <c:idx val="4"/>
          <c:order val="4"/>
          <c:tx>
            <c:strRef>
              <c:f>Lohman2011!$AL$5</c:f>
              <c:strCache>
                <c:ptCount val="1"/>
                <c:pt idx="0">
                  <c:v>Russina et al 2007</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Lohman2011!$AL$7:$AL$28</c:f>
              <c:numCache>
                <c:formatCode>General</c:formatCode>
                <c:ptCount val="22"/>
                <c:pt idx="0">
                  <c:v>-11.8</c:v>
                </c:pt>
                <c:pt idx="6">
                  <c:v>-12.5</c:v>
                </c:pt>
              </c:numCache>
            </c:numRef>
          </c:yVal>
          <c:smooth val="0"/>
          <c:extLst>
            <c:ext xmlns:c16="http://schemas.microsoft.com/office/drawing/2014/chart" uri="{C3380CC4-5D6E-409C-BE32-E72D297353CC}">
              <c16:uniqueId val="{00000004-0F08-4364-84A6-04759504F0F1}"/>
            </c:ext>
          </c:extLst>
        </c:ser>
        <c:ser>
          <c:idx val="5"/>
          <c:order val="5"/>
          <c:tx>
            <c:strRef>
              <c:f>Lohman2011!$AJ$108</c:f>
              <c:strCache>
                <c:ptCount val="1"/>
                <c:pt idx="0">
                  <c:v>Hale et al 2010</c:v>
                </c:pt>
              </c:strCache>
            </c:strRef>
          </c:tx>
          <c:spPr>
            <a:ln w="28575">
              <a:noFill/>
            </a:ln>
          </c:spPr>
          <c:xVal>
            <c:numRef>
              <c:f>Lohman2011!$T$97:$T$128</c:f>
              <c:numCache>
                <c:formatCode>General</c:formatCode>
                <c:ptCount val="32"/>
                <c:pt idx="0">
                  <c:v>156.4</c:v>
                </c:pt>
                <c:pt idx="1">
                  <c:v>168.5</c:v>
                </c:pt>
                <c:pt idx="2">
                  <c:v>179.9</c:v>
                </c:pt>
                <c:pt idx="3">
                  <c:v>240.1</c:v>
                </c:pt>
                <c:pt idx="4">
                  <c:v>237.7</c:v>
                </c:pt>
                <c:pt idx="5">
                  <c:v>227.1</c:v>
                </c:pt>
                <c:pt idx="6">
                  <c:v>224.8</c:v>
                </c:pt>
                <c:pt idx="7">
                  <c:v>222.4</c:v>
                </c:pt>
                <c:pt idx="8">
                  <c:v>221.1</c:v>
                </c:pt>
                <c:pt idx="9">
                  <c:v>210.4</c:v>
                </c:pt>
                <c:pt idx="10">
                  <c:v>161.19999999999999</c:v>
                </c:pt>
                <c:pt idx="11">
                  <c:v>178</c:v>
                </c:pt>
                <c:pt idx="12">
                  <c:v>178</c:v>
                </c:pt>
                <c:pt idx="13">
                  <c:v>178</c:v>
                </c:pt>
                <c:pt idx="14">
                  <c:v>178</c:v>
                </c:pt>
                <c:pt idx="15">
                  <c:v>240.1</c:v>
                </c:pt>
                <c:pt idx="16">
                  <c:v>253.7</c:v>
                </c:pt>
                <c:pt idx="17">
                  <c:v>236.3</c:v>
                </c:pt>
                <c:pt idx="18">
                  <c:v>239.8</c:v>
                </c:pt>
                <c:pt idx="19">
                  <c:v>253.7</c:v>
                </c:pt>
                <c:pt idx="20">
                  <c:v>253.2</c:v>
                </c:pt>
                <c:pt idx="22">
                  <c:v>230.8</c:v>
                </c:pt>
                <c:pt idx="23">
                  <c:v>233.7</c:v>
                </c:pt>
                <c:pt idx="24">
                  <c:v>260.5</c:v>
                </c:pt>
                <c:pt idx="25">
                  <c:v>192.1</c:v>
                </c:pt>
                <c:pt idx="26">
                  <c:v>214.2</c:v>
                </c:pt>
                <c:pt idx="27">
                  <c:v>238.8</c:v>
                </c:pt>
                <c:pt idx="28">
                  <c:v>222.3</c:v>
                </c:pt>
                <c:pt idx="29">
                  <c:v>219.5</c:v>
                </c:pt>
                <c:pt idx="30">
                  <c:v>175.7</c:v>
                </c:pt>
                <c:pt idx="31">
                  <c:v>235</c:v>
                </c:pt>
              </c:numCache>
            </c:numRef>
          </c:xVal>
          <c:yVal>
            <c:numRef>
              <c:f>Lohman2011!$AI$97:$AI$128</c:f>
              <c:numCache>
                <c:formatCode>General</c:formatCode>
                <c:ptCount val="32"/>
                <c:pt idx="10">
                  <c:v>-12.68</c:v>
                </c:pt>
                <c:pt idx="11">
                  <c:v>-12.9</c:v>
                </c:pt>
                <c:pt idx="12">
                  <c:v>-12.67</c:v>
                </c:pt>
                <c:pt idx="13">
                  <c:v>-13</c:v>
                </c:pt>
                <c:pt idx="14">
                  <c:v>-12.8</c:v>
                </c:pt>
                <c:pt idx="15">
                  <c:v>-14.13</c:v>
                </c:pt>
                <c:pt idx="16">
                  <c:v>-14.13</c:v>
                </c:pt>
                <c:pt idx="17">
                  <c:v>-13.63</c:v>
                </c:pt>
                <c:pt idx="18">
                  <c:v>-13.5</c:v>
                </c:pt>
                <c:pt idx="19">
                  <c:v>-13.83</c:v>
                </c:pt>
                <c:pt idx="21">
                  <c:v>-13.53</c:v>
                </c:pt>
                <c:pt idx="22">
                  <c:v>-14.03</c:v>
                </c:pt>
                <c:pt idx="23">
                  <c:v>-13.6</c:v>
                </c:pt>
                <c:pt idx="24">
                  <c:v>-13.5</c:v>
                </c:pt>
                <c:pt idx="30">
                  <c:v>-12.47</c:v>
                </c:pt>
                <c:pt idx="31">
                  <c:v>-13.54</c:v>
                </c:pt>
              </c:numCache>
            </c:numRef>
          </c:yVal>
          <c:smooth val="0"/>
          <c:extLst>
            <c:ext xmlns:c16="http://schemas.microsoft.com/office/drawing/2014/chart" uri="{C3380CC4-5D6E-409C-BE32-E72D297353CC}">
              <c16:uniqueId val="{00000005-0F08-4364-84A6-04759504F0F1}"/>
            </c:ext>
          </c:extLst>
        </c:ser>
        <c:dLbls>
          <c:showLegendKey val="0"/>
          <c:showVal val="0"/>
          <c:showCatName val="0"/>
          <c:showSerName val="0"/>
          <c:showPercent val="0"/>
          <c:showBubbleSize val="0"/>
        </c:dLbls>
        <c:axId val="180629504"/>
        <c:axId val="180631424"/>
      </c:scatterChart>
      <c:valAx>
        <c:axId val="180629504"/>
        <c:scaling>
          <c:orientation val="minMax"/>
        </c:scaling>
        <c:delete val="0"/>
        <c:axPos val="b"/>
        <c:title>
          <c:tx>
            <c:rich>
              <a:bodyPr/>
              <a:lstStyle/>
              <a:p>
                <a:pPr>
                  <a:defRPr/>
                </a:pPr>
                <a:r>
                  <a:rPr lang="en-US"/>
                  <a:t>Vsparc</a:t>
                </a:r>
              </a:p>
            </c:rich>
          </c:tx>
          <c:layout>
            <c:manualLayout>
              <c:xMode val="edge"/>
              <c:yMode val="edge"/>
              <c:x val="0.37350874890638674"/>
              <c:y val="0.92960629921259841"/>
            </c:manualLayout>
          </c:layout>
          <c:overlay val="0"/>
        </c:title>
        <c:numFmt formatCode="General" sourceLinked="1"/>
        <c:majorTickMark val="out"/>
        <c:minorTickMark val="none"/>
        <c:tickLblPos val="nextTo"/>
        <c:crossAx val="180631424"/>
        <c:crossesAt val="-1000"/>
        <c:crossBetween val="midCat"/>
      </c:valAx>
      <c:valAx>
        <c:axId val="180631424"/>
        <c:scaling>
          <c:orientation val="minMax"/>
        </c:scaling>
        <c:delete val="0"/>
        <c:axPos val="l"/>
        <c:title>
          <c:tx>
            <c:rich>
              <a:bodyPr rot="-5400000" vert="horz"/>
              <a:lstStyle/>
              <a:p>
                <a:pPr>
                  <a:defRPr/>
                </a:pPr>
                <a:r>
                  <a:rPr lang="en-US"/>
                  <a:t>D [m2/s]</a:t>
                </a:r>
              </a:p>
            </c:rich>
          </c:tx>
          <c:overlay val="0"/>
        </c:title>
        <c:numFmt formatCode="General" sourceLinked="1"/>
        <c:majorTickMark val="out"/>
        <c:minorTickMark val="none"/>
        <c:tickLblPos val="nextTo"/>
        <c:crossAx val="180629504"/>
        <c:crosses val="autoZero"/>
        <c:crossBetween val="midCat"/>
      </c:valAx>
      <c:spPr>
        <a:ln>
          <a:solidFill>
            <a:schemeClr val="tx1">
              <a:lumMod val="50000"/>
              <a:lumOff val="50000"/>
            </a:schemeClr>
          </a:solidFill>
        </a:ln>
      </c:spPr>
    </c:plotArea>
    <c:legend>
      <c:legendPos val="r"/>
      <c:layout>
        <c:manualLayout>
          <c:xMode val="edge"/>
          <c:yMode val="edge"/>
          <c:x val="0.21027865266841636"/>
          <c:y val="0.32774387576552932"/>
          <c:w val="0.25083245844269464"/>
          <c:h val="0.43247484689413823"/>
        </c:manualLayout>
      </c:layout>
      <c:overlay val="0"/>
    </c:legend>
    <c:plotVisOnly val="1"/>
    <c:dispBlanksAs val="gap"/>
    <c:showDLblsOverMax val="0"/>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8862642169728"/>
          <c:y val="5.1400554097404488E-2"/>
          <c:w val="0.78144291338582672"/>
          <c:h val="0.73444808982210552"/>
        </c:manualLayout>
      </c:layout>
      <c:scatterChart>
        <c:scatterStyle val="lineMarker"/>
        <c:varyColors val="0"/>
        <c:ser>
          <c:idx val="0"/>
          <c:order val="0"/>
          <c:tx>
            <c:strRef>
              <c:f>Lohman2011!$AI$30</c:f>
              <c:strCache>
                <c:ptCount val="1"/>
                <c:pt idx="0">
                  <c:v>Russina et al 2010</c:v>
                </c:pt>
              </c:strCache>
            </c:strRef>
          </c:tx>
          <c:spPr>
            <a:ln w="28575">
              <a:noFill/>
            </a:ln>
          </c:spPr>
          <c:trendline>
            <c:trendlineType val="linear"/>
            <c:dispRSqr val="1"/>
            <c:dispEq val="1"/>
            <c:trendlineLbl>
              <c:layout>
                <c:manualLayout>
                  <c:x val="3.3741251093613298E-2"/>
                  <c:y val="-0.30554534849810439"/>
                </c:manualLayout>
              </c:layout>
              <c:numFmt formatCode="General" sourceLinked="0"/>
            </c:trendlineLbl>
          </c:trendline>
          <c:xVal>
            <c:numRef>
              <c:f>Lohman2011!$K$31:$K$77</c:f>
              <c:numCache>
                <c:formatCode>General</c:formatCode>
                <c:ptCount val="47"/>
                <c:pt idx="0">
                  <c:v>223.1</c:v>
                </c:pt>
                <c:pt idx="1">
                  <c:v>223.1</c:v>
                </c:pt>
                <c:pt idx="2">
                  <c:v>223.1</c:v>
                </c:pt>
                <c:pt idx="3">
                  <c:v>223.1</c:v>
                </c:pt>
                <c:pt idx="4">
                  <c:v>257.5</c:v>
                </c:pt>
                <c:pt idx="5">
                  <c:v>257.5</c:v>
                </c:pt>
                <c:pt idx="6">
                  <c:v>257.5</c:v>
                </c:pt>
                <c:pt idx="7">
                  <c:v>257.5</c:v>
                </c:pt>
                <c:pt idx="8">
                  <c:v>257.5</c:v>
                </c:pt>
                <c:pt idx="9">
                  <c:v>257.5</c:v>
                </c:pt>
                <c:pt idx="10">
                  <c:v>292</c:v>
                </c:pt>
                <c:pt idx="11">
                  <c:v>292</c:v>
                </c:pt>
                <c:pt idx="12">
                  <c:v>292</c:v>
                </c:pt>
                <c:pt idx="13">
                  <c:v>292</c:v>
                </c:pt>
                <c:pt idx="14">
                  <c:v>292</c:v>
                </c:pt>
                <c:pt idx="15">
                  <c:v>292</c:v>
                </c:pt>
                <c:pt idx="16">
                  <c:v>292</c:v>
                </c:pt>
                <c:pt idx="17">
                  <c:v>292</c:v>
                </c:pt>
                <c:pt idx="18">
                  <c:v>292</c:v>
                </c:pt>
                <c:pt idx="19">
                  <c:v>292</c:v>
                </c:pt>
                <c:pt idx="20">
                  <c:v>292</c:v>
                </c:pt>
                <c:pt idx="21">
                  <c:v>326.39999999999998</c:v>
                </c:pt>
                <c:pt idx="22">
                  <c:v>326.39999999999998</c:v>
                </c:pt>
                <c:pt idx="23">
                  <c:v>326.39999999999998</c:v>
                </c:pt>
                <c:pt idx="24">
                  <c:v>326.39999999999998</c:v>
                </c:pt>
                <c:pt idx="25">
                  <c:v>326.39999999999998</c:v>
                </c:pt>
                <c:pt idx="26">
                  <c:v>326.39999999999998</c:v>
                </c:pt>
                <c:pt idx="27">
                  <c:v>326.39999999999998</c:v>
                </c:pt>
                <c:pt idx="28">
                  <c:v>326.39999999999998</c:v>
                </c:pt>
                <c:pt idx="29">
                  <c:v>326.39999999999998</c:v>
                </c:pt>
                <c:pt idx="30">
                  <c:v>360.9</c:v>
                </c:pt>
                <c:pt idx="31">
                  <c:v>360.9</c:v>
                </c:pt>
                <c:pt idx="32">
                  <c:v>360.9</c:v>
                </c:pt>
                <c:pt idx="33">
                  <c:v>360.9</c:v>
                </c:pt>
                <c:pt idx="34">
                  <c:v>360.9</c:v>
                </c:pt>
                <c:pt idx="35">
                  <c:v>360.9</c:v>
                </c:pt>
                <c:pt idx="36">
                  <c:v>360.9</c:v>
                </c:pt>
                <c:pt idx="37">
                  <c:v>360.9</c:v>
                </c:pt>
                <c:pt idx="38">
                  <c:v>360.9</c:v>
                </c:pt>
                <c:pt idx="39">
                  <c:v>360.9</c:v>
                </c:pt>
                <c:pt idx="40">
                  <c:v>360.9</c:v>
                </c:pt>
                <c:pt idx="41">
                  <c:v>360.9</c:v>
                </c:pt>
                <c:pt idx="42">
                  <c:v>395.3</c:v>
                </c:pt>
                <c:pt idx="43">
                  <c:v>395.3</c:v>
                </c:pt>
                <c:pt idx="44">
                  <c:v>395.3</c:v>
                </c:pt>
                <c:pt idx="46">
                  <c:v>429.8</c:v>
                </c:pt>
              </c:numCache>
            </c:numRef>
          </c:xVal>
          <c:yVal>
            <c:numRef>
              <c:f>Lohman2011!$AI$31:$AI$77</c:f>
              <c:numCache>
                <c:formatCode>General</c:formatCode>
                <c:ptCount val="47"/>
                <c:pt idx="0">
                  <c:v>-12.53</c:v>
                </c:pt>
                <c:pt idx="3">
                  <c:v>-12.42</c:v>
                </c:pt>
                <c:pt idx="4">
                  <c:v>-12.68</c:v>
                </c:pt>
                <c:pt idx="6">
                  <c:v>-12.51</c:v>
                </c:pt>
                <c:pt idx="7">
                  <c:v>-12.56</c:v>
                </c:pt>
                <c:pt idx="8">
                  <c:v>-12.64</c:v>
                </c:pt>
                <c:pt idx="9">
                  <c:v>-12.57</c:v>
                </c:pt>
                <c:pt idx="10">
                  <c:v>-12.86</c:v>
                </c:pt>
                <c:pt idx="11">
                  <c:v>-12.84</c:v>
                </c:pt>
                <c:pt idx="12">
                  <c:v>-12.85</c:v>
                </c:pt>
                <c:pt idx="13">
                  <c:v>-12.91</c:v>
                </c:pt>
                <c:pt idx="14">
                  <c:v>-12.88</c:v>
                </c:pt>
                <c:pt idx="16">
                  <c:v>-12.81</c:v>
                </c:pt>
                <c:pt idx="17">
                  <c:v>-12.75</c:v>
                </c:pt>
                <c:pt idx="19">
                  <c:v>-12.91</c:v>
                </c:pt>
                <c:pt idx="21">
                  <c:v>-12.99</c:v>
                </c:pt>
                <c:pt idx="22">
                  <c:v>-13.03</c:v>
                </c:pt>
                <c:pt idx="23">
                  <c:v>-13.02</c:v>
                </c:pt>
                <c:pt idx="24">
                  <c:v>-13.03</c:v>
                </c:pt>
                <c:pt idx="25">
                  <c:v>-13.06</c:v>
                </c:pt>
                <c:pt idx="26">
                  <c:v>-13.04</c:v>
                </c:pt>
                <c:pt idx="27">
                  <c:v>-13.02</c:v>
                </c:pt>
                <c:pt idx="28">
                  <c:v>-13.04</c:v>
                </c:pt>
                <c:pt idx="29">
                  <c:v>-13.05</c:v>
                </c:pt>
                <c:pt idx="30">
                  <c:v>-13.25</c:v>
                </c:pt>
                <c:pt idx="32">
                  <c:v>-13.28</c:v>
                </c:pt>
                <c:pt idx="33">
                  <c:v>-13.28</c:v>
                </c:pt>
                <c:pt idx="34">
                  <c:v>-13.29</c:v>
                </c:pt>
                <c:pt idx="36">
                  <c:v>-13.22</c:v>
                </c:pt>
                <c:pt idx="37">
                  <c:v>-13.25</c:v>
                </c:pt>
                <c:pt idx="38">
                  <c:v>-13.26</c:v>
                </c:pt>
                <c:pt idx="39">
                  <c:v>-13.28</c:v>
                </c:pt>
                <c:pt idx="40">
                  <c:v>-13.24</c:v>
                </c:pt>
                <c:pt idx="41">
                  <c:v>-13.34</c:v>
                </c:pt>
                <c:pt idx="42">
                  <c:v>-13.56</c:v>
                </c:pt>
                <c:pt idx="43">
                  <c:v>-13.57</c:v>
                </c:pt>
                <c:pt idx="44">
                  <c:v>-13.5</c:v>
                </c:pt>
                <c:pt idx="45">
                  <c:v>-13.17</c:v>
                </c:pt>
                <c:pt idx="46">
                  <c:v>-13.68</c:v>
                </c:pt>
              </c:numCache>
            </c:numRef>
          </c:yVal>
          <c:smooth val="0"/>
          <c:extLst>
            <c:ext xmlns:c16="http://schemas.microsoft.com/office/drawing/2014/chart" uri="{C3380CC4-5D6E-409C-BE32-E72D297353CC}">
              <c16:uniqueId val="{00000001-B61C-4904-8F69-3F238FD82A5E}"/>
            </c:ext>
          </c:extLst>
        </c:ser>
        <c:ser>
          <c:idx val="2"/>
          <c:order val="1"/>
          <c:tx>
            <c:strRef>
              <c:f>Lohman2011!$AI$30</c:f>
              <c:strCache>
                <c:ptCount val="1"/>
                <c:pt idx="0">
                  <c:v>Russina et al 2010</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Lohman2011!$AI$7:$AI$28</c:f>
              <c:numCache>
                <c:formatCode>General</c:formatCode>
                <c:ptCount val="22"/>
                <c:pt idx="1">
                  <c:v>-12.36</c:v>
                </c:pt>
                <c:pt idx="2">
                  <c:v>-12.26</c:v>
                </c:pt>
                <c:pt idx="3">
                  <c:v>-12.29</c:v>
                </c:pt>
                <c:pt idx="4">
                  <c:v>-12.45</c:v>
                </c:pt>
                <c:pt idx="5">
                  <c:v>-12.36</c:v>
                </c:pt>
                <c:pt idx="6">
                  <c:v>-12.7</c:v>
                </c:pt>
                <c:pt idx="8">
                  <c:v>-13.28</c:v>
                </c:pt>
                <c:pt idx="9">
                  <c:v>-13.28</c:v>
                </c:pt>
                <c:pt idx="11">
                  <c:v>-13.7</c:v>
                </c:pt>
                <c:pt idx="14">
                  <c:v>-13.72</c:v>
                </c:pt>
                <c:pt idx="15">
                  <c:v>-13.75</c:v>
                </c:pt>
                <c:pt idx="16">
                  <c:v>-13.69</c:v>
                </c:pt>
              </c:numCache>
            </c:numRef>
          </c:yVal>
          <c:smooth val="0"/>
          <c:extLst>
            <c:ext xmlns:c16="http://schemas.microsoft.com/office/drawing/2014/chart" uri="{C3380CC4-5D6E-409C-BE32-E72D297353CC}">
              <c16:uniqueId val="{00000002-B61C-4904-8F69-3F238FD82A5E}"/>
            </c:ext>
          </c:extLst>
        </c:ser>
        <c:ser>
          <c:idx val="1"/>
          <c:order val="2"/>
          <c:tx>
            <c:strRef>
              <c:f>Lohman2011!$AJ$5</c:f>
              <c:strCache>
                <c:ptCount val="1"/>
                <c:pt idx="0">
                  <c:v>Hale et al 2010</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Lohman2011!$AJ$7:$AJ$28</c:f>
              <c:numCache>
                <c:formatCode>General</c:formatCode>
                <c:ptCount val="22"/>
                <c:pt idx="4">
                  <c:v>-12.73</c:v>
                </c:pt>
                <c:pt idx="5">
                  <c:v>-12.73</c:v>
                </c:pt>
                <c:pt idx="7">
                  <c:v>-13.4</c:v>
                </c:pt>
              </c:numCache>
            </c:numRef>
          </c:yVal>
          <c:smooth val="0"/>
          <c:extLst>
            <c:ext xmlns:c16="http://schemas.microsoft.com/office/drawing/2014/chart" uri="{C3380CC4-5D6E-409C-BE32-E72D297353CC}">
              <c16:uniqueId val="{00000003-B61C-4904-8F69-3F238FD82A5E}"/>
            </c:ext>
          </c:extLst>
        </c:ser>
        <c:ser>
          <c:idx val="3"/>
          <c:order val="3"/>
          <c:tx>
            <c:strRef>
              <c:f>Lohman2011!$AK$5</c:f>
              <c:strCache>
                <c:ptCount val="1"/>
                <c:pt idx="0">
                  <c:v>Simko et al 1999</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Lohman2011!$AK$7:$AK$28</c:f>
              <c:numCache>
                <c:formatCode>General</c:formatCode>
                <c:ptCount val="22"/>
                <c:pt idx="6">
                  <c:v>-13.15</c:v>
                </c:pt>
                <c:pt idx="7">
                  <c:v>-13.26</c:v>
                </c:pt>
                <c:pt idx="14">
                  <c:v>-13.6</c:v>
                </c:pt>
              </c:numCache>
            </c:numRef>
          </c:yVal>
          <c:smooth val="0"/>
          <c:extLst>
            <c:ext xmlns:c16="http://schemas.microsoft.com/office/drawing/2014/chart" uri="{C3380CC4-5D6E-409C-BE32-E72D297353CC}">
              <c16:uniqueId val="{00000004-B61C-4904-8F69-3F238FD82A5E}"/>
            </c:ext>
          </c:extLst>
        </c:ser>
        <c:ser>
          <c:idx val="4"/>
          <c:order val="4"/>
          <c:tx>
            <c:strRef>
              <c:f>Lohman2011!$AL$5</c:f>
              <c:strCache>
                <c:ptCount val="1"/>
                <c:pt idx="0">
                  <c:v>Russina et al 2007</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Lohman2011!$AL$7:$AL$28</c:f>
              <c:numCache>
                <c:formatCode>General</c:formatCode>
                <c:ptCount val="22"/>
                <c:pt idx="0">
                  <c:v>-11.8</c:v>
                </c:pt>
                <c:pt idx="6">
                  <c:v>-12.5</c:v>
                </c:pt>
              </c:numCache>
            </c:numRef>
          </c:yVal>
          <c:smooth val="0"/>
          <c:extLst>
            <c:ext xmlns:c16="http://schemas.microsoft.com/office/drawing/2014/chart" uri="{C3380CC4-5D6E-409C-BE32-E72D297353CC}">
              <c16:uniqueId val="{00000005-B61C-4904-8F69-3F238FD82A5E}"/>
            </c:ext>
          </c:extLst>
        </c:ser>
        <c:ser>
          <c:idx val="5"/>
          <c:order val="5"/>
          <c:tx>
            <c:strRef>
              <c:f>Lohman2011!$AJ$108</c:f>
              <c:strCache>
                <c:ptCount val="1"/>
                <c:pt idx="0">
                  <c:v>Hale et al 2010</c:v>
                </c:pt>
              </c:strCache>
            </c:strRef>
          </c:tx>
          <c:spPr>
            <a:ln w="28575">
              <a:noFill/>
            </a:ln>
          </c:spPr>
          <c:xVal>
            <c:numRef>
              <c:f>Lohman2011!$K$97:$K$128</c:f>
              <c:numCache>
                <c:formatCode>General</c:formatCode>
                <c:ptCount val="32"/>
                <c:pt idx="0">
                  <c:v>218.6</c:v>
                </c:pt>
                <c:pt idx="1">
                  <c:v>253.1</c:v>
                </c:pt>
                <c:pt idx="2">
                  <c:v>287.5</c:v>
                </c:pt>
                <c:pt idx="3">
                  <c:v>354.5</c:v>
                </c:pt>
                <c:pt idx="4">
                  <c:v>354.5</c:v>
                </c:pt>
                <c:pt idx="5">
                  <c:v>320.10000000000002</c:v>
                </c:pt>
                <c:pt idx="6">
                  <c:v>320.10000000000002</c:v>
                </c:pt>
                <c:pt idx="7">
                  <c:v>318</c:v>
                </c:pt>
                <c:pt idx="8">
                  <c:v>318</c:v>
                </c:pt>
                <c:pt idx="9">
                  <c:v>283.60000000000002</c:v>
                </c:pt>
                <c:pt idx="10">
                  <c:v>284.8</c:v>
                </c:pt>
                <c:pt idx="11">
                  <c:v>290.8</c:v>
                </c:pt>
                <c:pt idx="12">
                  <c:v>290.8</c:v>
                </c:pt>
                <c:pt idx="13">
                  <c:v>290.8</c:v>
                </c:pt>
                <c:pt idx="14">
                  <c:v>290.8</c:v>
                </c:pt>
                <c:pt idx="15">
                  <c:v>364.9</c:v>
                </c:pt>
                <c:pt idx="16">
                  <c:v>380.9</c:v>
                </c:pt>
                <c:pt idx="17">
                  <c:v>406.9</c:v>
                </c:pt>
                <c:pt idx="18">
                  <c:v>422.9</c:v>
                </c:pt>
                <c:pt idx="19">
                  <c:v>380.9</c:v>
                </c:pt>
                <c:pt idx="20">
                  <c:v>380.9</c:v>
                </c:pt>
                <c:pt idx="21">
                  <c:v>364.5</c:v>
                </c:pt>
                <c:pt idx="22">
                  <c:v>373.3</c:v>
                </c:pt>
                <c:pt idx="23">
                  <c:v>389.3</c:v>
                </c:pt>
                <c:pt idx="24">
                  <c:v>345.7</c:v>
                </c:pt>
                <c:pt idx="25">
                  <c:v>289.5</c:v>
                </c:pt>
                <c:pt idx="26">
                  <c:v>303.60000000000002</c:v>
                </c:pt>
                <c:pt idx="27">
                  <c:v>220.4</c:v>
                </c:pt>
                <c:pt idx="28">
                  <c:v>206.3</c:v>
                </c:pt>
                <c:pt idx="29">
                  <c:v>206.3</c:v>
                </c:pt>
                <c:pt idx="30">
                  <c:v>180.2</c:v>
                </c:pt>
                <c:pt idx="31">
                  <c:v>220.4</c:v>
                </c:pt>
              </c:numCache>
            </c:numRef>
          </c:xVal>
          <c:yVal>
            <c:numRef>
              <c:f>Lohman2011!$AI$97:$AI$128</c:f>
              <c:numCache>
                <c:formatCode>General</c:formatCode>
                <c:ptCount val="32"/>
                <c:pt idx="10">
                  <c:v>-12.68</c:v>
                </c:pt>
                <c:pt idx="11">
                  <c:v>-12.9</c:v>
                </c:pt>
                <c:pt idx="12">
                  <c:v>-12.67</c:v>
                </c:pt>
                <c:pt idx="13">
                  <c:v>-13</c:v>
                </c:pt>
                <c:pt idx="14">
                  <c:v>-12.8</c:v>
                </c:pt>
                <c:pt idx="15">
                  <c:v>-14.13</c:v>
                </c:pt>
                <c:pt idx="16">
                  <c:v>-14.13</c:v>
                </c:pt>
                <c:pt idx="17">
                  <c:v>-13.63</c:v>
                </c:pt>
                <c:pt idx="18">
                  <c:v>-13.5</c:v>
                </c:pt>
                <c:pt idx="19">
                  <c:v>-13.83</c:v>
                </c:pt>
                <c:pt idx="21">
                  <c:v>-13.53</c:v>
                </c:pt>
                <c:pt idx="22">
                  <c:v>-14.03</c:v>
                </c:pt>
                <c:pt idx="23">
                  <c:v>-13.6</c:v>
                </c:pt>
                <c:pt idx="24">
                  <c:v>-13.5</c:v>
                </c:pt>
                <c:pt idx="30">
                  <c:v>-12.47</c:v>
                </c:pt>
                <c:pt idx="31">
                  <c:v>-13.54</c:v>
                </c:pt>
              </c:numCache>
            </c:numRef>
          </c:yVal>
          <c:smooth val="0"/>
          <c:extLst>
            <c:ext xmlns:c16="http://schemas.microsoft.com/office/drawing/2014/chart" uri="{C3380CC4-5D6E-409C-BE32-E72D297353CC}">
              <c16:uniqueId val="{00000006-B61C-4904-8F69-3F238FD82A5E}"/>
            </c:ext>
          </c:extLst>
        </c:ser>
        <c:dLbls>
          <c:showLegendKey val="0"/>
          <c:showVal val="0"/>
          <c:showCatName val="0"/>
          <c:showSerName val="0"/>
          <c:showPercent val="0"/>
          <c:showBubbleSize val="0"/>
        </c:dLbls>
        <c:axId val="180800896"/>
        <c:axId val="180803072"/>
      </c:scatterChart>
      <c:valAx>
        <c:axId val="180800896"/>
        <c:scaling>
          <c:orientation val="minMax"/>
        </c:scaling>
        <c:delete val="0"/>
        <c:axPos val="b"/>
        <c:title>
          <c:tx>
            <c:rich>
              <a:bodyPr/>
              <a:lstStyle/>
              <a:p>
                <a:pPr>
                  <a:defRPr/>
                </a:pPr>
                <a:r>
                  <a:rPr lang="en-US"/>
                  <a:t>MW</a:t>
                </a:r>
              </a:p>
            </c:rich>
          </c:tx>
          <c:layout>
            <c:manualLayout>
              <c:xMode val="edge"/>
              <c:yMode val="edge"/>
              <c:x val="0.37350874890638674"/>
              <c:y val="0.92960629921259841"/>
            </c:manualLayout>
          </c:layout>
          <c:overlay val="0"/>
        </c:title>
        <c:numFmt formatCode="General" sourceLinked="1"/>
        <c:majorTickMark val="out"/>
        <c:minorTickMark val="none"/>
        <c:tickLblPos val="nextTo"/>
        <c:crossAx val="180803072"/>
        <c:crossesAt val="-1000"/>
        <c:crossBetween val="midCat"/>
      </c:valAx>
      <c:valAx>
        <c:axId val="180803072"/>
        <c:scaling>
          <c:orientation val="minMax"/>
        </c:scaling>
        <c:delete val="0"/>
        <c:axPos val="l"/>
        <c:title>
          <c:tx>
            <c:rich>
              <a:bodyPr rot="-5400000" vert="horz"/>
              <a:lstStyle/>
              <a:p>
                <a:pPr>
                  <a:defRPr/>
                </a:pPr>
                <a:r>
                  <a:rPr lang="en-US"/>
                  <a:t>D [m2/s]</a:t>
                </a:r>
              </a:p>
            </c:rich>
          </c:tx>
          <c:overlay val="0"/>
        </c:title>
        <c:numFmt formatCode="General" sourceLinked="1"/>
        <c:majorTickMark val="out"/>
        <c:minorTickMark val="none"/>
        <c:tickLblPos val="nextTo"/>
        <c:crossAx val="180800896"/>
        <c:crosses val="autoZero"/>
        <c:crossBetween val="midCat"/>
      </c:valAx>
      <c:spPr>
        <a:ln>
          <a:solidFill>
            <a:schemeClr val="tx1">
              <a:lumMod val="50000"/>
              <a:lumOff val="50000"/>
            </a:schemeClr>
          </a:solidFill>
        </a:ln>
      </c:spPr>
    </c:plotArea>
    <c:legend>
      <c:legendPos val="r"/>
      <c:layout>
        <c:manualLayout>
          <c:xMode val="edge"/>
          <c:yMode val="edge"/>
          <c:x val="0.18527865266841645"/>
          <c:y val="0.31385498687664043"/>
          <c:w val="0.3702769028871391"/>
          <c:h val="0.43710447652376788"/>
        </c:manualLayout>
      </c:layout>
      <c:overlay val="0"/>
    </c:legend>
    <c:plotVisOnly val="1"/>
    <c:dispBlanksAs val="gap"/>
    <c:showDLblsOverMax val="0"/>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'Mao2006'!$S$6:$S$13</c:f>
              <c:numCache>
                <c:formatCode>0%</c:formatCode>
                <c:ptCount val="8"/>
                <c:pt idx="1">
                  <c:v>6.7557491779988224E-2</c:v>
                </c:pt>
                <c:pt idx="2">
                  <c:v>2.5794678679631866E-2</c:v>
                </c:pt>
                <c:pt idx="3">
                  <c:v>4.6676085229810042E-3</c:v>
                </c:pt>
                <c:pt idx="5">
                  <c:v>2.4812725190700869E-2</c:v>
                </c:pt>
                <c:pt idx="6">
                  <c:v>9.3519085825133977E-3</c:v>
                </c:pt>
                <c:pt idx="7">
                  <c:v>1.6592095872201187E-3</c:v>
                </c:pt>
              </c:numCache>
            </c:numRef>
          </c:xVal>
          <c:yVal>
            <c:numRef>
              <c:f>'Mao2006'!$T$6:$T$13</c:f>
              <c:numCache>
                <c:formatCode>0%</c:formatCode>
                <c:ptCount val="8"/>
                <c:pt idx="1">
                  <c:v>4.7746246887114241</c:v>
                </c:pt>
                <c:pt idx="2">
                  <c:v>0.96750664194364611</c:v>
                </c:pt>
                <c:pt idx="3">
                  <c:v>-33.813179659761907</c:v>
                </c:pt>
                <c:pt idx="5">
                  <c:v>14.472369821704543</c:v>
                </c:pt>
                <c:pt idx="6">
                  <c:v>-3.9735782574159262</c:v>
                </c:pt>
                <c:pt idx="7">
                  <c:v>-99.910626419827267</c:v>
                </c:pt>
              </c:numCache>
            </c:numRef>
          </c:yVal>
          <c:smooth val="0"/>
          <c:extLst>
            <c:ext xmlns:c16="http://schemas.microsoft.com/office/drawing/2014/chart" uri="{C3380CC4-5D6E-409C-BE32-E72D297353CC}">
              <c16:uniqueId val="{00000000-2542-4CB4-9881-4484007CC078}"/>
            </c:ext>
          </c:extLst>
        </c:ser>
        <c:ser>
          <c:idx val="3"/>
          <c:order val="1"/>
          <c:tx>
            <c:v>D</c:v>
          </c:tx>
          <c:spPr>
            <a:ln w="28575">
              <a:noFill/>
            </a:ln>
          </c:spPr>
          <c:marker>
            <c:symbol val="diamond"/>
            <c:size val="7"/>
            <c:spPr>
              <a:noFill/>
            </c:spPr>
          </c:marker>
          <c:trendline>
            <c:trendlineType val="power"/>
            <c:dispRSqr val="1"/>
            <c:dispEq val="1"/>
            <c:trendlineLbl>
              <c:layout>
                <c:manualLayout>
                  <c:x val="5.5190546168939765E-2"/>
                  <c:y val="-0.33396651203776201"/>
                </c:manualLayout>
              </c:layout>
              <c:numFmt formatCode="General" sourceLinked="0"/>
            </c:trendlineLbl>
          </c:trendline>
          <c:xVal>
            <c:numRef>
              <c:f>'Mao2006'!$S$6:$S$13</c:f>
              <c:numCache>
                <c:formatCode>0%</c:formatCode>
                <c:ptCount val="8"/>
                <c:pt idx="1">
                  <c:v>6.7557491779988224E-2</c:v>
                </c:pt>
                <c:pt idx="2">
                  <c:v>2.5794678679631866E-2</c:v>
                </c:pt>
                <c:pt idx="3">
                  <c:v>4.6676085229810042E-3</c:v>
                </c:pt>
                <c:pt idx="5">
                  <c:v>2.4812725190700869E-2</c:v>
                </c:pt>
                <c:pt idx="6">
                  <c:v>9.3519085825133977E-3</c:v>
                </c:pt>
                <c:pt idx="7">
                  <c:v>1.6592095872201187E-3</c:v>
                </c:pt>
              </c:numCache>
            </c:numRef>
          </c:xVal>
          <c:yVal>
            <c:numRef>
              <c:f>'Mao2006'!$U$6:$U$13</c:f>
              <c:numCache>
                <c:formatCode>0%</c:formatCode>
                <c:ptCount val="8"/>
                <c:pt idx="1">
                  <c:v>2.3562813957382489</c:v>
                </c:pt>
                <c:pt idx="2">
                  <c:v>5.261448102963989</c:v>
                </c:pt>
                <c:pt idx="3">
                  <c:v>60.626061935358884</c:v>
                </c:pt>
                <c:pt idx="5">
                  <c:v>1.7674387504964701</c:v>
                </c:pt>
                <c:pt idx="6">
                  <c:v>18.941893580320759</c:v>
                </c:pt>
                <c:pt idx="7">
                  <c:v>245.54306493008397</c:v>
                </c:pt>
              </c:numCache>
            </c:numRef>
          </c:yVal>
          <c:smooth val="0"/>
          <c:extLst>
            <c:ext xmlns:c16="http://schemas.microsoft.com/office/drawing/2014/chart" uri="{C3380CC4-5D6E-409C-BE32-E72D297353CC}">
              <c16:uniqueId val="{00000002-2542-4CB4-9881-4484007CC078}"/>
            </c:ext>
          </c:extLst>
        </c:ser>
        <c:dLbls>
          <c:showLegendKey val="0"/>
          <c:showVal val="0"/>
          <c:showCatName val="0"/>
          <c:showSerName val="0"/>
          <c:showPercent val="0"/>
          <c:showBubbleSize val="0"/>
        </c:dLbls>
        <c:axId val="180728192"/>
        <c:axId val="180730112"/>
      </c:scatterChart>
      <c:valAx>
        <c:axId val="180728192"/>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0730112"/>
        <c:crossesAt val="1.0000000000000003E-4"/>
        <c:crossBetween val="midCat"/>
      </c:valAx>
      <c:valAx>
        <c:axId val="180730112"/>
        <c:scaling>
          <c:logBase val="10"/>
          <c:orientation val="minMax"/>
        </c:scaling>
        <c:delete val="0"/>
        <c:axPos val="l"/>
        <c:title>
          <c:tx>
            <c:rich>
              <a:bodyPr rot="-5400000" vert="horz"/>
              <a:lstStyle/>
              <a:p>
                <a:pPr>
                  <a:defRPr/>
                </a:pPr>
                <a:r>
                  <a:rPr lang="en-US"/>
                  <a:t>toename permeatie paramter (d%P/dC%)</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0728192"/>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'Mao2006'!$O$6:$O$13</c:f>
              <c:numCache>
                <c:formatCode>0%</c:formatCode>
                <c:ptCount val="8"/>
                <c:pt idx="0">
                  <c:v>1</c:v>
                </c:pt>
                <c:pt idx="1">
                  <c:v>0.76619166356391488</c:v>
                </c:pt>
                <c:pt idx="2">
                  <c:v>0.73275784551748946</c:v>
                </c:pt>
                <c:pt idx="3">
                  <c:v>0.99303343224530183</c:v>
                </c:pt>
                <c:pt idx="4">
                  <c:v>1</c:v>
                </c:pt>
                <c:pt idx="5">
                  <c:v>0.73586035766235969</c:v>
                </c:pt>
                <c:pt idx="6">
                  <c:v>0.78620689655172415</c:v>
                </c:pt>
                <c:pt idx="7">
                  <c:v>1.0574712643678161</c:v>
                </c:pt>
              </c:numCache>
            </c:numRef>
          </c:yVal>
          <c:smooth val="0"/>
          <c:extLst>
            <c:ext xmlns:c16="http://schemas.microsoft.com/office/drawing/2014/chart" uri="{C3380CC4-5D6E-409C-BE32-E72D297353CC}">
              <c16:uniqueId val="{00000000-F629-4AFA-9B07-D0A51DC5704E}"/>
            </c:ext>
          </c:extLst>
        </c:ser>
        <c:ser>
          <c:idx val="3"/>
          <c:order val="1"/>
          <c:tx>
            <c:v>D</c:v>
          </c:tx>
          <c:spPr>
            <a:ln w="28575">
              <a:noFill/>
            </a:ln>
          </c:spPr>
          <c:marker>
            <c:symbol val="diamond"/>
            <c:size val="7"/>
            <c:spPr>
              <a:noFill/>
            </c:spPr>
          </c:marker>
          <c:trendline>
            <c:trendlineType val="power"/>
            <c:dispRSqr val="1"/>
            <c:dispEq val="1"/>
            <c:trendlineLbl>
              <c:layout>
                <c:manualLayout>
                  <c:x val="-1.346487942236402E-2"/>
                  <c:y val="-5.8072368979632742E-2"/>
                </c:manualLayout>
              </c:layout>
              <c:numFmt formatCode="General" sourceLinked="0"/>
            </c:trendlineLbl>
          </c:trendline>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'Mao2006'!$P$6:$P$13</c:f>
              <c:numCache>
                <c:formatCode>0%</c:formatCode>
                <c:ptCount val="8"/>
                <c:pt idx="0">
                  <c:v>1</c:v>
                </c:pt>
                <c:pt idx="1">
                  <c:v>0.89655172413793105</c:v>
                </c:pt>
                <c:pt idx="2">
                  <c:v>0.75862068965517249</c:v>
                </c:pt>
                <c:pt idx="3">
                  <c:v>0.51724137931034486</c:v>
                </c:pt>
                <c:pt idx="4">
                  <c:v>1</c:v>
                </c:pt>
                <c:pt idx="5">
                  <c:v>0.96875</c:v>
                </c:pt>
                <c:pt idx="6">
                  <c:v>0.78125</c:v>
                </c:pt>
                <c:pt idx="7">
                  <c:v>0.46875</c:v>
                </c:pt>
              </c:numCache>
            </c:numRef>
          </c:yVal>
          <c:smooth val="0"/>
          <c:extLst>
            <c:ext xmlns:c16="http://schemas.microsoft.com/office/drawing/2014/chart" uri="{C3380CC4-5D6E-409C-BE32-E72D297353CC}">
              <c16:uniqueId val="{00000002-F629-4AFA-9B07-D0A51DC5704E}"/>
            </c:ext>
          </c:extLst>
        </c:ser>
        <c:dLbls>
          <c:showLegendKey val="0"/>
          <c:showVal val="0"/>
          <c:showCatName val="0"/>
          <c:showSerName val="0"/>
          <c:showPercent val="0"/>
          <c:showBubbleSize val="0"/>
        </c:dLbls>
        <c:axId val="181080448"/>
        <c:axId val="181082368"/>
      </c:scatterChart>
      <c:valAx>
        <c:axId val="181080448"/>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082368"/>
        <c:crossesAt val="1.0000000000000003E-4"/>
        <c:crossBetween val="midCat"/>
      </c:valAx>
      <c:valAx>
        <c:axId val="181082368"/>
        <c:scaling>
          <c:logBase val="10"/>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080448"/>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numFmt formatCode="General" sourceLinked="0"/>
            </c:trendlineLbl>
          </c:trendline>
          <c:xVal>
            <c:numRef>
              <c:f>Park1993!$C$6:$C$15</c:f>
              <c:numCache>
                <c:formatCode>General</c:formatCode>
                <c:ptCount val="10"/>
                <c:pt idx="0">
                  <c:v>58.1</c:v>
                </c:pt>
                <c:pt idx="1">
                  <c:v>112.56</c:v>
                </c:pt>
                <c:pt idx="2">
                  <c:v>88.11</c:v>
                </c:pt>
                <c:pt idx="3">
                  <c:v>106.17</c:v>
                </c:pt>
                <c:pt idx="4">
                  <c:v>86.18</c:v>
                </c:pt>
                <c:pt idx="5">
                  <c:v>84.93</c:v>
                </c:pt>
                <c:pt idx="6">
                  <c:v>114.23</c:v>
                </c:pt>
                <c:pt idx="7">
                  <c:v>92.14</c:v>
                </c:pt>
                <c:pt idx="8">
                  <c:v>131.38999999999999</c:v>
                </c:pt>
                <c:pt idx="9">
                  <c:v>106.17</c:v>
                </c:pt>
              </c:numCache>
            </c:numRef>
          </c:xVal>
          <c:yVal>
            <c:numRef>
              <c:f>Park1993!$H$6:$H$15</c:f>
              <c:numCache>
                <c:formatCode>General</c:formatCode>
                <c:ptCount val="10"/>
                <c:pt idx="0">
                  <c:v>0.51</c:v>
                </c:pt>
                <c:pt idx="1">
                  <c:v>2.42</c:v>
                </c:pt>
                <c:pt idx="2">
                  <c:v>0.79</c:v>
                </c:pt>
                <c:pt idx="3">
                  <c:v>2.78</c:v>
                </c:pt>
                <c:pt idx="4">
                  <c:v>3.61</c:v>
                </c:pt>
                <c:pt idx="5">
                  <c:v>4.66</c:v>
                </c:pt>
                <c:pt idx="6">
                  <c:v>1.89</c:v>
                </c:pt>
                <c:pt idx="7">
                  <c:v>4.4400000000000004</c:v>
                </c:pt>
                <c:pt idx="8">
                  <c:v>11.9</c:v>
                </c:pt>
                <c:pt idx="9">
                  <c:v>3.68</c:v>
                </c:pt>
              </c:numCache>
            </c:numRef>
          </c:yVal>
          <c:smooth val="0"/>
          <c:extLst>
            <c:ext xmlns:c16="http://schemas.microsoft.com/office/drawing/2014/chart" uri="{C3380CC4-5D6E-409C-BE32-E72D297353CC}">
              <c16:uniqueId val="{00000001-4FA0-482C-ABE9-1E6B33D08272}"/>
            </c:ext>
          </c:extLst>
        </c:ser>
        <c:dLbls>
          <c:showLegendKey val="0"/>
          <c:showVal val="0"/>
          <c:showCatName val="0"/>
          <c:showSerName val="0"/>
          <c:showPercent val="0"/>
          <c:showBubbleSize val="0"/>
        </c:dLbls>
        <c:axId val="181309440"/>
        <c:axId val="181310976"/>
      </c:scatterChart>
      <c:valAx>
        <c:axId val="181309440"/>
        <c:scaling>
          <c:orientation val="minMax"/>
        </c:scaling>
        <c:delete val="0"/>
        <c:axPos val="b"/>
        <c:numFmt formatCode="General" sourceLinked="1"/>
        <c:majorTickMark val="out"/>
        <c:minorTickMark val="none"/>
        <c:tickLblPos val="nextTo"/>
        <c:crossAx val="181310976"/>
        <c:crosses val="autoZero"/>
        <c:crossBetween val="midCat"/>
      </c:valAx>
      <c:valAx>
        <c:axId val="181310976"/>
        <c:scaling>
          <c:orientation val="minMax"/>
        </c:scaling>
        <c:delete val="0"/>
        <c:axPos val="l"/>
        <c:majorGridlines/>
        <c:numFmt formatCode="General" sourceLinked="1"/>
        <c:majorTickMark val="out"/>
        <c:minorTickMark val="none"/>
        <c:tickLblPos val="nextTo"/>
        <c:crossAx val="1813094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Park1993!$AF$6</c:f>
              <c:strCache>
                <c:ptCount val="1"/>
              </c:strCache>
            </c:strRef>
          </c:tx>
          <c:spPr>
            <a:ln w="28575">
              <a:noFill/>
            </a:ln>
          </c:spPr>
          <c:xVal>
            <c:numRef>
              <c:f>Park1993!$AD$7:$AD$22</c:f>
              <c:numCache>
                <c:formatCode>0%</c:formatCode>
                <c:ptCount val="16"/>
                <c:pt idx="0">
                  <c:v>0.67249999999999999</c:v>
                </c:pt>
                <c:pt idx="1">
                  <c:v>0.40250000000000002</c:v>
                </c:pt>
                <c:pt idx="2">
                  <c:v>0.15875</c:v>
                </c:pt>
                <c:pt idx="4">
                  <c:v>0.73575000000000002</c:v>
                </c:pt>
                <c:pt idx="5">
                  <c:v>0.41599999999999998</c:v>
                </c:pt>
                <c:pt idx="6">
                  <c:v>0.15974999999999998</c:v>
                </c:pt>
                <c:pt idx="8">
                  <c:v>0.74750000000000005</c:v>
                </c:pt>
                <c:pt idx="9">
                  <c:v>0.52500000000000002</c:v>
                </c:pt>
                <c:pt idx="10">
                  <c:v>0.375</c:v>
                </c:pt>
                <c:pt idx="11">
                  <c:v>0.17499999999999999</c:v>
                </c:pt>
                <c:pt idx="13">
                  <c:v>0.58499999999999996</c:v>
                </c:pt>
                <c:pt idx="14">
                  <c:v>0.35</c:v>
                </c:pt>
                <c:pt idx="15">
                  <c:v>0.1525</c:v>
                </c:pt>
              </c:numCache>
            </c:numRef>
          </c:xVal>
          <c:yVal>
            <c:numRef>
              <c:f>Park1993!$AF$7:$AF$22</c:f>
              <c:numCache>
                <c:formatCode>0%</c:formatCode>
                <c:ptCount val="16"/>
                <c:pt idx="0">
                  <c:v>0.31222123104371102</c:v>
                </c:pt>
                <c:pt idx="1">
                  <c:v>1.4126688139232633</c:v>
                </c:pt>
                <c:pt idx="2">
                  <c:v>-1.6119345151603213</c:v>
                </c:pt>
                <c:pt idx="4">
                  <c:v>0.1274933645498908</c:v>
                </c:pt>
                <c:pt idx="5">
                  <c:v>1.5800711743772238</c:v>
                </c:pt>
                <c:pt idx="6">
                  <c:v>0.54482127916253109</c:v>
                </c:pt>
                <c:pt idx="8">
                  <c:v>1.5018236429950649</c:v>
                </c:pt>
                <c:pt idx="9">
                  <c:v>-1.3197969543147205</c:v>
                </c:pt>
                <c:pt idx="10">
                  <c:v>4.5584045584045576</c:v>
                </c:pt>
                <c:pt idx="11">
                  <c:v>4.0274442538593469</c:v>
                </c:pt>
                <c:pt idx="13">
                  <c:v>-0.3372275081295914</c:v>
                </c:pt>
                <c:pt idx="14">
                  <c:v>0.74891067538126377</c:v>
                </c:pt>
                <c:pt idx="15">
                  <c:v>-0.10372368011617022</c:v>
                </c:pt>
              </c:numCache>
            </c:numRef>
          </c:yVal>
          <c:smooth val="0"/>
          <c:extLst>
            <c:ext xmlns:c16="http://schemas.microsoft.com/office/drawing/2014/chart" uri="{C3380CC4-5D6E-409C-BE32-E72D297353CC}">
              <c16:uniqueId val="{00000000-677A-4363-94B7-065C4F8A94CE}"/>
            </c:ext>
          </c:extLst>
        </c:ser>
        <c:dLbls>
          <c:showLegendKey val="0"/>
          <c:showVal val="0"/>
          <c:showCatName val="0"/>
          <c:showSerName val="0"/>
          <c:showPercent val="0"/>
          <c:showBubbleSize val="0"/>
        </c:dLbls>
        <c:axId val="181208192"/>
        <c:axId val="181209728"/>
      </c:scatterChart>
      <c:valAx>
        <c:axId val="181208192"/>
        <c:scaling>
          <c:orientation val="minMax"/>
        </c:scaling>
        <c:delete val="0"/>
        <c:axPos val="b"/>
        <c:numFmt formatCode="0%" sourceLinked="1"/>
        <c:majorTickMark val="out"/>
        <c:minorTickMark val="none"/>
        <c:tickLblPos val="nextTo"/>
        <c:crossAx val="181209728"/>
        <c:crosses val="autoZero"/>
        <c:crossBetween val="midCat"/>
      </c:valAx>
      <c:valAx>
        <c:axId val="181209728"/>
        <c:scaling>
          <c:orientation val="minMax"/>
        </c:scaling>
        <c:delete val="0"/>
        <c:axPos val="l"/>
        <c:majorGridlines/>
        <c:numFmt formatCode="0%" sourceLinked="1"/>
        <c:majorTickMark val="out"/>
        <c:minorTickMark val="none"/>
        <c:tickLblPos val="nextTo"/>
        <c:crossAx val="18120819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Park1993!$U$6:$U$22</c:f>
              <c:numCache>
                <c:formatCode>0%</c:formatCode>
                <c:ptCount val="17"/>
                <c:pt idx="0">
                  <c:v>0.9</c:v>
                </c:pt>
                <c:pt idx="1">
                  <c:v>0.6</c:v>
                </c:pt>
                <c:pt idx="2">
                  <c:v>0.3</c:v>
                </c:pt>
                <c:pt idx="3">
                  <c:v>0.05</c:v>
                </c:pt>
                <c:pt idx="4">
                  <c:v>1</c:v>
                </c:pt>
                <c:pt idx="5">
                  <c:v>0.6</c:v>
                </c:pt>
                <c:pt idx="6">
                  <c:v>0.3</c:v>
                </c:pt>
                <c:pt idx="7">
                  <c:v>0.05</c:v>
                </c:pt>
                <c:pt idx="8">
                  <c:v>0.9</c:v>
                </c:pt>
                <c:pt idx="9">
                  <c:v>0.6</c:v>
                </c:pt>
                <c:pt idx="10">
                  <c:v>0.45</c:v>
                </c:pt>
                <c:pt idx="11">
                  <c:v>0.3</c:v>
                </c:pt>
                <c:pt idx="12">
                  <c:v>0.05</c:v>
                </c:pt>
                <c:pt idx="13">
                  <c:v>0.9</c:v>
                </c:pt>
                <c:pt idx="14">
                  <c:v>0.6</c:v>
                </c:pt>
                <c:pt idx="15">
                  <c:v>0.3</c:v>
                </c:pt>
                <c:pt idx="16">
                  <c:v>0.1</c:v>
                </c:pt>
              </c:numCache>
            </c:numRef>
          </c:xVal>
          <c:yVal>
            <c:numRef>
              <c:f>Park1993!$AC$6:$AC$22</c:f>
              <c:numCache>
                <c:formatCode>0%</c:formatCode>
                <c:ptCount val="17"/>
                <c:pt idx="0">
                  <c:v>1</c:v>
                </c:pt>
                <c:pt idx="1">
                  <c:v>1.359653270291568</c:v>
                </c:pt>
                <c:pt idx="2">
                  <c:v>1.322616233254531</c:v>
                </c:pt>
                <c:pt idx="3">
                  <c:v>2.3802994483845548</c:v>
                </c:pt>
                <c:pt idx="4">
                  <c:v>1</c:v>
                </c:pt>
                <c:pt idx="5">
                  <c:v>0.8512918660287081</c:v>
                </c:pt>
                <c:pt idx="6">
                  <c:v>1.0294736842105263</c:v>
                </c:pt>
                <c:pt idx="7">
                  <c:v>1.575311004784689</c:v>
                </c:pt>
                <c:pt idx="8">
                  <c:v>1</c:v>
                </c:pt>
                <c:pt idx="9">
                  <c:v>0.85169491525423724</c:v>
                </c:pt>
                <c:pt idx="10">
                  <c:v>0.71186440677966101</c:v>
                </c:pt>
                <c:pt idx="11">
                  <c:v>0.75</c:v>
                </c:pt>
                <c:pt idx="12">
                  <c:v>1.2076271186440679</c:v>
                </c:pt>
                <c:pt idx="13">
                  <c:v>1</c:v>
                </c:pt>
                <c:pt idx="14">
                  <c:v>0.95683488972779651</c:v>
                </c:pt>
                <c:pt idx="15">
                  <c:v>1.0719749652294854</c:v>
                </c:pt>
                <c:pt idx="16">
                  <c:v>1.5409298629048283</c:v>
                </c:pt>
              </c:numCache>
            </c:numRef>
          </c:yVal>
          <c:smooth val="0"/>
          <c:extLst>
            <c:ext xmlns:c16="http://schemas.microsoft.com/office/drawing/2014/chart" uri="{C3380CC4-5D6E-409C-BE32-E72D297353CC}">
              <c16:uniqueId val="{00000000-7C22-49E3-B840-0438D347E1E4}"/>
            </c:ext>
          </c:extLst>
        </c:ser>
        <c:ser>
          <c:idx val="3"/>
          <c:order val="1"/>
          <c:tx>
            <c:v>D</c:v>
          </c:tx>
          <c:spPr>
            <a:ln w="28575">
              <a:noFill/>
            </a:ln>
          </c:spPr>
          <c:marker>
            <c:symbol val="diamond"/>
            <c:size val="7"/>
            <c:spPr>
              <a:noFill/>
            </c:spPr>
          </c:marker>
          <c:trendline>
            <c:trendlineType val="linear"/>
            <c:dispRSqr val="1"/>
            <c:dispEq val="1"/>
            <c:trendlineLbl>
              <c:layout>
                <c:manualLayout>
                  <c:x val="0.16667608511261231"/>
                  <c:y val="-0.1304563112336577"/>
                </c:manualLayout>
              </c:layout>
              <c:numFmt formatCode="General" sourceLinked="0"/>
            </c:trendlineLbl>
          </c:trendline>
          <c:xVal>
            <c:numRef>
              <c:f>Park1993!$U$6:$U$22</c:f>
              <c:numCache>
                <c:formatCode>0%</c:formatCode>
                <c:ptCount val="17"/>
                <c:pt idx="0">
                  <c:v>0.9</c:v>
                </c:pt>
                <c:pt idx="1">
                  <c:v>0.6</c:v>
                </c:pt>
                <c:pt idx="2">
                  <c:v>0.3</c:v>
                </c:pt>
                <c:pt idx="3">
                  <c:v>0.05</c:v>
                </c:pt>
                <c:pt idx="4">
                  <c:v>1</c:v>
                </c:pt>
                <c:pt idx="5">
                  <c:v>0.6</c:v>
                </c:pt>
                <c:pt idx="6">
                  <c:v>0.3</c:v>
                </c:pt>
                <c:pt idx="7">
                  <c:v>0.05</c:v>
                </c:pt>
                <c:pt idx="8">
                  <c:v>0.9</c:v>
                </c:pt>
                <c:pt idx="9">
                  <c:v>0.6</c:v>
                </c:pt>
                <c:pt idx="10">
                  <c:v>0.45</c:v>
                </c:pt>
                <c:pt idx="11">
                  <c:v>0.3</c:v>
                </c:pt>
                <c:pt idx="12">
                  <c:v>0.05</c:v>
                </c:pt>
                <c:pt idx="13">
                  <c:v>0.9</c:v>
                </c:pt>
                <c:pt idx="14">
                  <c:v>0.6</c:v>
                </c:pt>
                <c:pt idx="15">
                  <c:v>0.3</c:v>
                </c:pt>
                <c:pt idx="16">
                  <c:v>0.1</c:v>
                </c:pt>
              </c:numCache>
            </c:numRef>
          </c:xVal>
          <c:yVal>
            <c:numRef>
              <c:f>Park1993!$AB$6:$AB$22</c:f>
              <c:numCache>
                <c:formatCode>0%</c:formatCode>
                <c:ptCount val="17"/>
                <c:pt idx="0">
                  <c:v>1</c:v>
                </c:pt>
                <c:pt idx="1">
                  <c:v>0.91828793774319062</c:v>
                </c:pt>
                <c:pt idx="2">
                  <c:v>0.67509727626459148</c:v>
                </c:pt>
                <c:pt idx="3">
                  <c:v>1.0797665369649805</c:v>
                </c:pt>
                <c:pt idx="4">
                  <c:v>1</c:v>
                </c:pt>
                <c:pt idx="5">
                  <c:v>0.9562913907284768</c:v>
                </c:pt>
                <c:pt idx="6">
                  <c:v>0.66225165562913912</c:v>
                </c:pt>
                <c:pt idx="7">
                  <c:v>0.58807947019867557</c:v>
                </c:pt>
                <c:pt idx="8">
                  <c:v>1</c:v>
                </c:pt>
                <c:pt idx="9">
                  <c:v>0.69298245614035092</c:v>
                </c:pt>
                <c:pt idx="10">
                  <c:v>0.86403508771929816</c:v>
                </c:pt>
                <c:pt idx="11">
                  <c:v>0.51315789473684204</c:v>
                </c:pt>
                <c:pt idx="12">
                  <c:v>0.25570175438596493</c:v>
                </c:pt>
                <c:pt idx="13">
                  <c:v>1</c:v>
                </c:pt>
                <c:pt idx="14">
                  <c:v>1.084084084084084</c:v>
                </c:pt>
                <c:pt idx="15">
                  <c:v>0.91891891891891897</c:v>
                </c:pt>
                <c:pt idx="16">
                  <c:v>0.93393393393393387</c:v>
                </c:pt>
              </c:numCache>
            </c:numRef>
          </c:yVal>
          <c:smooth val="0"/>
          <c:extLst>
            <c:ext xmlns:c16="http://schemas.microsoft.com/office/drawing/2014/chart" uri="{C3380CC4-5D6E-409C-BE32-E72D297353CC}">
              <c16:uniqueId val="{00000002-7C22-49E3-B840-0438D347E1E4}"/>
            </c:ext>
          </c:extLst>
        </c:ser>
        <c:dLbls>
          <c:showLegendKey val="0"/>
          <c:showVal val="0"/>
          <c:showCatName val="0"/>
          <c:showSerName val="0"/>
          <c:showPercent val="0"/>
          <c:showBubbleSize val="0"/>
        </c:dLbls>
        <c:axId val="181228288"/>
        <c:axId val="181230208"/>
      </c:scatterChart>
      <c:valAx>
        <c:axId val="181228288"/>
        <c:scaling>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230208"/>
        <c:crossesAt val="1.0000000000000003E-4"/>
        <c:crossBetween val="midCat"/>
      </c:valAx>
      <c:valAx>
        <c:axId val="181230208"/>
        <c:scaling>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228288"/>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988407699037624E-2"/>
          <c:y val="5.1400554097404488E-2"/>
          <c:w val="0.53471850393700793"/>
          <c:h val="0.78632327209098862"/>
        </c:manualLayout>
      </c:layout>
      <c:scatterChart>
        <c:scatterStyle val="lineMarker"/>
        <c:varyColors val="0"/>
        <c:ser>
          <c:idx val="1"/>
          <c:order val="0"/>
          <c:tx>
            <c:strRef>
              <c:f>Park1996!$B$6</c:f>
              <c:strCache>
                <c:ptCount val="1"/>
                <c:pt idx="0">
                  <c:v>Methylene chloride</c:v>
                </c:pt>
              </c:strCache>
            </c:strRef>
          </c:tx>
          <c:spPr>
            <a:ln w="19050"/>
          </c:spPr>
          <c:marker>
            <c:symbol val="square"/>
            <c:size val="4"/>
          </c:marker>
          <c:xVal>
            <c:numRef>
              <c:f>Park1996!$C$6:$C$8</c:f>
              <c:numCache>
                <c:formatCode>General</c:formatCode>
                <c:ptCount val="3"/>
                <c:pt idx="0">
                  <c:v>100</c:v>
                </c:pt>
                <c:pt idx="1">
                  <c:v>50</c:v>
                </c:pt>
                <c:pt idx="2">
                  <c:v>10</c:v>
                </c:pt>
              </c:numCache>
            </c:numRef>
          </c:xVal>
          <c:yVal>
            <c:numRef>
              <c:f>Park1996!$D$6:$D$8</c:f>
              <c:numCache>
                <c:formatCode>General</c:formatCode>
                <c:ptCount val="3"/>
                <c:pt idx="0">
                  <c:v>3.6</c:v>
                </c:pt>
                <c:pt idx="1">
                  <c:v>2.4</c:v>
                </c:pt>
                <c:pt idx="2">
                  <c:v>2.2000000000000002</c:v>
                </c:pt>
              </c:numCache>
            </c:numRef>
          </c:yVal>
          <c:smooth val="0"/>
          <c:extLst>
            <c:ext xmlns:c16="http://schemas.microsoft.com/office/drawing/2014/chart" uri="{C3380CC4-5D6E-409C-BE32-E72D297353CC}">
              <c16:uniqueId val="{00000000-7410-4872-A886-98970B09A7CA}"/>
            </c:ext>
          </c:extLst>
        </c:ser>
        <c:ser>
          <c:idx val="0"/>
          <c:order val="1"/>
          <c:tx>
            <c:v>model</c:v>
          </c:tx>
          <c:spPr>
            <a:ln w="12700">
              <a:solidFill>
                <a:schemeClr val="accent2">
                  <a:lumMod val="75000"/>
                </a:schemeClr>
              </a:solidFill>
              <a:prstDash val="dash"/>
            </a:ln>
          </c:spPr>
          <c:marker>
            <c:symbol val="none"/>
          </c:marker>
          <c:dPt>
            <c:idx val="2"/>
            <c:bubble3D val="0"/>
            <c:extLst>
              <c:ext xmlns:c16="http://schemas.microsoft.com/office/drawing/2014/chart" uri="{C3380CC4-5D6E-409C-BE32-E72D297353CC}">
                <c16:uniqueId val="{00000001-7410-4872-A886-98970B09A7CA}"/>
              </c:ext>
            </c:extLst>
          </c:dPt>
          <c:xVal>
            <c:numRef>
              <c:f>Park1996!$C$6:$C$8</c:f>
              <c:numCache>
                <c:formatCode>General</c:formatCode>
                <c:ptCount val="3"/>
                <c:pt idx="0">
                  <c:v>100</c:v>
                </c:pt>
                <c:pt idx="1">
                  <c:v>50</c:v>
                </c:pt>
                <c:pt idx="2">
                  <c:v>10</c:v>
                </c:pt>
              </c:numCache>
            </c:numRef>
          </c:xVal>
          <c:yVal>
            <c:numRef>
              <c:f>Park1996!$G$6:$G$8</c:f>
              <c:numCache>
                <c:formatCode>0.0000</c:formatCode>
                <c:ptCount val="3"/>
                <c:pt idx="0">
                  <c:v>4.609104298294203</c:v>
                </c:pt>
                <c:pt idx="1">
                  <c:v>3.0132931267368561</c:v>
                </c:pt>
                <c:pt idx="2">
                  <c:v>2.1447726213958456</c:v>
                </c:pt>
              </c:numCache>
            </c:numRef>
          </c:yVal>
          <c:smooth val="0"/>
          <c:extLst>
            <c:ext xmlns:c16="http://schemas.microsoft.com/office/drawing/2014/chart" uri="{C3380CC4-5D6E-409C-BE32-E72D297353CC}">
              <c16:uniqueId val="{00000002-7410-4872-A886-98970B09A7CA}"/>
            </c:ext>
          </c:extLst>
        </c:ser>
        <c:ser>
          <c:idx val="2"/>
          <c:order val="2"/>
          <c:tx>
            <c:strRef>
              <c:f>Park1996!$B$9</c:f>
              <c:strCache>
                <c:ptCount val="1"/>
                <c:pt idx="0">
                  <c:v>Toluene</c:v>
                </c:pt>
              </c:strCache>
            </c:strRef>
          </c:tx>
          <c:spPr>
            <a:ln w="19050"/>
          </c:spPr>
          <c:marker>
            <c:symbol val="square"/>
            <c:size val="5"/>
          </c:marker>
          <c:xVal>
            <c:numRef>
              <c:f>Park1996!$C$9:$C$11</c:f>
              <c:numCache>
                <c:formatCode>General</c:formatCode>
                <c:ptCount val="3"/>
                <c:pt idx="0">
                  <c:v>100</c:v>
                </c:pt>
                <c:pt idx="1">
                  <c:v>50</c:v>
                </c:pt>
                <c:pt idx="2">
                  <c:v>10</c:v>
                </c:pt>
              </c:numCache>
            </c:numRef>
          </c:xVal>
          <c:yVal>
            <c:numRef>
              <c:f>Park1996!$D$9:$D$11</c:f>
              <c:numCache>
                <c:formatCode>General</c:formatCode>
                <c:ptCount val="3"/>
                <c:pt idx="0">
                  <c:v>5.3</c:v>
                </c:pt>
                <c:pt idx="1">
                  <c:v>3.6</c:v>
                </c:pt>
                <c:pt idx="2">
                  <c:v>3.2</c:v>
                </c:pt>
              </c:numCache>
            </c:numRef>
          </c:yVal>
          <c:smooth val="0"/>
          <c:extLst>
            <c:ext xmlns:c16="http://schemas.microsoft.com/office/drawing/2014/chart" uri="{C3380CC4-5D6E-409C-BE32-E72D297353CC}">
              <c16:uniqueId val="{00000003-7410-4872-A886-98970B09A7CA}"/>
            </c:ext>
          </c:extLst>
        </c:ser>
        <c:ser>
          <c:idx val="3"/>
          <c:order val="3"/>
          <c:tx>
            <c:v>model</c:v>
          </c:tx>
          <c:spPr>
            <a:ln w="15875">
              <a:solidFill>
                <a:schemeClr val="accent3">
                  <a:shade val="95000"/>
                  <a:satMod val="105000"/>
                </a:schemeClr>
              </a:solidFill>
              <a:prstDash val="dash"/>
            </a:ln>
          </c:spPr>
          <c:marker>
            <c:symbol val="none"/>
          </c:marker>
          <c:xVal>
            <c:numRef>
              <c:f>Park1996!$C$9:$C$11</c:f>
              <c:numCache>
                <c:formatCode>General</c:formatCode>
                <c:ptCount val="3"/>
                <c:pt idx="0">
                  <c:v>100</c:v>
                </c:pt>
                <c:pt idx="1">
                  <c:v>50</c:v>
                </c:pt>
                <c:pt idx="2">
                  <c:v>10</c:v>
                </c:pt>
              </c:numCache>
            </c:numRef>
          </c:xVal>
          <c:yVal>
            <c:numRef>
              <c:f>Park1996!$G$9:$G$11</c:f>
              <c:numCache>
                <c:formatCode>0.0000</c:formatCode>
                <c:ptCount val="3"/>
                <c:pt idx="0">
                  <c:v>6.0757900476783773</c:v>
                </c:pt>
                <c:pt idx="1">
                  <c:v>4.1758253599542376</c:v>
                </c:pt>
                <c:pt idx="2">
                  <c:v>3.0935275130388926</c:v>
                </c:pt>
              </c:numCache>
            </c:numRef>
          </c:yVal>
          <c:smooth val="0"/>
          <c:extLst>
            <c:ext xmlns:c16="http://schemas.microsoft.com/office/drawing/2014/chart" uri="{C3380CC4-5D6E-409C-BE32-E72D297353CC}">
              <c16:uniqueId val="{00000004-7410-4872-A886-98970B09A7CA}"/>
            </c:ext>
          </c:extLst>
        </c:ser>
        <c:ser>
          <c:idx val="4"/>
          <c:order val="4"/>
          <c:tx>
            <c:strRef>
              <c:f>Park1996!$B$12</c:f>
              <c:strCache>
                <c:ptCount val="1"/>
                <c:pt idx="0">
                  <c:v>Trichlorethylene</c:v>
                </c:pt>
              </c:strCache>
            </c:strRef>
          </c:tx>
          <c:marker>
            <c:symbol val="square"/>
            <c:size val="5"/>
          </c:marker>
          <c:xVal>
            <c:numRef>
              <c:f>Park1996!$C$12:$C$14</c:f>
              <c:numCache>
                <c:formatCode>General</c:formatCode>
                <c:ptCount val="3"/>
                <c:pt idx="0">
                  <c:v>100</c:v>
                </c:pt>
                <c:pt idx="1">
                  <c:v>50</c:v>
                </c:pt>
                <c:pt idx="2">
                  <c:v>10</c:v>
                </c:pt>
              </c:numCache>
            </c:numRef>
          </c:xVal>
          <c:yVal>
            <c:numRef>
              <c:f>Park1996!$D$12:$D$14</c:f>
              <c:numCache>
                <c:formatCode>General</c:formatCode>
                <c:ptCount val="3"/>
                <c:pt idx="0">
                  <c:v>6.6</c:v>
                </c:pt>
                <c:pt idx="1">
                  <c:v>4.7</c:v>
                </c:pt>
                <c:pt idx="2">
                  <c:v>4.0999999999999996</c:v>
                </c:pt>
              </c:numCache>
            </c:numRef>
          </c:yVal>
          <c:smooth val="0"/>
          <c:extLst>
            <c:ext xmlns:c16="http://schemas.microsoft.com/office/drawing/2014/chart" uri="{C3380CC4-5D6E-409C-BE32-E72D297353CC}">
              <c16:uniqueId val="{00000005-7410-4872-A886-98970B09A7CA}"/>
            </c:ext>
          </c:extLst>
        </c:ser>
        <c:ser>
          <c:idx val="5"/>
          <c:order val="5"/>
          <c:tx>
            <c:v>model</c:v>
          </c:tx>
          <c:spPr>
            <a:ln w="15875">
              <a:solidFill>
                <a:schemeClr val="accent1">
                  <a:lumMod val="75000"/>
                </a:schemeClr>
              </a:solidFill>
              <a:prstDash val="dash"/>
            </a:ln>
          </c:spPr>
          <c:marker>
            <c:symbol val="none"/>
          </c:marker>
          <c:xVal>
            <c:numRef>
              <c:f>Park1996!$C$12:$C$14</c:f>
              <c:numCache>
                <c:formatCode>General</c:formatCode>
                <c:ptCount val="3"/>
                <c:pt idx="0">
                  <c:v>100</c:v>
                </c:pt>
                <c:pt idx="1">
                  <c:v>50</c:v>
                </c:pt>
                <c:pt idx="2">
                  <c:v>10</c:v>
                </c:pt>
              </c:numCache>
            </c:numRef>
          </c:xVal>
          <c:yVal>
            <c:numRef>
              <c:f>Park1996!$G$12:$G$14</c:f>
              <c:numCache>
                <c:formatCode>0.0000</c:formatCode>
                <c:ptCount val="3"/>
                <c:pt idx="0">
                  <c:v>7.4764332496615582</c:v>
                </c:pt>
                <c:pt idx="1">
                  <c:v>5.2949621987537219</c:v>
                </c:pt>
                <c:pt idx="2">
                  <c:v>4.0178857843062987</c:v>
                </c:pt>
              </c:numCache>
            </c:numRef>
          </c:yVal>
          <c:smooth val="0"/>
          <c:extLst>
            <c:ext xmlns:c16="http://schemas.microsoft.com/office/drawing/2014/chart" uri="{C3380CC4-5D6E-409C-BE32-E72D297353CC}">
              <c16:uniqueId val="{00000006-7410-4872-A886-98970B09A7CA}"/>
            </c:ext>
          </c:extLst>
        </c:ser>
        <c:ser>
          <c:idx val="7"/>
          <c:order val="6"/>
          <c:tx>
            <c:strRef>
              <c:f>Park1996!$B$15</c:f>
              <c:strCache>
                <c:ptCount val="1"/>
                <c:pt idx="0">
                  <c:v>m-Xylene</c:v>
                </c:pt>
              </c:strCache>
            </c:strRef>
          </c:tx>
          <c:spPr>
            <a:ln>
              <a:solidFill>
                <a:schemeClr val="accent4">
                  <a:lumMod val="75000"/>
                </a:schemeClr>
              </a:solidFill>
            </a:ln>
          </c:spPr>
          <c:marker>
            <c:symbol val="square"/>
            <c:size val="5"/>
            <c:spPr>
              <a:solidFill>
                <a:schemeClr val="accent2">
                  <a:lumMod val="75000"/>
                </a:schemeClr>
              </a:solidFill>
            </c:spPr>
          </c:marker>
          <c:xVal>
            <c:numRef>
              <c:f>Park1996!$C$15:$C$17</c:f>
              <c:numCache>
                <c:formatCode>General</c:formatCode>
                <c:ptCount val="3"/>
                <c:pt idx="0">
                  <c:v>100</c:v>
                </c:pt>
                <c:pt idx="1">
                  <c:v>50</c:v>
                </c:pt>
                <c:pt idx="2">
                  <c:v>10</c:v>
                </c:pt>
              </c:numCache>
            </c:numRef>
          </c:xVal>
          <c:yVal>
            <c:numRef>
              <c:f>Park1996!$D$15:$D$17</c:f>
              <c:numCache>
                <c:formatCode>General</c:formatCode>
                <c:ptCount val="3"/>
                <c:pt idx="0">
                  <c:v>9.6</c:v>
                </c:pt>
                <c:pt idx="1">
                  <c:v>6.7</c:v>
                </c:pt>
                <c:pt idx="2">
                  <c:v>5.3</c:v>
                </c:pt>
              </c:numCache>
            </c:numRef>
          </c:yVal>
          <c:smooth val="0"/>
          <c:extLst>
            <c:ext xmlns:c16="http://schemas.microsoft.com/office/drawing/2014/chart" uri="{C3380CC4-5D6E-409C-BE32-E72D297353CC}">
              <c16:uniqueId val="{00000007-7410-4872-A886-98970B09A7CA}"/>
            </c:ext>
          </c:extLst>
        </c:ser>
        <c:ser>
          <c:idx val="6"/>
          <c:order val="7"/>
          <c:tx>
            <c:v>model</c:v>
          </c:tx>
          <c:spPr>
            <a:ln w="15875">
              <a:solidFill>
                <a:schemeClr val="accent4">
                  <a:lumMod val="75000"/>
                </a:schemeClr>
              </a:solidFill>
              <a:prstDash val="dash"/>
            </a:ln>
          </c:spPr>
          <c:marker>
            <c:symbol val="none"/>
          </c:marker>
          <c:xVal>
            <c:numRef>
              <c:f>Park1996!$C$15:$C$17</c:f>
              <c:numCache>
                <c:formatCode>General</c:formatCode>
                <c:ptCount val="3"/>
                <c:pt idx="0">
                  <c:v>100</c:v>
                </c:pt>
                <c:pt idx="1">
                  <c:v>50</c:v>
                </c:pt>
                <c:pt idx="2">
                  <c:v>10</c:v>
                </c:pt>
              </c:numCache>
            </c:numRef>
          </c:xVal>
          <c:yVal>
            <c:numRef>
              <c:f>Park1996!$G$15:$G$17</c:f>
              <c:numCache>
                <c:formatCode>0.0000</c:formatCode>
                <c:ptCount val="3"/>
                <c:pt idx="0">
                  <c:v>9.8875257936800409</c:v>
                </c:pt>
                <c:pt idx="1">
                  <c:v>6.9676216635928938</c:v>
                </c:pt>
                <c:pt idx="2">
                  <c:v>5.2660151699582034</c:v>
                </c:pt>
              </c:numCache>
            </c:numRef>
          </c:yVal>
          <c:smooth val="0"/>
          <c:extLst>
            <c:ext xmlns:c16="http://schemas.microsoft.com/office/drawing/2014/chart" uri="{C3380CC4-5D6E-409C-BE32-E72D297353CC}">
              <c16:uniqueId val="{00000008-7410-4872-A886-98970B09A7CA}"/>
            </c:ext>
          </c:extLst>
        </c:ser>
        <c:dLbls>
          <c:showLegendKey val="0"/>
          <c:showVal val="0"/>
          <c:showCatName val="0"/>
          <c:showSerName val="0"/>
          <c:showPercent val="0"/>
          <c:showBubbleSize val="0"/>
        </c:dLbls>
        <c:axId val="181961856"/>
        <c:axId val="181963392"/>
      </c:scatterChart>
      <c:valAx>
        <c:axId val="181961856"/>
        <c:scaling>
          <c:orientation val="minMax"/>
        </c:scaling>
        <c:delete val="0"/>
        <c:axPos val="b"/>
        <c:numFmt formatCode="General" sourceLinked="1"/>
        <c:majorTickMark val="out"/>
        <c:minorTickMark val="none"/>
        <c:tickLblPos val="nextTo"/>
        <c:crossAx val="181963392"/>
        <c:crosses val="autoZero"/>
        <c:crossBetween val="midCat"/>
      </c:valAx>
      <c:valAx>
        <c:axId val="181963392"/>
        <c:scaling>
          <c:orientation val="minMax"/>
        </c:scaling>
        <c:delete val="0"/>
        <c:axPos val="l"/>
        <c:majorGridlines/>
        <c:numFmt formatCode="General" sourceLinked="1"/>
        <c:majorTickMark val="out"/>
        <c:minorTickMark val="none"/>
        <c:tickLblPos val="nextTo"/>
        <c:crossAx val="18196185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exp"/>
            <c:dispRSqr val="1"/>
            <c:dispEq val="1"/>
            <c:trendlineLbl>
              <c:layout>
                <c:manualLayout>
                  <c:x val="-0.19938779527559056"/>
                  <c:y val="-5.5448745990084571E-2"/>
                </c:manualLayout>
              </c:layout>
              <c:numFmt formatCode="General" sourceLinked="0"/>
            </c:trendlineLbl>
          </c:trendline>
          <c:xVal>
            <c:numRef>
              <c:f>Piringer2008!$C$6:$C$48</c:f>
              <c:numCache>
                <c:formatCode>General</c:formatCode>
                <c:ptCount val="43"/>
                <c:pt idx="0">
                  <c:v>16</c:v>
                </c:pt>
                <c:pt idx="1">
                  <c:v>16</c:v>
                </c:pt>
                <c:pt idx="2">
                  <c:v>30</c:v>
                </c:pt>
                <c:pt idx="3">
                  <c:v>30</c:v>
                </c:pt>
                <c:pt idx="4">
                  <c:v>32</c:v>
                </c:pt>
                <c:pt idx="5">
                  <c:v>44</c:v>
                </c:pt>
                <c:pt idx="6">
                  <c:v>72</c:v>
                </c:pt>
                <c:pt idx="7">
                  <c:v>78</c:v>
                </c:pt>
                <c:pt idx="8">
                  <c:v>78</c:v>
                </c:pt>
                <c:pt idx="9">
                  <c:v>86</c:v>
                </c:pt>
                <c:pt idx="10">
                  <c:v>86</c:v>
                </c:pt>
                <c:pt idx="11">
                  <c:v>94</c:v>
                </c:pt>
                <c:pt idx="12">
                  <c:v>116</c:v>
                </c:pt>
                <c:pt idx="13">
                  <c:v>117</c:v>
                </c:pt>
                <c:pt idx="14">
                  <c:v>122</c:v>
                </c:pt>
                <c:pt idx="15">
                  <c:v>126</c:v>
                </c:pt>
                <c:pt idx="16">
                  <c:v>128</c:v>
                </c:pt>
                <c:pt idx="17">
                  <c:v>134</c:v>
                </c:pt>
                <c:pt idx="18">
                  <c:v>136</c:v>
                </c:pt>
                <c:pt idx="19">
                  <c:v>136</c:v>
                </c:pt>
                <c:pt idx="20">
                  <c:v>142</c:v>
                </c:pt>
                <c:pt idx="21">
                  <c:v>143</c:v>
                </c:pt>
                <c:pt idx="22">
                  <c:v>150</c:v>
                </c:pt>
                <c:pt idx="23">
                  <c:v>150</c:v>
                </c:pt>
                <c:pt idx="24">
                  <c:v>154</c:v>
                </c:pt>
                <c:pt idx="25">
                  <c:v>156</c:v>
                </c:pt>
                <c:pt idx="26">
                  <c:v>158</c:v>
                </c:pt>
                <c:pt idx="27">
                  <c:v>164</c:v>
                </c:pt>
                <c:pt idx="28">
                  <c:v>170</c:v>
                </c:pt>
                <c:pt idx="29">
                  <c:v>170</c:v>
                </c:pt>
                <c:pt idx="30">
                  <c:v>194</c:v>
                </c:pt>
                <c:pt idx="31">
                  <c:v>198</c:v>
                </c:pt>
                <c:pt idx="32">
                  <c:v>214</c:v>
                </c:pt>
                <c:pt idx="33">
                  <c:v>220</c:v>
                </c:pt>
                <c:pt idx="34">
                  <c:v>264</c:v>
                </c:pt>
                <c:pt idx="35">
                  <c:v>282</c:v>
                </c:pt>
                <c:pt idx="36">
                  <c:v>310</c:v>
                </c:pt>
                <c:pt idx="37">
                  <c:v>315.8</c:v>
                </c:pt>
                <c:pt idx="38">
                  <c:v>346</c:v>
                </c:pt>
                <c:pt idx="39">
                  <c:v>368</c:v>
                </c:pt>
                <c:pt idx="40">
                  <c:v>438</c:v>
                </c:pt>
                <c:pt idx="41">
                  <c:v>514</c:v>
                </c:pt>
                <c:pt idx="42">
                  <c:v>531</c:v>
                </c:pt>
              </c:numCache>
            </c:numRef>
          </c:xVal>
          <c:yVal>
            <c:numRef>
              <c:f>Piringer2008!$D$6:$D$48</c:f>
              <c:numCache>
                <c:formatCode>General</c:formatCode>
                <c:ptCount val="43"/>
                <c:pt idx="0">
                  <c:v>1940</c:v>
                </c:pt>
                <c:pt idx="1">
                  <c:v>2980</c:v>
                </c:pt>
                <c:pt idx="2">
                  <c:v>480</c:v>
                </c:pt>
                <c:pt idx="3">
                  <c:v>538</c:v>
                </c:pt>
                <c:pt idx="4">
                  <c:v>480</c:v>
                </c:pt>
                <c:pt idx="5">
                  <c:v>520</c:v>
                </c:pt>
                <c:pt idx="6">
                  <c:v>80.5</c:v>
                </c:pt>
                <c:pt idx="7">
                  <c:v>105</c:v>
                </c:pt>
                <c:pt idx="8">
                  <c:v>40</c:v>
                </c:pt>
                <c:pt idx="9">
                  <c:v>105</c:v>
                </c:pt>
                <c:pt idx="10">
                  <c:v>84</c:v>
                </c:pt>
                <c:pt idx="11">
                  <c:v>45</c:v>
                </c:pt>
                <c:pt idx="12">
                  <c:v>53</c:v>
                </c:pt>
                <c:pt idx="13">
                  <c:v>55</c:v>
                </c:pt>
                <c:pt idx="14">
                  <c:v>43</c:v>
                </c:pt>
                <c:pt idx="15">
                  <c:v>73</c:v>
                </c:pt>
                <c:pt idx="16">
                  <c:v>23</c:v>
                </c:pt>
                <c:pt idx="17">
                  <c:v>54</c:v>
                </c:pt>
                <c:pt idx="18">
                  <c:v>43</c:v>
                </c:pt>
                <c:pt idx="19">
                  <c:v>28</c:v>
                </c:pt>
                <c:pt idx="20">
                  <c:v>18</c:v>
                </c:pt>
                <c:pt idx="21">
                  <c:v>43</c:v>
                </c:pt>
                <c:pt idx="22">
                  <c:v>16</c:v>
                </c:pt>
                <c:pt idx="23">
                  <c:v>7.5</c:v>
                </c:pt>
                <c:pt idx="24">
                  <c:v>10</c:v>
                </c:pt>
                <c:pt idx="25">
                  <c:v>14</c:v>
                </c:pt>
                <c:pt idx="26">
                  <c:v>13</c:v>
                </c:pt>
                <c:pt idx="27">
                  <c:v>15.5</c:v>
                </c:pt>
                <c:pt idx="28">
                  <c:v>37</c:v>
                </c:pt>
                <c:pt idx="29">
                  <c:v>26</c:v>
                </c:pt>
                <c:pt idx="30">
                  <c:v>19</c:v>
                </c:pt>
                <c:pt idx="31">
                  <c:v>19</c:v>
                </c:pt>
                <c:pt idx="32">
                  <c:v>8.1999999999999993</c:v>
                </c:pt>
                <c:pt idx="33">
                  <c:v>4.8</c:v>
                </c:pt>
                <c:pt idx="34">
                  <c:v>4.0999999999999996</c:v>
                </c:pt>
                <c:pt idx="35">
                  <c:v>6.3</c:v>
                </c:pt>
                <c:pt idx="36">
                  <c:v>3.5</c:v>
                </c:pt>
                <c:pt idx="37">
                  <c:v>2</c:v>
                </c:pt>
                <c:pt idx="38">
                  <c:v>0.9</c:v>
                </c:pt>
                <c:pt idx="39">
                  <c:v>1.5</c:v>
                </c:pt>
                <c:pt idx="40">
                  <c:v>0.3</c:v>
                </c:pt>
                <c:pt idx="41">
                  <c:v>0.2</c:v>
                </c:pt>
                <c:pt idx="42">
                  <c:v>0.11</c:v>
                </c:pt>
              </c:numCache>
            </c:numRef>
          </c:yVal>
          <c:smooth val="0"/>
          <c:extLst>
            <c:ext xmlns:c16="http://schemas.microsoft.com/office/drawing/2014/chart" uri="{C3380CC4-5D6E-409C-BE32-E72D297353CC}">
              <c16:uniqueId val="{00000001-69CA-4AC7-8A9D-FAADF1F43CF5}"/>
            </c:ext>
          </c:extLst>
        </c:ser>
        <c:dLbls>
          <c:showLegendKey val="0"/>
          <c:showVal val="0"/>
          <c:showCatName val="0"/>
          <c:showSerName val="0"/>
          <c:showPercent val="0"/>
          <c:showBubbleSize val="0"/>
        </c:dLbls>
        <c:axId val="181727232"/>
        <c:axId val="181729152"/>
      </c:scatterChart>
      <c:valAx>
        <c:axId val="181727232"/>
        <c:scaling>
          <c:orientation val="minMax"/>
        </c:scaling>
        <c:delete val="0"/>
        <c:axPos val="b"/>
        <c:title>
          <c:tx>
            <c:rich>
              <a:bodyPr/>
              <a:lstStyle/>
              <a:p>
                <a:pPr>
                  <a:defRPr/>
                </a:pPr>
                <a:r>
                  <a:rPr lang="en-US"/>
                  <a:t>M</a:t>
                </a:r>
              </a:p>
            </c:rich>
          </c:tx>
          <c:layout>
            <c:manualLayout>
              <c:xMode val="edge"/>
              <c:yMode val="edge"/>
              <c:x val="0.43818219597550306"/>
              <c:y val="0.92034703995333922"/>
            </c:manualLayout>
          </c:layout>
          <c:overlay val="0"/>
        </c:title>
        <c:numFmt formatCode="General" sourceLinked="1"/>
        <c:majorTickMark val="out"/>
        <c:minorTickMark val="none"/>
        <c:tickLblPos val="nextTo"/>
        <c:crossAx val="181729152"/>
        <c:crossesAt val="1.0000000000000004E-5"/>
        <c:crossBetween val="midCat"/>
      </c:valAx>
      <c:valAx>
        <c:axId val="181729152"/>
        <c:scaling>
          <c:logBase val="10"/>
          <c:orientation val="minMax"/>
        </c:scaling>
        <c:delete val="0"/>
        <c:axPos val="l"/>
        <c:majorGridlines/>
        <c:title>
          <c:tx>
            <c:rich>
              <a:bodyPr rot="-5400000" vert="horz"/>
              <a:lstStyle/>
              <a:p>
                <a:pPr>
                  <a:defRPr/>
                </a:pPr>
                <a:r>
                  <a:rPr lang="en-US"/>
                  <a:t>Log Dp (10^-10 cm2/s)</a:t>
                </a:r>
              </a:p>
            </c:rich>
          </c:tx>
          <c:overlay val="0"/>
        </c:title>
        <c:numFmt formatCode="General" sourceLinked="1"/>
        <c:majorTickMark val="out"/>
        <c:minorTickMark val="none"/>
        <c:tickLblPos val="nextTo"/>
        <c:crossAx val="18172723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'Welton2009-2010'!$U$3</c:f>
              <c:strCache>
                <c:ptCount val="1"/>
                <c:pt idx="0">
                  <c:v>D</c:v>
                </c:pt>
              </c:strCache>
            </c:strRef>
          </c:tx>
          <c:spPr>
            <a:ln w="28575">
              <a:noFill/>
            </a:ln>
          </c:spPr>
          <c:trendline>
            <c:spPr>
              <a:ln>
                <a:solidFill>
                  <a:schemeClr val="tx2">
                    <a:lumMod val="60000"/>
                    <a:lumOff val="40000"/>
                  </a:schemeClr>
                </a:solidFill>
              </a:ln>
            </c:spPr>
            <c:trendlineType val="linear"/>
            <c:dispRSqr val="1"/>
            <c:dispEq val="1"/>
            <c:trendlineLbl>
              <c:layout>
                <c:manualLayout>
                  <c:x val="4.6882983377077865E-2"/>
                  <c:y val="0.20672317002041413"/>
                </c:manualLayout>
              </c:layout>
              <c:numFmt formatCode="#,##0.00" sourceLinked="0"/>
            </c:trendlineLbl>
          </c:trendline>
          <c:xVal>
            <c:numRef>
              <c:f>'Welton2009-2010'!$J$8:$J$21</c:f>
              <c:numCache>
                <c:formatCode>General</c:formatCode>
                <c:ptCount val="14"/>
                <c:pt idx="0">
                  <c:v>11.5</c:v>
                </c:pt>
                <c:pt idx="1">
                  <c:v>10.5</c:v>
                </c:pt>
                <c:pt idx="2">
                  <c:v>4.7699999999999996</c:v>
                </c:pt>
                <c:pt idx="3">
                  <c:v>7.9</c:v>
                </c:pt>
                <c:pt idx="4">
                  <c:v>5.52</c:v>
                </c:pt>
                <c:pt idx="5">
                  <c:v>0.99</c:v>
                </c:pt>
                <c:pt idx="6">
                  <c:v>4.97</c:v>
                </c:pt>
                <c:pt idx="8">
                  <c:v>64.400000000000006</c:v>
                </c:pt>
                <c:pt idx="9">
                  <c:v>6.65</c:v>
                </c:pt>
                <c:pt idx="10">
                  <c:v>58.2</c:v>
                </c:pt>
                <c:pt idx="11">
                  <c:v>56.9</c:v>
                </c:pt>
                <c:pt idx="12">
                  <c:v>37.1</c:v>
                </c:pt>
                <c:pt idx="13">
                  <c:v>54.9</c:v>
                </c:pt>
              </c:numCache>
            </c:numRef>
          </c:xVal>
          <c:yVal>
            <c:numRef>
              <c:f>'Welton2009-2010'!$U$8:$U$21</c:f>
              <c:numCache>
                <c:formatCode>General</c:formatCode>
                <c:ptCount val="14"/>
                <c:pt idx="0">
                  <c:v>61.46</c:v>
                </c:pt>
                <c:pt idx="1">
                  <c:v>8.1</c:v>
                </c:pt>
                <c:pt idx="2">
                  <c:v>4.03</c:v>
                </c:pt>
                <c:pt idx="3">
                  <c:v>6.07</c:v>
                </c:pt>
                <c:pt idx="4">
                  <c:v>49.6</c:v>
                </c:pt>
                <c:pt idx="5">
                  <c:v>1.87</c:v>
                </c:pt>
                <c:pt idx="6">
                  <c:v>0.85</c:v>
                </c:pt>
                <c:pt idx="8">
                  <c:v>56.51</c:v>
                </c:pt>
                <c:pt idx="9">
                  <c:v>2.04</c:v>
                </c:pt>
                <c:pt idx="10">
                  <c:v>33.67</c:v>
                </c:pt>
                <c:pt idx="11">
                  <c:v>29</c:v>
                </c:pt>
                <c:pt idx="12">
                  <c:v>18.989999999999998</c:v>
                </c:pt>
                <c:pt idx="13">
                  <c:v>25.78</c:v>
                </c:pt>
              </c:numCache>
            </c:numRef>
          </c:yVal>
          <c:smooth val="0"/>
          <c:extLst>
            <c:ext xmlns:c16="http://schemas.microsoft.com/office/drawing/2014/chart" uri="{C3380CC4-5D6E-409C-BE32-E72D297353CC}">
              <c16:uniqueId val="{00000001-B2CA-4384-A66A-00999619827B}"/>
            </c:ext>
          </c:extLst>
        </c:ser>
        <c:ser>
          <c:idx val="1"/>
          <c:order val="1"/>
          <c:tx>
            <c:v>01:01</c:v>
          </c:tx>
          <c:spPr>
            <a:ln w="6350">
              <a:solidFill>
                <a:schemeClr val="tx1">
                  <a:lumMod val="95000"/>
                  <a:lumOff val="5000"/>
                </a:schemeClr>
              </a:solidFill>
            </a:ln>
          </c:spPr>
          <c:marker>
            <c:symbol val="none"/>
          </c:marker>
          <c:xVal>
            <c:numLit>
              <c:formatCode>General</c:formatCode>
              <c:ptCount val="2"/>
              <c:pt idx="0">
                <c:v>0</c:v>
              </c:pt>
              <c:pt idx="1">
                <c:v>80</c:v>
              </c:pt>
            </c:numLit>
          </c:xVal>
          <c:yVal>
            <c:numLit>
              <c:formatCode>General</c:formatCode>
              <c:ptCount val="2"/>
              <c:pt idx="0">
                <c:v>0</c:v>
              </c:pt>
              <c:pt idx="1">
                <c:v>80</c:v>
              </c:pt>
            </c:numLit>
          </c:yVal>
          <c:smooth val="0"/>
          <c:extLst>
            <c:ext xmlns:c16="http://schemas.microsoft.com/office/drawing/2014/chart" uri="{C3380CC4-5D6E-409C-BE32-E72D297353CC}">
              <c16:uniqueId val="{00000002-B2CA-4384-A66A-00999619827B}"/>
            </c:ext>
          </c:extLst>
        </c:ser>
        <c:dLbls>
          <c:showLegendKey val="0"/>
          <c:showVal val="0"/>
          <c:showCatName val="0"/>
          <c:showSerName val="0"/>
          <c:showPercent val="0"/>
          <c:showBubbleSize val="0"/>
        </c:dLbls>
        <c:axId val="181841920"/>
        <c:axId val="181843840"/>
      </c:scatterChart>
      <c:valAx>
        <c:axId val="181841920"/>
        <c:scaling>
          <c:orientation val="minMax"/>
        </c:scaling>
        <c:delete val="0"/>
        <c:axPos val="b"/>
        <c:title>
          <c:tx>
            <c:rich>
              <a:bodyPr/>
              <a:lstStyle/>
              <a:p>
                <a:pPr>
                  <a:defRPr/>
                </a:pPr>
                <a:r>
                  <a:rPr lang="en-US"/>
                  <a:t>Sorption</a:t>
                </a:r>
              </a:p>
            </c:rich>
          </c:tx>
          <c:overlay val="0"/>
        </c:title>
        <c:numFmt formatCode="General" sourceLinked="0"/>
        <c:majorTickMark val="out"/>
        <c:minorTickMark val="none"/>
        <c:tickLblPos val="nextTo"/>
        <c:crossAx val="181843840"/>
        <c:crosses val="autoZero"/>
        <c:crossBetween val="midCat"/>
      </c:valAx>
      <c:valAx>
        <c:axId val="181843840"/>
        <c:scaling>
          <c:orientation val="minMax"/>
        </c:scaling>
        <c:delete val="0"/>
        <c:axPos val="l"/>
        <c:title>
          <c:tx>
            <c:rich>
              <a:bodyPr rot="-5400000" vert="horz"/>
              <a:lstStyle/>
              <a:p>
                <a:pPr>
                  <a:defRPr/>
                </a:pPr>
                <a:r>
                  <a:rPr lang="en-US"/>
                  <a:t>Desportion</a:t>
                </a:r>
              </a:p>
            </c:rich>
          </c:tx>
          <c:overlay val="0"/>
        </c:title>
        <c:numFmt formatCode="General" sourceLinked="0"/>
        <c:majorTickMark val="out"/>
        <c:minorTickMark val="none"/>
        <c:tickLblPos val="nextTo"/>
        <c:crossAx val="181841920"/>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'Welton2009-2010'!$J$8:$J$21</c:f>
              <c:numCache>
                <c:formatCode>General</c:formatCode>
                <c:ptCount val="14"/>
                <c:pt idx="0">
                  <c:v>11.5</c:v>
                </c:pt>
                <c:pt idx="1">
                  <c:v>10.5</c:v>
                </c:pt>
                <c:pt idx="2">
                  <c:v>4.7699999999999996</c:v>
                </c:pt>
                <c:pt idx="3">
                  <c:v>7.9</c:v>
                </c:pt>
                <c:pt idx="4">
                  <c:v>5.52</c:v>
                </c:pt>
                <c:pt idx="5">
                  <c:v>0.99</c:v>
                </c:pt>
                <c:pt idx="6">
                  <c:v>4.97</c:v>
                </c:pt>
                <c:pt idx="8">
                  <c:v>64.400000000000006</c:v>
                </c:pt>
                <c:pt idx="9">
                  <c:v>6.65</c:v>
                </c:pt>
                <c:pt idx="10">
                  <c:v>58.2</c:v>
                </c:pt>
                <c:pt idx="11">
                  <c:v>56.9</c:v>
                </c:pt>
                <c:pt idx="12">
                  <c:v>37.1</c:v>
                </c:pt>
                <c:pt idx="13">
                  <c:v>54.9</c:v>
                </c:pt>
              </c:numCache>
            </c:numRef>
          </c:xVal>
          <c:yVal>
            <c:numRef>
              <c:f>'Welton2009-2010'!$Q$8:$Q$21</c:f>
              <c:numCache>
                <c:formatCode>General</c:formatCode>
                <c:ptCount val="14"/>
                <c:pt idx="1">
                  <c:v>1.878095238095238</c:v>
                </c:pt>
                <c:pt idx="2">
                  <c:v>1.2662473794549267</c:v>
                </c:pt>
                <c:pt idx="3">
                  <c:v>1.5594936708860758</c:v>
                </c:pt>
                <c:pt idx="4">
                  <c:v>1.7971014492753625</c:v>
                </c:pt>
                <c:pt idx="5">
                  <c:v>2.6363636363636362</c:v>
                </c:pt>
                <c:pt idx="6">
                  <c:v>0.81086519114688138</c:v>
                </c:pt>
                <c:pt idx="9">
                  <c:v>1.1293233082706766</c:v>
                </c:pt>
                <c:pt idx="10">
                  <c:v>1.0553264604810997</c:v>
                </c:pt>
                <c:pt idx="11">
                  <c:v>1.2094903339191563</c:v>
                </c:pt>
                <c:pt idx="12">
                  <c:v>1.1870619946091643</c:v>
                </c:pt>
              </c:numCache>
            </c:numRef>
          </c:yVal>
          <c:smooth val="0"/>
          <c:extLst>
            <c:ext xmlns:c16="http://schemas.microsoft.com/office/drawing/2014/chart" uri="{C3380CC4-5D6E-409C-BE32-E72D297353CC}">
              <c16:uniqueId val="{00000000-7EA5-4EAF-AB69-D74E2863ECF7}"/>
            </c:ext>
          </c:extLst>
        </c:ser>
        <c:dLbls>
          <c:showLegendKey val="0"/>
          <c:showVal val="0"/>
          <c:showCatName val="0"/>
          <c:showSerName val="0"/>
          <c:showPercent val="0"/>
          <c:showBubbleSize val="0"/>
        </c:dLbls>
        <c:axId val="181856128"/>
        <c:axId val="181857664"/>
      </c:scatterChart>
      <c:valAx>
        <c:axId val="181856128"/>
        <c:scaling>
          <c:orientation val="minMax"/>
        </c:scaling>
        <c:delete val="0"/>
        <c:axPos val="b"/>
        <c:numFmt formatCode="General" sourceLinked="1"/>
        <c:majorTickMark val="out"/>
        <c:minorTickMark val="none"/>
        <c:tickLblPos val="nextTo"/>
        <c:crossAx val="181857664"/>
        <c:crosses val="autoZero"/>
        <c:crossBetween val="midCat"/>
      </c:valAx>
      <c:valAx>
        <c:axId val="181857664"/>
        <c:scaling>
          <c:orientation val="minMax"/>
        </c:scaling>
        <c:delete val="0"/>
        <c:axPos val="l"/>
        <c:majorGridlines/>
        <c:numFmt formatCode="General" sourceLinked="1"/>
        <c:majorTickMark val="out"/>
        <c:minorTickMark val="none"/>
        <c:tickLblPos val="nextTo"/>
        <c:crossAx val="18185612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chart" Target="../charts/chart45.xml"/><Relationship Id="rId18" Type="http://schemas.openxmlformats.org/officeDocument/2006/relationships/chart" Target="../charts/chart50.xml"/><Relationship Id="rId26" Type="http://schemas.openxmlformats.org/officeDocument/2006/relationships/image" Target="../media/image3.png"/><Relationship Id="rId3" Type="http://schemas.openxmlformats.org/officeDocument/2006/relationships/chart" Target="../charts/chart35.xml"/><Relationship Id="rId21" Type="http://schemas.openxmlformats.org/officeDocument/2006/relationships/chart" Target="../charts/chart53.xml"/><Relationship Id="rId7" Type="http://schemas.openxmlformats.org/officeDocument/2006/relationships/chart" Target="../charts/chart39.xml"/><Relationship Id="rId12" Type="http://schemas.openxmlformats.org/officeDocument/2006/relationships/chart" Target="../charts/chart44.xml"/><Relationship Id="rId17" Type="http://schemas.openxmlformats.org/officeDocument/2006/relationships/chart" Target="../charts/chart49.xml"/><Relationship Id="rId25" Type="http://schemas.openxmlformats.org/officeDocument/2006/relationships/image" Target="../media/image2.png"/><Relationship Id="rId2" Type="http://schemas.openxmlformats.org/officeDocument/2006/relationships/chart" Target="../charts/chart34.xml"/><Relationship Id="rId16" Type="http://schemas.openxmlformats.org/officeDocument/2006/relationships/chart" Target="../charts/chart48.xml"/><Relationship Id="rId20" Type="http://schemas.openxmlformats.org/officeDocument/2006/relationships/chart" Target="../charts/chart52.xml"/><Relationship Id="rId1" Type="http://schemas.openxmlformats.org/officeDocument/2006/relationships/chart" Target="../charts/chart33.xml"/><Relationship Id="rId6" Type="http://schemas.openxmlformats.org/officeDocument/2006/relationships/chart" Target="../charts/chart38.xml"/><Relationship Id="rId11" Type="http://schemas.openxmlformats.org/officeDocument/2006/relationships/chart" Target="../charts/chart43.xml"/><Relationship Id="rId24" Type="http://schemas.openxmlformats.org/officeDocument/2006/relationships/image" Target="../media/image1.png"/><Relationship Id="rId5" Type="http://schemas.openxmlformats.org/officeDocument/2006/relationships/chart" Target="../charts/chart37.xml"/><Relationship Id="rId15" Type="http://schemas.openxmlformats.org/officeDocument/2006/relationships/chart" Target="../charts/chart47.xml"/><Relationship Id="rId23" Type="http://schemas.openxmlformats.org/officeDocument/2006/relationships/chart" Target="../charts/chart55.xml"/><Relationship Id="rId10" Type="http://schemas.openxmlformats.org/officeDocument/2006/relationships/chart" Target="../charts/chart42.xml"/><Relationship Id="rId19" Type="http://schemas.openxmlformats.org/officeDocument/2006/relationships/chart" Target="../charts/chart51.xml"/><Relationship Id="rId4" Type="http://schemas.openxmlformats.org/officeDocument/2006/relationships/chart" Target="../charts/chart36.xml"/><Relationship Id="rId9" Type="http://schemas.openxmlformats.org/officeDocument/2006/relationships/chart" Target="../charts/chart41.xml"/><Relationship Id="rId14" Type="http://schemas.openxmlformats.org/officeDocument/2006/relationships/chart" Target="../charts/chart46.xml"/><Relationship Id="rId22" Type="http://schemas.openxmlformats.org/officeDocument/2006/relationships/chart" Target="../charts/chart54.xml"/><Relationship Id="rId27" Type="http://schemas.openxmlformats.org/officeDocument/2006/relationships/image" Target="../media/image4.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4" Type="http://schemas.openxmlformats.org/officeDocument/2006/relationships/chart" Target="../charts/chart61.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63.xml"/><Relationship Id="rId1" Type="http://schemas.openxmlformats.org/officeDocument/2006/relationships/chart" Target="../charts/chart62.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66.xml"/><Relationship Id="rId2" Type="http://schemas.openxmlformats.org/officeDocument/2006/relationships/chart" Target="../charts/chart65.xml"/><Relationship Id="rId1" Type="http://schemas.openxmlformats.org/officeDocument/2006/relationships/chart" Target="../charts/chart6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xdr:from>
      <xdr:col>31</xdr:col>
      <xdr:colOff>108857</xdr:colOff>
      <xdr:row>27</xdr:row>
      <xdr:rowOff>104775</xdr:rowOff>
    </xdr:from>
    <xdr:to>
      <xdr:col>38</xdr:col>
      <xdr:colOff>394607</xdr:colOff>
      <xdr:row>44</xdr:row>
      <xdr:rowOff>72118</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77561</xdr:colOff>
      <xdr:row>34</xdr:row>
      <xdr:rowOff>78241</xdr:rowOff>
    </xdr:from>
    <xdr:to>
      <xdr:col>4</xdr:col>
      <xdr:colOff>540204</xdr:colOff>
      <xdr:row>51</xdr:row>
      <xdr:rowOff>68716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212270</xdr:colOff>
      <xdr:row>33</xdr:row>
      <xdr:rowOff>24494</xdr:rowOff>
    </xdr:from>
    <xdr:to>
      <xdr:col>12</xdr:col>
      <xdr:colOff>317045</xdr:colOff>
      <xdr:row>50</xdr:row>
      <xdr:rowOff>14969</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586468</xdr:colOff>
      <xdr:row>31</xdr:row>
      <xdr:rowOff>157162</xdr:rowOff>
    </xdr:from>
    <xdr:to>
      <xdr:col>18</xdr:col>
      <xdr:colOff>574222</xdr:colOff>
      <xdr:row>48</xdr:row>
      <xdr:rowOff>147637</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228603</xdr:colOff>
      <xdr:row>32</xdr:row>
      <xdr:rowOff>112617</xdr:rowOff>
    </xdr:from>
    <xdr:to>
      <xdr:col>14</xdr:col>
      <xdr:colOff>243572</xdr:colOff>
      <xdr:row>49</xdr:row>
      <xdr:rowOff>126224</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212912</xdr:colOff>
      <xdr:row>33</xdr:row>
      <xdr:rowOff>154080</xdr:rowOff>
    </xdr:from>
    <xdr:to>
      <xdr:col>24</xdr:col>
      <xdr:colOff>285030</xdr:colOff>
      <xdr:row>51</xdr:row>
      <xdr:rowOff>10805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201704</xdr:colOff>
      <xdr:row>50</xdr:row>
      <xdr:rowOff>12325</xdr:rowOff>
    </xdr:from>
    <xdr:to>
      <xdr:col>6</xdr:col>
      <xdr:colOff>268939</xdr:colOff>
      <xdr:row>67</xdr:row>
      <xdr:rowOff>88525</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224118</xdr:colOff>
      <xdr:row>31</xdr:row>
      <xdr:rowOff>123265</xdr:rowOff>
    </xdr:from>
    <xdr:to>
      <xdr:col>6</xdr:col>
      <xdr:colOff>291353</xdr:colOff>
      <xdr:row>49</xdr:row>
      <xdr:rowOff>42582</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68</xdr:row>
      <xdr:rowOff>100854</xdr:rowOff>
    </xdr:from>
    <xdr:to>
      <xdr:col>6</xdr:col>
      <xdr:colOff>257735</xdr:colOff>
      <xdr:row>86</xdr:row>
      <xdr:rowOff>20171</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30</xdr:row>
      <xdr:rowOff>134470</xdr:rowOff>
    </xdr:from>
    <xdr:to>
      <xdr:col>6</xdr:col>
      <xdr:colOff>257735</xdr:colOff>
      <xdr:row>48</xdr:row>
      <xdr:rowOff>53788</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209550</xdr:colOff>
      <xdr:row>19</xdr:row>
      <xdr:rowOff>19050</xdr:rowOff>
    </xdr:from>
    <xdr:to>
      <xdr:col>21</xdr:col>
      <xdr:colOff>32781</xdr:colOff>
      <xdr:row>36</xdr:row>
      <xdr:rowOff>135701</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xdr:colOff>
      <xdr:row>57</xdr:row>
      <xdr:rowOff>133350</xdr:rowOff>
    </xdr:from>
    <xdr:to>
      <xdr:col>20</xdr:col>
      <xdr:colOff>470931</xdr:colOff>
      <xdr:row>75</xdr:row>
      <xdr:rowOff>88076</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428625</xdr:colOff>
      <xdr:row>57</xdr:row>
      <xdr:rowOff>85725</xdr:rowOff>
    </xdr:from>
    <xdr:to>
      <xdr:col>26</xdr:col>
      <xdr:colOff>470931</xdr:colOff>
      <xdr:row>75</xdr:row>
      <xdr:rowOff>40451</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95250</xdr:colOff>
      <xdr:row>75</xdr:row>
      <xdr:rowOff>133350</xdr:rowOff>
    </xdr:from>
    <xdr:to>
      <xdr:col>20</xdr:col>
      <xdr:colOff>528081</xdr:colOff>
      <xdr:row>93</xdr:row>
      <xdr:rowOff>88076</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228600</xdr:colOff>
      <xdr:row>6</xdr:row>
      <xdr:rowOff>28575</xdr:rowOff>
    </xdr:from>
    <xdr:to>
      <xdr:col>23</xdr:col>
      <xdr:colOff>270906</xdr:colOff>
      <xdr:row>23</xdr:row>
      <xdr:rowOff>145226</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280307</xdr:colOff>
      <xdr:row>5</xdr:row>
      <xdr:rowOff>122464</xdr:rowOff>
    </xdr:from>
    <xdr:to>
      <xdr:col>29</xdr:col>
      <xdr:colOff>322613</xdr:colOff>
      <xdr:row>23</xdr:row>
      <xdr:rowOff>75830</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54</xdr:col>
      <xdr:colOff>400066</xdr:colOff>
      <xdr:row>148</xdr:row>
      <xdr:rowOff>127631</xdr:rowOff>
    </xdr:from>
    <xdr:to>
      <xdr:col>60</xdr:col>
      <xdr:colOff>44389</xdr:colOff>
      <xdr:row>167</xdr:row>
      <xdr:rowOff>26866</xdr:rowOff>
    </xdr:to>
    <xdr:graphicFrame macro="">
      <xdr:nvGraphicFramePr>
        <xdr:cNvPr id="16" name="Chart 15">
          <a:extLst>
            <a:ext uri="{FF2B5EF4-FFF2-40B4-BE49-F238E27FC236}">
              <a16:creationId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550690</xdr:colOff>
      <xdr:row>147</xdr:row>
      <xdr:rowOff>75240</xdr:rowOff>
    </xdr:from>
    <xdr:to>
      <xdr:col>30</xdr:col>
      <xdr:colOff>52538</xdr:colOff>
      <xdr:row>165</xdr:row>
      <xdr:rowOff>137760</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113</xdr:col>
      <xdr:colOff>193873</xdr:colOff>
      <xdr:row>71</xdr:row>
      <xdr:rowOff>168089</xdr:rowOff>
    </xdr:from>
    <xdr:to>
      <xdr:col>125</xdr:col>
      <xdr:colOff>505930</xdr:colOff>
      <xdr:row>92</xdr:row>
      <xdr:rowOff>128790</xdr:rowOff>
    </xdr:to>
    <xdr:graphicFrame macro="">
      <xdr:nvGraphicFramePr>
        <xdr:cNvPr id="20" name="Chart 19">
          <a:extLst>
            <a:ext uri="{FF2B5EF4-FFF2-40B4-BE49-F238E27FC236}">
              <a16:creationId xmlns:a16="http://schemas.microsoft.com/office/drawing/2014/main" id="{00000000-0008-0000-06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524277</xdr:colOff>
      <xdr:row>130</xdr:row>
      <xdr:rowOff>104857</xdr:rowOff>
    </xdr:from>
    <xdr:to>
      <xdr:col>60</xdr:col>
      <xdr:colOff>168600</xdr:colOff>
      <xdr:row>149</xdr:row>
      <xdr:rowOff>4092</xdr:rowOff>
    </xdr:to>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381000</xdr:colOff>
      <xdr:row>128</xdr:row>
      <xdr:rowOff>128867</xdr:rowOff>
    </xdr:from>
    <xdr:to>
      <xdr:col>29</xdr:col>
      <xdr:colOff>560004</xdr:colOff>
      <xdr:row>147</xdr:row>
      <xdr:rowOff>21699</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91</xdr:col>
      <xdr:colOff>595387</xdr:colOff>
      <xdr:row>147</xdr:row>
      <xdr:rowOff>77953</xdr:rowOff>
    </xdr:from>
    <xdr:to>
      <xdr:col>97</xdr:col>
      <xdr:colOff>56342</xdr:colOff>
      <xdr:row>165</xdr:row>
      <xdr:rowOff>152408</xdr:rowOff>
    </xdr:to>
    <xdr:graphicFrame macro="">
      <xdr:nvGraphicFramePr>
        <xdr:cNvPr id="14" name="Chart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86</xdr:col>
      <xdr:colOff>9897</xdr:colOff>
      <xdr:row>129</xdr:row>
      <xdr:rowOff>53602</xdr:rowOff>
    </xdr:from>
    <xdr:to>
      <xdr:col>91</xdr:col>
      <xdr:colOff>561897</xdr:colOff>
      <xdr:row>147</xdr:row>
      <xdr:rowOff>128056</xdr:rowOff>
    </xdr:to>
    <xdr:graphicFrame macro="">
      <xdr:nvGraphicFramePr>
        <xdr:cNvPr id="22" name="Chart 21">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86</xdr:col>
      <xdr:colOff>21101</xdr:colOff>
      <xdr:row>147</xdr:row>
      <xdr:rowOff>84261</xdr:rowOff>
    </xdr:from>
    <xdr:to>
      <xdr:col>91</xdr:col>
      <xdr:colOff>573101</xdr:colOff>
      <xdr:row>166</xdr:row>
      <xdr:rowOff>2852</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1288677</xdr:colOff>
      <xdr:row>126</xdr:row>
      <xdr:rowOff>146797</xdr:rowOff>
    </xdr:from>
    <xdr:to>
      <xdr:col>13</xdr:col>
      <xdr:colOff>414618</xdr:colOff>
      <xdr:row>144</xdr:row>
      <xdr:rowOff>66114</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190502</xdr:colOff>
      <xdr:row>128</xdr:row>
      <xdr:rowOff>27214</xdr:rowOff>
    </xdr:from>
    <xdr:to>
      <xdr:col>37</xdr:col>
      <xdr:colOff>388716</xdr:colOff>
      <xdr:row>145</xdr:row>
      <xdr:rowOff>131357</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48</xdr:col>
      <xdr:colOff>489856</xdr:colOff>
      <xdr:row>130</xdr:row>
      <xdr:rowOff>54428</xdr:rowOff>
    </xdr:from>
    <xdr:to>
      <xdr:col>54</xdr:col>
      <xdr:colOff>134179</xdr:colOff>
      <xdr:row>148</xdr:row>
      <xdr:rowOff>116950</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91</xdr:col>
      <xdr:colOff>554183</xdr:colOff>
      <xdr:row>129</xdr:row>
      <xdr:rowOff>51953</xdr:rowOff>
    </xdr:from>
    <xdr:to>
      <xdr:col>97</xdr:col>
      <xdr:colOff>15138</xdr:colOff>
      <xdr:row>147</xdr:row>
      <xdr:rowOff>126407</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0.73294</cdr:x>
      <cdr:y>0.05077</cdr:y>
    </cdr:from>
    <cdr:to>
      <cdr:x>0.73597</cdr:x>
      <cdr:y>0.82012</cdr:y>
    </cdr:to>
    <cdr:cxnSp macro="">
      <cdr:nvCxnSpPr>
        <cdr:cNvPr id="3" name="Straight Connector 2">
          <a:extLst xmlns:a="http://schemas.openxmlformats.org/drawingml/2006/main">
            <a:ext uri="{FF2B5EF4-FFF2-40B4-BE49-F238E27FC236}">
              <a16:creationId xmlns:a16="http://schemas.microsoft.com/office/drawing/2014/main" id="{1CDA9157-85A2-7982-79CA-0263F5E2E075}"/>
            </a:ext>
          </a:extLst>
        </cdr:cNvPr>
        <cdr:cNvCxnSpPr/>
      </cdr:nvCxnSpPr>
      <cdr:spPr>
        <a:xfrm xmlns:a="http://schemas.openxmlformats.org/drawingml/2006/main" flipH="1" flipV="1">
          <a:off x="2711823" y="145676"/>
          <a:ext cx="11206" cy="220755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0.40443</cdr:x>
      <cdr:y>0.05285</cdr:y>
    </cdr:from>
    <cdr:to>
      <cdr:x>0.40443</cdr:x>
      <cdr:y>0.62095</cdr:y>
    </cdr:to>
    <cdr:cxnSp macro="">
      <cdr:nvCxnSpPr>
        <cdr:cNvPr id="4" name="Straight Connector 3">
          <a:extLst xmlns:a="http://schemas.openxmlformats.org/drawingml/2006/main">
            <a:ext uri="{FF2B5EF4-FFF2-40B4-BE49-F238E27FC236}">
              <a16:creationId xmlns:a16="http://schemas.microsoft.com/office/drawing/2014/main" id="{FDF48A5B-9320-5344-28D0-EEAA1B2123F4}"/>
            </a:ext>
          </a:extLst>
        </cdr:cNvPr>
        <cdr:cNvCxnSpPr/>
      </cdr:nvCxnSpPr>
      <cdr:spPr>
        <a:xfrm xmlns:a="http://schemas.openxmlformats.org/drawingml/2006/main" flipH="1" flipV="1">
          <a:off x="1496359" y="151653"/>
          <a:ext cx="0" cy="1630082"/>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0.71477</cdr:x>
      <cdr:y>0.03515</cdr:y>
    </cdr:from>
    <cdr:to>
      <cdr:x>0.86621</cdr:x>
      <cdr:y>0.17183</cdr:y>
    </cdr:to>
    <cdr:sp macro="" textlink="">
      <cdr:nvSpPr>
        <cdr:cNvPr id="6" name="TextBox 5"/>
        <cdr:cNvSpPr txBox="1"/>
      </cdr:nvSpPr>
      <cdr:spPr>
        <a:xfrm xmlns:a="http://schemas.openxmlformats.org/drawingml/2006/main">
          <a:off x="2644588" y="100853"/>
          <a:ext cx="560294" cy="39220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(298 K)</a:t>
          </a:r>
          <a:endParaRPr lang="en-GB" sz="800">
            <a:solidFill>
              <a:schemeClr val="tx1">
                <a:lumMod val="50000"/>
                <a:lumOff val="50000"/>
              </a:schemeClr>
            </a:solidFill>
          </a:endParaRPr>
        </a:p>
      </cdr:txBody>
    </cdr:sp>
  </cdr:relSizeAnchor>
  <cdr:relSizeAnchor xmlns:cdr="http://schemas.openxmlformats.org/drawingml/2006/chartDrawing">
    <cdr:from>
      <cdr:x>0.38323</cdr:x>
      <cdr:y>0.02942</cdr:y>
    </cdr:from>
    <cdr:to>
      <cdr:x>0.53467</cdr:x>
      <cdr:y>0.16611</cdr:y>
    </cdr:to>
    <cdr:sp macro="" textlink="">
      <cdr:nvSpPr>
        <cdr:cNvPr id="7" name="TextBox 1"/>
        <cdr:cNvSpPr txBox="1"/>
      </cdr:nvSpPr>
      <cdr:spPr>
        <a:xfrm xmlns:a="http://schemas.openxmlformats.org/drawingml/2006/main">
          <a:off x="1417917" y="84417"/>
          <a:ext cx="560294" cy="39220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50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(323 K)</a:t>
          </a:r>
          <a:endParaRPr lang="en-GB" sz="800">
            <a:solidFill>
              <a:schemeClr val="tx1">
                <a:lumMod val="50000"/>
                <a:lumOff val="50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0.72992</cdr:x>
      <cdr:y>0.24213</cdr:y>
    </cdr:from>
    <cdr:to>
      <cdr:x>0.72992</cdr:x>
      <cdr:y>0.82012</cdr:y>
    </cdr:to>
    <cdr:cxnSp macro="">
      <cdr:nvCxnSpPr>
        <cdr:cNvPr id="3" name="Straight Connector 2">
          <a:extLst xmlns:a="http://schemas.openxmlformats.org/drawingml/2006/main">
            <a:ext uri="{FF2B5EF4-FFF2-40B4-BE49-F238E27FC236}">
              <a16:creationId xmlns:a16="http://schemas.microsoft.com/office/drawing/2014/main" id="{33E14B26-1DC8-E18A-2BC5-18BD9E99EC32}"/>
            </a:ext>
          </a:extLst>
        </cdr:cNvPr>
        <cdr:cNvCxnSpPr/>
      </cdr:nvCxnSpPr>
      <cdr:spPr>
        <a:xfrm xmlns:a="http://schemas.openxmlformats.org/drawingml/2006/main" flipH="1" flipV="1">
          <a:off x="2700618" y="694765"/>
          <a:ext cx="0" cy="165846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0.40443</cdr:x>
      <cdr:y>0.05285</cdr:y>
    </cdr:from>
    <cdr:to>
      <cdr:x>0.40443</cdr:x>
      <cdr:y>0.83184</cdr:y>
    </cdr:to>
    <cdr:cxnSp macro="">
      <cdr:nvCxnSpPr>
        <cdr:cNvPr id="4" name="Straight Connector 3">
          <a:extLst xmlns:a="http://schemas.openxmlformats.org/drawingml/2006/main">
            <a:ext uri="{FF2B5EF4-FFF2-40B4-BE49-F238E27FC236}">
              <a16:creationId xmlns:a16="http://schemas.microsoft.com/office/drawing/2014/main" id="{566B316B-9EE2-DB57-8F97-817F81419551}"/>
            </a:ext>
          </a:extLst>
        </cdr:cNvPr>
        <cdr:cNvCxnSpPr/>
      </cdr:nvCxnSpPr>
      <cdr:spPr>
        <a:xfrm xmlns:a="http://schemas.openxmlformats.org/drawingml/2006/main" flipH="1" flipV="1">
          <a:off x="1496353" y="151647"/>
          <a:ext cx="0" cy="223520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0.72688</cdr:x>
      <cdr:y>0.72639</cdr:y>
    </cdr:from>
    <cdr:to>
      <cdr:x>0.87833</cdr:x>
      <cdr:y>0.86307</cdr:y>
    </cdr:to>
    <cdr:sp macro="" textlink="">
      <cdr:nvSpPr>
        <cdr:cNvPr id="6" name="TextBox 5"/>
        <cdr:cNvSpPr txBox="1"/>
      </cdr:nvSpPr>
      <cdr:spPr>
        <a:xfrm xmlns:a="http://schemas.openxmlformats.org/drawingml/2006/main">
          <a:off x="2689406" y="2084300"/>
          <a:ext cx="560314" cy="39218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(298 K)</a:t>
          </a:r>
          <a:endParaRPr lang="en-GB" sz="800">
            <a:solidFill>
              <a:schemeClr val="tx1">
                <a:lumMod val="50000"/>
                <a:lumOff val="50000"/>
              </a:schemeClr>
            </a:solidFill>
          </a:endParaRPr>
        </a:p>
      </cdr:txBody>
    </cdr:sp>
  </cdr:relSizeAnchor>
  <cdr:relSizeAnchor xmlns:cdr="http://schemas.openxmlformats.org/drawingml/2006/chartDrawing">
    <cdr:from>
      <cdr:x>0.39534</cdr:x>
      <cdr:y>0.71676</cdr:y>
    </cdr:from>
    <cdr:to>
      <cdr:x>0.54678</cdr:x>
      <cdr:y>0.85345</cdr:y>
    </cdr:to>
    <cdr:sp macro="" textlink="">
      <cdr:nvSpPr>
        <cdr:cNvPr id="7" name="TextBox 1"/>
        <cdr:cNvSpPr txBox="1"/>
      </cdr:nvSpPr>
      <cdr:spPr>
        <a:xfrm xmlns:a="http://schemas.openxmlformats.org/drawingml/2006/main">
          <a:off x="1462738" y="2056652"/>
          <a:ext cx="560314" cy="3922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50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(323 K)</a:t>
          </a:r>
          <a:endParaRPr lang="en-GB" sz="800">
            <a:solidFill>
              <a:schemeClr val="tx1">
                <a:lumMod val="50000"/>
                <a:lumOff val="50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0.26829</cdr:x>
      <cdr:y>0.05416</cdr:y>
    </cdr:from>
    <cdr:to>
      <cdr:x>0.26882</cdr:x>
      <cdr:y>0.8463</cdr:y>
    </cdr:to>
    <cdr:cxnSp macro="">
      <cdr:nvCxnSpPr>
        <cdr:cNvPr id="8" name="Straight Connector 7">
          <a:extLst xmlns:a="http://schemas.openxmlformats.org/drawingml/2006/main">
            <a:ext uri="{FF2B5EF4-FFF2-40B4-BE49-F238E27FC236}">
              <a16:creationId xmlns:a16="http://schemas.microsoft.com/office/drawing/2014/main" id="{85585C2F-677C-2660-D90F-A0105978F27A}"/>
            </a:ext>
          </a:extLst>
        </cdr:cNvPr>
        <cdr:cNvCxnSpPr/>
      </cdr:nvCxnSpPr>
      <cdr:spPr>
        <a:xfrm xmlns:a="http://schemas.openxmlformats.org/drawingml/2006/main" flipH="1" flipV="1">
          <a:off x="2052907" y="182336"/>
          <a:ext cx="4051" cy="2666665"/>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0.26561</cdr:x>
      <cdr:y>0.77708</cdr:y>
    </cdr:from>
    <cdr:to>
      <cdr:x>0.33869</cdr:x>
      <cdr:y>0.84467</cdr:y>
    </cdr:to>
    <cdr:sp macro="" textlink="">
      <cdr:nvSpPr>
        <cdr:cNvPr id="9" name="TextBox 1"/>
        <cdr:cNvSpPr txBox="1"/>
      </cdr:nvSpPr>
      <cdr:spPr>
        <a:xfrm xmlns:a="http://schemas.openxmlformats.org/drawingml/2006/main">
          <a:off x="2032401" y="2615976"/>
          <a:ext cx="559202" cy="22753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12.5</a:t>
          </a:r>
          <a:r>
            <a:rPr lang="en-GB" sz="800">
              <a:solidFill>
                <a:schemeClr val="tx1">
                  <a:lumMod val="50000"/>
                  <a:lumOff val="50000"/>
                </a:schemeClr>
              </a:solidFill>
              <a:latin typeface="Lucida Sans"/>
            </a:rPr>
            <a:t>°C</a:t>
          </a:r>
        </a:p>
      </cdr:txBody>
    </cdr:sp>
  </cdr:relSizeAnchor>
  <cdr:relSizeAnchor xmlns:cdr="http://schemas.openxmlformats.org/drawingml/2006/chartDrawing">
    <cdr:from>
      <cdr:x>0.40643</cdr:x>
      <cdr:y>0.77704</cdr:y>
    </cdr:from>
    <cdr:to>
      <cdr:x>0.47985</cdr:x>
      <cdr:y>0.8518</cdr:y>
    </cdr:to>
    <cdr:sp macro="" textlink="">
      <cdr:nvSpPr>
        <cdr:cNvPr id="11" name="TextBox 1"/>
        <cdr:cNvSpPr txBox="1"/>
      </cdr:nvSpPr>
      <cdr:spPr>
        <a:xfrm xmlns:a="http://schemas.openxmlformats.org/drawingml/2006/main">
          <a:off x="3094452" y="2533542"/>
          <a:ext cx="559006" cy="2437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25 </a:t>
          </a:r>
          <a:r>
            <a:rPr lang="en-GB" sz="800">
              <a:solidFill>
                <a:schemeClr val="tx1">
                  <a:lumMod val="50000"/>
                  <a:lumOff val="50000"/>
                </a:schemeClr>
              </a:solidFill>
              <a:latin typeface="Lucida Sans"/>
            </a:rPr>
            <a:t>°C </a:t>
          </a:r>
        </a:p>
      </cdr:txBody>
    </cdr:sp>
  </cdr:relSizeAnchor>
</c:userShapes>
</file>

<file path=xl/drawings/drawing10.xml><?xml version="1.0" encoding="utf-8"?>
<c:userShapes xmlns:c="http://schemas.openxmlformats.org/drawingml/2006/chart">
  <cdr:relSizeAnchor xmlns:cdr="http://schemas.openxmlformats.org/drawingml/2006/chartDrawing">
    <cdr:from>
      <cdr:x>0.45316</cdr:x>
      <cdr:y>0.05989</cdr:y>
    </cdr:from>
    <cdr:to>
      <cdr:x>0.45619</cdr:x>
      <cdr:y>0.82924</cdr:y>
    </cdr:to>
    <cdr:cxnSp macro="">
      <cdr:nvCxnSpPr>
        <cdr:cNvPr id="3" name="Straight Connector 2">
          <a:extLst xmlns:a="http://schemas.openxmlformats.org/drawingml/2006/main">
            <a:ext uri="{FF2B5EF4-FFF2-40B4-BE49-F238E27FC236}">
              <a16:creationId xmlns:a16="http://schemas.microsoft.com/office/drawing/2014/main" id="{91C63769-9103-1F0F-6D9B-A6C246BDFCB1}"/>
            </a:ext>
          </a:extLst>
        </cdr:cNvPr>
        <cdr:cNvCxnSpPr/>
      </cdr:nvCxnSpPr>
      <cdr:spPr>
        <a:xfrm xmlns:a="http://schemas.openxmlformats.org/drawingml/2006/main" flipH="1" flipV="1">
          <a:off x="1674998" y="178744"/>
          <a:ext cx="11200" cy="229623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0.43867</cdr:x>
      <cdr:y>0.05338</cdr:y>
    </cdr:from>
    <cdr:to>
      <cdr:x>0.59011</cdr:x>
      <cdr:y>0.14133</cdr:y>
    </cdr:to>
    <cdr:sp macro="" textlink="">
      <cdr:nvSpPr>
        <cdr:cNvPr id="6" name="TextBox 5"/>
        <cdr:cNvSpPr txBox="1"/>
      </cdr:nvSpPr>
      <cdr:spPr>
        <a:xfrm xmlns:a="http://schemas.openxmlformats.org/drawingml/2006/main">
          <a:off x="1621436" y="159328"/>
          <a:ext cx="559762" cy="2624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60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0.20285</cdr:x>
      <cdr:y>0.05677</cdr:y>
    </cdr:from>
    <cdr:to>
      <cdr:x>0.35429</cdr:x>
      <cdr:y>0.14133</cdr:y>
    </cdr:to>
    <cdr:sp macro="" textlink="">
      <cdr:nvSpPr>
        <cdr:cNvPr id="7" name="TextBox 1"/>
        <cdr:cNvSpPr txBox="1"/>
      </cdr:nvSpPr>
      <cdr:spPr>
        <a:xfrm xmlns:a="http://schemas.openxmlformats.org/drawingml/2006/main">
          <a:off x="749772" y="169444"/>
          <a:ext cx="559763" cy="25237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100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0.88352</cdr:x>
      <cdr:y>0.04559</cdr:y>
    </cdr:from>
    <cdr:to>
      <cdr:x>0.88352</cdr:x>
      <cdr:y>0.81556</cdr:y>
    </cdr:to>
    <cdr:cxnSp macro="">
      <cdr:nvCxnSpPr>
        <cdr:cNvPr id="2" name="Straight Connector 2">
          <a:extLst xmlns:a="http://schemas.openxmlformats.org/drawingml/2006/main">
            <a:ext uri="{FF2B5EF4-FFF2-40B4-BE49-F238E27FC236}">
              <a16:creationId xmlns:a16="http://schemas.microsoft.com/office/drawing/2014/main" id="{DFD4D090-C219-E6FC-875A-3ABAE12B3DE2}"/>
            </a:ext>
          </a:extLst>
        </cdr:cNvPr>
        <cdr:cNvCxnSpPr/>
      </cdr:nvCxnSpPr>
      <cdr:spPr>
        <a:xfrm xmlns:a="http://schemas.openxmlformats.org/drawingml/2006/main" flipH="1" flipV="1">
          <a:off x="3265714" y="136071"/>
          <a:ext cx="0" cy="229809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0.2172</cdr:x>
      <cdr:y>0.05741</cdr:y>
    </cdr:from>
    <cdr:to>
      <cdr:x>0.22036</cdr:x>
      <cdr:y>0.68842</cdr:y>
    </cdr:to>
    <cdr:cxnSp macro="">
      <cdr:nvCxnSpPr>
        <cdr:cNvPr id="5" name="Straight Connector 3">
          <a:extLst xmlns:a="http://schemas.openxmlformats.org/drawingml/2006/main">
            <a:ext uri="{FF2B5EF4-FFF2-40B4-BE49-F238E27FC236}">
              <a16:creationId xmlns:a16="http://schemas.microsoft.com/office/drawing/2014/main" id="{6B9B2E94-18E5-E76E-A799-456AAC8A8942}"/>
            </a:ext>
          </a:extLst>
        </cdr:cNvPr>
        <cdr:cNvCxnSpPr/>
      </cdr:nvCxnSpPr>
      <cdr:spPr>
        <a:xfrm xmlns:a="http://schemas.openxmlformats.org/drawingml/2006/main" flipV="1">
          <a:off x="802822" y="171348"/>
          <a:ext cx="11687" cy="188333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0.76263</cdr:x>
      <cdr:y>0.04427</cdr:y>
    </cdr:from>
    <cdr:to>
      <cdr:x>0.91407</cdr:x>
      <cdr:y>0.13677</cdr:y>
    </cdr:to>
    <cdr:sp macro="" textlink="">
      <cdr:nvSpPr>
        <cdr:cNvPr id="8" name="TextBox 5"/>
        <cdr:cNvSpPr txBox="1"/>
      </cdr:nvSpPr>
      <cdr:spPr>
        <a:xfrm xmlns:a="http://schemas.openxmlformats.org/drawingml/2006/main">
          <a:off x="2818865" y="132132"/>
          <a:ext cx="559763" cy="2760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5 </a:t>
          </a:r>
          <a:r>
            <a:rPr lang="en-GB" sz="800">
              <a:solidFill>
                <a:schemeClr val="tx1">
                  <a:lumMod val="50000"/>
                  <a:lumOff val="50000"/>
                </a:schemeClr>
              </a:solidFill>
              <a:latin typeface="Lucida Sans"/>
            </a:rPr>
            <a:t>°C </a:t>
          </a:r>
        </a:p>
      </cdr:txBody>
    </cdr:sp>
  </cdr:relSizeAnchor>
</c:userShapes>
</file>

<file path=xl/drawings/drawing11.xml><?xml version="1.0" encoding="utf-8"?>
<c:userShapes xmlns:c="http://schemas.openxmlformats.org/drawingml/2006/chart">
  <cdr:relSizeAnchor xmlns:cdr="http://schemas.openxmlformats.org/drawingml/2006/chartDrawing">
    <cdr:from>
      <cdr:x>0.50999</cdr:x>
      <cdr:y>0.55356</cdr:y>
    </cdr:from>
    <cdr:to>
      <cdr:x>0.51048</cdr:x>
      <cdr:y>0.82924</cdr:y>
    </cdr:to>
    <cdr:cxnSp macro="">
      <cdr:nvCxnSpPr>
        <cdr:cNvPr id="3" name="Straight Connector 2">
          <a:extLst xmlns:a="http://schemas.openxmlformats.org/drawingml/2006/main">
            <a:ext uri="{FF2B5EF4-FFF2-40B4-BE49-F238E27FC236}">
              <a16:creationId xmlns:a16="http://schemas.microsoft.com/office/drawing/2014/main" id="{F12A4DB7-F05F-288A-E65A-562739B2467E}"/>
            </a:ext>
          </a:extLst>
        </cdr:cNvPr>
        <cdr:cNvCxnSpPr/>
      </cdr:nvCxnSpPr>
      <cdr:spPr>
        <a:xfrm xmlns:a="http://schemas.openxmlformats.org/drawingml/2006/main" flipH="1" flipV="1">
          <a:off x="2064285" y="1584832"/>
          <a:ext cx="1992" cy="78926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0.83923</cdr:x>
      <cdr:y>0.0495</cdr:y>
    </cdr:from>
    <cdr:to>
      <cdr:x>0.83923</cdr:x>
      <cdr:y>0.81947</cdr:y>
    </cdr:to>
    <cdr:cxnSp macro="">
      <cdr:nvCxnSpPr>
        <cdr:cNvPr id="2" name="Straight Connector 2">
          <a:extLst xmlns:a="http://schemas.openxmlformats.org/drawingml/2006/main">
            <a:ext uri="{FF2B5EF4-FFF2-40B4-BE49-F238E27FC236}">
              <a16:creationId xmlns:a16="http://schemas.microsoft.com/office/drawing/2014/main" id="{4CE6F729-07AA-2E00-7088-B93319AAFC1E}"/>
            </a:ext>
          </a:extLst>
        </cdr:cNvPr>
        <cdr:cNvCxnSpPr/>
      </cdr:nvCxnSpPr>
      <cdr:spPr>
        <a:xfrm xmlns:a="http://schemas.openxmlformats.org/drawingml/2006/main" flipH="1" flipV="1">
          <a:off x="3396953" y="141729"/>
          <a:ext cx="0" cy="2204402"/>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0.21793</cdr:x>
      <cdr:y>0.74565</cdr:y>
    </cdr:from>
    <cdr:to>
      <cdr:x>0.36937</cdr:x>
      <cdr:y>0.83021</cdr:y>
    </cdr:to>
    <cdr:sp macro="" textlink="">
      <cdr:nvSpPr>
        <cdr:cNvPr id="11" name="TextBox 1"/>
        <cdr:cNvSpPr txBox="1"/>
      </cdr:nvSpPr>
      <cdr:spPr>
        <a:xfrm xmlns:a="http://schemas.openxmlformats.org/drawingml/2006/main">
          <a:off x="809713" y="2134766"/>
          <a:ext cx="562672" cy="2420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100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0.22685</cdr:x>
      <cdr:y>0.55356</cdr:y>
    </cdr:from>
    <cdr:to>
      <cdr:x>0.22761</cdr:x>
      <cdr:y>0.83538</cdr:y>
    </cdr:to>
    <cdr:cxnSp macro="">
      <cdr:nvCxnSpPr>
        <cdr:cNvPr id="13" name="Straight Connector 3">
          <a:extLst xmlns:a="http://schemas.openxmlformats.org/drawingml/2006/main">
            <a:ext uri="{FF2B5EF4-FFF2-40B4-BE49-F238E27FC236}">
              <a16:creationId xmlns:a16="http://schemas.microsoft.com/office/drawing/2014/main" id="{64F0B704-861C-15A3-7718-716B5B2A2D08}"/>
            </a:ext>
          </a:extLst>
        </cdr:cNvPr>
        <cdr:cNvCxnSpPr/>
      </cdr:nvCxnSpPr>
      <cdr:spPr>
        <a:xfrm xmlns:a="http://schemas.openxmlformats.org/drawingml/2006/main" flipV="1">
          <a:off x="918215" y="1584832"/>
          <a:ext cx="3070" cy="806823"/>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0.7566</cdr:x>
      <cdr:y>0.72923</cdr:y>
    </cdr:from>
    <cdr:to>
      <cdr:x>0.90804</cdr:x>
      <cdr:y>0.82173</cdr:y>
    </cdr:to>
    <cdr:sp macro="" textlink="">
      <cdr:nvSpPr>
        <cdr:cNvPr id="14" name="TextBox 5"/>
        <cdr:cNvSpPr txBox="1"/>
      </cdr:nvSpPr>
      <cdr:spPr>
        <a:xfrm xmlns:a="http://schemas.openxmlformats.org/drawingml/2006/main">
          <a:off x="2811121" y="2087772"/>
          <a:ext cx="562671" cy="2648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5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0.46087</cdr:x>
      <cdr:y>0.74563</cdr:y>
    </cdr:from>
    <cdr:to>
      <cdr:x>0.61231</cdr:x>
      <cdr:y>0.83359</cdr:y>
    </cdr:to>
    <cdr:sp macro="" textlink="">
      <cdr:nvSpPr>
        <cdr:cNvPr id="15" name="TextBox 1"/>
        <cdr:cNvSpPr txBox="1"/>
      </cdr:nvSpPr>
      <cdr:spPr>
        <a:xfrm xmlns:a="http://schemas.openxmlformats.org/drawingml/2006/main">
          <a:off x="1712344" y="2134732"/>
          <a:ext cx="562671" cy="2517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60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0.23314</cdr:x>
      <cdr:y>0.05297</cdr:y>
    </cdr:from>
    <cdr:to>
      <cdr:x>0.23478</cdr:x>
      <cdr:y>0.38134</cdr:y>
    </cdr:to>
    <cdr:cxnSp macro="">
      <cdr:nvCxnSpPr>
        <cdr:cNvPr id="20" name="Straight Connector 19">
          <a:extLst xmlns:a="http://schemas.openxmlformats.org/drawingml/2006/main">
            <a:ext uri="{FF2B5EF4-FFF2-40B4-BE49-F238E27FC236}">
              <a16:creationId xmlns:a16="http://schemas.microsoft.com/office/drawing/2014/main" id="{EC24ACED-6B5F-0255-100B-71897BBCD0FE}"/>
            </a:ext>
          </a:extLst>
        </cdr:cNvPr>
        <cdr:cNvCxnSpPr/>
      </cdr:nvCxnSpPr>
      <cdr:spPr>
        <a:xfrm xmlns:a="http://schemas.openxmlformats.org/drawingml/2006/main" flipV="1">
          <a:off x="943697" y="151654"/>
          <a:ext cx="6644" cy="94011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0.50609</cdr:x>
      <cdr:y>0.04906</cdr:y>
    </cdr:from>
    <cdr:to>
      <cdr:x>0.50722</cdr:x>
      <cdr:y>0.38526</cdr:y>
    </cdr:to>
    <cdr:cxnSp macro="">
      <cdr:nvCxnSpPr>
        <cdr:cNvPr id="21" name="Straight Connector 20">
          <a:extLst xmlns:a="http://schemas.openxmlformats.org/drawingml/2006/main">
            <a:ext uri="{FF2B5EF4-FFF2-40B4-BE49-F238E27FC236}">
              <a16:creationId xmlns:a16="http://schemas.microsoft.com/office/drawing/2014/main" id="{B5DE6B7B-930D-8CA5-3632-FDBEDE78AC05}"/>
            </a:ext>
          </a:extLst>
        </cdr:cNvPr>
        <cdr:cNvCxnSpPr/>
      </cdr:nvCxnSpPr>
      <cdr:spPr>
        <a:xfrm xmlns:a="http://schemas.openxmlformats.org/drawingml/2006/main" flipH="1" flipV="1">
          <a:off x="2048517" y="140448"/>
          <a:ext cx="4562" cy="962531"/>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2.xml><?xml version="1.0" encoding="utf-8"?>
<c:userShapes xmlns:c="http://schemas.openxmlformats.org/drawingml/2006/chart">
  <cdr:relSizeAnchor xmlns:cdr="http://schemas.openxmlformats.org/drawingml/2006/chartDrawing">
    <cdr:from>
      <cdr:x>0.68304</cdr:x>
      <cdr:y>0.01758</cdr:y>
    </cdr:from>
    <cdr:to>
      <cdr:x>0.93721</cdr:x>
      <cdr:y>0.08415</cdr:y>
    </cdr:to>
    <cdr:sp macro="" textlink="">
      <cdr:nvSpPr>
        <cdr:cNvPr id="4" name="TextBox 3"/>
        <cdr:cNvSpPr txBox="1"/>
      </cdr:nvSpPr>
      <cdr:spPr>
        <a:xfrm xmlns:a="http://schemas.openxmlformats.org/drawingml/2006/main">
          <a:off x="2466603" y="50317"/>
          <a:ext cx="917854" cy="19049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a:t>oplosbaarheid</a:t>
          </a:r>
        </a:p>
      </cdr:txBody>
    </cdr:sp>
  </cdr:relSizeAnchor>
</c:userShapes>
</file>

<file path=xl/drawings/drawing13.xml><?xml version="1.0" encoding="utf-8"?>
<c:userShapes xmlns:c="http://schemas.openxmlformats.org/drawingml/2006/chart">
  <cdr:relSizeAnchor xmlns:cdr="http://schemas.openxmlformats.org/drawingml/2006/chartDrawing">
    <cdr:from>
      <cdr:x>0.75239</cdr:x>
      <cdr:y>0.02985</cdr:y>
    </cdr:from>
    <cdr:to>
      <cdr:x>0.92905</cdr:x>
      <cdr:y>0.1158</cdr:y>
    </cdr:to>
    <cdr:sp macro="" textlink="">
      <cdr:nvSpPr>
        <cdr:cNvPr id="2" name="TextBox 1"/>
        <cdr:cNvSpPr txBox="1"/>
      </cdr:nvSpPr>
      <cdr:spPr>
        <a:xfrm xmlns:a="http://schemas.openxmlformats.org/drawingml/2006/main">
          <a:off x="2717815" y="85426"/>
          <a:ext cx="638129" cy="2459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partitie</a:t>
          </a:r>
        </a:p>
      </cdr:txBody>
    </cdr:sp>
  </cdr:relSizeAnchor>
  <cdr:relSizeAnchor xmlns:cdr="http://schemas.openxmlformats.org/drawingml/2006/chartDrawing">
    <cdr:from>
      <cdr:x>0.52705</cdr:x>
      <cdr:y>0.21141</cdr:y>
    </cdr:from>
    <cdr:to>
      <cdr:x>0.68454</cdr:x>
      <cdr:y>0.29735</cdr:y>
    </cdr:to>
    <cdr:sp macro="" textlink="">
      <cdr:nvSpPr>
        <cdr:cNvPr id="3" name="TextBox 1"/>
        <cdr:cNvSpPr txBox="1"/>
      </cdr:nvSpPr>
      <cdr:spPr>
        <a:xfrm xmlns:a="http://schemas.openxmlformats.org/drawingml/2006/main">
          <a:off x="1903837" y="604988"/>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MAK</a:t>
          </a:r>
        </a:p>
      </cdr:txBody>
    </cdr:sp>
  </cdr:relSizeAnchor>
  <cdr:relSizeAnchor xmlns:cdr="http://schemas.openxmlformats.org/drawingml/2006/chartDrawing">
    <cdr:from>
      <cdr:x>0.15651</cdr:x>
      <cdr:y>0.64714</cdr:y>
    </cdr:from>
    <cdr:to>
      <cdr:x>0.28648</cdr:x>
      <cdr:y>0.78755</cdr:y>
    </cdr:to>
    <cdr:sp macro="" textlink="">
      <cdr:nvSpPr>
        <cdr:cNvPr id="4" name="TextBox 1"/>
        <cdr:cNvSpPr txBox="1"/>
      </cdr:nvSpPr>
      <cdr:spPr>
        <a:xfrm xmlns:a="http://schemas.openxmlformats.org/drawingml/2006/main">
          <a:off x="660228" y="1851893"/>
          <a:ext cx="548261" cy="4017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PAK</a:t>
          </a:r>
        </a:p>
        <a:p xmlns:a="http://schemas.openxmlformats.org/drawingml/2006/main">
          <a:r>
            <a:rPr lang="en-GB" sz="900" i="1"/>
            <a:t>PCB</a:t>
          </a:r>
        </a:p>
      </cdr:txBody>
    </cdr:sp>
  </cdr:relSizeAnchor>
  <cdr:relSizeAnchor xmlns:cdr="http://schemas.openxmlformats.org/drawingml/2006/chartDrawing">
    <cdr:from>
      <cdr:x>0.20583</cdr:x>
      <cdr:y>0.24772</cdr:y>
    </cdr:from>
    <cdr:to>
      <cdr:x>0.36333</cdr:x>
      <cdr:y>0.33366</cdr:y>
    </cdr:to>
    <cdr:sp macro="" textlink="">
      <cdr:nvSpPr>
        <cdr:cNvPr id="5" name="TextBox 1"/>
        <cdr:cNvSpPr txBox="1"/>
      </cdr:nvSpPr>
      <cdr:spPr>
        <a:xfrm xmlns:a="http://schemas.openxmlformats.org/drawingml/2006/main">
          <a:off x="743522" y="708897"/>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Benzopyrene</a:t>
          </a:r>
        </a:p>
      </cdr:txBody>
    </cdr:sp>
  </cdr:relSizeAnchor>
  <cdr:relSizeAnchor xmlns:cdr="http://schemas.openxmlformats.org/drawingml/2006/chartDrawing">
    <cdr:from>
      <cdr:x>0.76257</cdr:x>
      <cdr:y>0.28403</cdr:y>
    </cdr:from>
    <cdr:to>
      <cdr:x>0.94335</cdr:x>
      <cdr:y>0.36392</cdr:y>
    </cdr:to>
    <cdr:sp macro="" textlink="">
      <cdr:nvSpPr>
        <cdr:cNvPr id="6" name="TextBox 1"/>
        <cdr:cNvSpPr txBox="1"/>
      </cdr:nvSpPr>
      <cdr:spPr>
        <a:xfrm xmlns:a="http://schemas.openxmlformats.org/drawingml/2006/main">
          <a:off x="3216805" y="812800"/>
          <a:ext cx="762592" cy="22862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2-butanone</a:t>
          </a:r>
        </a:p>
      </cdr:txBody>
    </cdr:sp>
  </cdr:relSizeAnchor>
  <cdr:relSizeAnchor xmlns:cdr="http://schemas.openxmlformats.org/drawingml/2006/chartDrawing">
    <cdr:from>
      <cdr:x>0.59897</cdr:x>
      <cdr:y>0.38691</cdr:y>
    </cdr:from>
    <cdr:to>
      <cdr:x>0.75646</cdr:x>
      <cdr:y>0.47285</cdr:y>
    </cdr:to>
    <cdr:sp macro="" textlink="">
      <cdr:nvSpPr>
        <cdr:cNvPr id="7" name="TextBox 1"/>
        <cdr:cNvSpPr txBox="1"/>
      </cdr:nvSpPr>
      <cdr:spPr>
        <a:xfrm xmlns:a="http://schemas.openxmlformats.org/drawingml/2006/main">
          <a:off x="2526676" y="1107209"/>
          <a:ext cx="66435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Chlooralkanen</a:t>
          </a:r>
        </a:p>
      </cdr:txBody>
    </cdr:sp>
  </cdr:relSizeAnchor>
  <cdr:relSizeAnchor xmlns:cdr="http://schemas.openxmlformats.org/drawingml/2006/chartDrawing">
    <cdr:from>
      <cdr:x>0.34487</cdr:x>
      <cdr:y>0.02986</cdr:y>
    </cdr:from>
    <cdr:to>
      <cdr:x>0.50236</cdr:x>
      <cdr:y>0.1158</cdr:y>
    </cdr:to>
    <cdr:sp macro="" textlink="">
      <cdr:nvSpPr>
        <cdr:cNvPr id="8" name="TextBox 1"/>
        <cdr:cNvSpPr txBox="1"/>
      </cdr:nvSpPr>
      <cdr:spPr>
        <a:xfrm xmlns:a="http://schemas.openxmlformats.org/drawingml/2006/main">
          <a:off x="1245754" y="85436"/>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cyclohexane</a:t>
          </a:r>
        </a:p>
      </cdr:txBody>
    </cdr:sp>
  </cdr:relSizeAnchor>
</c:userShapes>
</file>

<file path=xl/drawings/drawing14.xml><?xml version="1.0" encoding="utf-8"?>
<c:userShapes xmlns:c="http://schemas.openxmlformats.org/drawingml/2006/chart">
  <cdr:relSizeAnchor xmlns:cdr="http://schemas.openxmlformats.org/drawingml/2006/chartDrawing">
    <cdr:from>
      <cdr:x>0.34453</cdr:x>
      <cdr:y>0.04866</cdr:y>
    </cdr:from>
    <cdr:to>
      <cdr:x>0.34619</cdr:x>
      <cdr:y>0.82958</cdr:y>
    </cdr:to>
    <cdr:cxnSp macro="">
      <cdr:nvCxnSpPr>
        <cdr:cNvPr id="8" name="Straight Connector 7">
          <a:extLst xmlns:a="http://schemas.openxmlformats.org/drawingml/2006/main">
            <a:ext uri="{FF2B5EF4-FFF2-40B4-BE49-F238E27FC236}">
              <a16:creationId xmlns:a16="http://schemas.microsoft.com/office/drawing/2014/main" id="{49DF2F15-305A-4BF7-B233-5C8723DFACE0}"/>
            </a:ext>
          </a:extLst>
        </cdr:cNvPr>
        <cdr:cNvCxnSpPr/>
      </cdr:nvCxnSpPr>
      <cdr:spPr>
        <a:xfrm xmlns:a="http://schemas.openxmlformats.org/drawingml/2006/main" flipH="1" flipV="1">
          <a:off x="1232318" y="146050"/>
          <a:ext cx="5933" cy="234405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0.32235</cdr:x>
      <cdr:y>0.05772</cdr:y>
    </cdr:from>
    <cdr:to>
      <cdr:x>0.47379</cdr:x>
      <cdr:y>0.14567</cdr:y>
    </cdr:to>
    <cdr:sp macro="" textlink="">
      <cdr:nvSpPr>
        <cdr:cNvPr id="9" name="TextBox 1"/>
        <cdr:cNvSpPr txBox="1"/>
      </cdr:nvSpPr>
      <cdr:spPr>
        <a:xfrm xmlns:a="http://schemas.openxmlformats.org/drawingml/2006/main">
          <a:off x="1152979" y="173265"/>
          <a:ext cx="541669" cy="263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0.24562</cdr:x>
      <cdr:y>0.04412</cdr:y>
    </cdr:from>
    <cdr:to>
      <cdr:x>0.24728</cdr:x>
      <cdr:y>0.82504</cdr:y>
    </cdr:to>
    <cdr:cxnSp macro="">
      <cdr:nvCxnSpPr>
        <cdr:cNvPr id="10" name="Straight Connector 9">
          <a:extLst xmlns:a="http://schemas.openxmlformats.org/drawingml/2006/main">
            <a:ext uri="{FF2B5EF4-FFF2-40B4-BE49-F238E27FC236}">
              <a16:creationId xmlns:a16="http://schemas.microsoft.com/office/drawing/2014/main" id="{1AE631D5-62CF-03BB-DBA4-7A7AF8A15CD2}"/>
            </a:ext>
          </a:extLst>
        </cdr:cNvPr>
        <cdr:cNvCxnSpPr/>
      </cdr:nvCxnSpPr>
      <cdr:spPr>
        <a:xfrm xmlns:a="http://schemas.openxmlformats.org/drawingml/2006/main" flipH="1" flipV="1">
          <a:off x="878532" y="132443"/>
          <a:ext cx="5933" cy="234405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0.19681</cdr:x>
      <cdr:y>0.05772</cdr:y>
    </cdr:from>
    <cdr:to>
      <cdr:x>0.34825</cdr:x>
      <cdr:y>0.14567</cdr:y>
    </cdr:to>
    <cdr:sp macro="" textlink="">
      <cdr:nvSpPr>
        <cdr:cNvPr id="11" name="TextBox 1"/>
        <cdr:cNvSpPr txBox="1"/>
      </cdr:nvSpPr>
      <cdr:spPr>
        <a:xfrm xmlns:a="http://schemas.openxmlformats.org/drawingml/2006/main">
          <a:off x="703943" y="173265"/>
          <a:ext cx="541669" cy="263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12 </a:t>
          </a:r>
          <a:r>
            <a:rPr lang="en-GB" sz="800">
              <a:solidFill>
                <a:schemeClr val="tx1">
                  <a:lumMod val="50000"/>
                  <a:lumOff val="50000"/>
                </a:schemeClr>
              </a:solidFill>
              <a:latin typeface="Lucida Sans"/>
            </a:rPr>
            <a:t>°C </a:t>
          </a:r>
        </a:p>
      </cdr:txBody>
    </cdr:sp>
  </cdr:relSizeAnchor>
</c:userShapes>
</file>

<file path=xl/drawings/drawing15.xml><?xml version="1.0" encoding="utf-8"?>
<c:userShapes xmlns:c="http://schemas.openxmlformats.org/drawingml/2006/chart">
  <cdr:relSizeAnchor xmlns:cdr="http://schemas.openxmlformats.org/drawingml/2006/chartDrawing">
    <cdr:from>
      <cdr:x>0.7575</cdr:x>
      <cdr:y>0.0238</cdr:y>
    </cdr:from>
    <cdr:to>
      <cdr:x>0.96552</cdr:x>
      <cdr:y>0.09257</cdr:y>
    </cdr:to>
    <cdr:sp macro="" textlink="">
      <cdr:nvSpPr>
        <cdr:cNvPr id="2" name="TextBox 1"/>
        <cdr:cNvSpPr txBox="1"/>
      </cdr:nvSpPr>
      <cdr:spPr>
        <a:xfrm xmlns:a="http://schemas.openxmlformats.org/drawingml/2006/main">
          <a:off x="2730088" y="68108"/>
          <a:ext cx="749718" cy="1968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diffusie</a:t>
          </a:r>
        </a:p>
      </cdr:txBody>
    </cdr:sp>
  </cdr:relSizeAnchor>
</c:userShapes>
</file>

<file path=xl/drawings/drawing16.xml><?xml version="1.0" encoding="utf-8"?>
<xdr:wsDr xmlns:xdr="http://schemas.openxmlformats.org/drawingml/2006/spreadsheetDrawing" xmlns:a="http://schemas.openxmlformats.org/drawingml/2006/main">
  <xdr:twoCellAnchor>
    <xdr:from>
      <xdr:col>46</xdr:col>
      <xdr:colOff>204107</xdr:colOff>
      <xdr:row>6</xdr:row>
      <xdr:rowOff>108857</xdr:rowOff>
    </xdr:from>
    <xdr:to>
      <xdr:col>52</xdr:col>
      <xdr:colOff>130179</xdr:colOff>
      <xdr:row>24</xdr:row>
      <xdr:rowOff>49715</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72224</xdr:colOff>
      <xdr:row>24</xdr:row>
      <xdr:rowOff>85830</xdr:rowOff>
    </xdr:from>
    <xdr:to>
      <xdr:col>52</xdr:col>
      <xdr:colOff>10855</xdr:colOff>
      <xdr:row>42</xdr:row>
      <xdr:rowOff>26689</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156882</xdr:colOff>
      <xdr:row>44</xdr:row>
      <xdr:rowOff>45944</xdr:rowOff>
    </xdr:from>
    <xdr:to>
      <xdr:col>54</xdr:col>
      <xdr:colOff>493059</xdr:colOff>
      <xdr:row>61</xdr:row>
      <xdr:rowOff>122144</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136080</xdr:colOff>
      <xdr:row>153</xdr:row>
      <xdr:rowOff>84365</xdr:rowOff>
    </xdr:from>
    <xdr:to>
      <xdr:col>36</xdr:col>
      <xdr:colOff>511187</xdr:colOff>
      <xdr:row>171</xdr:row>
      <xdr:rowOff>25222</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48</xdr:col>
      <xdr:colOff>54428</xdr:colOff>
      <xdr:row>6</xdr:row>
      <xdr:rowOff>133596</xdr:rowOff>
    </xdr:from>
    <xdr:to>
      <xdr:col>54</xdr:col>
      <xdr:colOff>17610</xdr:colOff>
      <xdr:row>26</xdr:row>
      <xdr:rowOff>52187</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86589</xdr:colOff>
      <xdr:row>26</xdr:row>
      <xdr:rowOff>155862</xdr:rowOff>
    </xdr:from>
    <xdr:to>
      <xdr:col>54</xdr:col>
      <xdr:colOff>49771</xdr:colOff>
      <xdr:row>45</xdr:row>
      <xdr:rowOff>74453</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207819</xdr:colOff>
      <xdr:row>8</xdr:row>
      <xdr:rowOff>-1</xdr:rowOff>
    </xdr:from>
    <xdr:to>
      <xdr:col>60</xdr:col>
      <xdr:colOff>171000</xdr:colOff>
      <xdr:row>26</xdr:row>
      <xdr:rowOff>74454</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207819</xdr:colOff>
      <xdr:row>27</xdr:row>
      <xdr:rowOff>0</xdr:rowOff>
    </xdr:from>
    <xdr:to>
      <xdr:col>60</xdr:col>
      <xdr:colOff>171000</xdr:colOff>
      <xdr:row>45</xdr:row>
      <xdr:rowOff>74455</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60</xdr:col>
      <xdr:colOff>299357</xdr:colOff>
      <xdr:row>6</xdr:row>
      <xdr:rowOff>163285</xdr:rowOff>
    </xdr:from>
    <xdr:to>
      <xdr:col>66</xdr:col>
      <xdr:colOff>262539</xdr:colOff>
      <xdr:row>26</xdr:row>
      <xdr:rowOff>81876</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326572</xdr:colOff>
      <xdr:row>27</xdr:row>
      <xdr:rowOff>40822</xdr:rowOff>
    </xdr:from>
    <xdr:to>
      <xdr:col>66</xdr:col>
      <xdr:colOff>289754</xdr:colOff>
      <xdr:row>45</xdr:row>
      <xdr:rowOff>122698</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312964</xdr:colOff>
      <xdr:row>6</xdr:row>
      <xdr:rowOff>163285</xdr:rowOff>
    </xdr:from>
    <xdr:to>
      <xdr:col>72</xdr:col>
      <xdr:colOff>276146</xdr:colOff>
      <xdr:row>26</xdr:row>
      <xdr:rowOff>81876</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66</xdr:col>
      <xdr:colOff>312964</xdr:colOff>
      <xdr:row>27</xdr:row>
      <xdr:rowOff>27214</xdr:rowOff>
    </xdr:from>
    <xdr:to>
      <xdr:col>72</xdr:col>
      <xdr:colOff>276146</xdr:colOff>
      <xdr:row>45</xdr:row>
      <xdr:rowOff>109091</xdr:rowOff>
    </xdr:to>
    <xdr:graphicFrame macro="">
      <xdr:nvGraphicFramePr>
        <xdr:cNvPr id="10" name="Chart 9">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89</xdr:col>
      <xdr:colOff>211311</xdr:colOff>
      <xdr:row>3</xdr:row>
      <xdr:rowOff>43949</xdr:rowOff>
    </xdr:from>
    <xdr:to>
      <xdr:col>95</xdr:col>
      <xdr:colOff>174493</xdr:colOff>
      <xdr:row>22</xdr:row>
      <xdr:rowOff>119423</xdr:rowOff>
    </xdr:to>
    <xdr:graphicFrame macro="">
      <xdr:nvGraphicFramePr>
        <xdr:cNvPr id="11" name="Chart 10">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89</xdr:col>
      <xdr:colOff>165030</xdr:colOff>
      <xdr:row>23</xdr:row>
      <xdr:rowOff>77421</xdr:rowOff>
    </xdr:from>
    <xdr:to>
      <xdr:col>95</xdr:col>
      <xdr:colOff>128212</xdr:colOff>
      <xdr:row>41</xdr:row>
      <xdr:rowOff>152895</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95</xdr:col>
      <xdr:colOff>274544</xdr:colOff>
      <xdr:row>2</xdr:row>
      <xdr:rowOff>129667</xdr:rowOff>
    </xdr:from>
    <xdr:to>
      <xdr:col>101</xdr:col>
      <xdr:colOff>237726</xdr:colOff>
      <xdr:row>22</xdr:row>
      <xdr:rowOff>48259</xdr:rowOff>
    </xdr:to>
    <xdr:graphicFrame macro="">
      <xdr:nvGraphicFramePr>
        <xdr:cNvPr id="15" name="Chart 14">
          <a:extLst>
            <a:ext uri="{FF2B5EF4-FFF2-40B4-BE49-F238E27FC236}">
              <a16:creationId xmlns:a16="http://schemas.microsoft.com/office/drawing/2014/main" id="{00000000-0008-0000-0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95</xdr:col>
      <xdr:colOff>318568</xdr:colOff>
      <xdr:row>23</xdr:row>
      <xdr:rowOff>72838</xdr:rowOff>
    </xdr:from>
    <xdr:to>
      <xdr:col>101</xdr:col>
      <xdr:colOff>281750</xdr:colOff>
      <xdr:row>41</xdr:row>
      <xdr:rowOff>148311</xdr:rowOff>
    </xdr:to>
    <xdr:graphicFrame macro="">
      <xdr:nvGraphicFramePr>
        <xdr:cNvPr id="16" name="Chart 15">
          <a:extLst>
            <a:ext uri="{FF2B5EF4-FFF2-40B4-BE49-F238E27FC236}">
              <a16:creationId xmlns:a16="http://schemas.microsoft.com/office/drawing/2014/main" id="{00000000-0008-0000-0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101</xdr:col>
      <xdr:colOff>554691</xdr:colOff>
      <xdr:row>2</xdr:row>
      <xdr:rowOff>93648</xdr:rowOff>
    </xdr:from>
    <xdr:to>
      <xdr:col>107</xdr:col>
      <xdr:colOff>517872</xdr:colOff>
      <xdr:row>22</xdr:row>
      <xdr:rowOff>12240</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101</xdr:col>
      <xdr:colOff>537884</xdr:colOff>
      <xdr:row>23</xdr:row>
      <xdr:rowOff>16008</xdr:rowOff>
    </xdr:from>
    <xdr:to>
      <xdr:col>107</xdr:col>
      <xdr:colOff>508268</xdr:colOff>
      <xdr:row>41</xdr:row>
      <xdr:rowOff>97886</xdr:rowOff>
    </xdr:to>
    <xdr:graphicFrame macro="">
      <xdr:nvGraphicFramePr>
        <xdr:cNvPr id="18" name="Chart 17">
          <a:extLst>
            <a:ext uri="{FF2B5EF4-FFF2-40B4-BE49-F238E27FC236}">
              <a16:creationId xmlns:a16="http://schemas.microsoft.com/office/drawing/2014/main" id="{00000000-0008-0000-0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122</xdr:col>
      <xdr:colOff>54428</xdr:colOff>
      <xdr:row>6</xdr:row>
      <xdr:rowOff>147203</xdr:rowOff>
    </xdr:from>
    <xdr:to>
      <xdr:col>128</xdr:col>
      <xdr:colOff>17611</xdr:colOff>
      <xdr:row>26</xdr:row>
      <xdr:rowOff>65794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122</xdr:col>
      <xdr:colOff>45768</xdr:colOff>
      <xdr:row>27</xdr:row>
      <xdr:rowOff>33397</xdr:rowOff>
    </xdr:from>
    <xdr:to>
      <xdr:col>128</xdr:col>
      <xdr:colOff>8951</xdr:colOff>
      <xdr:row>45</xdr:row>
      <xdr:rowOff>115274</xdr:rowOff>
    </xdr:to>
    <xdr:graphicFrame macro="">
      <xdr:nvGraphicFramePr>
        <xdr:cNvPr id="20" name="Chart 19">
          <a:extLst>
            <a:ext uri="{FF2B5EF4-FFF2-40B4-BE49-F238E27FC236}">
              <a16:creationId xmlns:a16="http://schemas.microsoft.com/office/drawing/2014/main" id="{00000000-0008-0000-09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127</xdr:col>
      <xdr:colOff>602427</xdr:colOff>
      <xdr:row>7</xdr:row>
      <xdr:rowOff>108856</xdr:rowOff>
    </xdr:from>
    <xdr:to>
      <xdr:col>133</xdr:col>
      <xdr:colOff>565608</xdr:colOff>
      <xdr:row>26</xdr:row>
      <xdr:rowOff>20025</xdr:rowOff>
    </xdr:to>
    <xdr:graphicFrame macro="">
      <xdr:nvGraphicFramePr>
        <xdr:cNvPr id="21" name="Chart 20">
          <a:extLst>
            <a:ext uri="{FF2B5EF4-FFF2-40B4-BE49-F238E27FC236}">
              <a16:creationId xmlns:a16="http://schemas.microsoft.com/office/drawing/2014/main" id="{00000000-0008-0000-09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141</xdr:col>
      <xdr:colOff>40822</xdr:colOff>
      <xdr:row>9</xdr:row>
      <xdr:rowOff>27215</xdr:rowOff>
    </xdr:from>
    <xdr:to>
      <xdr:col>147</xdr:col>
      <xdr:colOff>10116</xdr:colOff>
      <xdr:row>27</xdr:row>
      <xdr:rowOff>83334</xdr:rowOff>
    </xdr:to>
    <xdr:graphicFrame macro="">
      <xdr:nvGraphicFramePr>
        <xdr:cNvPr id="24" name="Chart 23">
          <a:extLst>
            <a:ext uri="{FF2B5EF4-FFF2-40B4-BE49-F238E27FC236}">
              <a16:creationId xmlns:a16="http://schemas.microsoft.com/office/drawing/2014/main" id="{00000000-0008-0000-09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141</xdr:col>
      <xdr:colOff>54429</xdr:colOff>
      <xdr:row>27</xdr:row>
      <xdr:rowOff>108858</xdr:rowOff>
    </xdr:from>
    <xdr:to>
      <xdr:col>147</xdr:col>
      <xdr:colOff>23725</xdr:colOff>
      <xdr:row>46</xdr:row>
      <xdr:rowOff>1691</xdr:rowOff>
    </xdr:to>
    <xdr:graphicFrame macro="">
      <xdr:nvGraphicFramePr>
        <xdr:cNvPr id="23" name="Chart 22">
          <a:extLst>
            <a:ext uri="{FF2B5EF4-FFF2-40B4-BE49-F238E27FC236}">
              <a16:creationId xmlns:a16="http://schemas.microsoft.com/office/drawing/2014/main" id="{00000000-0008-0000-09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147</xdr:col>
      <xdr:colOff>28816</xdr:colOff>
      <xdr:row>27</xdr:row>
      <xdr:rowOff>108058</xdr:rowOff>
    </xdr:from>
    <xdr:to>
      <xdr:col>152</xdr:col>
      <xdr:colOff>610432</xdr:colOff>
      <xdr:row>46</xdr:row>
      <xdr:rowOff>891</xdr:rowOff>
    </xdr:to>
    <xdr:graphicFrame macro="">
      <xdr:nvGraphicFramePr>
        <xdr:cNvPr id="25" name="Chart 24">
          <a:extLst>
            <a:ext uri="{FF2B5EF4-FFF2-40B4-BE49-F238E27FC236}">
              <a16:creationId xmlns:a16="http://schemas.microsoft.com/office/drawing/2014/main" id="{00000000-0008-0000-09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128</xdr:col>
      <xdr:colOff>163285</xdr:colOff>
      <xdr:row>27</xdr:row>
      <xdr:rowOff>149679</xdr:rowOff>
    </xdr:from>
    <xdr:to>
      <xdr:col>134</xdr:col>
      <xdr:colOff>204230</xdr:colOff>
      <xdr:row>45</xdr:row>
      <xdr:rowOff>75830</xdr:rowOff>
    </xdr:to>
    <xdr:graphicFrame macro="">
      <xdr:nvGraphicFramePr>
        <xdr:cNvPr id="22" name="Chart 21">
          <a:extLst>
            <a:ext uri="{FF2B5EF4-FFF2-40B4-BE49-F238E27FC236}">
              <a16:creationId xmlns:a16="http://schemas.microsoft.com/office/drawing/2014/main" id="{00000000-0008-0000-09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134</xdr:col>
      <xdr:colOff>190500</xdr:colOff>
      <xdr:row>7</xdr:row>
      <xdr:rowOff>81642</xdr:rowOff>
    </xdr:from>
    <xdr:to>
      <xdr:col>140</xdr:col>
      <xdr:colOff>153681</xdr:colOff>
      <xdr:row>25</xdr:row>
      <xdr:rowOff>156097</xdr:rowOff>
    </xdr:to>
    <xdr:graphicFrame macro="">
      <xdr:nvGraphicFramePr>
        <xdr:cNvPr id="26" name="Chart 25">
          <a:extLst>
            <a:ext uri="{FF2B5EF4-FFF2-40B4-BE49-F238E27FC236}">
              <a16:creationId xmlns:a16="http://schemas.microsoft.com/office/drawing/2014/main" id="{00000000-0008-0000-09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143</xdr:col>
      <xdr:colOff>381000</xdr:colOff>
      <xdr:row>897</xdr:row>
      <xdr:rowOff>159203</xdr:rowOff>
    </xdr:from>
    <xdr:to>
      <xdr:col>151</xdr:col>
      <xdr:colOff>54429</xdr:colOff>
      <xdr:row>914</xdr:row>
      <xdr:rowOff>126546</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119</xdr:col>
      <xdr:colOff>333375</xdr:colOff>
      <xdr:row>1</xdr:row>
      <xdr:rowOff>19050</xdr:rowOff>
    </xdr:from>
    <xdr:to>
      <xdr:col>126</xdr:col>
      <xdr:colOff>56544</xdr:colOff>
      <xdr:row>8</xdr:row>
      <xdr:rowOff>133194</xdr:rowOff>
    </xdr:to>
    <xdr:pic>
      <xdr:nvPicPr>
        <xdr:cNvPr id="13" name="Picture 12">
          <a:extLst>
            <a:ext uri="{FF2B5EF4-FFF2-40B4-BE49-F238E27FC236}">
              <a16:creationId xmlns:a16="http://schemas.microsoft.com/office/drawing/2014/main" id="{92BFFBA5-255C-071F-7F64-62EE1221467F}"/>
            </a:ext>
          </a:extLst>
        </xdr:cNvPr>
        <xdr:cNvPicPr>
          <a:picLocks noChangeAspect="1"/>
        </xdr:cNvPicPr>
      </xdr:nvPicPr>
      <xdr:blipFill>
        <a:blip xmlns:r="http://schemas.openxmlformats.org/officeDocument/2006/relationships" r:embed="rId24"/>
        <a:stretch>
          <a:fillRect/>
        </a:stretch>
      </xdr:blipFill>
      <xdr:spPr>
        <a:xfrm>
          <a:off x="77009625" y="180975"/>
          <a:ext cx="4847619" cy="1247619"/>
        </a:xfrm>
        <a:prstGeom prst="rect">
          <a:avLst/>
        </a:prstGeom>
      </xdr:spPr>
    </xdr:pic>
    <xdr:clientData/>
  </xdr:twoCellAnchor>
  <xdr:twoCellAnchor>
    <xdr:from>
      <xdr:col>119</xdr:col>
      <xdr:colOff>295275</xdr:colOff>
      <xdr:row>48</xdr:row>
      <xdr:rowOff>0</xdr:rowOff>
    </xdr:from>
    <xdr:to>
      <xdr:col>122</xdr:col>
      <xdr:colOff>133350</xdr:colOff>
      <xdr:row>61</xdr:row>
      <xdr:rowOff>47624</xdr:rowOff>
    </xdr:to>
    <xdr:sp macro="" textlink="">
      <xdr:nvSpPr>
        <xdr:cNvPr id="27" name="TextBox 26">
          <a:extLst>
            <a:ext uri="{FF2B5EF4-FFF2-40B4-BE49-F238E27FC236}">
              <a16:creationId xmlns:a16="http://schemas.microsoft.com/office/drawing/2014/main" id="{81F8EB51-B88A-4590-A1DB-33B8C9EE5CA5}"/>
            </a:ext>
          </a:extLst>
        </xdr:cNvPr>
        <xdr:cNvSpPr txBox="1"/>
      </xdr:nvSpPr>
      <xdr:spPr>
        <a:xfrm>
          <a:off x="76971525" y="8001000"/>
          <a:ext cx="2524125" cy="2152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Conceptually: are we trying to get to the red</a:t>
          </a:r>
          <a:r>
            <a:rPr lang="en-US" sz="1100" baseline="0"/>
            <a:t> confidence interval? or the pink?  see fig.-&gt;</a:t>
          </a:r>
        </a:p>
        <a:p>
          <a:endParaRPr lang="en-US" sz="1100" baseline="0"/>
        </a:p>
        <a:p>
          <a:r>
            <a:rPr lang="en-US" sz="1100" baseline="0"/>
            <a:t>red - standard error of the mean</a:t>
          </a:r>
        </a:p>
        <a:p>
          <a:r>
            <a:rPr lang="en-US" sz="1100" baseline="0"/>
            <a:t>pink = standard error of the forecast</a:t>
          </a:r>
        </a:p>
        <a:p>
          <a:endParaRPr lang="en-US" sz="1100" baseline="0"/>
        </a:p>
        <a:p>
          <a:r>
            <a:rPr lang="en-US" sz="1100" baseline="0"/>
            <a:t>from: https://people.duke.edu/~rnau/mathreg.htm#rsquared</a:t>
          </a:r>
        </a:p>
        <a:p>
          <a:endParaRPr lang="en-US" sz="1100" baseline="0"/>
        </a:p>
        <a:p>
          <a:endParaRPr lang="en-US" sz="1100"/>
        </a:p>
      </xdr:txBody>
    </xdr:sp>
    <xdr:clientData/>
  </xdr:twoCellAnchor>
  <xdr:twoCellAnchor editAs="oneCell">
    <xdr:from>
      <xdr:col>122</xdr:col>
      <xdr:colOff>228600</xdr:colOff>
      <xdr:row>44</xdr:row>
      <xdr:rowOff>85725</xdr:rowOff>
    </xdr:from>
    <xdr:to>
      <xdr:col>129</xdr:col>
      <xdr:colOff>180447</xdr:colOff>
      <xdr:row>940</xdr:row>
      <xdr:rowOff>94493</xdr:rowOff>
    </xdr:to>
    <xdr:pic>
      <xdr:nvPicPr>
        <xdr:cNvPr id="28" name="Picture 27">
          <a:extLst>
            <a:ext uri="{FF2B5EF4-FFF2-40B4-BE49-F238E27FC236}">
              <a16:creationId xmlns:a16="http://schemas.microsoft.com/office/drawing/2014/main" id="{7956B999-5F56-4A14-9704-3FFE8C173C10}"/>
            </a:ext>
          </a:extLst>
        </xdr:cNvPr>
        <xdr:cNvPicPr>
          <a:picLocks noChangeAspect="1"/>
        </xdr:cNvPicPr>
      </xdr:nvPicPr>
      <xdr:blipFill>
        <a:blip xmlns:r="http://schemas.openxmlformats.org/officeDocument/2006/relationships" r:embed="rId25"/>
        <a:stretch>
          <a:fillRect/>
        </a:stretch>
      </xdr:blipFill>
      <xdr:spPr>
        <a:xfrm>
          <a:off x="80286225" y="7381875"/>
          <a:ext cx="4219048" cy="6057143"/>
        </a:xfrm>
        <a:prstGeom prst="rect">
          <a:avLst/>
        </a:prstGeom>
      </xdr:spPr>
    </xdr:pic>
    <xdr:clientData/>
  </xdr:twoCellAnchor>
  <xdr:twoCellAnchor editAs="oneCell">
    <xdr:from>
      <xdr:col>116</xdr:col>
      <xdr:colOff>1226343</xdr:colOff>
      <xdr:row>58</xdr:row>
      <xdr:rowOff>0</xdr:rowOff>
    </xdr:from>
    <xdr:to>
      <xdr:col>120</xdr:col>
      <xdr:colOff>1311664</xdr:colOff>
      <xdr:row>773</xdr:row>
      <xdr:rowOff>152300</xdr:rowOff>
    </xdr:to>
    <xdr:pic>
      <xdr:nvPicPr>
        <xdr:cNvPr id="14" name="Picture 13">
          <a:extLst>
            <a:ext uri="{FF2B5EF4-FFF2-40B4-BE49-F238E27FC236}">
              <a16:creationId xmlns:a16="http://schemas.microsoft.com/office/drawing/2014/main" id="{4EAB270D-62FB-299F-347C-2910003B2750}"/>
            </a:ext>
          </a:extLst>
        </xdr:cNvPr>
        <xdr:cNvPicPr>
          <a:picLocks noChangeAspect="1"/>
        </xdr:cNvPicPr>
      </xdr:nvPicPr>
      <xdr:blipFill>
        <a:blip xmlns:r="http://schemas.openxmlformats.org/officeDocument/2006/relationships" r:embed="rId26"/>
        <a:stretch>
          <a:fillRect/>
        </a:stretch>
      </xdr:blipFill>
      <xdr:spPr>
        <a:xfrm>
          <a:off x="75842812" y="9858375"/>
          <a:ext cx="3216665" cy="819050"/>
        </a:xfrm>
        <a:prstGeom prst="rect">
          <a:avLst/>
        </a:prstGeom>
      </xdr:spPr>
    </xdr:pic>
    <xdr:clientData/>
  </xdr:twoCellAnchor>
  <xdr:twoCellAnchor editAs="oneCell">
    <xdr:from>
      <xdr:col>117</xdr:col>
      <xdr:colOff>83344</xdr:colOff>
      <xdr:row>65</xdr:row>
      <xdr:rowOff>28575</xdr:rowOff>
    </xdr:from>
    <xdr:to>
      <xdr:col>120</xdr:col>
      <xdr:colOff>709306</xdr:colOff>
      <xdr:row>766</xdr:row>
      <xdr:rowOff>28510</xdr:rowOff>
    </xdr:to>
    <xdr:pic>
      <xdr:nvPicPr>
        <xdr:cNvPr id="29" name="Picture 28">
          <a:extLst>
            <a:ext uri="{FF2B5EF4-FFF2-40B4-BE49-F238E27FC236}">
              <a16:creationId xmlns:a16="http://schemas.microsoft.com/office/drawing/2014/main" id="{6D75BD36-12C3-0CA1-DBE8-2FDF66B3FD58}"/>
            </a:ext>
          </a:extLst>
        </xdr:cNvPr>
        <xdr:cNvPicPr>
          <a:picLocks noChangeAspect="1"/>
        </xdr:cNvPicPr>
      </xdr:nvPicPr>
      <xdr:blipFill>
        <a:blip xmlns:r="http://schemas.openxmlformats.org/officeDocument/2006/relationships" r:embed="rId27"/>
        <a:stretch>
          <a:fillRect/>
        </a:stretch>
      </xdr:blipFill>
      <xdr:spPr>
        <a:xfrm>
          <a:off x="76009500" y="11053763"/>
          <a:ext cx="2447618" cy="52857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88</xdr:col>
      <xdr:colOff>33616</xdr:colOff>
      <xdr:row>8</xdr:row>
      <xdr:rowOff>89648</xdr:rowOff>
    </xdr:from>
    <xdr:to>
      <xdr:col>94</xdr:col>
      <xdr:colOff>59594</xdr:colOff>
      <xdr:row>25</xdr:row>
      <xdr:rowOff>142345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88</xdr:col>
      <xdr:colOff>33618</xdr:colOff>
      <xdr:row>26</xdr:row>
      <xdr:rowOff>100853</xdr:rowOff>
    </xdr:from>
    <xdr:to>
      <xdr:col>94</xdr:col>
      <xdr:colOff>59596</xdr:colOff>
      <xdr:row>44</xdr:row>
      <xdr:rowOff>63903</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35</xdr:col>
      <xdr:colOff>598717</xdr:colOff>
      <xdr:row>7</xdr:row>
      <xdr:rowOff>13609</xdr:rowOff>
    </xdr:from>
    <xdr:to>
      <xdr:col>44</xdr:col>
      <xdr:colOff>370117</xdr:colOff>
      <xdr:row>27</xdr:row>
      <xdr:rowOff>4084</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204106</xdr:colOff>
      <xdr:row>7</xdr:row>
      <xdr:rowOff>108858</xdr:rowOff>
    </xdr:from>
    <xdr:to>
      <xdr:col>34</xdr:col>
      <xdr:colOff>587830</xdr:colOff>
      <xdr:row>27</xdr:row>
      <xdr:rowOff>99333</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482435</xdr:colOff>
      <xdr:row>16</xdr:row>
      <xdr:rowOff>10762</xdr:rowOff>
    </xdr:from>
    <xdr:to>
      <xdr:col>27</xdr:col>
      <xdr:colOff>384711</xdr:colOff>
      <xdr:row>32</xdr:row>
      <xdr:rowOff>133968</xdr:rowOff>
    </xdr:to>
    <xdr:graphicFrame macro="">
      <xdr:nvGraphicFramePr>
        <xdr:cNvPr id="7" name="Chart 6">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51956</xdr:colOff>
      <xdr:row>32</xdr:row>
      <xdr:rowOff>138546</xdr:rowOff>
    </xdr:from>
    <xdr:to>
      <xdr:col>35</xdr:col>
      <xdr:colOff>435680</xdr:colOff>
      <xdr:row>52</xdr:row>
      <xdr:rowOff>129021</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15</xdr:col>
      <xdr:colOff>133350</xdr:colOff>
      <xdr:row>5</xdr:row>
      <xdr:rowOff>147637</xdr:rowOff>
    </xdr:from>
    <xdr:to>
      <xdr:col>26</xdr:col>
      <xdr:colOff>435428</xdr:colOff>
      <xdr:row>22</xdr:row>
      <xdr:rowOff>138112</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163286</xdr:colOff>
      <xdr:row>23</xdr:row>
      <xdr:rowOff>108856</xdr:rowOff>
    </xdr:from>
    <xdr:to>
      <xdr:col>26</xdr:col>
      <xdr:colOff>381000</xdr:colOff>
      <xdr:row>40</xdr:row>
      <xdr:rowOff>99331</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10</xdr:col>
      <xdr:colOff>57150</xdr:colOff>
      <xdr:row>19</xdr:row>
      <xdr:rowOff>8164</xdr:rowOff>
    </xdr:from>
    <xdr:to>
      <xdr:col>16</xdr:col>
      <xdr:colOff>129267</xdr:colOff>
      <xdr:row>35</xdr:row>
      <xdr:rowOff>24493</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352425</xdr:colOff>
      <xdr:row>16</xdr:row>
      <xdr:rowOff>76200</xdr:rowOff>
    </xdr:from>
    <xdr:to>
      <xdr:col>24</xdr:col>
      <xdr:colOff>427264</xdr:colOff>
      <xdr:row>32</xdr:row>
      <xdr:rowOff>92529</xdr:rowOff>
    </xdr:to>
    <xdr:graphicFrame macro="">
      <xdr:nvGraphicFramePr>
        <xdr:cNvPr id="8" name="Chart 7">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68036</xdr:colOff>
      <xdr:row>34</xdr:row>
      <xdr:rowOff>122463</xdr:rowOff>
    </xdr:from>
    <xdr:to>
      <xdr:col>18</xdr:col>
      <xdr:colOff>126548</xdr:colOff>
      <xdr:row>52</xdr:row>
      <xdr:rowOff>80281</xdr:rowOff>
    </xdr:to>
    <xdr:graphicFrame macro="">
      <xdr:nvGraphicFramePr>
        <xdr:cNvPr id="9" name="Chart 8">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43</xdr:col>
      <xdr:colOff>136071</xdr:colOff>
      <xdr:row>23</xdr:row>
      <xdr:rowOff>122464</xdr:rowOff>
    </xdr:from>
    <xdr:to>
      <xdr:col>68</xdr:col>
      <xdr:colOff>528774</xdr:colOff>
      <xdr:row>93</xdr:row>
      <xdr:rowOff>121036</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6520321" y="3878035"/>
          <a:ext cx="15238096" cy="11428572"/>
        </a:xfrm>
        <a:prstGeom prst="rect">
          <a:avLst/>
        </a:prstGeom>
      </xdr:spPr>
    </xdr:pic>
    <xdr:clientData/>
  </xdr:twoCellAnchor>
  <xdr:twoCellAnchor>
    <xdr:from>
      <xdr:col>39</xdr:col>
      <xdr:colOff>183695</xdr:colOff>
      <xdr:row>5</xdr:row>
      <xdr:rowOff>50345</xdr:rowOff>
    </xdr:from>
    <xdr:to>
      <xdr:col>47</xdr:col>
      <xdr:colOff>319766</xdr:colOff>
      <xdr:row>22</xdr:row>
      <xdr:rowOff>17688</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462643</xdr:colOff>
      <xdr:row>5</xdr:row>
      <xdr:rowOff>13607</xdr:rowOff>
    </xdr:from>
    <xdr:to>
      <xdr:col>55</xdr:col>
      <xdr:colOff>136072</xdr:colOff>
      <xdr:row>21</xdr:row>
      <xdr:rowOff>144236</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217715</xdr:colOff>
      <xdr:row>17</xdr:row>
      <xdr:rowOff>108857</xdr:rowOff>
    </xdr:from>
    <xdr:to>
      <xdr:col>6</xdr:col>
      <xdr:colOff>708934</xdr:colOff>
      <xdr:row>35</xdr:row>
      <xdr:rowOff>43542</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326572</xdr:colOff>
      <xdr:row>17</xdr:row>
      <xdr:rowOff>122465</xdr:rowOff>
    </xdr:from>
    <xdr:to>
      <xdr:col>13</xdr:col>
      <xdr:colOff>164648</xdr:colOff>
      <xdr:row>35</xdr:row>
      <xdr:rowOff>57150</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559252</xdr:colOff>
      <xdr:row>20</xdr:row>
      <xdr:rowOff>49665</xdr:rowOff>
    </xdr:from>
    <xdr:to>
      <xdr:col>15</xdr:col>
      <xdr:colOff>559252</xdr:colOff>
      <xdr:row>37</xdr:row>
      <xdr:rowOff>40140</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125666</xdr:colOff>
      <xdr:row>29</xdr:row>
      <xdr:rowOff>67555</xdr:rowOff>
    </xdr:from>
    <xdr:to>
      <xdr:col>24</xdr:col>
      <xdr:colOff>469047</xdr:colOff>
      <xdr:row>46</xdr:row>
      <xdr:rowOff>150158</xdr:rowOff>
    </xdr:to>
    <xdr:graphicFrame macro="">
      <xdr:nvGraphicFramePr>
        <xdr:cNvPr id="6" name="Chart 5">
          <a:extLst>
            <a:ext uri="{FF2B5EF4-FFF2-40B4-BE49-F238E27FC236}">
              <a16:creationId xmlns:a16="http://schemas.microsoft.com/office/drawing/2014/main" id="{00000000-0008-0000-1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489857</xdr:colOff>
      <xdr:row>23</xdr:row>
      <xdr:rowOff>54429</xdr:rowOff>
    </xdr:from>
    <xdr:to>
      <xdr:col>31</xdr:col>
      <xdr:colOff>532041</xdr:colOff>
      <xdr:row>40</xdr:row>
      <xdr:rowOff>152400</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11</xdr:col>
      <xdr:colOff>38100</xdr:colOff>
      <xdr:row>2</xdr:row>
      <xdr:rowOff>100012</xdr:rowOff>
    </xdr:from>
    <xdr:to>
      <xdr:col>18</xdr:col>
      <xdr:colOff>342900</xdr:colOff>
      <xdr:row>19</xdr:row>
      <xdr:rowOff>90487</xdr:rowOff>
    </xdr:to>
    <xdr:graphicFrame macro="">
      <xdr:nvGraphicFramePr>
        <xdr:cNvPr id="2" name="Chart 1">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7</xdr:col>
      <xdr:colOff>466725</xdr:colOff>
      <xdr:row>5</xdr:row>
      <xdr:rowOff>42862</xdr:rowOff>
    </xdr:from>
    <xdr:to>
      <xdr:col>15</xdr:col>
      <xdr:colOff>161925</xdr:colOff>
      <xdr:row>22</xdr:row>
      <xdr:rowOff>33337</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26</xdr:col>
      <xdr:colOff>100854</xdr:colOff>
      <xdr:row>8</xdr:row>
      <xdr:rowOff>1</xdr:rowOff>
    </xdr:from>
    <xdr:to>
      <xdr:col>33</xdr:col>
      <xdr:colOff>464244</xdr:colOff>
      <xdr:row>25</xdr:row>
      <xdr:rowOff>99333</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190500</xdr:colOff>
      <xdr:row>31</xdr:row>
      <xdr:rowOff>12326</xdr:rowOff>
    </xdr:from>
    <xdr:to>
      <xdr:col>8</xdr:col>
      <xdr:colOff>784412</xdr:colOff>
      <xdr:row>48</xdr:row>
      <xdr:rowOff>88526</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rdata.nist.gov/solubility/sol_detail.aspx?sysID=37_103" TargetMode="External"/><Relationship Id="rId1" Type="http://schemas.openxmlformats.org/officeDocument/2006/relationships/hyperlink" Target="http://citeseerx.ist.psu.edu/viewdoc/download?doi=10.1.1.427.8817&amp;rep=rep1&amp;type=pdf%20%20%20%20%20table%205.3"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8.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O27"/>
  <sheetViews>
    <sheetView zoomScale="70" zoomScaleNormal="70" workbookViewId="0">
      <selection activeCell="M33" sqref="M33"/>
    </sheetView>
  </sheetViews>
  <sheetFormatPr defaultRowHeight="12.75" x14ac:dyDescent="0.2"/>
  <cols>
    <col min="2" max="2" width="14.7109375" customWidth="1"/>
    <col min="22" max="22" width="9.5703125" bestFit="1" customWidth="1"/>
    <col min="28" max="28" width="9.5703125" bestFit="1" customWidth="1"/>
  </cols>
  <sheetData>
    <row r="3" spans="1:41" x14ac:dyDescent="0.2">
      <c r="A3" s="114"/>
      <c r="B3" s="107" t="s">
        <v>1521</v>
      </c>
      <c r="C3" s="111"/>
      <c r="D3" s="107" t="s">
        <v>1479</v>
      </c>
      <c r="E3" s="107"/>
      <c r="F3" s="107"/>
      <c r="G3" s="107"/>
      <c r="H3" s="107"/>
      <c r="I3" s="107"/>
      <c r="J3" s="107"/>
      <c r="K3" s="107"/>
      <c r="L3" s="107"/>
      <c r="M3" s="107"/>
      <c r="N3" s="107"/>
      <c r="O3" s="107"/>
      <c r="P3" s="107" t="s">
        <v>1520</v>
      </c>
      <c r="Q3" s="108"/>
      <c r="R3" s="108"/>
    </row>
    <row r="4" spans="1:41" ht="15.75" x14ac:dyDescent="0.3">
      <c r="A4" s="61" t="s">
        <v>1468</v>
      </c>
      <c r="B4" s="51" t="s">
        <v>1467</v>
      </c>
      <c r="C4" s="61" t="s">
        <v>43</v>
      </c>
      <c r="D4" s="61" t="s">
        <v>1522</v>
      </c>
      <c r="E4" s="51"/>
      <c r="F4" s="51"/>
      <c r="G4" s="51"/>
      <c r="H4" s="51"/>
      <c r="I4" s="51"/>
      <c r="J4" s="51" t="s">
        <v>1515</v>
      </c>
      <c r="K4" s="51"/>
      <c r="L4" s="51"/>
      <c r="M4" s="51"/>
      <c r="N4" s="51"/>
      <c r="O4" s="51"/>
      <c r="P4" s="61" t="s">
        <v>1519</v>
      </c>
      <c r="Q4" s="51"/>
      <c r="R4" s="51"/>
      <c r="S4" s="51"/>
      <c r="T4" s="51"/>
      <c r="U4" s="51"/>
      <c r="V4" s="61" t="s">
        <v>1745</v>
      </c>
      <c r="W4" s="51"/>
      <c r="X4" s="51"/>
      <c r="Y4" s="51"/>
      <c r="Z4" s="51"/>
      <c r="AA4" s="51"/>
      <c r="AB4" s="61"/>
      <c r="AC4" s="123"/>
      <c r="AD4" s="123"/>
      <c r="AE4" s="123"/>
      <c r="AF4" s="123"/>
      <c r="AG4" s="130"/>
      <c r="AH4" s="51" t="s">
        <v>1423</v>
      </c>
      <c r="AI4" s="65"/>
      <c r="AJ4" s="65"/>
      <c r="AK4" s="65"/>
      <c r="AL4" s="65"/>
      <c r="AM4" s="65"/>
      <c r="AN4" s="51" t="s">
        <v>496</v>
      </c>
    </row>
    <row r="5" spans="1:41" x14ac:dyDescent="0.2">
      <c r="A5" s="78"/>
      <c r="B5" s="53"/>
      <c r="C5" s="78" t="s">
        <v>1477</v>
      </c>
      <c r="D5" s="61" t="s">
        <v>1480</v>
      </c>
      <c r="E5" s="51"/>
      <c r="F5" s="51"/>
      <c r="G5" s="51"/>
      <c r="H5" s="51"/>
      <c r="I5" s="51"/>
      <c r="J5" s="51"/>
      <c r="K5" s="51"/>
      <c r="L5" s="51"/>
      <c r="M5" s="51"/>
      <c r="N5" s="51"/>
      <c r="O5" s="51"/>
      <c r="P5" s="61" t="s">
        <v>1480</v>
      </c>
      <c r="Q5" s="51"/>
      <c r="R5" s="51"/>
      <c r="S5" s="51"/>
      <c r="T5" s="51"/>
      <c r="U5" s="51"/>
      <c r="V5" s="61" t="s">
        <v>1480</v>
      </c>
      <c r="W5" s="51"/>
      <c r="X5" s="51"/>
      <c r="Y5" s="51"/>
      <c r="Z5" s="51"/>
      <c r="AA5" s="51"/>
      <c r="AB5" s="61" t="s">
        <v>1480</v>
      </c>
      <c r="AC5" s="123"/>
      <c r="AD5" s="123"/>
      <c r="AE5" s="123"/>
      <c r="AF5" s="123"/>
      <c r="AG5" s="130"/>
      <c r="AH5" s="53" t="s">
        <v>1420</v>
      </c>
      <c r="AI5" s="65"/>
      <c r="AJ5" s="65"/>
      <c r="AK5" s="65"/>
      <c r="AL5" s="65"/>
      <c r="AM5" s="65"/>
      <c r="AN5" s="53" t="s">
        <v>513</v>
      </c>
    </row>
    <row r="6" spans="1:41" x14ac:dyDescent="0.2">
      <c r="A6" s="115"/>
      <c r="B6" s="57"/>
      <c r="C6" s="115" t="s">
        <v>546</v>
      </c>
      <c r="D6" s="115">
        <v>278</v>
      </c>
      <c r="E6" s="57">
        <v>296</v>
      </c>
      <c r="F6" s="57">
        <v>313</v>
      </c>
      <c r="G6" s="57">
        <v>333</v>
      </c>
      <c r="H6" s="57">
        <v>353</v>
      </c>
      <c r="I6" s="57">
        <v>373</v>
      </c>
      <c r="J6" s="57"/>
      <c r="K6" s="57"/>
      <c r="L6" s="57"/>
      <c r="M6" s="57"/>
      <c r="N6" s="57"/>
      <c r="O6" s="57"/>
      <c r="P6" s="115">
        <v>278</v>
      </c>
      <c r="Q6" s="57">
        <v>296</v>
      </c>
      <c r="R6" s="57">
        <v>313</v>
      </c>
      <c r="S6" s="57">
        <v>333</v>
      </c>
      <c r="T6" s="57">
        <v>353</v>
      </c>
      <c r="U6" s="57">
        <v>373</v>
      </c>
      <c r="V6" s="115">
        <v>278</v>
      </c>
      <c r="W6" s="57">
        <v>296</v>
      </c>
      <c r="X6" s="57">
        <v>313</v>
      </c>
      <c r="Y6" s="57">
        <v>333</v>
      </c>
      <c r="Z6" s="57">
        <v>353</v>
      </c>
      <c r="AA6" s="57">
        <v>373</v>
      </c>
      <c r="AB6" s="115">
        <v>278</v>
      </c>
      <c r="AC6" s="57">
        <v>296</v>
      </c>
      <c r="AD6" s="57">
        <v>313</v>
      </c>
      <c r="AE6" s="57">
        <v>333</v>
      </c>
      <c r="AF6" s="57">
        <v>353</v>
      </c>
      <c r="AG6" s="120">
        <v>373</v>
      </c>
      <c r="AH6" s="65">
        <f t="shared" ref="AH6:AM6" si="0">1/AB6</f>
        <v>3.5971223021582736E-3</v>
      </c>
      <c r="AI6" s="66">
        <f t="shared" si="0"/>
        <v>3.3783783783783786E-3</v>
      </c>
      <c r="AJ6" s="66">
        <f t="shared" si="0"/>
        <v>3.1948881789137379E-3</v>
      </c>
      <c r="AK6" s="66">
        <f t="shared" si="0"/>
        <v>3.003003003003003E-3</v>
      </c>
      <c r="AL6" s="66">
        <f t="shared" si="0"/>
        <v>2.8328611898016999E-3</v>
      </c>
      <c r="AM6" s="66">
        <f t="shared" si="0"/>
        <v>2.6809651474530832E-3</v>
      </c>
      <c r="AN6" s="57" t="s">
        <v>494</v>
      </c>
      <c r="AO6" s="4"/>
    </row>
    <row r="7" spans="1:41" x14ac:dyDescent="0.2">
      <c r="B7" s="4" t="s">
        <v>1478</v>
      </c>
      <c r="P7">
        <f t="shared" ref="P7:AG7" si="1">1/P6</f>
        <v>3.5971223021582736E-3</v>
      </c>
      <c r="Q7">
        <f t="shared" si="1"/>
        <v>3.3783783783783786E-3</v>
      </c>
      <c r="R7">
        <f t="shared" si="1"/>
        <v>3.1948881789137379E-3</v>
      </c>
      <c r="S7">
        <f t="shared" si="1"/>
        <v>3.003003003003003E-3</v>
      </c>
      <c r="T7">
        <f t="shared" si="1"/>
        <v>2.8328611898016999E-3</v>
      </c>
      <c r="U7">
        <f t="shared" si="1"/>
        <v>2.6809651474530832E-3</v>
      </c>
      <c r="V7">
        <f t="shared" ref="V7:AA7" si="2">1/V6</f>
        <v>3.5971223021582736E-3</v>
      </c>
      <c r="W7">
        <f t="shared" si="2"/>
        <v>3.3783783783783786E-3</v>
      </c>
      <c r="X7">
        <f t="shared" si="2"/>
        <v>3.1948881789137379E-3</v>
      </c>
      <c r="Y7">
        <f t="shared" si="2"/>
        <v>3.003003003003003E-3</v>
      </c>
      <c r="Z7">
        <f t="shared" si="2"/>
        <v>2.8328611898016999E-3</v>
      </c>
      <c r="AA7">
        <f t="shared" si="2"/>
        <v>2.6809651474530832E-3</v>
      </c>
      <c r="AB7">
        <f t="shared" si="1"/>
        <v>3.5971223021582736E-3</v>
      </c>
      <c r="AC7">
        <f t="shared" si="1"/>
        <v>3.3783783783783786E-3</v>
      </c>
      <c r="AD7">
        <f t="shared" si="1"/>
        <v>3.1948881789137379E-3</v>
      </c>
      <c r="AE7">
        <f t="shared" si="1"/>
        <v>3.003003003003003E-3</v>
      </c>
      <c r="AF7">
        <f t="shared" si="1"/>
        <v>2.8328611898016999E-3</v>
      </c>
      <c r="AG7">
        <f t="shared" si="1"/>
        <v>2.6809651474530832E-3</v>
      </c>
      <c r="AN7" s="53" t="s">
        <v>1590</v>
      </c>
    </row>
    <row r="8" spans="1:41" x14ac:dyDescent="0.2">
      <c r="B8" s="4"/>
    </row>
    <row r="9" spans="1:41" x14ac:dyDescent="0.2">
      <c r="B9" s="4" t="s">
        <v>1465</v>
      </c>
      <c r="C9">
        <v>214</v>
      </c>
      <c r="D9">
        <v>7.9999999999999996E-6</v>
      </c>
      <c r="E9">
        <v>3.0000000000000001E-5</v>
      </c>
      <c r="F9">
        <v>1.7999999999999998E-4</v>
      </c>
      <c r="G9">
        <v>7.5999999999999993E-4</v>
      </c>
      <c r="H9">
        <v>2.7000000000000001E-3</v>
      </c>
      <c r="I9">
        <v>7.3000000000000001E-3</v>
      </c>
      <c r="J9">
        <f>D9*1000</f>
        <v>8.0000000000000002E-3</v>
      </c>
      <c r="K9">
        <f t="shared" ref="K9:K18" si="3">E9*1000</f>
        <v>3.0000000000000002E-2</v>
      </c>
      <c r="L9">
        <f t="shared" ref="L9:L18" si="4">F9*1000</f>
        <v>0.18</v>
      </c>
      <c r="M9">
        <f t="shared" ref="M9:M18" si="5">G9*1000</f>
        <v>0.7599999999999999</v>
      </c>
      <c r="N9">
        <f t="shared" ref="N9:N18" si="6">H9*1000</f>
        <v>2.7</v>
      </c>
      <c r="O9">
        <f t="shared" ref="O9:O18" si="7">I9*1000</f>
        <v>7.3</v>
      </c>
      <c r="P9">
        <v>2.4400000000000002E-2</v>
      </c>
      <c r="Q9">
        <v>0.27100000000000002</v>
      </c>
      <c r="R9">
        <v>1.45</v>
      </c>
      <c r="S9">
        <v>9.08</v>
      </c>
      <c r="T9">
        <v>22.7</v>
      </c>
      <c r="U9">
        <v>62</v>
      </c>
      <c r="V9">
        <f>P9*10^-9*10^-4</f>
        <v>2.4400000000000006E-15</v>
      </c>
      <c r="W9">
        <f t="shared" ref="W9:W18" si="8">Q9*10^-9*10^-4</f>
        <v>2.7100000000000006E-14</v>
      </c>
      <c r="X9">
        <f t="shared" ref="X9:X18" si="9">R9*10^-9*10^-4</f>
        <v>1.4500000000000001E-13</v>
      </c>
      <c r="Y9">
        <f t="shared" ref="Y9:Y18" si="10">S9*10^-9*10^-4</f>
        <v>9.0800000000000017E-13</v>
      </c>
      <c r="Z9">
        <f t="shared" ref="Z9:Z18" si="11">T9*10^-9*10^-4</f>
        <v>2.2700000000000002E-12</v>
      </c>
      <c r="AA9">
        <f t="shared" ref="AA9:AA18" si="12">U9*10^-9*10^-4</f>
        <v>6.2000000000000002E-12</v>
      </c>
      <c r="AB9">
        <f t="shared" ref="AB9:AG9" si="13">P9*10^-13</f>
        <v>2.4400000000000002E-15</v>
      </c>
      <c r="AC9">
        <f t="shared" si="13"/>
        <v>2.7100000000000003E-14</v>
      </c>
      <c r="AD9">
        <f t="shared" si="13"/>
        <v>1.4499999999999999E-13</v>
      </c>
      <c r="AE9">
        <f t="shared" si="13"/>
        <v>9.0800000000000007E-13</v>
      </c>
      <c r="AF9">
        <f t="shared" si="13"/>
        <v>2.2699999999999998E-12</v>
      </c>
      <c r="AG9">
        <f t="shared" si="13"/>
        <v>6.2000000000000002E-12</v>
      </c>
      <c r="AH9">
        <f>LN(AB9)</f>
        <v>-33.646778355605576</v>
      </c>
      <c r="AI9">
        <f t="shared" ref="AI9:AI18" si="14">LN(AC9)</f>
        <v>-31.239242667025032</v>
      </c>
      <c r="AJ9">
        <f t="shared" ref="AJ9:AJ18" si="15">LN(AD9)</f>
        <v>-29.56204265249011</v>
      </c>
      <c r="AK9">
        <f t="shared" ref="AK9:AK18" si="16">LN(AE9)</f>
        <v>-27.727532016309393</v>
      </c>
      <c r="AL9">
        <f t="shared" ref="AL9:AL18" si="17">LN(AF9)</f>
        <v>-26.811241284435237</v>
      </c>
      <c r="AM9">
        <f t="shared" ref="AM9:AM18" si="18">LN(AG9)</f>
        <v>-25.806471823877501</v>
      </c>
      <c r="AN9" s="95">
        <f>-SLOPE(AH9:AK9,AH$6:AK$6)*0.008413</f>
        <v>83.306382577714444</v>
      </c>
    </row>
    <row r="10" spans="1:41" x14ac:dyDescent="0.2">
      <c r="B10" s="4" t="s">
        <v>1466</v>
      </c>
      <c r="C10">
        <v>258</v>
      </c>
      <c r="D10">
        <v>2.0999999999999999E-5</v>
      </c>
      <c r="E10">
        <v>1.7999999999999998E-4</v>
      </c>
      <c r="F10">
        <v>4.2000000000000002E-4</v>
      </c>
      <c r="G10">
        <v>2.1999999999999998E-4</v>
      </c>
      <c r="H10">
        <v>4.9199999999999999E-3</v>
      </c>
      <c r="I10">
        <v>1.43E-2</v>
      </c>
      <c r="J10">
        <f t="shared" ref="J10:J18" si="19">D10*1000</f>
        <v>2.0999999999999998E-2</v>
      </c>
      <c r="K10">
        <f t="shared" si="3"/>
        <v>0.18</v>
      </c>
      <c r="L10">
        <f t="shared" si="4"/>
        <v>0.42000000000000004</v>
      </c>
      <c r="M10">
        <f t="shared" si="5"/>
        <v>0.21999999999999997</v>
      </c>
      <c r="N10">
        <f t="shared" si="6"/>
        <v>4.92</v>
      </c>
      <c r="O10">
        <f t="shared" si="7"/>
        <v>14.3</v>
      </c>
      <c r="P10">
        <v>2.4299999999999999E-2</v>
      </c>
      <c r="Q10">
        <v>0.23799999999999999</v>
      </c>
      <c r="R10">
        <v>1.33</v>
      </c>
      <c r="S10">
        <v>8.48</v>
      </c>
      <c r="T10">
        <v>23.5</v>
      </c>
      <c r="U10">
        <v>55</v>
      </c>
      <c r="V10">
        <f t="shared" ref="V10:V18" si="20">P10*10^-9*10^-4</f>
        <v>2.43E-15</v>
      </c>
      <c r="W10">
        <f t="shared" si="8"/>
        <v>2.38E-14</v>
      </c>
      <c r="X10">
        <f t="shared" si="9"/>
        <v>1.3300000000000001E-13</v>
      </c>
      <c r="Y10">
        <f t="shared" si="10"/>
        <v>8.4800000000000012E-13</v>
      </c>
      <c r="Z10">
        <f t="shared" si="11"/>
        <v>2.3500000000000003E-12</v>
      </c>
      <c r="AA10">
        <f t="shared" si="12"/>
        <v>5.5000000000000004E-12</v>
      </c>
      <c r="AB10">
        <f t="shared" ref="AB10:AB18" si="21">P10*10^-13</f>
        <v>2.43E-15</v>
      </c>
      <c r="AC10">
        <f t="shared" ref="AC10:AC18" si="22">Q10*10^-13</f>
        <v>2.38E-14</v>
      </c>
      <c r="AD10">
        <f t="shared" ref="AD10:AD18" si="23">R10*10^-13</f>
        <v>1.3300000000000001E-13</v>
      </c>
      <c r="AE10">
        <f t="shared" ref="AE10:AE18" si="24">S10*10^-13</f>
        <v>8.4800000000000002E-13</v>
      </c>
      <c r="AF10">
        <f t="shared" ref="AF10:AF18" si="25">T10*10^-13</f>
        <v>2.3499999999999999E-12</v>
      </c>
      <c r="AG10">
        <f t="shared" ref="AG10:AG18" si="26">U10*10^-13</f>
        <v>5.5000000000000004E-12</v>
      </c>
      <c r="AH10">
        <f t="shared" ref="AH10:AH18" si="27">LN(AB10)</f>
        <v>-33.650885137558227</v>
      </c>
      <c r="AI10">
        <f t="shared" si="14"/>
        <v>-31.369090814233257</v>
      </c>
      <c r="AJ10">
        <f t="shared" si="15"/>
        <v>-29.64842726668893</v>
      </c>
      <c r="AK10">
        <f t="shared" si="16"/>
        <v>-27.795895759118782</v>
      </c>
      <c r="AL10">
        <f t="shared" si="17"/>
        <v>-26.776605787772482</v>
      </c>
      <c r="AM10">
        <f t="shared" si="18"/>
        <v>-25.926273023690122</v>
      </c>
      <c r="AN10" s="95">
        <f t="shared" ref="AN10:AN18" si="28">-SLOPE(AH10:AK10,AH$6:AK$6)*0.008413</f>
        <v>82.607881485513062</v>
      </c>
    </row>
    <row r="11" spans="1:41" x14ac:dyDescent="0.2">
      <c r="B11" s="4" t="s">
        <v>1469</v>
      </c>
      <c r="C11">
        <v>326</v>
      </c>
      <c r="D11">
        <v>7.000000000000001E-4</v>
      </c>
      <c r="E11">
        <v>2.97E-3</v>
      </c>
      <c r="F11">
        <v>1.03E-2</v>
      </c>
      <c r="G11">
        <v>2.3599999999999997E-3</v>
      </c>
      <c r="H11">
        <v>3.4430000000000002E-2</v>
      </c>
      <c r="I11">
        <v>4.8000000000000001E-2</v>
      </c>
      <c r="J11">
        <f t="shared" si="19"/>
        <v>0.70000000000000007</v>
      </c>
      <c r="K11">
        <f t="shared" si="3"/>
        <v>2.97</v>
      </c>
      <c r="L11">
        <f t="shared" si="4"/>
        <v>10.3</v>
      </c>
      <c r="M11">
        <f t="shared" si="5"/>
        <v>2.36</v>
      </c>
      <c r="N11">
        <f t="shared" si="6"/>
        <v>34.43</v>
      </c>
      <c r="O11">
        <f t="shared" si="7"/>
        <v>48</v>
      </c>
      <c r="P11">
        <v>6.0299999999999999E-2</v>
      </c>
      <c r="Q11">
        <v>0.50800000000000001</v>
      </c>
      <c r="R11">
        <v>3.51</v>
      </c>
      <c r="S11">
        <v>18.3</v>
      </c>
      <c r="T11">
        <v>45.2</v>
      </c>
      <c r="U11">
        <v>95.9</v>
      </c>
      <c r="V11">
        <f t="shared" si="20"/>
        <v>6.0300000000000006E-15</v>
      </c>
      <c r="W11">
        <f t="shared" si="8"/>
        <v>5.0800000000000002E-14</v>
      </c>
      <c r="X11">
        <f t="shared" si="9"/>
        <v>3.5100000000000002E-13</v>
      </c>
      <c r="Y11">
        <f t="shared" si="10"/>
        <v>1.8300000000000001E-12</v>
      </c>
      <c r="Z11">
        <f t="shared" si="11"/>
        <v>4.5200000000000009E-12</v>
      </c>
      <c r="AA11">
        <f t="shared" si="12"/>
        <v>9.5900000000000009E-12</v>
      </c>
      <c r="AB11">
        <f t="shared" si="21"/>
        <v>6.0299999999999998E-15</v>
      </c>
      <c r="AC11">
        <f t="shared" si="22"/>
        <v>5.0800000000000002E-14</v>
      </c>
      <c r="AD11">
        <f t="shared" si="23"/>
        <v>3.5099999999999997E-13</v>
      </c>
      <c r="AE11">
        <f t="shared" si="24"/>
        <v>1.8300000000000001E-12</v>
      </c>
      <c r="AF11">
        <f t="shared" si="25"/>
        <v>4.5200000000000001E-12</v>
      </c>
      <c r="AG11">
        <f t="shared" si="26"/>
        <v>9.5900000000000009E-12</v>
      </c>
      <c r="AH11">
        <f t="shared" si="27"/>
        <v>-32.742029384171595</v>
      </c>
      <c r="AI11">
        <f t="shared" si="14"/>
        <v>-30.610880040326251</v>
      </c>
      <c r="AJ11">
        <f t="shared" si="15"/>
        <v>-28.677990171444819</v>
      </c>
      <c r="AK11">
        <f t="shared" si="16"/>
        <v>-27.026705149075219</v>
      </c>
      <c r="AL11">
        <f t="shared" si="17"/>
        <v>-26.122509122084409</v>
      </c>
      <c r="AM11">
        <f t="shared" si="18"/>
        <v>-25.370300227033201</v>
      </c>
      <c r="AN11" s="95">
        <f t="shared" si="28"/>
        <v>81.665365354650319</v>
      </c>
    </row>
    <row r="12" spans="1:41" x14ac:dyDescent="0.2">
      <c r="B12" s="4" t="s">
        <v>1470</v>
      </c>
      <c r="C12">
        <v>332</v>
      </c>
      <c r="D12">
        <v>8.5000000000000006E-5</v>
      </c>
      <c r="E12">
        <v>3.8999999999999999E-4</v>
      </c>
      <c r="F12">
        <v>1.1999999999999999E-3</v>
      </c>
      <c r="G12">
        <v>6.0000000000000001E-3</v>
      </c>
      <c r="H12">
        <v>8.8999999999999999E-3</v>
      </c>
      <c r="I12">
        <v>1.4199999999999999E-2</v>
      </c>
      <c r="J12">
        <f t="shared" si="19"/>
        <v>8.5000000000000006E-2</v>
      </c>
      <c r="K12">
        <f t="shared" si="3"/>
        <v>0.39</v>
      </c>
      <c r="L12">
        <f t="shared" si="4"/>
        <v>1.2</v>
      </c>
      <c r="M12">
        <f t="shared" si="5"/>
        <v>6</v>
      </c>
      <c r="N12">
        <f t="shared" si="6"/>
        <v>8.9</v>
      </c>
      <c r="O12">
        <f t="shared" si="7"/>
        <v>14.2</v>
      </c>
      <c r="P12">
        <v>6.0299999999999999E-2</v>
      </c>
      <c r="Q12">
        <v>7.0000000000000007E-2</v>
      </c>
      <c r="R12">
        <v>0.56999999999999995</v>
      </c>
      <c r="S12">
        <v>3.93</v>
      </c>
      <c r="T12">
        <v>13.2</v>
      </c>
      <c r="U12">
        <v>28.5</v>
      </c>
      <c r="V12">
        <f t="shared" si="20"/>
        <v>6.0300000000000006E-15</v>
      </c>
      <c r="W12">
        <f t="shared" si="8"/>
        <v>7.0000000000000017E-15</v>
      </c>
      <c r="X12">
        <f t="shared" si="9"/>
        <v>5.6999999999999997E-14</v>
      </c>
      <c r="Y12">
        <f t="shared" si="10"/>
        <v>3.9300000000000004E-13</v>
      </c>
      <c r="Z12">
        <f t="shared" si="11"/>
        <v>1.3200000000000002E-12</v>
      </c>
      <c r="AA12">
        <f t="shared" si="12"/>
        <v>2.8500000000000002E-12</v>
      </c>
      <c r="AB12">
        <f t="shared" si="21"/>
        <v>6.0299999999999998E-15</v>
      </c>
      <c r="AC12">
        <f t="shared" si="22"/>
        <v>7.0000000000000009E-15</v>
      </c>
      <c r="AD12">
        <f t="shared" si="23"/>
        <v>5.6999999999999997E-14</v>
      </c>
      <c r="AE12">
        <f t="shared" si="24"/>
        <v>3.9300000000000004E-13</v>
      </c>
      <c r="AF12">
        <f t="shared" si="25"/>
        <v>1.32E-12</v>
      </c>
      <c r="AG12">
        <f t="shared" si="26"/>
        <v>2.8500000000000002E-12</v>
      </c>
      <c r="AH12">
        <f t="shared" si="27"/>
        <v>-32.742029384171595</v>
      </c>
      <c r="AI12">
        <f t="shared" si="14"/>
        <v>-32.592866245855369</v>
      </c>
      <c r="AJ12">
        <f t="shared" si="15"/>
        <v>-30.495725127076135</v>
      </c>
      <c r="AK12">
        <f t="shared" si="16"/>
        <v>-28.564966783041424</v>
      </c>
      <c r="AL12">
        <f t="shared" si="17"/>
        <v>-27.35338937933027</v>
      </c>
      <c r="AM12">
        <f t="shared" si="18"/>
        <v>-26.583702121647988</v>
      </c>
      <c r="AN12" s="95">
        <f t="shared" si="28"/>
        <v>61.793170985143334</v>
      </c>
    </row>
    <row r="13" spans="1:41" x14ac:dyDescent="0.2">
      <c r="B13" s="4" t="s">
        <v>1471</v>
      </c>
      <c r="C13">
        <v>346</v>
      </c>
      <c r="D13">
        <v>1.1999999999999999E-3</v>
      </c>
      <c r="E13">
        <v>2.8199999999999996E-3</v>
      </c>
      <c r="F13">
        <v>4.0400000000000002E-3</v>
      </c>
      <c r="G13">
        <v>7.4599999999999996E-3</v>
      </c>
      <c r="H13">
        <v>1.0800000000000001E-2</v>
      </c>
      <c r="I13">
        <v>1.8000000000000002E-2</v>
      </c>
      <c r="J13">
        <f t="shared" si="19"/>
        <v>1.2</v>
      </c>
      <c r="K13">
        <f t="shared" si="3"/>
        <v>2.8199999999999994</v>
      </c>
      <c r="L13">
        <f t="shared" si="4"/>
        <v>4.04</v>
      </c>
      <c r="M13">
        <f t="shared" si="5"/>
        <v>7.46</v>
      </c>
      <c r="N13">
        <f t="shared" si="6"/>
        <v>10.8</v>
      </c>
      <c r="O13">
        <f t="shared" si="7"/>
        <v>18.000000000000004</v>
      </c>
      <c r="P13">
        <v>1.0200000000000001E-2</v>
      </c>
      <c r="Q13">
        <v>8.6999999999999994E-2</v>
      </c>
      <c r="R13">
        <v>0.61</v>
      </c>
      <c r="S13">
        <v>5.05</v>
      </c>
      <c r="T13">
        <v>15</v>
      </c>
      <c r="U13">
        <v>33.9</v>
      </c>
      <c r="V13">
        <f t="shared" si="20"/>
        <v>1.0200000000000002E-15</v>
      </c>
      <c r="W13">
        <f t="shared" si="8"/>
        <v>8.7000000000000002E-15</v>
      </c>
      <c r="X13">
        <f t="shared" si="9"/>
        <v>6.1000000000000005E-14</v>
      </c>
      <c r="Y13">
        <f t="shared" si="10"/>
        <v>5.0499999999999997E-13</v>
      </c>
      <c r="Z13">
        <f t="shared" si="11"/>
        <v>1.5000000000000003E-12</v>
      </c>
      <c r="AA13">
        <f t="shared" si="12"/>
        <v>3.3899999999999999E-12</v>
      </c>
      <c r="AB13">
        <f t="shared" si="21"/>
        <v>1.02E-15</v>
      </c>
      <c r="AC13">
        <f t="shared" si="22"/>
        <v>8.7000000000000002E-15</v>
      </c>
      <c r="AD13">
        <f t="shared" si="23"/>
        <v>6.1000000000000005E-14</v>
      </c>
      <c r="AE13">
        <f t="shared" si="24"/>
        <v>5.0499999999999997E-13</v>
      </c>
      <c r="AF13">
        <f t="shared" si="25"/>
        <v>1.5000000000000001E-12</v>
      </c>
      <c r="AG13">
        <f t="shared" si="26"/>
        <v>3.3899999999999999E-12</v>
      </c>
      <c r="AH13">
        <f t="shared" si="27"/>
        <v>-34.518973767614504</v>
      </c>
      <c r="AI13">
        <f t="shared" si="14"/>
        <v>-32.375453369250145</v>
      </c>
      <c r="AJ13">
        <f t="shared" si="15"/>
        <v>-30.427902530737374</v>
      </c>
      <c r="AK13">
        <f t="shared" si="16"/>
        <v>-28.314217965635326</v>
      </c>
      <c r="AL13">
        <f t="shared" si="17"/>
        <v>-27.225556007820384</v>
      </c>
      <c r="AM13">
        <f t="shared" si="18"/>
        <v>-26.410191194536189</v>
      </c>
      <c r="AN13" s="95">
        <f t="shared" si="28"/>
        <v>87.913637767770695</v>
      </c>
    </row>
    <row r="14" spans="1:41" x14ac:dyDescent="0.2">
      <c r="B14" s="4" t="s">
        <v>1472</v>
      </c>
      <c r="C14">
        <v>388</v>
      </c>
      <c r="D14">
        <v>7.3999999999999999E-4</v>
      </c>
      <c r="E14">
        <v>1.5199999999999999E-3</v>
      </c>
      <c r="F14">
        <v>2.4499999999999999E-3</v>
      </c>
      <c r="G14">
        <v>4.4000000000000003E-3</v>
      </c>
      <c r="H14">
        <v>6.13E-3</v>
      </c>
      <c r="I14">
        <v>8.199999999999999E-3</v>
      </c>
      <c r="J14">
        <f t="shared" si="19"/>
        <v>0.74</v>
      </c>
      <c r="K14">
        <f t="shared" si="3"/>
        <v>1.5199999999999998</v>
      </c>
      <c r="L14">
        <f t="shared" si="4"/>
        <v>2.4499999999999997</v>
      </c>
      <c r="M14">
        <f t="shared" si="5"/>
        <v>4.4000000000000004</v>
      </c>
      <c r="N14">
        <f t="shared" si="6"/>
        <v>6.13</v>
      </c>
      <c r="O14">
        <f t="shared" si="7"/>
        <v>8.1999999999999993</v>
      </c>
      <c r="P14">
        <v>2.2000000000000001E-3</v>
      </c>
      <c r="Q14">
        <v>2.1000000000000001E-2</v>
      </c>
      <c r="R14">
        <v>0.18</v>
      </c>
      <c r="S14">
        <v>1.42</v>
      </c>
      <c r="T14">
        <v>5.48</v>
      </c>
      <c r="U14">
        <v>13.6</v>
      </c>
      <c r="V14">
        <f t="shared" si="20"/>
        <v>2.2000000000000005E-16</v>
      </c>
      <c r="W14">
        <f t="shared" si="8"/>
        <v>2.1000000000000002E-15</v>
      </c>
      <c r="X14">
        <f t="shared" si="9"/>
        <v>1.8000000000000002E-14</v>
      </c>
      <c r="Y14">
        <f t="shared" si="10"/>
        <v>1.42E-13</v>
      </c>
      <c r="Z14">
        <f t="shared" si="11"/>
        <v>5.4800000000000009E-13</v>
      </c>
      <c r="AA14">
        <f t="shared" si="12"/>
        <v>1.3600000000000003E-12</v>
      </c>
      <c r="AB14">
        <f t="shared" si="21"/>
        <v>2.2000000000000002E-16</v>
      </c>
      <c r="AC14">
        <f t="shared" si="22"/>
        <v>2.1000000000000002E-15</v>
      </c>
      <c r="AD14">
        <f t="shared" si="23"/>
        <v>1.7999999999999999E-14</v>
      </c>
      <c r="AE14">
        <f t="shared" si="24"/>
        <v>1.42E-13</v>
      </c>
      <c r="AF14">
        <f t="shared" si="25"/>
        <v>5.4800000000000009E-13</v>
      </c>
      <c r="AG14">
        <f t="shared" si="26"/>
        <v>1.3600000000000001E-12</v>
      </c>
      <c r="AH14">
        <f t="shared" si="27"/>
        <v>-36.052904127540458</v>
      </c>
      <c r="AI14">
        <f t="shared" si="14"/>
        <v>-33.796839050181305</v>
      </c>
      <c r="AJ14">
        <f t="shared" si="15"/>
        <v>-31.648404637014522</v>
      </c>
      <c r="AK14">
        <f t="shared" si="16"/>
        <v>-29.582949337309426</v>
      </c>
      <c r="AL14">
        <f t="shared" si="17"/>
        <v>-28.232501107962669</v>
      </c>
      <c r="AM14">
        <f t="shared" si="18"/>
        <v>-27.323536416180588</v>
      </c>
      <c r="AN14" s="95">
        <f t="shared" si="28"/>
        <v>92.186996025204266</v>
      </c>
    </row>
    <row r="15" spans="1:41" x14ac:dyDescent="0.2">
      <c r="B15" s="4" t="s">
        <v>1473</v>
      </c>
      <c r="C15">
        <v>388</v>
      </c>
      <c r="D15">
        <v>4.8000000000000001E-4</v>
      </c>
      <c r="E15">
        <v>1.1200000000000001E-3</v>
      </c>
      <c r="F15">
        <v>2.0499999999999997E-3</v>
      </c>
      <c r="G15">
        <v>3.8E-3</v>
      </c>
      <c r="H15">
        <v>5.3200000000000001E-3</v>
      </c>
      <c r="I15">
        <v>7.8000000000000005E-3</v>
      </c>
      <c r="J15">
        <f t="shared" si="19"/>
        <v>0.48000000000000004</v>
      </c>
      <c r="K15">
        <f t="shared" si="3"/>
        <v>1.1200000000000001</v>
      </c>
      <c r="L15">
        <f t="shared" si="4"/>
        <v>2.0499999999999998</v>
      </c>
      <c r="M15">
        <f t="shared" si="5"/>
        <v>3.8</v>
      </c>
      <c r="N15">
        <f t="shared" si="6"/>
        <v>5.32</v>
      </c>
      <c r="O15">
        <f t="shared" si="7"/>
        <v>7.8000000000000007</v>
      </c>
      <c r="P15">
        <v>5.9999999999999995E-4</v>
      </c>
      <c r="Q15">
        <v>8.9999999999999993E-3</v>
      </c>
      <c r="R15">
        <v>7.0000000000000007E-2</v>
      </c>
      <c r="S15">
        <v>0.56999999999999995</v>
      </c>
      <c r="T15">
        <v>2.94</v>
      </c>
      <c r="U15">
        <v>7.87</v>
      </c>
      <c r="V15">
        <f t="shared" si="20"/>
        <v>6.0000000000000001E-17</v>
      </c>
      <c r="W15">
        <f t="shared" si="8"/>
        <v>9.0000000000000003E-16</v>
      </c>
      <c r="X15">
        <f t="shared" si="9"/>
        <v>7.0000000000000017E-15</v>
      </c>
      <c r="Y15">
        <f t="shared" si="10"/>
        <v>5.6999999999999997E-14</v>
      </c>
      <c r="Z15">
        <f t="shared" si="11"/>
        <v>2.9400000000000001E-13</v>
      </c>
      <c r="AA15">
        <f t="shared" si="12"/>
        <v>7.8700000000000008E-13</v>
      </c>
      <c r="AB15">
        <f t="shared" si="21"/>
        <v>6.0000000000000001E-17</v>
      </c>
      <c r="AC15">
        <f t="shared" si="22"/>
        <v>9.0000000000000003E-16</v>
      </c>
      <c r="AD15">
        <f t="shared" si="23"/>
        <v>7.0000000000000009E-15</v>
      </c>
      <c r="AE15">
        <f t="shared" si="24"/>
        <v>5.6999999999999997E-14</v>
      </c>
      <c r="AF15">
        <f t="shared" si="25"/>
        <v>2.9400000000000001E-13</v>
      </c>
      <c r="AG15">
        <f t="shared" si="26"/>
        <v>7.8700000000000008E-13</v>
      </c>
      <c r="AH15">
        <f t="shared" si="27"/>
        <v>-37.352187111670723</v>
      </c>
      <c r="AI15">
        <f t="shared" si="14"/>
        <v>-34.644136910568513</v>
      </c>
      <c r="AJ15">
        <f t="shared" si="15"/>
        <v>-32.592866245855369</v>
      </c>
      <c r="AK15">
        <f t="shared" si="16"/>
        <v>-30.495725127076135</v>
      </c>
      <c r="AL15">
        <f t="shared" si="17"/>
        <v>-28.855196627572003</v>
      </c>
      <c r="AM15">
        <f t="shared" si="18"/>
        <v>-27.870548146493281</v>
      </c>
      <c r="AN15" s="95">
        <f t="shared" si="28"/>
        <v>96.913996815942241</v>
      </c>
    </row>
    <row r="16" spans="1:41" x14ac:dyDescent="0.2">
      <c r="B16" s="4" t="s">
        <v>1474</v>
      </c>
      <c r="C16">
        <v>445</v>
      </c>
      <c r="D16">
        <v>2.7000000000000001E-3</v>
      </c>
      <c r="E16">
        <v>4.3499999999999997E-3</v>
      </c>
      <c r="F16">
        <v>6.7000000000000002E-3</v>
      </c>
      <c r="G16">
        <v>1.085E-2</v>
      </c>
      <c r="H16">
        <v>1.485E-2</v>
      </c>
      <c r="I16">
        <v>1.925E-2</v>
      </c>
      <c r="J16">
        <f t="shared" si="19"/>
        <v>2.7</v>
      </c>
      <c r="K16">
        <f t="shared" si="3"/>
        <v>4.3499999999999996</v>
      </c>
      <c r="L16">
        <f t="shared" si="4"/>
        <v>6.7</v>
      </c>
      <c r="M16">
        <f t="shared" si="5"/>
        <v>10.85</v>
      </c>
      <c r="N16">
        <f t="shared" si="6"/>
        <v>14.85</v>
      </c>
      <c r="O16">
        <f t="shared" si="7"/>
        <v>19.25</v>
      </c>
      <c r="P16">
        <v>5.5999999999999999E-3</v>
      </c>
      <c r="Q16">
        <v>5.2999999999999999E-2</v>
      </c>
      <c r="R16">
        <v>0.34</v>
      </c>
      <c r="S16">
        <v>0.91</v>
      </c>
      <c r="T16">
        <v>4.8499999999999996</v>
      </c>
      <c r="U16">
        <v>10.7</v>
      </c>
      <c r="V16">
        <f t="shared" si="20"/>
        <v>5.6000000000000003E-16</v>
      </c>
      <c r="W16">
        <f t="shared" si="8"/>
        <v>5.3000000000000009E-15</v>
      </c>
      <c r="X16">
        <f t="shared" si="9"/>
        <v>3.4000000000000007E-14</v>
      </c>
      <c r="Y16">
        <f t="shared" si="10"/>
        <v>9.1000000000000016E-14</v>
      </c>
      <c r="Z16">
        <f t="shared" si="11"/>
        <v>4.8499999999999995E-13</v>
      </c>
      <c r="AA16">
        <f t="shared" si="12"/>
        <v>1.0700000000000001E-12</v>
      </c>
      <c r="AB16">
        <f t="shared" si="21"/>
        <v>5.6000000000000003E-16</v>
      </c>
      <c r="AC16">
        <f t="shared" si="22"/>
        <v>5.3000000000000001E-15</v>
      </c>
      <c r="AD16">
        <f t="shared" si="23"/>
        <v>3.4000000000000007E-14</v>
      </c>
      <c r="AE16">
        <f t="shared" si="24"/>
        <v>9.1000000000000004E-14</v>
      </c>
      <c r="AF16">
        <f t="shared" si="25"/>
        <v>4.8499999999999995E-13</v>
      </c>
      <c r="AG16">
        <f t="shared" si="26"/>
        <v>1.0699999999999999E-12</v>
      </c>
      <c r="AH16">
        <f t="shared" si="27"/>
        <v>-35.118594890163628</v>
      </c>
      <c r="AI16">
        <f t="shared" si="14"/>
        <v>-32.87106957435261</v>
      </c>
      <c r="AJ16">
        <f t="shared" si="15"/>
        <v>-31.012415870294525</v>
      </c>
      <c r="AK16">
        <f t="shared" si="16"/>
        <v>-30.027916888393836</v>
      </c>
      <c r="AL16">
        <f t="shared" si="17"/>
        <v>-28.354627503973202</v>
      </c>
      <c r="AM16">
        <f t="shared" si="18"/>
        <v>-27.563362467454734</v>
      </c>
      <c r="AN16" s="95">
        <f t="shared" si="28"/>
        <v>73.530369162196109</v>
      </c>
    </row>
    <row r="17" spans="2:40" x14ac:dyDescent="0.2">
      <c r="B17" s="4" t="s">
        <v>1475</v>
      </c>
      <c r="C17">
        <v>551</v>
      </c>
      <c r="D17">
        <v>2.3499999999999997E-3</v>
      </c>
      <c r="E17">
        <v>4.0500000000000006E-3</v>
      </c>
      <c r="F17">
        <v>7.2499999999999995E-3</v>
      </c>
      <c r="G17">
        <v>1.03E-2</v>
      </c>
      <c r="H17">
        <v>1.6299999999999999E-2</v>
      </c>
      <c r="I17">
        <v>2.0750000000000001E-2</v>
      </c>
      <c r="J17">
        <f t="shared" si="19"/>
        <v>2.3499999999999996</v>
      </c>
      <c r="K17">
        <f t="shared" si="3"/>
        <v>4.0500000000000007</v>
      </c>
      <c r="L17">
        <f t="shared" si="4"/>
        <v>7.2499999999999991</v>
      </c>
      <c r="M17">
        <f t="shared" si="5"/>
        <v>10.3</v>
      </c>
      <c r="N17">
        <f t="shared" si="6"/>
        <v>16.299999999999997</v>
      </c>
      <c r="O17">
        <f t="shared" si="7"/>
        <v>20.75</v>
      </c>
      <c r="P17">
        <v>3.5000000000000001E-3</v>
      </c>
      <c r="Q17">
        <v>3.1E-2</v>
      </c>
      <c r="R17">
        <v>0.18</v>
      </c>
      <c r="S17">
        <v>0.95</v>
      </c>
      <c r="T17">
        <v>2.97</v>
      </c>
      <c r="U17">
        <v>6.7</v>
      </c>
      <c r="V17">
        <f t="shared" si="20"/>
        <v>3.5000000000000007E-16</v>
      </c>
      <c r="W17">
        <f t="shared" si="8"/>
        <v>3.1000000000000003E-15</v>
      </c>
      <c r="X17">
        <f t="shared" si="9"/>
        <v>1.8000000000000002E-14</v>
      </c>
      <c r="Y17">
        <f t="shared" si="10"/>
        <v>9.5000000000000012E-14</v>
      </c>
      <c r="Z17">
        <f t="shared" si="11"/>
        <v>2.9700000000000005E-13</v>
      </c>
      <c r="AA17">
        <f t="shared" si="12"/>
        <v>6.7000000000000007E-13</v>
      </c>
      <c r="AB17">
        <f t="shared" si="21"/>
        <v>3.5000000000000002E-16</v>
      </c>
      <c r="AC17">
        <f t="shared" si="22"/>
        <v>3.0999999999999999E-15</v>
      </c>
      <c r="AD17">
        <f t="shared" si="23"/>
        <v>1.7999999999999999E-14</v>
      </c>
      <c r="AE17">
        <f t="shared" si="24"/>
        <v>9.4999999999999999E-14</v>
      </c>
      <c r="AF17">
        <f t="shared" si="25"/>
        <v>2.9700000000000005E-13</v>
      </c>
      <c r="AG17">
        <f t="shared" si="26"/>
        <v>6.7000000000000007E-13</v>
      </c>
      <c r="AH17">
        <f t="shared" si="27"/>
        <v>-35.588598519409366</v>
      </c>
      <c r="AI17">
        <f t="shared" si="14"/>
        <v>-33.407374283419585</v>
      </c>
      <c r="AJ17">
        <f t="shared" si="15"/>
        <v>-31.648404637014522</v>
      </c>
      <c r="AK17">
        <f t="shared" si="16"/>
        <v>-29.984899503310146</v>
      </c>
      <c r="AL17">
        <f t="shared" si="17"/>
        <v>-28.845044256107986</v>
      </c>
      <c r="AM17">
        <f t="shared" si="18"/>
        <v>-28.031498682525672</v>
      </c>
      <c r="AN17" s="95">
        <f t="shared" si="28"/>
        <v>79.541002493861967</v>
      </c>
    </row>
    <row r="18" spans="2:40" x14ac:dyDescent="0.2">
      <c r="B18" s="4" t="s">
        <v>1476</v>
      </c>
      <c r="C18">
        <v>585</v>
      </c>
      <c r="D18">
        <v>2.2500000000000003E-3</v>
      </c>
      <c r="E18">
        <v>4.0999999999999995E-3</v>
      </c>
      <c r="F18">
        <v>6.6E-3</v>
      </c>
      <c r="G18">
        <v>1.25E-3</v>
      </c>
      <c r="H18">
        <v>1.5600000000000001E-2</v>
      </c>
      <c r="I18">
        <v>2.1250000000000002E-2</v>
      </c>
      <c r="J18">
        <f t="shared" si="19"/>
        <v>2.2500000000000004</v>
      </c>
      <c r="K18">
        <f t="shared" si="3"/>
        <v>4.0999999999999996</v>
      </c>
      <c r="L18">
        <f t="shared" si="4"/>
        <v>6.6</v>
      </c>
      <c r="M18">
        <f t="shared" si="5"/>
        <v>1.25</v>
      </c>
      <c r="N18">
        <f t="shared" si="6"/>
        <v>15.600000000000001</v>
      </c>
      <c r="O18">
        <f t="shared" si="7"/>
        <v>21.25</v>
      </c>
      <c r="P18">
        <v>2.2000000000000001E-3</v>
      </c>
      <c r="Q18">
        <v>0.02</v>
      </c>
      <c r="R18">
        <v>0.12</v>
      </c>
      <c r="S18">
        <v>0.64</v>
      </c>
      <c r="T18">
        <v>2.0499999999999998</v>
      </c>
      <c r="U18">
        <v>3.94</v>
      </c>
      <c r="V18">
        <f t="shared" si="20"/>
        <v>2.2000000000000005E-16</v>
      </c>
      <c r="W18">
        <f t="shared" si="8"/>
        <v>2.0000000000000002E-15</v>
      </c>
      <c r="X18">
        <f t="shared" si="9"/>
        <v>1.2000000000000001E-14</v>
      </c>
      <c r="Y18">
        <f t="shared" si="10"/>
        <v>6.4000000000000005E-14</v>
      </c>
      <c r="Z18">
        <f t="shared" si="11"/>
        <v>2.0499999999999998E-13</v>
      </c>
      <c r="AA18">
        <f t="shared" si="12"/>
        <v>3.9400000000000004E-13</v>
      </c>
      <c r="AB18">
        <f t="shared" si="21"/>
        <v>2.2000000000000002E-16</v>
      </c>
      <c r="AC18">
        <f t="shared" si="22"/>
        <v>2.0000000000000002E-15</v>
      </c>
      <c r="AD18">
        <f t="shared" si="23"/>
        <v>1.1999999999999999E-14</v>
      </c>
      <c r="AE18">
        <f t="shared" si="24"/>
        <v>6.4000000000000005E-14</v>
      </c>
      <c r="AF18">
        <f t="shared" si="25"/>
        <v>2.0499999999999998E-13</v>
      </c>
      <c r="AG18">
        <f t="shared" si="26"/>
        <v>3.9399999999999999E-13</v>
      </c>
      <c r="AH18">
        <f t="shared" si="27"/>
        <v>-36.052904127540458</v>
      </c>
      <c r="AI18">
        <f t="shared" si="14"/>
        <v>-33.845629214350737</v>
      </c>
      <c r="AJ18">
        <f t="shared" si="15"/>
        <v>-32.053869745122682</v>
      </c>
      <c r="AK18">
        <f t="shared" si="16"/>
        <v>-30.379893311551012</v>
      </c>
      <c r="AL18">
        <f t="shared" si="17"/>
        <v>-29.215766415772276</v>
      </c>
      <c r="AM18">
        <f t="shared" si="18"/>
        <v>-28.562425485612753</v>
      </c>
      <c r="AN18" s="95">
        <f t="shared" si="28"/>
        <v>80.571528511264461</v>
      </c>
    </row>
    <row r="20" spans="2:40" x14ac:dyDescent="0.2">
      <c r="B20" s="4" t="s">
        <v>1487</v>
      </c>
      <c r="AM20" s="4" t="s">
        <v>1057</v>
      </c>
    </row>
    <row r="21" spans="2:40" x14ac:dyDescent="0.2">
      <c r="B21" s="4" t="s">
        <v>1465</v>
      </c>
      <c r="C21">
        <v>214</v>
      </c>
      <c r="AM21" s="4" t="s">
        <v>1490</v>
      </c>
      <c r="AN21">
        <v>70.39</v>
      </c>
    </row>
    <row r="22" spans="2:40" x14ac:dyDescent="0.2">
      <c r="B22" s="4" t="s">
        <v>1469</v>
      </c>
      <c r="C22">
        <v>326</v>
      </c>
      <c r="AM22" s="4" t="s">
        <v>1490</v>
      </c>
      <c r="AN22">
        <v>76.680000000000007</v>
      </c>
    </row>
    <row r="23" spans="2:40" x14ac:dyDescent="0.2">
      <c r="B23" s="4" t="s">
        <v>1488</v>
      </c>
    </row>
    <row r="24" spans="2:40" x14ac:dyDescent="0.2">
      <c r="B24" s="4" t="s">
        <v>1465</v>
      </c>
      <c r="C24">
        <v>214</v>
      </c>
      <c r="AM24" s="4" t="s">
        <v>1491</v>
      </c>
      <c r="AN24">
        <v>56.67</v>
      </c>
    </row>
    <row r="25" spans="2:40" x14ac:dyDescent="0.2">
      <c r="B25" s="4" t="s">
        <v>1469</v>
      </c>
      <c r="C25">
        <v>326</v>
      </c>
      <c r="AM25" s="4" t="s">
        <v>1491</v>
      </c>
      <c r="AN25">
        <v>74.16</v>
      </c>
    </row>
    <row r="26" spans="2:40" x14ac:dyDescent="0.2">
      <c r="B26" s="4" t="s">
        <v>1489</v>
      </c>
    </row>
    <row r="27" spans="2:40" x14ac:dyDescent="0.2">
      <c r="B27" s="4" t="s">
        <v>1465</v>
      </c>
      <c r="C27">
        <v>214</v>
      </c>
      <c r="AM27">
        <v>323</v>
      </c>
      <c r="AN27">
        <v>84.8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0"/>
  <sheetViews>
    <sheetView zoomScale="70" zoomScaleNormal="70" workbookViewId="0">
      <selection activeCell="A8" sqref="A8"/>
    </sheetView>
  </sheetViews>
  <sheetFormatPr defaultRowHeight="12.75" x14ac:dyDescent="0.2"/>
  <cols>
    <col min="1" max="2" width="19.85546875" customWidth="1"/>
    <col min="3" max="18" width="11.140625" customWidth="1"/>
    <col min="26" max="26" width="12.42578125" bestFit="1" customWidth="1"/>
  </cols>
  <sheetData>
    <row r="1" spans="1:30" x14ac:dyDescent="0.2">
      <c r="A1" s="4"/>
      <c r="B1" s="4"/>
      <c r="C1" s="176" t="s">
        <v>1421</v>
      </c>
      <c r="D1" s="148"/>
      <c r="E1" s="148"/>
      <c r="F1" s="148"/>
      <c r="G1" s="148"/>
      <c r="H1" s="148"/>
      <c r="I1" s="148"/>
      <c r="J1" s="148"/>
      <c r="K1" s="148"/>
      <c r="L1" s="148"/>
      <c r="M1" s="176" t="s">
        <v>1428</v>
      </c>
      <c r="N1" s="148"/>
      <c r="O1" s="148"/>
      <c r="P1" s="148"/>
      <c r="Q1" s="148"/>
      <c r="R1" s="148"/>
      <c r="S1" s="148"/>
      <c r="T1" s="148"/>
      <c r="U1" s="148"/>
      <c r="Y1" s="1" t="s">
        <v>532</v>
      </c>
    </row>
    <row r="2" spans="1:30" x14ac:dyDescent="0.2">
      <c r="A2" s="4"/>
      <c r="B2" s="4"/>
      <c r="Y2" s="1"/>
    </row>
    <row r="3" spans="1:30" x14ac:dyDescent="0.2">
      <c r="A3" s="114"/>
      <c r="B3" s="107"/>
      <c r="C3" s="107" t="s">
        <v>518</v>
      </c>
      <c r="D3" s="108"/>
      <c r="E3" s="108"/>
      <c r="F3" s="108"/>
      <c r="G3" s="108"/>
      <c r="H3" s="108"/>
      <c r="I3" s="108"/>
      <c r="J3" s="108"/>
      <c r="K3" s="108"/>
      <c r="L3" s="108" t="s">
        <v>1429</v>
      </c>
      <c r="M3" s="108"/>
      <c r="N3" s="108"/>
      <c r="O3" s="109"/>
      <c r="P3" s="108" t="s">
        <v>525</v>
      </c>
      <c r="Q3" s="108"/>
      <c r="R3" s="109"/>
      <c r="S3" s="107" t="s">
        <v>517</v>
      </c>
      <c r="T3" s="110"/>
      <c r="U3" s="110"/>
      <c r="V3" s="110"/>
      <c r="W3" s="111"/>
      <c r="Y3" s="107" t="s">
        <v>530</v>
      </c>
      <c r="Z3" s="110"/>
      <c r="AA3" s="110"/>
      <c r="AB3" s="110"/>
      <c r="AC3" s="111"/>
    </row>
    <row r="4" spans="1:30" ht="15.75" x14ac:dyDescent="0.3">
      <c r="A4" s="61" t="s">
        <v>490</v>
      </c>
      <c r="B4" s="61" t="s">
        <v>1422</v>
      </c>
      <c r="C4" s="61" t="s">
        <v>520</v>
      </c>
      <c r="D4" s="51" t="s">
        <v>1416</v>
      </c>
      <c r="E4" s="51" t="s">
        <v>1417</v>
      </c>
      <c r="F4" s="51" t="s">
        <v>521</v>
      </c>
      <c r="G4" s="51" t="s">
        <v>521</v>
      </c>
      <c r="H4" s="51" t="s">
        <v>1418</v>
      </c>
      <c r="I4" s="51" t="s">
        <v>1418</v>
      </c>
      <c r="J4" s="51" t="s">
        <v>1419</v>
      </c>
      <c r="K4" s="51" t="s">
        <v>1419</v>
      </c>
      <c r="L4" s="51" t="s">
        <v>527</v>
      </c>
      <c r="M4" s="51" t="s">
        <v>1415</v>
      </c>
      <c r="N4" s="51"/>
      <c r="O4" s="52"/>
      <c r="P4" s="51" t="s">
        <v>521</v>
      </c>
      <c r="Q4" s="51"/>
      <c r="R4" s="51" t="s">
        <v>527</v>
      </c>
      <c r="S4" s="61" t="s">
        <v>496</v>
      </c>
      <c r="T4" s="51" t="s">
        <v>497</v>
      </c>
      <c r="U4" s="51" t="s">
        <v>498</v>
      </c>
      <c r="V4" s="51" t="s">
        <v>500</v>
      </c>
      <c r="W4" s="52" t="s">
        <v>499</v>
      </c>
      <c r="Y4" s="122"/>
      <c r="Z4" s="123"/>
      <c r="AA4" s="51" t="s">
        <v>398</v>
      </c>
      <c r="AB4" s="51" t="s">
        <v>397</v>
      </c>
      <c r="AC4" s="52" t="s">
        <v>526</v>
      </c>
      <c r="AD4" s="53" t="s">
        <v>526</v>
      </c>
    </row>
    <row r="5" spans="1:30" x14ac:dyDescent="0.2">
      <c r="A5" s="78"/>
      <c r="B5" s="78"/>
      <c r="C5" s="78"/>
      <c r="D5" s="53"/>
      <c r="E5" s="53"/>
      <c r="F5" s="53"/>
      <c r="G5" s="53"/>
      <c r="H5" s="53"/>
      <c r="I5" s="53"/>
      <c r="J5" s="53"/>
      <c r="K5" s="53"/>
      <c r="L5" s="53" t="s">
        <v>529</v>
      </c>
      <c r="M5" s="53"/>
      <c r="N5" s="53"/>
      <c r="O5" s="67"/>
      <c r="P5" s="53" t="s">
        <v>528</v>
      </c>
      <c r="Q5" s="53"/>
      <c r="R5" s="53"/>
      <c r="S5" s="78" t="s">
        <v>513</v>
      </c>
      <c r="T5" s="53" t="s">
        <v>514</v>
      </c>
      <c r="U5" s="53" t="s">
        <v>515</v>
      </c>
      <c r="V5" s="53" t="s">
        <v>512</v>
      </c>
      <c r="W5" s="67" t="s">
        <v>516</v>
      </c>
      <c r="Y5" s="78" t="s">
        <v>531</v>
      </c>
      <c r="Z5" s="65"/>
      <c r="AA5" s="65"/>
      <c r="AB5" s="65"/>
      <c r="AC5" s="55"/>
      <c r="AD5" s="4" t="s">
        <v>959</v>
      </c>
    </row>
    <row r="6" spans="1:30" ht="14.25" x14ac:dyDescent="0.2">
      <c r="A6" s="115"/>
      <c r="B6" s="115" t="s">
        <v>400</v>
      </c>
      <c r="C6" s="115" t="s">
        <v>519</v>
      </c>
      <c r="D6" s="57"/>
      <c r="E6" s="57"/>
      <c r="F6" s="57" t="s">
        <v>522</v>
      </c>
      <c r="G6" s="116" t="s">
        <v>1067</v>
      </c>
      <c r="H6" s="57" t="s">
        <v>522</v>
      </c>
      <c r="I6" s="116" t="s">
        <v>1067</v>
      </c>
      <c r="J6" s="57" t="s">
        <v>522</v>
      </c>
      <c r="K6" s="116" t="s">
        <v>1067</v>
      </c>
      <c r="L6" s="117"/>
      <c r="M6" s="117"/>
      <c r="N6" s="117"/>
      <c r="O6" s="118"/>
      <c r="P6" s="57"/>
      <c r="Q6" s="116" t="s">
        <v>1067</v>
      </c>
      <c r="R6" s="57"/>
      <c r="S6" s="115" t="s">
        <v>494</v>
      </c>
      <c r="T6" s="57" t="s">
        <v>494</v>
      </c>
      <c r="U6" s="57" t="s">
        <v>494</v>
      </c>
      <c r="V6" s="119" t="s">
        <v>289</v>
      </c>
      <c r="W6" s="120" t="s">
        <v>495</v>
      </c>
      <c r="Y6" s="63"/>
      <c r="Z6" s="66"/>
      <c r="AA6" s="66"/>
      <c r="AB6" s="66"/>
      <c r="AC6" s="59"/>
    </row>
    <row r="7" spans="1:30" x14ac:dyDescent="0.2">
      <c r="A7" s="6" t="s">
        <v>491</v>
      </c>
      <c r="B7" s="6">
        <v>1.9888988259336799</v>
      </c>
      <c r="C7" s="6">
        <v>0.12</v>
      </c>
      <c r="D7" s="4">
        <v>0.18</v>
      </c>
      <c r="E7" s="4">
        <v>0.3</v>
      </c>
      <c r="F7" s="4">
        <v>0.64</v>
      </c>
      <c r="G7" s="175">
        <f>F7*10^-7/10^4</f>
        <v>6.4000000000000002E-12</v>
      </c>
      <c r="H7" s="4">
        <v>1.84</v>
      </c>
      <c r="I7" s="175">
        <f>H7*10^-7/10^4</f>
        <v>1.8399999999999999E-11</v>
      </c>
      <c r="J7" s="4">
        <v>3.32</v>
      </c>
      <c r="K7" s="175">
        <f>J7*10^-7/10^4</f>
        <v>3.3199999999999993E-11</v>
      </c>
      <c r="L7" s="112">
        <v>1.68</v>
      </c>
      <c r="M7" s="195">
        <f t="shared" ref="M7:M20" si="0">C7*F7</f>
        <v>7.6799999999999993E-2</v>
      </c>
      <c r="N7" s="195">
        <v>0.26</v>
      </c>
      <c r="O7" s="196">
        <v>0.74</v>
      </c>
      <c r="P7" s="112">
        <v>0.76</v>
      </c>
      <c r="Q7" s="175">
        <f>P7*10^-7/10^4</f>
        <v>7.5999999999999999E-12</v>
      </c>
      <c r="R7" s="4">
        <v>3.69</v>
      </c>
      <c r="S7" s="17">
        <v>30.9</v>
      </c>
      <c r="T7">
        <v>47.6</v>
      </c>
      <c r="U7">
        <v>16.7</v>
      </c>
      <c r="W7" s="3"/>
      <c r="Y7">
        <f>273+10</f>
        <v>283</v>
      </c>
      <c r="Z7">
        <f>273+25</f>
        <v>298</v>
      </c>
      <c r="AA7" s="121">
        <f>EXP(-1000*S7/(8.3144621*$Y7))/EXP(-1000*S7/(8.3144621*$Z7))</f>
        <v>0.51632576577003786</v>
      </c>
      <c r="AB7" s="121">
        <f>EXP(-1000*T7/(8.3144621*$Y7))/EXP(-1000*T7/(8.3144621*$Z7))</f>
        <v>0.36122065995761432</v>
      </c>
      <c r="AC7" s="121">
        <f>EXP(-1000*U7/(8.3144621*$Y7))/EXP(-1000*U7/(8.3144621*$Z7))</f>
        <v>0.69959836193511804</v>
      </c>
      <c r="AD7">
        <f>AC7*AA7/AB7</f>
        <v>0.99999999999999889</v>
      </c>
    </row>
    <row r="8" spans="1:30" x14ac:dyDescent="0.2">
      <c r="A8" s="6" t="s">
        <v>492</v>
      </c>
      <c r="B8" s="6">
        <v>0.61059105234897149</v>
      </c>
      <c r="C8" s="6">
        <v>0.11</v>
      </c>
      <c r="D8" s="4">
        <v>0.17</v>
      </c>
      <c r="E8" s="4">
        <v>0.26</v>
      </c>
      <c r="F8" s="4">
        <v>0.68</v>
      </c>
      <c r="G8" s="175">
        <f t="shared" ref="G8:G20" si="1">F8*10^-7/10^4</f>
        <v>6.8000000000000001E-12</v>
      </c>
      <c r="H8" s="4">
        <v>2.4</v>
      </c>
      <c r="I8" s="175">
        <f t="shared" ref="I8:I20" si="2">H8*10^-7/10^4</f>
        <v>2.3999999999999998E-11</v>
      </c>
      <c r="J8" s="4">
        <v>3.62</v>
      </c>
      <c r="K8" s="175">
        <f t="shared" ref="K8:K20" si="3">J8*10^-7/10^4</f>
        <v>3.6200000000000002E-11</v>
      </c>
      <c r="L8" s="112">
        <v>1.72</v>
      </c>
      <c r="M8" s="195">
        <f t="shared" si="0"/>
        <v>7.4800000000000005E-2</v>
      </c>
      <c r="N8" s="195">
        <v>0.37</v>
      </c>
      <c r="O8" s="196">
        <v>0.82</v>
      </c>
      <c r="P8" s="112">
        <v>0.7</v>
      </c>
      <c r="Q8" s="175">
        <f t="shared" ref="Q8:Q20" si="4">P8*10^-7/10^4</f>
        <v>6.9999999999999993E-12</v>
      </c>
      <c r="R8" s="4">
        <v>3.18</v>
      </c>
      <c r="S8" s="17">
        <v>32.299999999999997</v>
      </c>
      <c r="T8">
        <v>48.5</v>
      </c>
      <c r="U8">
        <v>16.2</v>
      </c>
      <c r="W8" s="3"/>
      <c r="Y8">
        <f t="shared" ref="Y8:Y20" si="5">273+10</f>
        <v>283</v>
      </c>
      <c r="Z8">
        <f t="shared" ref="Z8:Z20" si="6">273+25</f>
        <v>298</v>
      </c>
      <c r="AA8" s="121">
        <f t="shared" ref="AA8:AA20" si="7">EXP(-1000*S8/(8.3144621*$Y8))/EXP(-1000*S8/(8.3144621*$Z8))</f>
        <v>0.50109158442080137</v>
      </c>
      <c r="AB8" s="121">
        <f t="shared" ref="AB8:AB20" si="8">EXP(-1000*T8/(8.3144621*$Y8))/EXP(-1000*T8/(8.3144621*$Z8))</f>
        <v>0.35433262283844996</v>
      </c>
      <c r="AC8" s="121">
        <f t="shared" ref="AC8:AC20" si="9">EXP(-1000*U8/(8.3144621*$Y8))/EXP(-1000*U8/(8.3144621*$Z8))</f>
        <v>0.70712148009433196</v>
      </c>
    </row>
    <row r="9" spans="1:30" x14ac:dyDescent="0.2">
      <c r="A9" s="6" t="s">
        <v>493</v>
      </c>
      <c r="B9" s="6">
        <v>0.21093846155625409</v>
      </c>
      <c r="C9" s="6">
        <v>0.1</v>
      </c>
      <c r="D9" s="4">
        <v>0.15</v>
      </c>
      <c r="E9" s="4">
        <v>0.22</v>
      </c>
      <c r="F9" s="4">
        <v>0.64</v>
      </c>
      <c r="G9" s="175">
        <f t="shared" si="1"/>
        <v>6.4000000000000002E-12</v>
      </c>
      <c r="H9" s="4">
        <v>2.2799999999999998</v>
      </c>
      <c r="I9" s="175">
        <f t="shared" si="2"/>
        <v>2.2799999999999998E-11</v>
      </c>
      <c r="J9" s="4">
        <v>3.6</v>
      </c>
      <c r="K9" s="175">
        <f t="shared" si="3"/>
        <v>3.5999999999999998E-11</v>
      </c>
      <c r="L9" s="112">
        <v>1.91</v>
      </c>
      <c r="M9" s="195">
        <f t="shared" si="0"/>
        <v>6.4000000000000001E-2</v>
      </c>
      <c r="N9" s="195">
        <v>0.36</v>
      </c>
      <c r="O9" s="196">
        <v>0.86</v>
      </c>
      <c r="P9" s="112">
        <v>0.68</v>
      </c>
      <c r="Q9" s="175">
        <f t="shared" si="4"/>
        <v>6.8000000000000001E-12</v>
      </c>
      <c r="R9" s="4">
        <v>3.1</v>
      </c>
      <c r="S9" s="17">
        <v>33.1</v>
      </c>
      <c r="T9">
        <v>48.4</v>
      </c>
      <c r="U9">
        <v>15.3</v>
      </c>
      <c r="W9" s="3"/>
      <c r="Y9">
        <f t="shared" si="5"/>
        <v>283</v>
      </c>
      <c r="Z9">
        <f t="shared" si="6"/>
        <v>298</v>
      </c>
      <c r="AA9" s="121">
        <f t="shared" si="7"/>
        <v>0.49258900689428359</v>
      </c>
      <c r="AB9" s="121">
        <f t="shared" si="8"/>
        <v>0.35509142777539776</v>
      </c>
      <c r="AC9" s="121">
        <f t="shared" si="9"/>
        <v>0.72086754435347344</v>
      </c>
    </row>
    <row r="10" spans="1:30" x14ac:dyDescent="0.2">
      <c r="A10" s="6" t="s">
        <v>501</v>
      </c>
      <c r="B10" s="6">
        <v>7.4999999999999997E-2</v>
      </c>
      <c r="C10" s="6">
        <v>0.08</v>
      </c>
      <c r="D10" s="4">
        <v>0.12</v>
      </c>
      <c r="E10" s="4">
        <v>0.19</v>
      </c>
      <c r="F10" s="4">
        <v>0.34</v>
      </c>
      <c r="G10" s="175">
        <f t="shared" si="1"/>
        <v>3.4000000000000001E-12</v>
      </c>
      <c r="H10" s="4">
        <v>1.17</v>
      </c>
      <c r="I10" s="175">
        <f t="shared" si="2"/>
        <v>1.1699999999999999E-11</v>
      </c>
      <c r="J10" s="4">
        <v>1.81</v>
      </c>
      <c r="K10" s="175">
        <f t="shared" si="3"/>
        <v>1.8100000000000001E-11</v>
      </c>
      <c r="L10" s="112">
        <v>1.24</v>
      </c>
      <c r="M10" s="195">
        <f t="shared" si="0"/>
        <v>2.7200000000000002E-2</v>
      </c>
      <c r="N10" s="195">
        <v>0.17</v>
      </c>
      <c r="O10" s="196">
        <v>0.41</v>
      </c>
      <c r="P10" s="112">
        <v>0.3</v>
      </c>
      <c r="Q10" s="175">
        <f t="shared" si="4"/>
        <v>2.9999999999999997E-12</v>
      </c>
      <c r="R10" s="4">
        <v>1.76</v>
      </c>
      <c r="S10" s="17">
        <v>32.1</v>
      </c>
      <c r="T10">
        <v>48.8</v>
      </c>
      <c r="U10">
        <v>15.3</v>
      </c>
      <c r="W10" s="3"/>
      <c r="Y10">
        <f t="shared" si="5"/>
        <v>283</v>
      </c>
      <c r="Z10">
        <f t="shared" si="6"/>
        <v>298</v>
      </c>
      <c r="AA10" s="121">
        <f t="shared" si="7"/>
        <v>0.503240062300366</v>
      </c>
      <c r="AB10" s="121">
        <f t="shared" si="8"/>
        <v>0.35206592324546254</v>
      </c>
      <c r="AC10" s="121">
        <f t="shared" si="9"/>
        <v>0.72086754435347344</v>
      </c>
    </row>
    <row r="11" spans="1:30" x14ac:dyDescent="0.2">
      <c r="A11" s="6" t="s">
        <v>502</v>
      </c>
      <c r="B11" s="6">
        <v>1.7410000000000001</v>
      </c>
      <c r="C11" s="6">
        <v>0.06</v>
      </c>
      <c r="D11" s="4">
        <v>0.08</v>
      </c>
      <c r="E11" s="4">
        <v>0.12</v>
      </c>
      <c r="F11" s="4">
        <v>0.21</v>
      </c>
      <c r="G11" s="175">
        <f t="shared" si="1"/>
        <v>2.0999999999999999E-12</v>
      </c>
      <c r="H11" s="4">
        <v>0.94</v>
      </c>
      <c r="I11" s="175">
        <f t="shared" si="2"/>
        <v>9.3999999999999995E-12</v>
      </c>
      <c r="J11" s="4">
        <v>1.68</v>
      </c>
      <c r="K11" s="175">
        <f t="shared" si="3"/>
        <v>1.68E-11</v>
      </c>
      <c r="L11" s="112">
        <v>1.93</v>
      </c>
      <c r="M11" s="195">
        <f t="shared" si="0"/>
        <v>1.2599999999999998E-2</v>
      </c>
      <c r="N11" s="195">
        <v>0.08</v>
      </c>
      <c r="O11" s="196">
        <v>0.42</v>
      </c>
      <c r="P11" s="112">
        <v>0.16</v>
      </c>
      <c r="Q11" s="175">
        <f t="shared" si="4"/>
        <v>1.6E-12</v>
      </c>
      <c r="R11" s="4">
        <v>2.16</v>
      </c>
      <c r="S11" s="17">
        <v>40.200000000000003</v>
      </c>
      <c r="T11">
        <v>53.4</v>
      </c>
      <c r="U11">
        <v>15.3</v>
      </c>
      <c r="W11" s="3"/>
      <c r="Y11">
        <f t="shared" si="5"/>
        <v>283</v>
      </c>
      <c r="Z11">
        <f t="shared" si="6"/>
        <v>298</v>
      </c>
      <c r="AA11" s="121">
        <f t="shared" si="7"/>
        <v>0.42317716270722533</v>
      </c>
      <c r="AB11" s="121">
        <f t="shared" si="8"/>
        <v>0.31907129006619112</v>
      </c>
      <c r="AC11" s="121">
        <f t="shared" si="9"/>
        <v>0.72086754435347344</v>
      </c>
    </row>
    <row r="12" spans="1:30" x14ac:dyDescent="0.2">
      <c r="A12" s="6" t="s">
        <v>503</v>
      </c>
      <c r="B12" s="6">
        <v>0.498</v>
      </c>
      <c r="C12" s="6">
        <v>0.12</v>
      </c>
      <c r="D12" s="4">
        <v>0.16</v>
      </c>
      <c r="E12" s="4">
        <v>0.27</v>
      </c>
      <c r="F12" s="4">
        <v>0.54</v>
      </c>
      <c r="G12" s="175">
        <f t="shared" si="1"/>
        <v>5.4000000000000004E-12</v>
      </c>
      <c r="H12" s="4">
        <v>1.59</v>
      </c>
      <c r="I12" s="175">
        <f t="shared" si="2"/>
        <v>1.5900000000000001E-11</v>
      </c>
      <c r="J12" s="4">
        <v>3.07</v>
      </c>
      <c r="K12" s="175">
        <f t="shared" si="3"/>
        <v>3.0700000000000001E-11</v>
      </c>
      <c r="L12" s="112">
        <v>1.75</v>
      </c>
      <c r="M12" s="195">
        <f t="shared" si="0"/>
        <v>6.4799999999999996E-2</v>
      </c>
      <c r="N12" s="195">
        <v>0.28999999999999998</v>
      </c>
      <c r="O12" s="196">
        <v>0.92</v>
      </c>
      <c r="P12" s="112">
        <v>0.61</v>
      </c>
      <c r="Q12" s="175">
        <f t="shared" si="4"/>
        <v>6.0999999999999986E-12</v>
      </c>
      <c r="R12" s="4">
        <v>2.25</v>
      </c>
      <c r="S12" s="17">
        <v>33.1</v>
      </c>
      <c r="T12">
        <v>48.5</v>
      </c>
      <c r="U12">
        <v>15.4</v>
      </c>
      <c r="W12" s="3"/>
      <c r="Y12">
        <f t="shared" si="5"/>
        <v>283</v>
      </c>
      <c r="Z12">
        <f t="shared" si="6"/>
        <v>298</v>
      </c>
      <c r="AA12" s="121">
        <f t="shared" si="7"/>
        <v>0.49258900689428359</v>
      </c>
      <c r="AB12" s="121">
        <f t="shared" si="8"/>
        <v>0.35433262283844996</v>
      </c>
      <c r="AC12" s="121">
        <f t="shared" si="9"/>
        <v>0.71932710206522255</v>
      </c>
    </row>
    <row r="13" spans="1:30" x14ac:dyDescent="0.2">
      <c r="A13" s="6" t="s">
        <v>504</v>
      </c>
      <c r="B13" s="6">
        <v>1.7399999999999999E-2</v>
      </c>
      <c r="C13" s="6">
        <v>0.06</v>
      </c>
      <c r="D13" s="4">
        <v>0.09</v>
      </c>
      <c r="E13" s="4">
        <v>0.13</v>
      </c>
      <c r="F13" s="4">
        <v>7.0000000000000007E-2</v>
      </c>
      <c r="G13" s="175">
        <f t="shared" si="1"/>
        <v>7.0000000000000005E-13</v>
      </c>
      <c r="H13" s="4">
        <v>0.43</v>
      </c>
      <c r="I13" s="175">
        <f t="shared" si="2"/>
        <v>4.2999999999999999E-12</v>
      </c>
      <c r="J13" s="4">
        <v>0.9</v>
      </c>
      <c r="K13" s="175">
        <f t="shared" si="3"/>
        <v>8.9999999999999996E-12</v>
      </c>
      <c r="L13" s="112">
        <v>1.41</v>
      </c>
      <c r="M13" s="195">
        <f t="shared" si="0"/>
        <v>4.2000000000000006E-3</v>
      </c>
      <c r="N13" s="195">
        <v>0.06</v>
      </c>
      <c r="O13" s="196">
        <v>0.19</v>
      </c>
      <c r="P13" s="112">
        <v>0.08</v>
      </c>
      <c r="Q13" s="175">
        <f t="shared" si="4"/>
        <v>8.0000000000000002E-13</v>
      </c>
      <c r="R13" s="4">
        <v>0.47</v>
      </c>
      <c r="S13" s="17">
        <v>48</v>
      </c>
      <c r="T13">
        <v>61.3</v>
      </c>
      <c r="U13">
        <v>13.4</v>
      </c>
      <c r="W13" s="3"/>
      <c r="Y13">
        <f t="shared" si="5"/>
        <v>283</v>
      </c>
      <c r="Z13">
        <f t="shared" si="6"/>
        <v>298</v>
      </c>
      <c r="AA13" s="121">
        <f t="shared" si="7"/>
        <v>0.35814293220210441</v>
      </c>
      <c r="AB13" s="121">
        <f t="shared" si="8"/>
        <v>0.26945909176985028</v>
      </c>
      <c r="AC13" s="121">
        <f t="shared" si="9"/>
        <v>0.75077085940424493</v>
      </c>
    </row>
    <row r="14" spans="1:30" x14ac:dyDescent="0.2">
      <c r="A14" s="6" t="s">
        <v>505</v>
      </c>
      <c r="B14" s="6">
        <v>20</v>
      </c>
      <c r="C14" s="6">
        <v>0.12</v>
      </c>
      <c r="D14" s="4"/>
      <c r="E14" s="4"/>
      <c r="F14" s="4">
        <v>0.82</v>
      </c>
      <c r="G14" s="175">
        <f t="shared" si="1"/>
        <v>8.1999999999999998E-12</v>
      </c>
      <c r="H14" s="4"/>
      <c r="I14" s="175"/>
      <c r="J14" s="4"/>
      <c r="K14" s="175"/>
      <c r="L14" s="112">
        <v>2.4</v>
      </c>
      <c r="M14" s="195">
        <f t="shared" si="0"/>
        <v>9.8399999999999987E-2</v>
      </c>
      <c r="N14" s="195"/>
      <c r="O14" s="196"/>
      <c r="P14" s="112">
        <v>0.17</v>
      </c>
      <c r="Q14" s="175">
        <f t="shared" si="4"/>
        <v>1.7E-12</v>
      </c>
      <c r="R14" s="4"/>
      <c r="S14" s="6" t="s">
        <v>511</v>
      </c>
      <c r="W14" s="3"/>
      <c r="Y14">
        <f t="shared" si="5"/>
        <v>283</v>
      </c>
      <c r="Z14">
        <f t="shared" si="6"/>
        <v>298</v>
      </c>
      <c r="AA14" s="121"/>
      <c r="AB14" s="121"/>
      <c r="AC14" s="121"/>
    </row>
    <row r="15" spans="1:30" x14ac:dyDescent="0.2">
      <c r="A15" s="6" t="s">
        <v>506</v>
      </c>
      <c r="B15" s="6">
        <v>10.188832473485421</v>
      </c>
      <c r="C15" s="6">
        <v>0.06</v>
      </c>
      <c r="D15" s="4">
        <v>0.09</v>
      </c>
      <c r="E15" s="4">
        <v>0.15</v>
      </c>
      <c r="F15" s="4">
        <v>0.42</v>
      </c>
      <c r="G15" s="175">
        <f t="shared" si="1"/>
        <v>4.1999999999999999E-12</v>
      </c>
      <c r="H15" s="4">
        <v>1.49</v>
      </c>
      <c r="I15" s="175">
        <f t="shared" si="2"/>
        <v>1.4899999999999998E-11</v>
      </c>
      <c r="J15" s="4">
        <v>2.35</v>
      </c>
      <c r="K15" s="175">
        <f t="shared" si="3"/>
        <v>2.35E-11</v>
      </c>
      <c r="L15" s="112">
        <v>1.22</v>
      </c>
      <c r="M15" s="195">
        <f t="shared" si="0"/>
        <v>2.5199999999999997E-2</v>
      </c>
      <c r="N15" s="195">
        <v>0.14000000000000001</v>
      </c>
      <c r="O15" s="196">
        <v>0.35</v>
      </c>
      <c r="P15" s="112">
        <v>0.23</v>
      </c>
      <c r="Q15" s="175">
        <f t="shared" si="4"/>
        <v>2.2999999999999999E-12</v>
      </c>
      <c r="R15" s="4">
        <v>2.09</v>
      </c>
      <c r="S15" s="6">
        <v>33</v>
      </c>
      <c r="T15">
        <v>49.2</v>
      </c>
      <c r="U15">
        <v>16.7</v>
      </c>
      <c r="W15" s="3"/>
      <c r="Y15">
        <f t="shared" si="5"/>
        <v>283</v>
      </c>
      <c r="Z15">
        <f t="shared" si="6"/>
        <v>298</v>
      </c>
      <c r="AA15" s="121">
        <f t="shared" si="7"/>
        <v>0.49364388851179619</v>
      </c>
      <c r="AB15" s="121">
        <f t="shared" si="8"/>
        <v>0.34906619708398301</v>
      </c>
      <c r="AC15" s="121">
        <f t="shared" si="9"/>
        <v>0.69959836193511804</v>
      </c>
    </row>
    <row r="16" spans="1:30" x14ac:dyDescent="0.2">
      <c r="A16" s="6" t="s">
        <v>448</v>
      </c>
      <c r="B16" s="6">
        <v>790</v>
      </c>
      <c r="C16" s="6">
        <v>0.02</v>
      </c>
      <c r="D16" s="4"/>
      <c r="E16" s="4"/>
      <c r="F16" s="4">
        <v>0.17</v>
      </c>
      <c r="G16" s="175">
        <f t="shared" si="1"/>
        <v>1.7E-12</v>
      </c>
      <c r="H16" s="4"/>
      <c r="I16" s="175"/>
      <c r="J16" s="4"/>
      <c r="K16" s="175"/>
      <c r="L16" s="112">
        <v>1.9</v>
      </c>
      <c r="M16" s="195">
        <f t="shared" si="0"/>
        <v>3.4000000000000002E-3</v>
      </c>
      <c r="N16" s="195"/>
      <c r="O16" s="196"/>
      <c r="P16" s="112">
        <v>0.09</v>
      </c>
      <c r="Q16" s="175">
        <f t="shared" si="4"/>
        <v>9E-13</v>
      </c>
      <c r="R16" s="4">
        <v>3.18</v>
      </c>
      <c r="S16" s="6" t="s">
        <v>511</v>
      </c>
      <c r="W16" s="3"/>
      <c r="Y16">
        <f t="shared" si="5"/>
        <v>283</v>
      </c>
      <c r="Z16">
        <f t="shared" si="6"/>
        <v>298</v>
      </c>
      <c r="AA16" s="121"/>
      <c r="AB16" s="121"/>
      <c r="AC16" s="121"/>
    </row>
    <row r="17" spans="1:29" x14ac:dyDescent="0.2">
      <c r="A17" s="6" t="s">
        <v>507</v>
      </c>
      <c r="B17" s="6">
        <v>352.8</v>
      </c>
      <c r="C17" s="6">
        <v>0.03</v>
      </c>
      <c r="D17" s="4">
        <v>0.04</v>
      </c>
      <c r="E17" s="4">
        <v>0.06</v>
      </c>
      <c r="F17" s="4">
        <v>0.19</v>
      </c>
      <c r="G17" s="175">
        <f t="shared" si="1"/>
        <v>1.9E-12</v>
      </c>
      <c r="H17" s="4">
        <v>0.73</v>
      </c>
      <c r="I17" s="175">
        <f t="shared" si="2"/>
        <v>7.3E-12</v>
      </c>
      <c r="J17" s="4">
        <v>1.5</v>
      </c>
      <c r="K17" s="175">
        <f t="shared" si="3"/>
        <v>1.5E-11</v>
      </c>
      <c r="L17" s="112">
        <v>0.68</v>
      </c>
      <c r="M17" s="195">
        <f t="shared" si="0"/>
        <v>5.7000000000000002E-3</v>
      </c>
      <c r="N17" s="195">
        <v>0.02</v>
      </c>
      <c r="O17" s="196">
        <v>0.06</v>
      </c>
      <c r="P17" s="112">
        <v>0.11</v>
      </c>
      <c r="Q17" s="175">
        <f t="shared" si="4"/>
        <v>1.1E-12</v>
      </c>
      <c r="R17" s="4">
        <v>0.51</v>
      </c>
      <c r="S17" s="6">
        <v>39.6</v>
      </c>
      <c r="T17">
        <v>52.7</v>
      </c>
      <c r="U17">
        <v>13.2</v>
      </c>
      <c r="W17" s="3"/>
      <c r="Y17">
        <f t="shared" si="5"/>
        <v>283</v>
      </c>
      <c r="Z17">
        <f t="shared" si="6"/>
        <v>298</v>
      </c>
      <c r="AA17" s="121">
        <f t="shared" si="7"/>
        <v>0.42864377159348371</v>
      </c>
      <c r="AB17" s="121">
        <f t="shared" si="8"/>
        <v>0.32388517715566872</v>
      </c>
      <c r="AC17" s="121">
        <f t="shared" si="9"/>
        <v>0.75398986094847542</v>
      </c>
    </row>
    <row r="18" spans="1:29" x14ac:dyDescent="0.2">
      <c r="A18" s="6" t="s">
        <v>508</v>
      </c>
      <c r="B18" s="6">
        <v>19</v>
      </c>
      <c r="C18" s="6">
        <v>0.03</v>
      </c>
      <c r="D18" s="4">
        <v>0.04</v>
      </c>
      <c r="E18" s="4">
        <v>0.06</v>
      </c>
      <c r="F18" s="4">
        <v>7.0000000000000007E-2</v>
      </c>
      <c r="G18" s="175">
        <f t="shared" si="1"/>
        <v>7.0000000000000005E-13</v>
      </c>
      <c r="H18" s="4">
        <v>0.37</v>
      </c>
      <c r="I18" s="175">
        <f t="shared" si="2"/>
        <v>3.7E-12</v>
      </c>
      <c r="J18" s="4">
        <v>1.03</v>
      </c>
      <c r="K18" s="175">
        <f t="shared" si="3"/>
        <v>1.0299999999999999E-11</v>
      </c>
      <c r="L18" s="112">
        <v>1.43</v>
      </c>
      <c r="M18" s="195">
        <f t="shared" si="0"/>
        <v>2.1000000000000003E-3</v>
      </c>
      <c r="N18" s="195">
        <v>0.02</v>
      </c>
      <c r="O18" s="196">
        <v>0.06</v>
      </c>
      <c r="P18" s="112">
        <v>0.05</v>
      </c>
      <c r="Q18" s="175">
        <f t="shared" si="4"/>
        <v>4.9999999999999999E-13</v>
      </c>
      <c r="R18" s="4">
        <v>0.7</v>
      </c>
      <c r="S18" s="6">
        <v>51</v>
      </c>
      <c r="T18">
        <v>65.7</v>
      </c>
      <c r="U18">
        <v>14.7</v>
      </c>
      <c r="W18" s="3"/>
      <c r="Y18">
        <f t="shared" si="5"/>
        <v>283</v>
      </c>
      <c r="Z18">
        <f t="shared" si="6"/>
        <v>298</v>
      </c>
      <c r="AA18" s="121">
        <f t="shared" si="7"/>
        <v>0.3358805912661767</v>
      </c>
      <c r="AB18" s="121">
        <f t="shared" si="8"/>
        <v>0.24525319676283405</v>
      </c>
      <c r="AC18" s="121">
        <f t="shared" si="9"/>
        <v>0.73017972202054882</v>
      </c>
    </row>
    <row r="19" spans="1:29" x14ac:dyDescent="0.2">
      <c r="A19" s="6" t="s">
        <v>509</v>
      </c>
      <c r="B19" s="6">
        <v>4.9000000000000009E-2</v>
      </c>
      <c r="C19" s="6">
        <v>0.01</v>
      </c>
      <c r="D19" s="4">
        <v>0.05</v>
      </c>
      <c r="E19" s="4">
        <v>7.0000000000000007E-2</v>
      </c>
      <c r="F19" s="4">
        <v>0.17</v>
      </c>
      <c r="G19" s="175">
        <f t="shared" si="1"/>
        <v>1.7E-12</v>
      </c>
      <c r="H19" s="4">
        <v>0.28999999999999998</v>
      </c>
      <c r="I19" s="175">
        <f t="shared" si="2"/>
        <v>2.8999999999999998E-12</v>
      </c>
      <c r="J19" s="4">
        <v>0.6</v>
      </c>
      <c r="K19" s="175">
        <f t="shared" si="3"/>
        <v>5.9999999999999995E-12</v>
      </c>
      <c r="L19" s="112">
        <v>2.88</v>
      </c>
      <c r="M19" s="195">
        <f t="shared" si="0"/>
        <v>1.7000000000000001E-3</v>
      </c>
      <c r="N19" s="195">
        <v>0.01</v>
      </c>
      <c r="O19" s="196">
        <v>0.04</v>
      </c>
      <c r="P19" s="112">
        <v>0.16</v>
      </c>
      <c r="Q19" s="175">
        <f t="shared" si="4"/>
        <v>1.6E-12</v>
      </c>
      <c r="R19" s="4">
        <v>1.1399999999999999</v>
      </c>
      <c r="S19" s="6">
        <v>24.9</v>
      </c>
      <c r="T19">
        <v>57.2</v>
      </c>
      <c r="U19">
        <v>32.4</v>
      </c>
      <c r="W19" s="3"/>
      <c r="Y19">
        <f t="shared" si="5"/>
        <v>283</v>
      </c>
      <c r="Z19">
        <f t="shared" si="6"/>
        <v>298</v>
      </c>
      <c r="AA19" s="121">
        <f t="shared" si="7"/>
        <v>0.58703872302471416</v>
      </c>
      <c r="AB19" s="121">
        <f t="shared" si="8"/>
        <v>0.29416016383681848</v>
      </c>
      <c r="AC19" s="121">
        <f t="shared" si="9"/>
        <v>0.50002078761079871</v>
      </c>
    </row>
    <row r="20" spans="1:29" x14ac:dyDescent="0.2">
      <c r="A20" s="19" t="s">
        <v>510</v>
      </c>
      <c r="B20" s="19">
        <v>71</v>
      </c>
      <c r="C20" s="19">
        <v>0.02</v>
      </c>
      <c r="D20" s="14">
        <v>0.04</v>
      </c>
      <c r="E20" s="14">
        <v>0.06</v>
      </c>
      <c r="F20" s="14">
        <v>0.34</v>
      </c>
      <c r="G20" s="175">
        <f t="shared" si="1"/>
        <v>3.4000000000000001E-12</v>
      </c>
      <c r="H20" s="4">
        <v>1.1399999999999999</v>
      </c>
      <c r="I20" s="175">
        <f t="shared" si="2"/>
        <v>1.1399999999999999E-11</v>
      </c>
      <c r="J20" s="4">
        <v>1.72</v>
      </c>
      <c r="K20" s="175">
        <f t="shared" si="3"/>
        <v>1.7199999999999999E-11</v>
      </c>
      <c r="L20" s="113">
        <v>2.95</v>
      </c>
      <c r="M20" s="197">
        <f t="shared" si="0"/>
        <v>6.8000000000000005E-3</v>
      </c>
      <c r="N20" s="197">
        <v>0.04</v>
      </c>
      <c r="O20" s="198">
        <v>0.08</v>
      </c>
      <c r="P20" s="113">
        <v>7.0000000000000007E-2</v>
      </c>
      <c r="Q20" s="175">
        <f t="shared" si="4"/>
        <v>7.0000000000000005E-13</v>
      </c>
      <c r="R20" s="14">
        <v>1.79</v>
      </c>
      <c r="S20" s="19">
        <v>31.3</v>
      </c>
      <c r="T20" s="13">
        <v>49.7</v>
      </c>
      <c r="U20" s="13">
        <v>19.5</v>
      </c>
      <c r="V20" s="13"/>
      <c r="W20" s="15"/>
      <c r="Y20">
        <f t="shared" si="5"/>
        <v>283</v>
      </c>
      <c r="Z20">
        <f t="shared" si="6"/>
        <v>298</v>
      </c>
      <c r="AA20" s="121">
        <f t="shared" si="7"/>
        <v>0.51192648766567417</v>
      </c>
      <c r="AB20" s="121">
        <f t="shared" si="8"/>
        <v>0.34535245578213375</v>
      </c>
      <c r="AC20" s="121">
        <f t="shared" si="9"/>
        <v>0.65892412174293535</v>
      </c>
    </row>
    <row r="22" spans="1:29" x14ac:dyDescent="0.2">
      <c r="A22" s="4" t="s">
        <v>1430</v>
      </c>
    </row>
    <row r="24" spans="1:29" x14ac:dyDescent="0.2">
      <c r="A24" s="4" t="s">
        <v>555</v>
      </c>
    </row>
    <row r="25" spans="1:29" x14ac:dyDescent="0.2">
      <c r="A25" s="4" t="s">
        <v>533</v>
      </c>
    </row>
    <row r="26" spans="1:29" x14ac:dyDescent="0.2">
      <c r="A26" s="4" t="s">
        <v>534</v>
      </c>
    </row>
    <row r="31" spans="1:29" x14ac:dyDescent="0.2">
      <c r="A31" s="4" t="s">
        <v>1427</v>
      </c>
    </row>
    <row r="32" spans="1:29" x14ac:dyDescent="0.2">
      <c r="A32">
        <v>0</v>
      </c>
    </row>
    <row r="33" spans="1:20" x14ac:dyDescent="0.2">
      <c r="A33">
        <v>10</v>
      </c>
      <c r="T33" s="4"/>
    </row>
    <row r="34" spans="1:20" x14ac:dyDescent="0.2">
      <c r="B34" s="4"/>
      <c r="F34" s="4"/>
    </row>
    <row r="36" spans="1:20" x14ac:dyDescent="0.2">
      <c r="B36" s="4"/>
    </row>
    <row r="53" spans="2:11" x14ac:dyDescent="0.2">
      <c r="B53" s="4"/>
    </row>
    <row r="54" spans="2:11" x14ac:dyDescent="0.2">
      <c r="B54" s="4"/>
    </row>
    <row r="55" spans="2:11" x14ac:dyDescent="0.2">
      <c r="B55" s="4"/>
    </row>
    <row r="60" spans="2:11" x14ac:dyDescent="0.2">
      <c r="I60" s="4"/>
      <c r="J60" s="4"/>
      <c r="K60" s="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6"/>
  <sheetViews>
    <sheetView zoomScaleNormal="100" workbookViewId="0">
      <selection activeCell="E6" sqref="E6:E16"/>
    </sheetView>
  </sheetViews>
  <sheetFormatPr defaultRowHeight="12.75" x14ac:dyDescent="0.2"/>
  <cols>
    <col min="1" max="1" width="23.140625" customWidth="1"/>
    <col min="11" max="11" width="11.140625" bestFit="1" customWidth="1"/>
    <col min="13" max="13" width="9.28515625" customWidth="1"/>
    <col min="14" max="14" width="10.5703125" bestFit="1" customWidth="1"/>
  </cols>
  <sheetData>
    <row r="1" spans="1:14" x14ac:dyDescent="0.2">
      <c r="H1" s="1" t="s">
        <v>532</v>
      </c>
    </row>
    <row r="2" spans="1:14" x14ac:dyDescent="0.2">
      <c r="A2" s="107" t="s">
        <v>1530</v>
      </c>
      <c r="B2" s="224"/>
      <c r="C2" s="224"/>
      <c r="D2" s="224"/>
      <c r="E2" s="224"/>
      <c r="F2" s="224"/>
      <c r="G2" s="224"/>
      <c r="H2" s="224"/>
      <c r="I2" s="224"/>
      <c r="J2" s="224"/>
      <c r="K2" s="224"/>
    </row>
    <row r="3" spans="1:14" x14ac:dyDescent="0.2">
      <c r="A3" s="61" t="s">
        <v>613</v>
      </c>
      <c r="B3" s="53" t="s">
        <v>408</v>
      </c>
      <c r="C3" s="53"/>
      <c r="D3" s="53" t="s">
        <v>1531</v>
      </c>
      <c r="E3" s="65"/>
      <c r="F3" s="65"/>
      <c r="G3" s="65"/>
      <c r="H3" s="53" t="s">
        <v>1539</v>
      </c>
      <c r="I3" s="65"/>
      <c r="J3" s="65"/>
      <c r="K3" s="53" t="s">
        <v>1540</v>
      </c>
      <c r="M3" s="4" t="s">
        <v>377</v>
      </c>
      <c r="N3" s="4" t="s">
        <v>1592</v>
      </c>
    </row>
    <row r="4" spans="1:14" x14ac:dyDescent="0.2">
      <c r="A4" s="285" t="s">
        <v>1537</v>
      </c>
      <c r="B4" s="278"/>
      <c r="C4" s="278"/>
      <c r="D4" s="286" t="s">
        <v>1532</v>
      </c>
      <c r="E4" s="286" t="s">
        <v>1533</v>
      </c>
      <c r="F4" s="286" t="s">
        <v>1534</v>
      </c>
      <c r="G4" s="286"/>
      <c r="H4" s="286" t="s">
        <v>1532</v>
      </c>
      <c r="I4" s="286" t="s">
        <v>1533</v>
      </c>
      <c r="J4" s="286" t="s">
        <v>1534</v>
      </c>
      <c r="K4" s="278"/>
      <c r="M4" s="286" t="s">
        <v>1591</v>
      </c>
    </row>
    <row r="5" spans="1:14" x14ac:dyDescent="0.2">
      <c r="A5" s="287" t="s">
        <v>1538</v>
      </c>
      <c r="B5" s="278"/>
      <c r="C5" s="278"/>
      <c r="D5" s="278">
        <f>1/(273+2)</f>
        <v>3.6363636363636364E-3</v>
      </c>
      <c r="E5" s="278">
        <f>1/(273+13)</f>
        <v>3.4965034965034965E-3</v>
      </c>
      <c r="F5" s="278">
        <f>1/(273+30)</f>
        <v>3.3003300330033004E-3</v>
      </c>
      <c r="G5" s="278"/>
      <c r="H5" s="278">
        <f>1/(273+2)</f>
        <v>3.6363636363636364E-3</v>
      </c>
      <c r="I5" s="278">
        <f>1/(273+13)</f>
        <v>3.4965034965034965E-3</v>
      </c>
      <c r="J5" s="278">
        <f>1/(273+30)</f>
        <v>3.3003300330033004E-3</v>
      </c>
      <c r="K5" s="278"/>
      <c r="M5" s="278">
        <f>1/(273+23)</f>
        <v>3.3783783783783786E-3</v>
      </c>
    </row>
    <row r="6" spans="1:14" x14ac:dyDescent="0.2">
      <c r="A6" s="6" t="s">
        <v>1535</v>
      </c>
      <c r="B6">
        <v>4.63</v>
      </c>
      <c r="D6">
        <v>4.2</v>
      </c>
      <c r="E6">
        <v>4.17</v>
      </c>
      <c r="F6">
        <v>4.0199999999999996</v>
      </c>
      <c r="H6" s="95">
        <f>LN(10^D6)</f>
        <v>9.6708573905749926</v>
      </c>
      <c r="I6" s="95">
        <f t="shared" ref="I6:I16" si="0">LN(10^E6)</f>
        <v>9.6017798377851715</v>
      </c>
      <c r="J6" s="95">
        <f t="shared" ref="J6:J16" si="1">LN(10^F6)</f>
        <v>9.2563920738360643</v>
      </c>
      <c r="K6" s="288">
        <f>-SLOPE(H6:J6,H$5:J$5)*0.008413</f>
        <v>-10.66324064943217</v>
      </c>
      <c r="M6" s="141">
        <f>EXP(J6+(J6-I6)/(J$5-I$5)*(M$5-J$5))</f>
        <v>12013.735343055643</v>
      </c>
      <c r="N6" s="138">
        <f>LOG(M6)</f>
        <v>4.0796780604133547</v>
      </c>
    </row>
    <row r="7" spans="1:14" x14ac:dyDescent="0.2">
      <c r="A7" s="6" t="s">
        <v>139</v>
      </c>
      <c r="B7">
        <v>5.8</v>
      </c>
      <c r="D7">
        <v>5.61</v>
      </c>
      <c r="F7">
        <v>5.45</v>
      </c>
      <c r="H7" s="95">
        <f t="shared" ref="H7:H13" si="2">LN(10^D7)</f>
        <v>12.917502371696598</v>
      </c>
      <c r="I7" s="95"/>
      <c r="J7" s="95">
        <f t="shared" si="1"/>
        <v>12.54908875681755</v>
      </c>
      <c r="K7" s="288">
        <f t="shared" ref="K7:K16" si="3">-SLOPE(H7:J7,H$5:J$5)*0.008413</f>
        <v>-9.223672010723897</v>
      </c>
      <c r="M7" s="349">
        <f>10^(F7+(N8-F8))</f>
        <v>252497.77278073205</v>
      </c>
      <c r="N7" s="138">
        <f t="shared" ref="N7:N16" si="4">LOG(M7)</f>
        <v>5.4022575516693179</v>
      </c>
    </row>
    <row r="8" spans="1:14" x14ac:dyDescent="0.2">
      <c r="A8" s="6" t="s">
        <v>140</v>
      </c>
      <c r="B8">
        <v>6.1</v>
      </c>
      <c r="D8">
        <v>5.7</v>
      </c>
      <c r="E8">
        <v>5.39</v>
      </c>
      <c r="F8">
        <v>5.51</v>
      </c>
      <c r="H8" s="95">
        <f t="shared" si="2"/>
        <v>13.124735030066063</v>
      </c>
      <c r="I8" s="95">
        <f t="shared" si="0"/>
        <v>12.410933651237906</v>
      </c>
      <c r="J8" s="95">
        <f t="shared" si="1"/>
        <v>12.687243862397192</v>
      </c>
      <c r="K8" s="288">
        <f t="shared" si="3"/>
        <v>-9.4796565024013582</v>
      </c>
      <c r="M8" s="141">
        <f t="shared" ref="M8:M16" si="5">EXP(J8+(J8-I8)/(J$5-I$5)*(M$5-J$5))</f>
        <v>289906.23223809386</v>
      </c>
      <c r="N8" s="138">
        <f t="shared" si="4"/>
        <v>5.4622575516693166</v>
      </c>
    </row>
    <row r="9" spans="1:14" x14ac:dyDescent="0.2">
      <c r="A9" s="6" t="s">
        <v>560</v>
      </c>
      <c r="B9">
        <v>3.92</v>
      </c>
      <c r="D9">
        <v>3.98</v>
      </c>
      <c r="E9">
        <v>3.81</v>
      </c>
      <c r="F9">
        <v>3.52</v>
      </c>
      <c r="H9" s="95">
        <f t="shared" si="2"/>
        <v>9.1642886701163029</v>
      </c>
      <c r="I9" s="95">
        <f t="shared" si="0"/>
        <v>8.772849204307315</v>
      </c>
      <c r="J9" s="95">
        <f t="shared" si="1"/>
        <v>8.1050995273390409</v>
      </c>
      <c r="K9" s="288">
        <f t="shared" si="3"/>
        <v>-26.654963530393449</v>
      </c>
      <c r="M9" s="141">
        <f t="shared" si="5"/>
        <v>4318.9441044355817</v>
      </c>
      <c r="N9" s="138">
        <f t="shared" si="4"/>
        <v>3.6353775834658193</v>
      </c>
    </row>
    <row r="10" spans="1:14" x14ac:dyDescent="0.2">
      <c r="A10" s="6" t="s">
        <v>562</v>
      </c>
      <c r="B10">
        <v>4.57</v>
      </c>
      <c r="D10">
        <v>4.51</v>
      </c>
      <c r="E10">
        <v>4.41</v>
      </c>
      <c r="F10">
        <v>4.12</v>
      </c>
      <c r="H10" s="95">
        <f t="shared" si="2"/>
        <v>10.384658769403147</v>
      </c>
      <c r="I10" s="95">
        <f t="shared" si="0"/>
        <v>10.154400260103742</v>
      </c>
      <c r="J10" s="95">
        <f t="shared" si="1"/>
        <v>9.4866505831354697</v>
      </c>
      <c r="K10" s="288">
        <f t="shared" si="3"/>
        <v>-22.880360441961397</v>
      </c>
      <c r="M10" s="141">
        <f t="shared" si="5"/>
        <v>17194.026171955597</v>
      </c>
      <c r="N10" s="138">
        <f t="shared" si="4"/>
        <v>4.2353775834658194</v>
      </c>
    </row>
    <row r="11" spans="1:14" x14ac:dyDescent="0.2">
      <c r="A11" s="6" t="s">
        <v>564</v>
      </c>
      <c r="B11">
        <v>5.22</v>
      </c>
      <c r="D11">
        <v>5.47</v>
      </c>
      <c r="E11">
        <v>5.09</v>
      </c>
      <c r="F11">
        <v>4.71</v>
      </c>
      <c r="H11" s="95">
        <f t="shared" si="2"/>
        <v>12.595140458677431</v>
      </c>
      <c r="I11" s="95">
        <f t="shared" si="0"/>
        <v>11.720158123339694</v>
      </c>
      <c r="J11" s="95">
        <f t="shared" si="1"/>
        <v>10.845175788001956</v>
      </c>
      <c r="K11" s="288">
        <f t="shared" si="3"/>
        <v>-43.406104962609106</v>
      </c>
      <c r="M11" s="141">
        <f t="shared" si="5"/>
        <v>72641.435805737754</v>
      </c>
      <c r="N11" s="138">
        <f t="shared" si="4"/>
        <v>4.8611844197138323</v>
      </c>
    </row>
    <row r="12" spans="1:14" x14ac:dyDescent="0.2">
      <c r="A12" s="6" t="s">
        <v>565</v>
      </c>
      <c r="B12">
        <v>5.18</v>
      </c>
      <c r="D12">
        <v>5.66</v>
      </c>
      <c r="E12">
        <v>5.23</v>
      </c>
      <c r="F12">
        <v>4.8600000000000003</v>
      </c>
      <c r="H12" s="95">
        <f t="shared" si="2"/>
        <v>13.0326316263463</v>
      </c>
      <c r="I12" s="95">
        <f t="shared" si="0"/>
        <v>12.04252003635886</v>
      </c>
      <c r="J12" s="95">
        <f t="shared" si="1"/>
        <v>11.190563551951064</v>
      </c>
      <c r="K12" s="288">
        <f t="shared" si="3"/>
        <v>-45.49921311833932</v>
      </c>
      <c r="M12" s="141">
        <f t="shared" si="5"/>
        <v>101673.05716005144</v>
      </c>
      <c r="N12" s="138">
        <f t="shared" si="4"/>
        <v>5.0072058823529426</v>
      </c>
    </row>
    <row r="13" spans="1:14" x14ac:dyDescent="0.2">
      <c r="A13" s="6" t="s">
        <v>1536</v>
      </c>
      <c r="B13">
        <v>5.91</v>
      </c>
      <c r="D13">
        <v>6.07</v>
      </c>
      <c r="E13">
        <v>5.53</v>
      </c>
      <c r="F13">
        <v>5.48</v>
      </c>
      <c r="H13" s="95">
        <f t="shared" si="2"/>
        <v>13.97669151447386</v>
      </c>
      <c r="I13" s="95">
        <f t="shared" si="0"/>
        <v>12.733295564257075</v>
      </c>
      <c r="J13" s="95">
        <f t="shared" si="1"/>
        <v>12.618166309607373</v>
      </c>
      <c r="K13" s="288">
        <f t="shared" si="3"/>
        <v>-32.133551219367412</v>
      </c>
      <c r="M13" s="141">
        <f t="shared" si="5"/>
        <v>316149.63649604272</v>
      </c>
      <c r="N13" s="138">
        <f t="shared" si="4"/>
        <v>5.4998926868044524</v>
      </c>
    </row>
    <row r="14" spans="1:14" x14ac:dyDescent="0.2">
      <c r="A14" s="6" t="s">
        <v>567</v>
      </c>
      <c r="B14">
        <v>5.86</v>
      </c>
      <c r="E14">
        <v>5.64</v>
      </c>
      <c r="F14">
        <v>5.49</v>
      </c>
      <c r="H14" s="95"/>
      <c r="I14" s="95">
        <f t="shared" si="0"/>
        <v>12.986579924486419</v>
      </c>
      <c r="J14" s="95">
        <f t="shared" si="1"/>
        <v>12.641192160537312</v>
      </c>
      <c r="K14" s="288">
        <f t="shared" si="3"/>
        <v>-14.812132111338974</v>
      </c>
      <c r="M14" s="141">
        <f t="shared" si="5"/>
        <v>354550.46591153875</v>
      </c>
      <c r="N14" s="138">
        <f t="shared" si="4"/>
        <v>5.5496780604133553</v>
      </c>
    </row>
    <row r="15" spans="1:14" x14ac:dyDescent="0.2">
      <c r="A15" s="6" t="s">
        <v>570</v>
      </c>
      <c r="B15">
        <v>6.04</v>
      </c>
      <c r="E15">
        <v>5.61</v>
      </c>
      <c r="F15">
        <v>5.9</v>
      </c>
      <c r="H15" s="95"/>
      <c r="I15" s="95">
        <f t="shared" si="0"/>
        <v>12.917502371696598</v>
      </c>
      <c r="J15" s="95">
        <f t="shared" si="1"/>
        <v>13.585252048664872</v>
      </c>
      <c r="K15" s="288">
        <f t="shared" si="3"/>
        <v>28.636788748588692</v>
      </c>
      <c r="M15" s="141">
        <f t="shared" si="5"/>
        <v>609007.18515761464</v>
      </c>
      <c r="N15" s="138">
        <f t="shared" si="4"/>
        <v>5.784622416534182</v>
      </c>
    </row>
    <row r="16" spans="1:14" x14ac:dyDescent="0.2">
      <c r="A16" s="6" t="s">
        <v>571</v>
      </c>
      <c r="B16">
        <v>6.04</v>
      </c>
      <c r="E16">
        <v>5.73</v>
      </c>
      <c r="F16">
        <v>6.06</v>
      </c>
      <c r="H16" s="95"/>
      <c r="I16" s="95">
        <f t="shared" si="0"/>
        <v>13.193812582855884</v>
      </c>
      <c r="J16" s="95">
        <f t="shared" si="1"/>
        <v>13.953665663543918</v>
      </c>
      <c r="K16" s="288">
        <f t="shared" si="3"/>
        <v>32.586690644945655</v>
      </c>
      <c r="M16" s="141">
        <f t="shared" si="5"/>
        <v>848610.23821969575</v>
      </c>
      <c r="N16" s="138">
        <f t="shared" si="4"/>
        <v>5.928708267090621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31"/>
  <sheetViews>
    <sheetView zoomScale="85" zoomScaleNormal="85" workbookViewId="0">
      <selection activeCell="O9" activeCellId="1" sqref="I9 O9"/>
    </sheetView>
  </sheetViews>
  <sheetFormatPr defaultRowHeight="12.75" x14ac:dyDescent="0.2"/>
  <cols>
    <col min="1" max="1" width="4.5703125" customWidth="1"/>
    <col min="2" max="2" width="26.7109375" customWidth="1"/>
    <col min="10" max="10" width="9.5703125" bestFit="1" customWidth="1"/>
    <col min="11" max="11" width="9.5703125" customWidth="1"/>
    <col min="16" max="16" width="9.7109375" bestFit="1" customWidth="1"/>
  </cols>
  <sheetData>
    <row r="1" spans="1:25" x14ac:dyDescent="0.2">
      <c r="B1" t="s">
        <v>535</v>
      </c>
      <c r="Y1" s="4" t="s">
        <v>532</v>
      </c>
    </row>
    <row r="2" spans="1:25" x14ac:dyDescent="0.2">
      <c r="B2" s="107" t="s">
        <v>536</v>
      </c>
      <c r="C2" s="110"/>
      <c r="D2" s="110"/>
      <c r="E2" s="110"/>
      <c r="F2" s="107" t="s">
        <v>1433</v>
      </c>
      <c r="G2" s="108"/>
      <c r="H2" s="110"/>
      <c r="I2" s="110"/>
      <c r="J2" s="110"/>
      <c r="K2" s="111"/>
      <c r="L2" s="108" t="s">
        <v>1436</v>
      </c>
      <c r="M2" s="108"/>
      <c r="N2" s="110"/>
      <c r="O2" s="110"/>
      <c r="P2" s="110"/>
      <c r="Q2" s="110"/>
      <c r="R2" s="107" t="s">
        <v>517</v>
      </c>
      <c r="S2" s="110"/>
      <c r="T2" s="110"/>
      <c r="U2" s="107"/>
      <c r="V2" s="110"/>
      <c r="W2" s="111"/>
      <c r="Y2" s="114" t="s">
        <v>551</v>
      </c>
    </row>
    <row r="3" spans="1:25" ht="15.75" x14ac:dyDescent="0.3">
      <c r="B3" s="61" t="s">
        <v>543</v>
      </c>
      <c r="C3" s="51" t="s">
        <v>43</v>
      </c>
      <c r="D3" s="51" t="s">
        <v>544</v>
      </c>
      <c r="E3" s="51" t="s">
        <v>1437</v>
      </c>
      <c r="F3" s="61" t="s">
        <v>1525</v>
      </c>
      <c r="G3" s="51"/>
      <c r="H3" s="51" t="s">
        <v>44</v>
      </c>
      <c r="I3" s="51"/>
      <c r="J3" s="51" t="s">
        <v>526</v>
      </c>
      <c r="K3" s="52" t="s">
        <v>549</v>
      </c>
      <c r="L3" s="51" t="s">
        <v>6</v>
      </c>
      <c r="M3" s="123"/>
      <c r="N3" s="51" t="s">
        <v>1524</v>
      </c>
      <c r="O3" s="51"/>
      <c r="P3" s="51" t="s">
        <v>526</v>
      </c>
      <c r="Q3" s="51" t="s">
        <v>550</v>
      </c>
      <c r="R3" s="61" t="s">
        <v>496</v>
      </c>
      <c r="S3" s="51" t="s">
        <v>497</v>
      </c>
      <c r="T3" s="52" t="s">
        <v>498</v>
      </c>
      <c r="U3" s="78" t="s">
        <v>496</v>
      </c>
      <c r="V3" s="53" t="s">
        <v>497</v>
      </c>
      <c r="W3" s="67" t="s">
        <v>498</v>
      </c>
      <c r="Y3" s="124" t="s">
        <v>552</v>
      </c>
    </row>
    <row r="4" spans="1:25" x14ac:dyDescent="0.2">
      <c r="B4" s="78"/>
      <c r="C4" s="53" t="s">
        <v>545</v>
      </c>
      <c r="D4" s="53" t="s">
        <v>1432</v>
      </c>
      <c r="E4" s="53"/>
      <c r="F4" s="62"/>
      <c r="G4" s="65"/>
      <c r="H4" s="53" t="s">
        <v>1431</v>
      </c>
      <c r="I4" s="53"/>
      <c r="J4" s="53"/>
      <c r="K4" s="67"/>
      <c r="L4" s="65"/>
      <c r="M4" s="65"/>
      <c r="N4" s="53" t="s">
        <v>1431</v>
      </c>
      <c r="O4" s="53"/>
      <c r="P4" s="53"/>
      <c r="Q4" s="53"/>
      <c r="R4" s="78" t="s">
        <v>513</v>
      </c>
      <c r="S4" s="53" t="s">
        <v>514</v>
      </c>
      <c r="T4" s="67" t="s">
        <v>515</v>
      </c>
      <c r="U4" s="78" t="s">
        <v>513</v>
      </c>
      <c r="V4" s="53" t="s">
        <v>514</v>
      </c>
      <c r="W4" s="67" t="s">
        <v>515</v>
      </c>
      <c r="Y4" s="125"/>
    </row>
    <row r="5" spans="1:25" ht="14.25" x14ac:dyDescent="0.2">
      <c r="B5" s="115"/>
      <c r="C5" s="57" t="s">
        <v>546</v>
      </c>
      <c r="D5" s="57" t="s">
        <v>400</v>
      </c>
      <c r="E5" s="57" t="s">
        <v>1438</v>
      </c>
      <c r="F5" s="115" t="s">
        <v>547</v>
      </c>
      <c r="G5" s="117" t="s">
        <v>380</v>
      </c>
      <c r="H5" s="57" t="s">
        <v>523</v>
      </c>
      <c r="I5" s="57" t="s">
        <v>342</v>
      </c>
      <c r="J5" s="119" t="s">
        <v>289</v>
      </c>
      <c r="K5" s="118" t="s">
        <v>524</v>
      </c>
      <c r="L5" s="66"/>
      <c r="M5" s="117" t="s">
        <v>380</v>
      </c>
      <c r="N5" s="57" t="s">
        <v>523</v>
      </c>
      <c r="O5" s="57" t="s">
        <v>342</v>
      </c>
      <c r="P5" s="119" t="s">
        <v>289</v>
      </c>
      <c r="Q5" s="117" t="s">
        <v>524</v>
      </c>
      <c r="R5" s="115" t="s">
        <v>494</v>
      </c>
      <c r="S5" s="57" t="s">
        <v>494</v>
      </c>
      <c r="T5" s="120" t="s">
        <v>494</v>
      </c>
      <c r="U5" s="115" t="s">
        <v>494</v>
      </c>
      <c r="V5" s="57" t="s">
        <v>494</v>
      </c>
      <c r="W5" s="120" t="s">
        <v>494</v>
      </c>
      <c r="Y5" s="126"/>
    </row>
    <row r="6" spans="1:25" x14ac:dyDescent="0.2">
      <c r="A6">
        <v>1</v>
      </c>
      <c r="B6" s="6" t="s">
        <v>537</v>
      </c>
      <c r="C6">
        <v>84.93</v>
      </c>
      <c r="D6">
        <v>20</v>
      </c>
      <c r="E6">
        <v>25</v>
      </c>
      <c r="F6" s="17">
        <v>0.87</v>
      </c>
      <c r="G6" s="4">
        <f>F6*10^-7*10^-4</f>
        <v>8.6999999999999997E-12</v>
      </c>
      <c r="H6">
        <v>6.0999999999999999E-2</v>
      </c>
      <c r="I6" s="95">
        <f>H6*1000</f>
        <v>61</v>
      </c>
      <c r="J6" s="199">
        <f>I6/$D6</f>
        <v>3.05</v>
      </c>
      <c r="K6" s="201">
        <f>F6*J6</f>
        <v>2.6534999999999997</v>
      </c>
      <c r="L6">
        <v>0.45</v>
      </c>
      <c r="M6" s="4">
        <f>L6*10^-7*10^-4</f>
        <v>4.4999999999999998E-12</v>
      </c>
      <c r="N6">
        <v>0.12210000000000001</v>
      </c>
      <c r="O6">
        <f>N6*1000</f>
        <v>122.10000000000001</v>
      </c>
      <c r="P6" s="203">
        <f>O6/$D6</f>
        <v>6.1050000000000004</v>
      </c>
      <c r="Q6" s="201">
        <f>L6*P6</f>
        <v>2.7472500000000002</v>
      </c>
      <c r="R6" s="6" t="s">
        <v>1080</v>
      </c>
      <c r="T6" s="3"/>
      <c r="U6" s="6" t="s">
        <v>1081</v>
      </c>
      <c r="W6" s="3"/>
      <c r="Y6" s="127">
        <f>K6/Q6</f>
        <v>0.96587496587496569</v>
      </c>
    </row>
    <row r="7" spans="1:25" x14ac:dyDescent="0.2">
      <c r="A7">
        <v>2</v>
      </c>
      <c r="B7" s="6" t="s">
        <v>538</v>
      </c>
      <c r="C7">
        <v>98.97</v>
      </c>
      <c r="D7">
        <v>8.69</v>
      </c>
      <c r="E7">
        <v>25</v>
      </c>
      <c r="F7" s="17">
        <v>0.27</v>
      </c>
      <c r="G7" s="4">
        <f t="shared" ref="G7:G13" si="0">F7*10^-7*10^-4</f>
        <v>2.7000000000000002E-12</v>
      </c>
      <c r="H7">
        <v>3.8100000000000002E-2</v>
      </c>
      <c r="I7" s="95">
        <f t="shared" ref="I7:I23" si="1">H7*1000</f>
        <v>38.1</v>
      </c>
      <c r="J7" s="199">
        <f t="shared" ref="J7:J23" si="2">I7/$D7</f>
        <v>4.3843498273878021</v>
      </c>
      <c r="K7" s="201">
        <f t="shared" ref="K7:K13" si="3">F7*J7</f>
        <v>1.1837744533947065</v>
      </c>
      <c r="L7">
        <v>0.27</v>
      </c>
      <c r="M7" s="4">
        <f t="shared" ref="M7:M13" si="4">L7*10^-7*10^-4</f>
        <v>2.7000000000000002E-12</v>
      </c>
      <c r="N7">
        <v>4.8499999999999995E-2</v>
      </c>
      <c r="O7">
        <f t="shared" ref="O7:O23" si="5">N7*1000</f>
        <v>48.499999999999993</v>
      </c>
      <c r="P7" s="203">
        <f t="shared" ref="P7:P23" si="6">O7/$D7</f>
        <v>5.5811277330264666</v>
      </c>
      <c r="Q7" s="201">
        <f t="shared" ref="Q7:Q13" si="7">L7*P7</f>
        <v>1.506904487917146</v>
      </c>
      <c r="R7" s="17">
        <v>49.4</v>
      </c>
      <c r="S7">
        <v>66.569999999999993</v>
      </c>
      <c r="T7" s="3">
        <v>17.170000000000002</v>
      </c>
      <c r="U7" s="17">
        <v>45.41</v>
      </c>
      <c r="V7">
        <v>67.430000000000007</v>
      </c>
      <c r="W7" s="3">
        <v>20.260000000000002</v>
      </c>
      <c r="Y7" s="128">
        <f t="shared" ref="Y7:Y23" si="8">K7/Q7</f>
        <v>0.78556701030927845</v>
      </c>
    </row>
    <row r="8" spans="1:25" x14ac:dyDescent="0.2">
      <c r="A8">
        <v>3</v>
      </c>
      <c r="B8" s="6" t="s">
        <v>539</v>
      </c>
      <c r="C8">
        <v>119.38</v>
      </c>
      <c r="D8">
        <v>8</v>
      </c>
      <c r="E8">
        <v>25</v>
      </c>
      <c r="F8" s="17">
        <v>0.51</v>
      </c>
      <c r="G8" s="4">
        <f t="shared" si="0"/>
        <v>5.1000000000000005E-12</v>
      </c>
      <c r="H8">
        <v>9.6099999999999991E-2</v>
      </c>
      <c r="I8" s="95">
        <f t="shared" si="1"/>
        <v>96.1</v>
      </c>
      <c r="J8" s="199">
        <f t="shared" si="2"/>
        <v>12.012499999999999</v>
      </c>
      <c r="K8" s="201">
        <f t="shared" si="3"/>
        <v>6.1263749999999995</v>
      </c>
      <c r="L8">
        <v>0.34</v>
      </c>
      <c r="M8" s="4">
        <f t="shared" si="4"/>
        <v>3.4000000000000001E-12</v>
      </c>
      <c r="N8">
        <v>0.1966</v>
      </c>
      <c r="O8">
        <f t="shared" si="5"/>
        <v>196.6</v>
      </c>
      <c r="P8" s="203">
        <f t="shared" si="6"/>
        <v>24.574999999999999</v>
      </c>
      <c r="Q8" s="201">
        <f t="shared" si="7"/>
        <v>8.355500000000001</v>
      </c>
      <c r="R8" s="17">
        <v>41.88</v>
      </c>
      <c r="S8">
        <v>58.17</v>
      </c>
      <c r="T8" s="3">
        <v>14.28</v>
      </c>
      <c r="U8" s="17">
        <v>56.55</v>
      </c>
      <c r="V8">
        <v>78.55</v>
      </c>
      <c r="W8" s="3">
        <v>22.53</v>
      </c>
      <c r="Y8" s="128">
        <f t="shared" si="8"/>
        <v>0.73321464903357059</v>
      </c>
    </row>
    <row r="9" spans="1:25" x14ac:dyDescent="0.2">
      <c r="A9">
        <v>4</v>
      </c>
      <c r="B9" s="6" t="s">
        <v>540</v>
      </c>
      <c r="C9">
        <v>131.79</v>
      </c>
      <c r="D9">
        <v>1.1000000000000001</v>
      </c>
      <c r="E9">
        <v>25</v>
      </c>
      <c r="F9" s="17">
        <v>1.18</v>
      </c>
      <c r="G9" s="4">
        <f t="shared" si="0"/>
        <v>1.1799999999999999E-11</v>
      </c>
      <c r="H9">
        <v>0.11990000000000001</v>
      </c>
      <c r="I9" s="95">
        <f t="shared" si="1"/>
        <v>119.9</v>
      </c>
      <c r="J9" s="199">
        <f t="shared" si="2"/>
        <v>109</v>
      </c>
      <c r="K9" s="201">
        <f t="shared" si="3"/>
        <v>128.62</v>
      </c>
      <c r="L9">
        <v>0.79</v>
      </c>
      <c r="M9" s="4">
        <f t="shared" si="4"/>
        <v>7.9000000000000015E-12</v>
      </c>
      <c r="N9">
        <v>0.20980000000000001</v>
      </c>
      <c r="O9">
        <f t="shared" si="5"/>
        <v>209.8</v>
      </c>
      <c r="P9" s="203">
        <f t="shared" si="6"/>
        <v>190.72727272727272</v>
      </c>
      <c r="Q9" s="201">
        <f t="shared" si="7"/>
        <v>150.67454545454547</v>
      </c>
      <c r="R9" s="17">
        <v>44.38</v>
      </c>
      <c r="S9">
        <v>60.07</v>
      </c>
      <c r="T9" s="3">
        <v>15.69</v>
      </c>
      <c r="U9" s="17">
        <v>37.39</v>
      </c>
      <c r="V9">
        <v>46.77</v>
      </c>
      <c r="W9" s="3">
        <v>9.6</v>
      </c>
      <c r="Y9" s="128">
        <f t="shared" si="8"/>
        <v>0.8536279277431188</v>
      </c>
    </row>
    <row r="10" spans="1:25" x14ac:dyDescent="0.2">
      <c r="A10">
        <v>5</v>
      </c>
      <c r="B10" s="6" t="s">
        <v>548</v>
      </c>
      <c r="C10">
        <v>78.11</v>
      </c>
      <c r="D10">
        <v>1.78</v>
      </c>
      <c r="E10">
        <v>25</v>
      </c>
      <c r="F10" s="17">
        <v>0.53</v>
      </c>
      <c r="G10" s="4">
        <f t="shared" si="0"/>
        <v>5.3000000000000004E-12</v>
      </c>
      <c r="H10">
        <v>9.69E-2</v>
      </c>
      <c r="I10" s="95">
        <f t="shared" si="1"/>
        <v>96.9</v>
      </c>
      <c r="J10" s="199">
        <f t="shared" si="2"/>
        <v>54.438202247191015</v>
      </c>
      <c r="K10" s="201">
        <f t="shared" si="3"/>
        <v>28.852247191011241</v>
      </c>
      <c r="L10">
        <v>0.36</v>
      </c>
      <c r="M10" s="4">
        <f t="shared" si="4"/>
        <v>3.6E-12</v>
      </c>
      <c r="N10">
        <v>0.19500000000000001</v>
      </c>
      <c r="O10">
        <f t="shared" si="5"/>
        <v>195</v>
      </c>
      <c r="P10" s="203">
        <f t="shared" si="6"/>
        <v>109.55056179775281</v>
      </c>
      <c r="Q10" s="201">
        <f t="shared" si="7"/>
        <v>39.438202247191008</v>
      </c>
      <c r="R10" s="17"/>
      <c r="T10" s="3"/>
      <c r="U10" s="17"/>
      <c r="W10" s="3"/>
      <c r="Y10" s="128">
        <f t="shared" si="8"/>
        <v>0.7315811965811968</v>
      </c>
    </row>
    <row r="11" spans="1:25" x14ac:dyDescent="0.2">
      <c r="A11">
        <v>6</v>
      </c>
      <c r="B11" s="6" t="s">
        <v>492</v>
      </c>
      <c r="C11">
        <v>92.14</v>
      </c>
      <c r="D11">
        <v>0.51500000000000001</v>
      </c>
      <c r="E11">
        <v>25</v>
      </c>
      <c r="F11" s="17">
        <v>0.61</v>
      </c>
      <c r="G11" s="4">
        <f t="shared" si="0"/>
        <v>6.0999999999999995E-12</v>
      </c>
      <c r="H11">
        <v>0.10349999999999999</v>
      </c>
      <c r="I11" s="95">
        <f t="shared" si="1"/>
        <v>103.5</v>
      </c>
      <c r="J11" s="199">
        <f t="shared" si="2"/>
        <v>200.97087378640776</v>
      </c>
      <c r="K11" s="201">
        <f t="shared" si="3"/>
        <v>122.59223300970874</v>
      </c>
      <c r="L11">
        <v>0.41</v>
      </c>
      <c r="M11" s="4">
        <f t="shared" si="4"/>
        <v>4.0999999999999999E-12</v>
      </c>
      <c r="N11">
        <v>0.19949999999999998</v>
      </c>
      <c r="O11">
        <f t="shared" si="5"/>
        <v>199.49999999999997</v>
      </c>
      <c r="P11" s="203">
        <f t="shared" si="6"/>
        <v>387.37864077669894</v>
      </c>
      <c r="Q11" s="201">
        <f t="shared" si="7"/>
        <v>158.82524271844656</v>
      </c>
      <c r="R11" s="17"/>
      <c r="T11" s="3"/>
      <c r="U11" s="17"/>
      <c r="W11" s="3"/>
      <c r="Y11" s="128">
        <f t="shared" si="8"/>
        <v>0.77186869613057052</v>
      </c>
    </row>
    <row r="12" spans="1:25" x14ac:dyDescent="0.2">
      <c r="A12">
        <v>7</v>
      </c>
      <c r="B12" s="6" t="s">
        <v>541</v>
      </c>
      <c r="C12">
        <v>104.15</v>
      </c>
      <c r="D12">
        <v>0.3</v>
      </c>
      <c r="E12">
        <v>25</v>
      </c>
      <c r="F12" s="17">
        <v>0.56999999999999995</v>
      </c>
      <c r="G12" s="4">
        <f t="shared" si="0"/>
        <v>5.6999999999999995E-12</v>
      </c>
      <c r="H12">
        <v>8.8300000000000003E-2</v>
      </c>
      <c r="I12" s="95">
        <f t="shared" si="1"/>
        <v>88.3</v>
      </c>
      <c r="J12" s="199">
        <f t="shared" si="2"/>
        <v>294.33333333333331</v>
      </c>
      <c r="K12" s="201">
        <f t="shared" si="3"/>
        <v>167.76999999999998</v>
      </c>
      <c r="L12">
        <v>0.31</v>
      </c>
      <c r="M12" s="4">
        <f t="shared" si="4"/>
        <v>3.1000000000000001E-12</v>
      </c>
      <c r="N12">
        <v>0.1666</v>
      </c>
      <c r="O12">
        <f t="shared" si="5"/>
        <v>166.6</v>
      </c>
      <c r="P12" s="203">
        <f t="shared" si="6"/>
        <v>555.33333333333337</v>
      </c>
      <c r="Q12" s="201">
        <f t="shared" si="7"/>
        <v>172.15333333333334</v>
      </c>
      <c r="R12" s="17"/>
      <c r="T12" s="3"/>
      <c r="U12" s="17"/>
      <c r="W12" s="3"/>
      <c r="Y12" s="128">
        <f t="shared" si="8"/>
        <v>0.97453820237772515</v>
      </c>
    </row>
    <row r="13" spans="1:25" x14ac:dyDescent="0.2">
      <c r="A13">
        <v>8</v>
      </c>
      <c r="B13" s="19" t="s">
        <v>542</v>
      </c>
      <c r="C13" s="13">
        <v>106.17</v>
      </c>
      <c r="D13" s="13">
        <v>0.152</v>
      </c>
      <c r="E13" s="13">
        <v>25</v>
      </c>
      <c r="F13" s="12">
        <v>0.45</v>
      </c>
      <c r="G13" s="14">
        <f t="shared" si="0"/>
        <v>4.4999999999999998E-12</v>
      </c>
      <c r="H13" s="13">
        <v>0.10199999999999999</v>
      </c>
      <c r="I13" s="182">
        <f t="shared" si="1"/>
        <v>102</v>
      </c>
      <c r="J13" s="200">
        <f t="shared" si="2"/>
        <v>671.0526315789474</v>
      </c>
      <c r="K13" s="202">
        <f t="shared" si="3"/>
        <v>301.97368421052636</v>
      </c>
      <c r="L13" s="13">
        <v>0.25</v>
      </c>
      <c r="M13" s="14">
        <f t="shared" si="4"/>
        <v>2.4999999999999998E-12</v>
      </c>
      <c r="N13" s="13">
        <v>0.154</v>
      </c>
      <c r="O13" s="13">
        <f t="shared" si="5"/>
        <v>154</v>
      </c>
      <c r="P13" s="204">
        <f t="shared" si="6"/>
        <v>1013.1578947368421</v>
      </c>
      <c r="Q13" s="202">
        <f t="shared" si="7"/>
        <v>253.28947368421052</v>
      </c>
      <c r="R13" s="12"/>
      <c r="S13" s="13"/>
      <c r="T13" s="15"/>
      <c r="U13" s="12"/>
      <c r="V13" s="13"/>
      <c r="W13" s="15"/>
      <c r="Y13" s="129">
        <f t="shared" si="8"/>
        <v>1.1922077922077925</v>
      </c>
    </row>
    <row r="14" spans="1:25" x14ac:dyDescent="0.2">
      <c r="B14" s="107"/>
      <c r="C14" s="110"/>
      <c r="D14" s="110"/>
      <c r="E14" s="110"/>
      <c r="F14" s="107" t="s">
        <v>1434</v>
      </c>
      <c r="G14" s="108"/>
      <c r="H14" s="110"/>
      <c r="I14" s="205"/>
      <c r="J14" s="205"/>
      <c r="K14" s="111"/>
      <c r="L14" s="108" t="s">
        <v>1435</v>
      </c>
      <c r="M14" s="108"/>
      <c r="N14" s="110"/>
      <c r="O14" s="110"/>
      <c r="P14" s="110"/>
      <c r="Q14" s="111"/>
    </row>
    <row r="15" spans="1:25" x14ac:dyDescent="0.2">
      <c r="A15">
        <v>2</v>
      </c>
      <c r="B15" s="11" t="s">
        <v>538</v>
      </c>
      <c r="C15" s="9">
        <v>98.97</v>
      </c>
      <c r="D15" s="9">
        <v>8.69</v>
      </c>
      <c r="E15" s="9">
        <v>25</v>
      </c>
      <c r="F15" s="8">
        <v>0.38</v>
      </c>
      <c r="G15" s="10">
        <f t="shared" ref="G15:G23" si="9">F15*10^-7*10^-4</f>
        <v>3.8E-12</v>
      </c>
      <c r="H15" s="9">
        <v>3.6900000000000002E-2</v>
      </c>
      <c r="I15" s="181">
        <f t="shared" si="1"/>
        <v>36.900000000000006</v>
      </c>
      <c r="J15" s="207">
        <f t="shared" si="2"/>
        <v>4.2462600690448804</v>
      </c>
      <c r="K15" s="208">
        <f t="shared" ref="K15:K23" si="10">F15*J15</f>
        <v>1.6135788262370545</v>
      </c>
      <c r="L15" s="9">
        <v>0.45</v>
      </c>
      <c r="M15" s="10">
        <f t="shared" ref="M15:M23" si="11">L15*10^-7*10^-4</f>
        <v>4.4999999999999998E-12</v>
      </c>
      <c r="N15" s="9">
        <v>1.8100000000000002E-2</v>
      </c>
      <c r="O15" s="9">
        <f t="shared" si="5"/>
        <v>18.100000000000001</v>
      </c>
      <c r="P15" s="209">
        <f t="shared" si="6"/>
        <v>2.0828538550057538</v>
      </c>
      <c r="Q15" s="208">
        <f t="shared" ref="Q15:Q23" si="12">L15*P15</f>
        <v>0.93728423475258926</v>
      </c>
      <c r="Y15" s="128">
        <f t="shared" si="8"/>
        <v>1.7215469613259671</v>
      </c>
    </row>
    <row r="16" spans="1:25" x14ac:dyDescent="0.2">
      <c r="B16" s="17"/>
      <c r="C16">
        <v>98.97</v>
      </c>
      <c r="D16">
        <v>8.69</v>
      </c>
      <c r="E16">
        <v>35</v>
      </c>
      <c r="F16" s="17">
        <v>0.77</v>
      </c>
      <c r="G16" s="4">
        <f t="shared" si="9"/>
        <v>7.6999999999999999E-12</v>
      </c>
      <c r="H16">
        <v>4.6199999999999998E-2</v>
      </c>
      <c r="I16" s="95">
        <f t="shared" si="1"/>
        <v>46.199999999999996</v>
      </c>
      <c r="J16" s="199">
        <f t="shared" si="2"/>
        <v>5.3164556962025316</v>
      </c>
      <c r="K16" s="201">
        <f t="shared" si="10"/>
        <v>4.093670886075949</v>
      </c>
      <c r="L16">
        <v>0.7</v>
      </c>
      <c r="M16" s="4">
        <f t="shared" si="11"/>
        <v>6.9999999999999993E-12</v>
      </c>
      <c r="N16">
        <v>2.6800000000000001E-2</v>
      </c>
      <c r="O16">
        <f t="shared" si="5"/>
        <v>26.8</v>
      </c>
      <c r="P16" s="203">
        <f t="shared" si="6"/>
        <v>3.084004602991945</v>
      </c>
      <c r="Q16" s="201">
        <f t="shared" si="12"/>
        <v>2.1588032220943614</v>
      </c>
      <c r="Y16" s="128">
        <f t="shared" si="8"/>
        <v>1.8962686567164178</v>
      </c>
    </row>
    <row r="17" spans="2:25" x14ac:dyDescent="0.2">
      <c r="B17" s="17"/>
      <c r="C17">
        <v>98.97</v>
      </c>
      <c r="D17">
        <v>8.69</v>
      </c>
      <c r="E17">
        <v>45</v>
      </c>
      <c r="F17" s="17">
        <v>1.33</v>
      </c>
      <c r="G17" s="4">
        <f t="shared" si="9"/>
        <v>1.3300000000000002E-11</v>
      </c>
      <c r="H17">
        <v>5.7000000000000002E-2</v>
      </c>
      <c r="I17" s="95">
        <f t="shared" si="1"/>
        <v>57</v>
      </c>
      <c r="J17" s="199">
        <f t="shared" si="2"/>
        <v>6.5592635212888384</v>
      </c>
      <c r="K17" s="201">
        <f t="shared" si="10"/>
        <v>8.7238204833141548</v>
      </c>
      <c r="L17">
        <v>1.43</v>
      </c>
      <c r="M17" s="4">
        <f t="shared" si="11"/>
        <v>1.43E-11</v>
      </c>
      <c r="N17">
        <v>3.1399999999999997E-2</v>
      </c>
      <c r="O17">
        <f t="shared" si="5"/>
        <v>31.4</v>
      </c>
      <c r="P17" s="203">
        <f t="shared" si="6"/>
        <v>3.613348676639816</v>
      </c>
      <c r="Q17" s="201">
        <f t="shared" si="12"/>
        <v>5.1670886075949367</v>
      </c>
      <c r="Y17" s="128">
        <f t="shared" si="8"/>
        <v>1.688343503630128</v>
      </c>
    </row>
    <row r="18" spans="2:25" x14ac:dyDescent="0.2">
      <c r="B18" s="6" t="s">
        <v>539</v>
      </c>
      <c r="C18">
        <v>119.38</v>
      </c>
      <c r="D18">
        <v>8</v>
      </c>
      <c r="E18" s="3">
        <v>25</v>
      </c>
      <c r="F18" s="17">
        <v>0.66</v>
      </c>
      <c r="G18" s="4">
        <f t="shared" si="9"/>
        <v>6.6000000000000001E-12</v>
      </c>
      <c r="H18" s="4">
        <v>9.1200000000000003E-2</v>
      </c>
      <c r="I18" s="95">
        <f t="shared" si="1"/>
        <v>91.2</v>
      </c>
      <c r="J18" s="199">
        <f t="shared" si="2"/>
        <v>11.4</v>
      </c>
      <c r="K18" s="201">
        <f t="shared" si="10"/>
        <v>7.5240000000000009</v>
      </c>
      <c r="L18">
        <v>0.4</v>
      </c>
      <c r="M18" s="4">
        <f t="shared" si="11"/>
        <v>3.9999999999999999E-12</v>
      </c>
      <c r="N18">
        <v>0.13439999999999999</v>
      </c>
      <c r="O18">
        <f t="shared" si="5"/>
        <v>134.4</v>
      </c>
      <c r="P18" s="203">
        <f t="shared" si="6"/>
        <v>16.8</v>
      </c>
      <c r="Q18" s="201">
        <f t="shared" si="12"/>
        <v>6.7200000000000006</v>
      </c>
      <c r="Y18" s="128">
        <f t="shared" si="8"/>
        <v>1.1196428571428572</v>
      </c>
    </row>
    <row r="19" spans="2:25" x14ac:dyDescent="0.2">
      <c r="B19" s="17"/>
      <c r="C19">
        <v>119.38</v>
      </c>
      <c r="D19">
        <v>8</v>
      </c>
      <c r="E19" s="3">
        <v>35</v>
      </c>
      <c r="F19" s="17">
        <v>1.49</v>
      </c>
      <c r="G19" s="4">
        <f t="shared" si="9"/>
        <v>1.4900000000000002E-11</v>
      </c>
      <c r="H19" s="4">
        <v>0.111</v>
      </c>
      <c r="I19" s="95">
        <f t="shared" si="1"/>
        <v>111</v>
      </c>
      <c r="J19" s="199">
        <f t="shared" si="2"/>
        <v>13.875</v>
      </c>
      <c r="K19" s="201">
        <f t="shared" si="10"/>
        <v>20.673749999999998</v>
      </c>
      <c r="L19">
        <v>0.79</v>
      </c>
      <c r="M19" s="4">
        <f t="shared" si="11"/>
        <v>7.9000000000000015E-12</v>
      </c>
      <c r="N19">
        <v>0.16900000000000001</v>
      </c>
      <c r="O19">
        <f t="shared" si="5"/>
        <v>169</v>
      </c>
      <c r="P19" s="203">
        <f t="shared" si="6"/>
        <v>21.125</v>
      </c>
      <c r="Q19" s="201">
        <f t="shared" si="12"/>
        <v>16.688750000000002</v>
      </c>
      <c r="Y19" s="128">
        <f t="shared" si="8"/>
        <v>1.2387836117144779</v>
      </c>
    </row>
    <row r="20" spans="2:25" x14ac:dyDescent="0.2">
      <c r="B20" s="17"/>
      <c r="C20">
        <v>119.38</v>
      </c>
      <c r="D20">
        <v>8</v>
      </c>
      <c r="E20" s="3">
        <v>45</v>
      </c>
      <c r="F20" s="17">
        <v>2.31</v>
      </c>
      <c r="G20" s="4">
        <f t="shared" si="9"/>
        <v>2.31E-11</v>
      </c>
      <c r="H20" s="4">
        <v>0.13100000000000001</v>
      </c>
      <c r="I20" s="95">
        <f t="shared" si="1"/>
        <v>131</v>
      </c>
      <c r="J20" s="199">
        <f t="shared" si="2"/>
        <v>16.375</v>
      </c>
      <c r="K20" s="201">
        <f t="shared" si="10"/>
        <v>37.826250000000002</v>
      </c>
      <c r="L20">
        <v>1.66</v>
      </c>
      <c r="M20" s="4">
        <f t="shared" si="11"/>
        <v>1.66E-11</v>
      </c>
      <c r="N20">
        <v>0.23849999999999999</v>
      </c>
      <c r="O20">
        <f t="shared" si="5"/>
        <v>238.5</v>
      </c>
      <c r="P20" s="203">
        <f t="shared" si="6"/>
        <v>29.8125</v>
      </c>
      <c r="Q20" s="201">
        <f t="shared" si="12"/>
        <v>49.488749999999996</v>
      </c>
      <c r="Y20" s="128">
        <f t="shared" si="8"/>
        <v>0.7643403803894826</v>
      </c>
    </row>
    <row r="21" spans="2:25" x14ac:dyDescent="0.2">
      <c r="B21" s="6" t="s">
        <v>540</v>
      </c>
      <c r="C21">
        <v>131.79</v>
      </c>
      <c r="D21">
        <v>1.1000000000000001</v>
      </c>
      <c r="E21" s="3">
        <v>25</v>
      </c>
      <c r="F21" s="17">
        <v>1.02</v>
      </c>
      <c r="G21" s="4">
        <f t="shared" si="9"/>
        <v>1.0200000000000001E-11</v>
      </c>
      <c r="H21" s="4">
        <v>0.11219999999999999</v>
      </c>
      <c r="I21" s="95">
        <f t="shared" si="1"/>
        <v>112.19999999999999</v>
      </c>
      <c r="J21" s="199">
        <f t="shared" si="2"/>
        <v>101.99999999999999</v>
      </c>
      <c r="K21" s="201">
        <f t="shared" si="10"/>
        <v>104.03999999999999</v>
      </c>
      <c r="L21">
        <v>0.89</v>
      </c>
      <c r="M21" s="4">
        <f t="shared" si="11"/>
        <v>8.9000000000000013E-12</v>
      </c>
      <c r="N21">
        <v>0.1532</v>
      </c>
      <c r="O21">
        <f t="shared" si="5"/>
        <v>153.19999999999999</v>
      </c>
      <c r="P21" s="203">
        <f t="shared" si="6"/>
        <v>139.27272727272725</v>
      </c>
      <c r="Q21" s="201">
        <f t="shared" si="12"/>
        <v>123.95272727272726</v>
      </c>
      <c r="Y21" s="128">
        <f t="shared" si="8"/>
        <v>0.83935224572417644</v>
      </c>
    </row>
    <row r="22" spans="2:25" x14ac:dyDescent="0.2">
      <c r="B22" s="17"/>
      <c r="C22">
        <v>131.79</v>
      </c>
      <c r="D22">
        <v>1.1000000000000001</v>
      </c>
      <c r="E22" s="3">
        <v>35</v>
      </c>
      <c r="F22" s="17">
        <v>2.33</v>
      </c>
      <c r="G22" s="4">
        <f t="shared" si="9"/>
        <v>2.3300000000000003E-11</v>
      </c>
      <c r="H22" s="4">
        <v>0.13950000000000001</v>
      </c>
      <c r="I22" s="95">
        <f t="shared" si="1"/>
        <v>139.5</v>
      </c>
      <c r="J22" s="199">
        <f t="shared" si="2"/>
        <v>126.81818181818181</v>
      </c>
      <c r="K22" s="201">
        <f t="shared" si="10"/>
        <v>295.48636363636365</v>
      </c>
      <c r="L22">
        <v>1.37</v>
      </c>
      <c r="M22" s="4">
        <f t="shared" si="11"/>
        <v>1.37E-11</v>
      </c>
      <c r="N22">
        <v>0.1946</v>
      </c>
      <c r="O22">
        <f t="shared" si="5"/>
        <v>194.6</v>
      </c>
      <c r="P22" s="203">
        <f t="shared" si="6"/>
        <v>176.90909090909088</v>
      </c>
      <c r="Q22" s="201">
        <f t="shared" si="12"/>
        <v>242.36545454545453</v>
      </c>
      <c r="Y22" s="128">
        <f t="shared" si="8"/>
        <v>1.2191769003983468</v>
      </c>
    </row>
    <row r="23" spans="2:25" x14ac:dyDescent="0.2">
      <c r="B23" s="12"/>
      <c r="C23" s="13">
        <v>131.79</v>
      </c>
      <c r="D23" s="13">
        <v>1.1000000000000001</v>
      </c>
      <c r="E23" s="15">
        <v>45</v>
      </c>
      <c r="F23" s="12">
        <v>3.13</v>
      </c>
      <c r="G23" s="14">
        <f t="shared" si="9"/>
        <v>3.1299999999999998E-11</v>
      </c>
      <c r="H23" s="14">
        <v>0.16700000000000001</v>
      </c>
      <c r="I23" s="182">
        <f t="shared" si="1"/>
        <v>167</v>
      </c>
      <c r="J23" s="200">
        <f t="shared" si="2"/>
        <v>151.81818181818181</v>
      </c>
      <c r="K23" s="202">
        <f t="shared" si="10"/>
        <v>475.19090909090903</v>
      </c>
      <c r="L23" s="13">
        <v>2.29</v>
      </c>
      <c r="M23" s="14">
        <f t="shared" si="11"/>
        <v>2.29E-11</v>
      </c>
      <c r="N23" s="13">
        <v>0.21190000000000001</v>
      </c>
      <c r="O23" s="13">
        <f t="shared" si="5"/>
        <v>211.9</v>
      </c>
      <c r="P23" s="204">
        <f t="shared" si="6"/>
        <v>192.63636363636363</v>
      </c>
      <c r="Q23" s="202">
        <f t="shared" si="12"/>
        <v>441.13727272727272</v>
      </c>
      <c r="Y23" s="128">
        <f t="shared" si="8"/>
        <v>1.077195101092012</v>
      </c>
    </row>
    <row r="26" spans="2:25" x14ac:dyDescent="0.2">
      <c r="B26">
        <v>9.9999999999999992E-25</v>
      </c>
    </row>
    <row r="27" spans="2:25" x14ac:dyDescent="0.2">
      <c r="B27">
        <v>200</v>
      </c>
    </row>
    <row r="28" spans="2:25" x14ac:dyDescent="0.2">
      <c r="B28" s="4" t="s">
        <v>1078</v>
      </c>
      <c r="C28" s="4">
        <v>950</v>
      </c>
      <c r="D28" s="4" t="s">
        <v>400</v>
      </c>
      <c r="E28" s="4"/>
      <c r="F28" s="4"/>
    </row>
    <row r="30" spans="2:25" x14ac:dyDescent="0.2">
      <c r="B30" s="4" t="s">
        <v>554</v>
      </c>
    </row>
    <row r="31" spans="2:25" x14ac:dyDescent="0.2">
      <c r="B31" s="4" t="s">
        <v>553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249977111117893"/>
  </sheetPr>
  <dimension ref="A5:AL87"/>
  <sheetViews>
    <sheetView topLeftCell="H1" zoomScale="55" zoomScaleNormal="55" workbookViewId="0">
      <selection activeCell="AE39" sqref="AE39:AL42"/>
    </sheetView>
  </sheetViews>
  <sheetFormatPr defaultRowHeight="12.75" x14ac:dyDescent="0.2"/>
  <cols>
    <col min="1" max="1" width="17.28515625" customWidth="1"/>
    <col min="3" max="3" width="18.42578125" customWidth="1"/>
    <col min="14" max="15" width="20" customWidth="1"/>
    <col min="16" max="16" width="12.42578125" bestFit="1" customWidth="1"/>
    <col min="32" max="32" width="9.140625" customWidth="1"/>
  </cols>
  <sheetData>
    <row r="5" spans="1:38" x14ac:dyDescent="0.2">
      <c r="A5" s="53" t="s">
        <v>1646</v>
      </c>
      <c r="B5" s="53" t="s">
        <v>613</v>
      </c>
      <c r="C5" s="65"/>
      <c r="D5" s="65" t="s">
        <v>1555</v>
      </c>
      <c r="E5" s="65" t="s">
        <v>1064</v>
      </c>
      <c r="F5" s="65" t="s">
        <v>1065</v>
      </c>
      <c r="G5" s="65" t="s">
        <v>46</v>
      </c>
      <c r="H5" s="53" t="s">
        <v>774</v>
      </c>
      <c r="I5" s="53"/>
      <c r="J5" s="53" t="s">
        <v>1559</v>
      </c>
      <c r="K5" s="65"/>
      <c r="L5" s="53" t="s">
        <v>1656</v>
      </c>
      <c r="M5" s="65"/>
      <c r="N5" s="65"/>
      <c r="O5" s="65"/>
      <c r="P5" s="53" t="s">
        <v>1660</v>
      </c>
      <c r="Q5" s="65"/>
      <c r="R5" s="65"/>
      <c r="S5" s="65"/>
      <c r="T5" s="65"/>
      <c r="U5" s="65"/>
      <c r="V5" s="65"/>
      <c r="W5" s="65"/>
      <c r="X5" s="65"/>
      <c r="Y5" s="65"/>
      <c r="Z5" s="65"/>
      <c r="AE5" s="350" t="s">
        <v>2060</v>
      </c>
      <c r="AF5" s="350" t="s">
        <v>742</v>
      </c>
      <c r="AG5" s="350" t="s">
        <v>774</v>
      </c>
      <c r="AH5" s="350"/>
      <c r="AI5" s="350" t="s">
        <v>1559</v>
      </c>
      <c r="AJ5" s="350"/>
      <c r="AK5" s="350" t="s">
        <v>1656</v>
      </c>
      <c r="AL5" s="350"/>
    </row>
    <row r="6" spans="1:38" x14ac:dyDescent="0.2">
      <c r="A6" s="4"/>
      <c r="B6" s="4"/>
      <c r="H6" s="4"/>
      <c r="I6" s="4"/>
      <c r="J6" s="4"/>
      <c r="K6" s="4"/>
      <c r="AE6" s="350"/>
      <c r="AF6" s="350"/>
      <c r="AG6" s="350" t="s">
        <v>1657</v>
      </c>
      <c r="AH6" s="350" t="s">
        <v>1659</v>
      </c>
      <c r="AI6" s="350" t="s">
        <v>1657</v>
      </c>
      <c r="AJ6" s="350" t="s">
        <v>1659</v>
      </c>
      <c r="AK6" s="350" t="s">
        <v>1657</v>
      </c>
      <c r="AL6" s="350" t="s">
        <v>1659</v>
      </c>
    </row>
    <row r="7" spans="1:38" ht="15" x14ac:dyDescent="0.25">
      <c r="A7" s="107"/>
      <c r="B7" s="108"/>
      <c r="C7" s="110"/>
      <c r="D7" s="110"/>
      <c r="E7" s="110"/>
      <c r="F7" s="110"/>
      <c r="G7" s="110"/>
      <c r="H7" s="108"/>
      <c r="I7" s="108"/>
      <c r="J7" s="108" t="s">
        <v>1657</v>
      </c>
      <c r="K7" s="108" t="s">
        <v>947</v>
      </c>
      <c r="L7" s="110"/>
      <c r="M7" s="110"/>
      <c r="N7" s="110"/>
      <c r="O7" s="110"/>
      <c r="P7" s="110"/>
      <c r="Q7" s="110"/>
      <c r="R7" s="110"/>
      <c r="S7" s="110"/>
      <c r="T7" s="110"/>
      <c r="U7" s="110"/>
      <c r="V7" s="110"/>
      <c r="W7" s="110"/>
      <c r="X7" s="110"/>
      <c r="Y7" s="110"/>
      <c r="Z7" s="111"/>
      <c r="AE7" s="491"/>
      <c r="AF7" s="491"/>
      <c r="AG7" s="491" t="s">
        <v>349</v>
      </c>
      <c r="AH7" s="491" t="s">
        <v>349</v>
      </c>
      <c r="AI7" s="350" t="s">
        <v>2080</v>
      </c>
      <c r="AJ7" s="350" t="s">
        <v>2080</v>
      </c>
      <c r="AK7" s="350" t="s">
        <v>2080</v>
      </c>
      <c r="AL7" s="350" t="s">
        <v>2080</v>
      </c>
    </row>
    <row r="8" spans="1:38" x14ac:dyDescent="0.2">
      <c r="A8" s="4"/>
      <c r="B8" s="4"/>
      <c r="H8" s="4"/>
      <c r="I8" s="4"/>
      <c r="J8" s="4"/>
      <c r="K8" s="4"/>
    </row>
    <row r="9" spans="1:38" x14ac:dyDescent="0.2">
      <c r="A9" t="s">
        <v>1938</v>
      </c>
      <c r="B9">
        <v>200</v>
      </c>
      <c r="C9" t="s">
        <v>548</v>
      </c>
      <c r="D9" t="s">
        <v>1549</v>
      </c>
      <c r="E9">
        <v>78.106666524406961</v>
      </c>
      <c r="F9">
        <v>1.9888988259336799</v>
      </c>
      <c r="G9">
        <v>2.13</v>
      </c>
      <c r="J9">
        <v>-11.193820026016112</v>
      </c>
      <c r="K9">
        <v>-11.119186407719209</v>
      </c>
      <c r="P9" s="53" t="s">
        <v>1559</v>
      </c>
      <c r="Q9" s="65"/>
      <c r="R9" s="65"/>
      <c r="S9" s="65"/>
      <c r="T9" s="65"/>
      <c r="U9" s="65"/>
      <c r="V9" s="65"/>
      <c r="W9" s="65"/>
      <c r="X9" s="65"/>
      <c r="Y9" s="65"/>
      <c r="Z9" s="65"/>
      <c r="AE9">
        <f>VLOOKUP(A9,Literatuur!$A:$B,2,FALSE)</f>
        <v>3</v>
      </c>
      <c r="AF9" t="str">
        <f>C9</f>
        <v>Benzene</v>
      </c>
      <c r="AI9">
        <f>J9</f>
        <v>-11.193820026016112</v>
      </c>
      <c r="AJ9">
        <f>K9</f>
        <v>-11.119186407719209</v>
      </c>
    </row>
    <row r="10" spans="1:38" x14ac:dyDescent="0.2">
      <c r="A10" t="s">
        <v>1938</v>
      </c>
      <c r="B10">
        <v>204</v>
      </c>
      <c r="C10" t="s">
        <v>492</v>
      </c>
      <c r="D10" t="s">
        <v>1549</v>
      </c>
      <c r="E10">
        <v>92.14249284505685</v>
      </c>
      <c r="F10">
        <v>0.61059105234897149</v>
      </c>
      <c r="G10">
        <v>2.73</v>
      </c>
      <c r="J10">
        <v>-11.167491087293763</v>
      </c>
      <c r="K10">
        <v>-11.154901959985743</v>
      </c>
      <c r="P10" s="4" t="s">
        <v>1406</v>
      </c>
      <c r="Q10" s="4" t="s">
        <v>1412</v>
      </c>
      <c r="R10" s="4" t="s">
        <v>1408</v>
      </c>
      <c r="S10" s="4" t="s">
        <v>1409</v>
      </c>
      <c r="T10" s="4" t="s">
        <v>1410</v>
      </c>
      <c r="U10" s="4" t="s">
        <v>1411</v>
      </c>
      <c r="V10" s="4" t="s">
        <v>1407</v>
      </c>
      <c r="W10" s="4" t="s">
        <v>1564</v>
      </c>
      <c r="X10" s="4" t="s">
        <v>1565</v>
      </c>
      <c r="Y10" s="4" t="s">
        <v>1405</v>
      </c>
      <c r="Z10" s="4" t="s">
        <v>1413</v>
      </c>
      <c r="AE10">
        <f>VLOOKUP(A10,Literatuur!$A:$B,2,FALSE)</f>
        <v>3</v>
      </c>
      <c r="AF10" t="str">
        <f t="shared" ref="AF10:AF22" si="0">C10</f>
        <v>Toluene</v>
      </c>
      <c r="AI10">
        <f t="shared" ref="AI10:AI22" si="1">J10</f>
        <v>-11.167491087293763</v>
      </c>
      <c r="AJ10">
        <f t="shared" ref="AJ10:AJ22" si="2">K10</f>
        <v>-11.154901959985743</v>
      </c>
    </row>
    <row r="11" spans="1:38" x14ac:dyDescent="0.2">
      <c r="A11" t="s">
        <v>1938</v>
      </c>
      <c r="B11">
        <v>219</v>
      </c>
      <c r="C11" t="s">
        <v>493</v>
      </c>
      <c r="D11" t="s">
        <v>1549</v>
      </c>
      <c r="E11">
        <v>106.18666499232586</v>
      </c>
      <c r="F11">
        <v>0.21093846155625409</v>
      </c>
      <c r="G11">
        <v>3.15</v>
      </c>
      <c r="J11">
        <v>-11.193820026016112</v>
      </c>
      <c r="K11">
        <v>-11.167491087293763</v>
      </c>
      <c r="P11">
        <f>1-_xlfn.F.DIST(((COUNT(J9:J37)-2)*RSQ(K9:K37,J9:J37))/(1-RSQ(K9:K37,J9:J37)),1,COUNT(J9:J37)-2,TRUE)</f>
        <v>2.4881546756283512E-7</v>
      </c>
      <c r="Q11">
        <f>COUNT(J9:J37)</f>
        <v>21</v>
      </c>
      <c r="R11">
        <f>SUM(J9:J37)</f>
        <v>-242.31360417765876</v>
      </c>
      <c r="S11">
        <f>SUMSQ(J9:J37)</f>
        <v>2798.9843344436576</v>
      </c>
      <c r="T11">
        <f>SUM(K9:K37)</f>
        <v>-247.06529502414128</v>
      </c>
      <c r="U11">
        <f>SUMSQ(K9:K37)</f>
        <v>2911.916632410956</v>
      </c>
      <c r="V11">
        <f>SUMPRODUCT(J9:J37,K9:K37)</f>
        <v>2854.2604900611973</v>
      </c>
      <c r="W11">
        <f>(Q11*V11-R11*T11)/(Q11*S11-R11^2)</f>
        <v>1.1497084638892177</v>
      </c>
      <c r="X11">
        <f>(T11/Q11)-W11*(R11/Q11)</f>
        <v>1.5011765054483188</v>
      </c>
      <c r="Y11">
        <f>((Q11*V11-R11*T11)/SQRT((Q11*S11-R11^2)*(Q11*U11-T11^2)))^2</f>
        <v>0.76150033221052593</v>
      </c>
      <c r="Z11" s="176">
        <f>1/(Q11-2)*SUMSQ(SUM(K9:K37)-Q11*X11-W11*SUM(J9:J37))</f>
        <v>0</v>
      </c>
      <c r="AE11">
        <f>VLOOKUP(A11,Literatuur!$A:$B,2,FALSE)</f>
        <v>3</v>
      </c>
      <c r="AF11" t="str">
        <f t="shared" si="0"/>
        <v>p-Xylene</v>
      </c>
      <c r="AI11">
        <f t="shared" si="1"/>
        <v>-11.193820026016112</v>
      </c>
      <c r="AJ11">
        <f t="shared" si="2"/>
        <v>-11.167491087293763</v>
      </c>
    </row>
    <row r="12" spans="1:38" x14ac:dyDescent="0.2">
      <c r="A12" t="s">
        <v>1938</v>
      </c>
      <c r="B12">
        <v>-1528</v>
      </c>
      <c r="C12" t="s">
        <v>1071</v>
      </c>
      <c r="D12" t="s">
        <v>1549</v>
      </c>
      <c r="E12">
        <v>120.19</v>
      </c>
      <c r="F12">
        <v>7.4999999999999997E-2</v>
      </c>
      <c r="G12">
        <v>3.6</v>
      </c>
      <c r="J12">
        <v>-11.468521082957745</v>
      </c>
      <c r="K12">
        <v>-11.522878745280337</v>
      </c>
      <c r="P12">
        <v>-10</v>
      </c>
      <c r="Q12">
        <f>P12*W11+X11</f>
        <v>-9.9959081334438569</v>
      </c>
      <c r="AE12">
        <f>VLOOKUP(A12,Literatuur!$A:$B,2,FALSE)</f>
        <v>3</v>
      </c>
      <c r="AF12" t="str">
        <f t="shared" si="0"/>
        <v>1,2,3-Trimethylbenzene</v>
      </c>
      <c r="AI12">
        <f t="shared" si="1"/>
        <v>-11.468521082957745</v>
      </c>
      <c r="AJ12">
        <f t="shared" si="2"/>
        <v>-11.522878745280337</v>
      </c>
    </row>
    <row r="13" spans="1:38" x14ac:dyDescent="0.2">
      <c r="A13" t="s">
        <v>1938</v>
      </c>
      <c r="B13">
        <v>-1529</v>
      </c>
      <c r="C13" t="s">
        <v>502</v>
      </c>
      <c r="D13" t="s">
        <v>1893</v>
      </c>
      <c r="E13">
        <v>108.14</v>
      </c>
      <c r="F13">
        <v>1.7410000000000001</v>
      </c>
      <c r="G13">
        <v>2.11</v>
      </c>
      <c r="J13">
        <v>-11.67778070526608</v>
      </c>
      <c r="K13">
        <v>-11.795880017344075</v>
      </c>
      <c r="P13">
        <v>-14</v>
      </c>
      <c r="Q13">
        <f>W11*P13+X11</f>
        <v>-14.594741989000729</v>
      </c>
      <c r="AE13">
        <f>VLOOKUP(A13,Literatuur!$A:$B,2,FALSE)</f>
        <v>3</v>
      </c>
      <c r="AF13" t="str">
        <f t="shared" si="0"/>
        <v>Methoxybenzene</v>
      </c>
      <c r="AI13">
        <f t="shared" si="1"/>
        <v>-11.67778070526608</v>
      </c>
      <c r="AJ13">
        <f t="shared" si="2"/>
        <v>-11.795880017344075</v>
      </c>
    </row>
    <row r="14" spans="1:38" x14ac:dyDescent="0.2">
      <c r="A14" t="s">
        <v>1938</v>
      </c>
      <c r="B14">
        <v>-1530</v>
      </c>
      <c r="C14" t="s">
        <v>503</v>
      </c>
      <c r="D14" t="s">
        <v>1892</v>
      </c>
      <c r="E14">
        <v>112.56</v>
      </c>
      <c r="F14">
        <v>0.498</v>
      </c>
      <c r="G14">
        <v>2.84</v>
      </c>
      <c r="J14">
        <v>-11.267606240177031</v>
      </c>
      <c r="K14">
        <v>-11.214670164989233</v>
      </c>
      <c r="AE14">
        <f>VLOOKUP(A14,Literatuur!$A:$B,2,FALSE)</f>
        <v>3</v>
      </c>
      <c r="AF14" t="str">
        <f t="shared" si="0"/>
        <v>Chlorobenzene</v>
      </c>
      <c r="AI14">
        <f t="shared" si="1"/>
        <v>-11.267606240177031</v>
      </c>
      <c r="AJ14">
        <f t="shared" si="2"/>
        <v>-11.214670164989233</v>
      </c>
    </row>
    <row r="15" spans="1:38" x14ac:dyDescent="0.2">
      <c r="A15" t="s">
        <v>1938</v>
      </c>
      <c r="B15">
        <v>-1531</v>
      </c>
      <c r="C15" t="s">
        <v>1073</v>
      </c>
      <c r="D15" t="s">
        <v>1892</v>
      </c>
      <c r="E15">
        <v>162.62</v>
      </c>
      <c r="F15">
        <v>1.7399999999999999E-2</v>
      </c>
      <c r="G15">
        <v>4</v>
      </c>
      <c r="J15">
        <v>-12.154901959985743</v>
      </c>
      <c r="K15">
        <v>-12.096910013008056</v>
      </c>
      <c r="AE15">
        <f>VLOOKUP(A15,Literatuur!$A:$B,2,FALSE)</f>
        <v>3</v>
      </c>
      <c r="AF15" t="str">
        <f t="shared" si="0"/>
        <v>1-Chloronaphthalene</v>
      </c>
      <c r="AI15">
        <f t="shared" si="1"/>
        <v>-12.154901959985743</v>
      </c>
      <c r="AJ15">
        <f t="shared" si="2"/>
        <v>-12.096910013008056</v>
      </c>
    </row>
    <row r="16" spans="1:38" x14ac:dyDescent="0.2">
      <c r="A16" t="s">
        <v>1938</v>
      </c>
      <c r="B16">
        <v>-402</v>
      </c>
      <c r="C16" t="s">
        <v>537</v>
      </c>
      <c r="D16" t="s">
        <v>1891</v>
      </c>
      <c r="E16">
        <v>84.93</v>
      </c>
      <c r="F16">
        <v>20</v>
      </c>
      <c r="G16">
        <v>1.25</v>
      </c>
      <c r="J16">
        <v>-11.086186147616283</v>
      </c>
      <c r="K16">
        <v>-11.769551078621726</v>
      </c>
      <c r="AE16">
        <f>VLOOKUP(A16,Literatuur!$A:$B,2,FALSE)</f>
        <v>3</v>
      </c>
      <c r="AF16" t="str">
        <f t="shared" si="0"/>
        <v>Dichloromethane</v>
      </c>
      <c r="AI16">
        <f t="shared" si="1"/>
        <v>-11.086186147616283</v>
      </c>
      <c r="AJ16">
        <f t="shared" si="2"/>
        <v>-11.769551078621726</v>
      </c>
    </row>
    <row r="17" spans="1:36" x14ac:dyDescent="0.2">
      <c r="A17" t="s">
        <v>1938</v>
      </c>
      <c r="B17">
        <v>400</v>
      </c>
      <c r="C17" t="s">
        <v>907</v>
      </c>
      <c r="D17" t="s">
        <v>1891</v>
      </c>
      <c r="E17">
        <v>98.973331537275584</v>
      </c>
      <c r="F17">
        <v>10.188832473485421</v>
      </c>
      <c r="G17">
        <v>1.47</v>
      </c>
      <c r="J17">
        <v>-11.376750709602099</v>
      </c>
      <c r="K17">
        <v>-11.638272163982407</v>
      </c>
      <c r="AE17">
        <f>VLOOKUP(A17,Literatuur!$A:$B,2,FALSE)</f>
        <v>3</v>
      </c>
      <c r="AF17" t="str">
        <f t="shared" si="0"/>
        <v>1,2-Dichloroethane</v>
      </c>
      <c r="AI17">
        <f t="shared" si="1"/>
        <v>-11.376750709602099</v>
      </c>
      <c r="AJ17">
        <f t="shared" si="2"/>
        <v>-11.638272163982407</v>
      </c>
    </row>
    <row r="18" spans="1:36" x14ac:dyDescent="0.2">
      <c r="A18" t="s">
        <v>1938</v>
      </c>
      <c r="B18">
        <v>-1507</v>
      </c>
      <c r="C18" t="s">
        <v>448</v>
      </c>
      <c r="D18" t="s">
        <v>1893</v>
      </c>
      <c r="E18">
        <v>58.08</v>
      </c>
      <c r="F18">
        <v>790</v>
      </c>
      <c r="G18">
        <v>-0.24</v>
      </c>
      <c r="J18">
        <v>-11.769551078621726</v>
      </c>
      <c r="K18">
        <v>-12.045757490560675</v>
      </c>
      <c r="AE18">
        <f>VLOOKUP(A18,Literatuur!$A:$B,2,FALSE)</f>
        <v>3</v>
      </c>
      <c r="AF18" t="str">
        <f t="shared" si="0"/>
        <v>Acetone</v>
      </c>
      <c r="AI18">
        <f t="shared" si="1"/>
        <v>-11.769551078621726</v>
      </c>
      <c r="AJ18">
        <f t="shared" si="2"/>
        <v>-12.045757490560675</v>
      </c>
    </row>
    <row r="19" spans="1:36" x14ac:dyDescent="0.2">
      <c r="A19" t="s">
        <v>1938</v>
      </c>
      <c r="B19">
        <v>1093</v>
      </c>
      <c r="C19" t="s">
        <v>1354</v>
      </c>
      <c r="D19" t="s">
        <v>1893</v>
      </c>
      <c r="E19">
        <v>72</v>
      </c>
      <c r="F19">
        <v>352.8</v>
      </c>
      <c r="G19">
        <v>0.27549999999999997</v>
      </c>
      <c r="J19">
        <v>-11.721246399047171</v>
      </c>
      <c r="K19">
        <v>-11.958607314841775</v>
      </c>
      <c r="AE19">
        <f>VLOOKUP(A19,Literatuur!$A:$B,2,FALSE)</f>
        <v>3</v>
      </c>
      <c r="AF19" t="str">
        <f t="shared" si="0"/>
        <v>2-Butanone</v>
      </c>
      <c r="AI19">
        <f t="shared" si="1"/>
        <v>-11.721246399047171</v>
      </c>
      <c r="AJ19">
        <f t="shared" si="2"/>
        <v>-11.958607314841775</v>
      </c>
    </row>
    <row r="20" spans="1:36" x14ac:dyDescent="0.2">
      <c r="A20" t="s">
        <v>1938</v>
      </c>
      <c r="B20">
        <v>-1532</v>
      </c>
      <c r="C20" t="s">
        <v>1372</v>
      </c>
      <c r="D20" t="s">
        <v>1893</v>
      </c>
      <c r="E20">
        <v>100.16</v>
      </c>
      <c r="F20">
        <v>19</v>
      </c>
      <c r="G20">
        <v>1.31</v>
      </c>
      <c r="J20">
        <v>-12.154901959985743</v>
      </c>
      <c r="K20">
        <v>-12.301029995663981</v>
      </c>
      <c r="AE20">
        <f>VLOOKUP(A20,Literatuur!$A:$B,2,FALSE)</f>
        <v>3</v>
      </c>
      <c r="AF20" t="str">
        <f t="shared" si="0"/>
        <v>Methyl isobutyl ketone (MIBK)</v>
      </c>
      <c r="AI20">
        <f t="shared" si="1"/>
        <v>-12.154901959985743</v>
      </c>
      <c r="AJ20">
        <f t="shared" si="2"/>
        <v>-12.301029995663981</v>
      </c>
    </row>
    <row r="21" spans="1:36" x14ac:dyDescent="0.2">
      <c r="A21" t="s">
        <v>1938</v>
      </c>
      <c r="B21">
        <v>-1302</v>
      </c>
      <c r="C21" t="s">
        <v>859</v>
      </c>
      <c r="D21" t="s">
        <v>1890</v>
      </c>
      <c r="E21">
        <v>84.16</v>
      </c>
      <c r="F21">
        <v>4.9000000000000009E-2</v>
      </c>
      <c r="G21">
        <v>3.48</v>
      </c>
      <c r="J21">
        <v>-11.769551078621726</v>
      </c>
      <c r="K21">
        <v>-11.795880017344075</v>
      </c>
      <c r="AE21">
        <f>VLOOKUP(A21,Literatuur!$A:$B,2,FALSE)</f>
        <v>3</v>
      </c>
      <c r="AF21" t="str">
        <f t="shared" si="0"/>
        <v>Cyclohexane</v>
      </c>
      <c r="AI21">
        <f t="shared" si="1"/>
        <v>-11.769551078621726</v>
      </c>
      <c r="AJ21">
        <f t="shared" si="2"/>
        <v>-11.795880017344075</v>
      </c>
    </row>
    <row r="22" spans="1:36" x14ac:dyDescent="0.2">
      <c r="A22" t="s">
        <v>1938</v>
      </c>
      <c r="B22">
        <v>-1533</v>
      </c>
      <c r="C22" t="s">
        <v>510</v>
      </c>
      <c r="D22" t="s">
        <v>1893</v>
      </c>
      <c r="E22">
        <v>72.11</v>
      </c>
      <c r="F22">
        <v>71</v>
      </c>
      <c r="G22">
        <v>0.88</v>
      </c>
      <c r="J22">
        <v>-11.468521082957745</v>
      </c>
      <c r="K22">
        <v>-12.154901959985743</v>
      </c>
      <c r="AE22">
        <f>VLOOKUP(A22,Literatuur!$A:$B,2,FALSE)</f>
        <v>3</v>
      </c>
      <c r="AF22" t="str">
        <f t="shared" si="0"/>
        <v>Butyraldehyde</v>
      </c>
      <c r="AI22">
        <f t="shared" si="1"/>
        <v>-11.468521082957745</v>
      </c>
      <c r="AJ22">
        <f t="shared" si="2"/>
        <v>-12.154901959985743</v>
      </c>
    </row>
    <row r="24" spans="1:36" x14ac:dyDescent="0.2">
      <c r="H24" s="4" t="s">
        <v>2076</v>
      </c>
    </row>
    <row r="25" spans="1:36" x14ac:dyDescent="0.2">
      <c r="A25" t="s">
        <v>1875</v>
      </c>
      <c r="B25">
        <v>-1690</v>
      </c>
      <c r="C25" t="s">
        <v>925</v>
      </c>
      <c r="D25" t="s">
        <v>345</v>
      </c>
      <c r="E25">
        <v>41.05</v>
      </c>
      <c r="F25">
        <v>1000</v>
      </c>
      <c r="G25">
        <v>-0.34</v>
      </c>
      <c r="H25" s="4" t="s">
        <v>1878</v>
      </c>
      <c r="AE25">
        <f>VLOOKUP(A25,Literatuur!$A:$B,2,FALSE)</f>
        <v>39</v>
      </c>
      <c r="AF25" t="str">
        <f t="shared" ref="AF25:AF37" si="3">C25</f>
        <v>Acetonitrile</v>
      </c>
      <c r="AI25" s="4" t="s">
        <v>1878</v>
      </c>
      <c r="AJ25" s="4" t="s">
        <v>742</v>
      </c>
    </row>
    <row r="26" spans="1:36" x14ac:dyDescent="0.2">
      <c r="A26" t="s">
        <v>1875</v>
      </c>
      <c r="B26">
        <v>-1507</v>
      </c>
      <c r="C26" t="s">
        <v>448</v>
      </c>
      <c r="D26" t="s">
        <v>1893</v>
      </c>
      <c r="E26">
        <v>58.08</v>
      </c>
      <c r="F26">
        <v>790</v>
      </c>
      <c r="G26">
        <v>-0.24</v>
      </c>
      <c r="H26" s="4" t="s">
        <v>1878</v>
      </c>
      <c r="AE26">
        <f>VLOOKUP(A26,Literatuur!$A:$B,2,FALSE)</f>
        <v>39</v>
      </c>
      <c r="AF26" t="str">
        <f t="shared" si="3"/>
        <v>Acetone</v>
      </c>
      <c r="AI26" s="4" t="s">
        <v>1878</v>
      </c>
      <c r="AJ26" s="4" t="s">
        <v>742</v>
      </c>
    </row>
    <row r="27" spans="1:36" x14ac:dyDescent="0.2">
      <c r="A27" t="s">
        <v>1875</v>
      </c>
      <c r="B27">
        <v>-1691</v>
      </c>
      <c r="C27" t="s">
        <v>927</v>
      </c>
      <c r="D27" t="s">
        <v>345</v>
      </c>
      <c r="E27">
        <v>106.13</v>
      </c>
      <c r="F27">
        <v>6.95</v>
      </c>
      <c r="G27">
        <v>1.48</v>
      </c>
      <c r="H27" s="4" t="s">
        <v>1878</v>
      </c>
      <c r="AE27">
        <f>VLOOKUP(A27,Literatuur!$A:$B,2,FALSE)</f>
        <v>39</v>
      </c>
      <c r="AF27" t="str">
        <f t="shared" si="3"/>
        <v>Benzaldehyde</v>
      </c>
      <c r="AI27" s="4" t="s">
        <v>1878</v>
      </c>
      <c r="AJ27" s="4" t="s">
        <v>742</v>
      </c>
    </row>
    <row r="28" spans="1:36" x14ac:dyDescent="0.2">
      <c r="A28" t="s">
        <v>1875</v>
      </c>
      <c r="B28">
        <v>1093</v>
      </c>
      <c r="C28" t="s">
        <v>1354</v>
      </c>
      <c r="D28" t="s">
        <v>1893</v>
      </c>
      <c r="E28">
        <v>72</v>
      </c>
      <c r="F28">
        <v>352.8</v>
      </c>
      <c r="G28">
        <v>0.27549999999999997</v>
      </c>
      <c r="H28" s="4" t="s">
        <v>1878</v>
      </c>
      <c r="AE28">
        <f>VLOOKUP(A28,Literatuur!$A:$B,2,FALSE)</f>
        <v>39</v>
      </c>
      <c r="AF28" t="str">
        <f t="shared" si="3"/>
        <v>2-Butanone</v>
      </c>
      <c r="AI28" s="4" t="s">
        <v>1878</v>
      </c>
      <c r="AJ28" s="4" t="s">
        <v>742</v>
      </c>
    </row>
    <row r="29" spans="1:36" x14ac:dyDescent="0.2">
      <c r="A29" t="s">
        <v>1875</v>
      </c>
      <c r="B29">
        <v>-1692</v>
      </c>
      <c r="C29" t="s">
        <v>936</v>
      </c>
      <c r="D29" t="s">
        <v>345</v>
      </c>
      <c r="E29">
        <v>108.14</v>
      </c>
      <c r="F29">
        <v>42.9</v>
      </c>
      <c r="G29">
        <v>1.1000000000000001</v>
      </c>
      <c r="H29" s="4" t="s">
        <v>1878</v>
      </c>
      <c r="AE29">
        <f>VLOOKUP(A29,Literatuur!$A:$B,2,FALSE)</f>
        <v>39</v>
      </c>
      <c r="AF29" t="str">
        <f t="shared" si="3"/>
        <v>Benzyl alcohol</v>
      </c>
      <c r="AI29" s="4" t="s">
        <v>1878</v>
      </c>
      <c r="AJ29" s="4" t="s">
        <v>742</v>
      </c>
    </row>
    <row r="30" spans="1:36" x14ac:dyDescent="0.2">
      <c r="A30" t="s">
        <v>1875</v>
      </c>
      <c r="B30">
        <v>-1693</v>
      </c>
      <c r="C30" t="s">
        <v>1245</v>
      </c>
      <c r="D30" t="s">
        <v>1893</v>
      </c>
      <c r="E30">
        <v>74.12</v>
      </c>
      <c r="F30">
        <v>63.2</v>
      </c>
      <c r="G30">
        <v>0.88</v>
      </c>
      <c r="H30" s="4" t="s">
        <v>1878</v>
      </c>
      <c r="AE30">
        <f>VLOOKUP(A30,Literatuur!$A:$B,2,FALSE)</f>
        <v>39</v>
      </c>
      <c r="AF30" t="str">
        <f t="shared" si="3"/>
        <v>1-Butanol</v>
      </c>
      <c r="AI30" s="4" t="s">
        <v>1878</v>
      </c>
      <c r="AJ30" s="4" t="s">
        <v>742</v>
      </c>
    </row>
    <row r="31" spans="1:36" x14ac:dyDescent="0.2">
      <c r="A31" t="s">
        <v>1875</v>
      </c>
      <c r="B31">
        <v>-1694</v>
      </c>
      <c r="C31" t="s">
        <v>1390</v>
      </c>
      <c r="D31" t="s">
        <v>1893</v>
      </c>
      <c r="E31">
        <v>60.1</v>
      </c>
      <c r="F31">
        <v>1000</v>
      </c>
      <c r="G31">
        <v>0.05</v>
      </c>
      <c r="J31">
        <v>-12.303643611266669</v>
      </c>
      <c r="K31">
        <v>-13.070581074285707</v>
      </c>
      <c r="AE31">
        <f>VLOOKUP(A31,Literatuur!$A:$B,2,FALSE)</f>
        <v>39</v>
      </c>
      <c r="AF31" t="str">
        <f t="shared" si="3"/>
        <v>2-Propanol</v>
      </c>
      <c r="AI31">
        <f t="shared" ref="AI31:AI37" si="4">J31</f>
        <v>-12.303643611266669</v>
      </c>
      <c r="AJ31">
        <f t="shared" ref="AJ31:AJ37" si="5">K31</f>
        <v>-13.070581074285707</v>
      </c>
    </row>
    <row r="32" spans="1:36" x14ac:dyDescent="0.2">
      <c r="A32" t="s">
        <v>1875</v>
      </c>
      <c r="B32">
        <v>-402</v>
      </c>
      <c r="C32" t="s">
        <v>537</v>
      </c>
      <c r="D32" t="s">
        <v>1891</v>
      </c>
      <c r="E32">
        <v>84.93</v>
      </c>
      <c r="F32">
        <v>20</v>
      </c>
      <c r="G32">
        <v>1.25</v>
      </c>
      <c r="J32">
        <v>-11.191114132640188</v>
      </c>
      <c r="K32">
        <v>-11.247874692702101</v>
      </c>
      <c r="AE32">
        <f>VLOOKUP(A32,Literatuur!$A:$B,2,FALSE)</f>
        <v>39</v>
      </c>
      <c r="AF32" t="str">
        <f t="shared" si="3"/>
        <v>Dichloromethane</v>
      </c>
      <c r="AI32">
        <f t="shared" si="4"/>
        <v>-11.191114132640188</v>
      </c>
      <c r="AJ32">
        <f t="shared" si="5"/>
        <v>-11.247874692702101</v>
      </c>
    </row>
    <row r="33" spans="1:38" x14ac:dyDescent="0.2">
      <c r="A33" t="s">
        <v>1875</v>
      </c>
      <c r="B33">
        <v>-1695</v>
      </c>
      <c r="C33" t="s">
        <v>1392</v>
      </c>
      <c r="D33" t="s">
        <v>1893</v>
      </c>
      <c r="E33">
        <v>88.15</v>
      </c>
      <c r="F33">
        <v>51</v>
      </c>
      <c r="G33">
        <v>0.94</v>
      </c>
      <c r="J33">
        <v>-12.177178354696895</v>
      </c>
      <c r="K33">
        <v>-12.690369832574101</v>
      </c>
      <c r="AE33">
        <f>VLOOKUP(A33,Literatuur!$A:$B,2,FALSE)</f>
        <v>39</v>
      </c>
      <c r="AF33" t="str">
        <f t="shared" si="3"/>
        <v>Methyl tert-butyl ether</v>
      </c>
      <c r="AI33">
        <f t="shared" si="4"/>
        <v>-12.177178354696895</v>
      </c>
      <c r="AJ33">
        <f t="shared" si="5"/>
        <v>-12.690369832574101</v>
      </c>
    </row>
    <row r="34" spans="1:38" x14ac:dyDescent="0.2">
      <c r="A34" t="s">
        <v>1875</v>
      </c>
      <c r="B34">
        <v>-1534</v>
      </c>
      <c r="C34" t="s">
        <v>539</v>
      </c>
      <c r="D34" t="s">
        <v>1891</v>
      </c>
      <c r="E34">
        <v>119.38</v>
      </c>
      <c r="F34">
        <v>7.95</v>
      </c>
      <c r="G34">
        <v>1.97</v>
      </c>
      <c r="J34">
        <v>-11.235077015350111</v>
      </c>
      <c r="K34">
        <v>-11.472756883611911</v>
      </c>
      <c r="AE34">
        <f>VLOOKUP(A34,Literatuur!$A:$B,2,FALSE)</f>
        <v>39</v>
      </c>
      <c r="AF34" t="str">
        <f t="shared" si="3"/>
        <v>Chloroform</v>
      </c>
      <c r="AI34">
        <f t="shared" si="4"/>
        <v>-11.235077015350111</v>
      </c>
      <c r="AJ34">
        <f t="shared" si="5"/>
        <v>-11.472756883611911</v>
      </c>
    </row>
    <row r="35" spans="1:38" x14ac:dyDescent="0.2">
      <c r="A35" t="s">
        <v>1875</v>
      </c>
      <c r="B35">
        <v>204</v>
      </c>
      <c r="C35" t="s">
        <v>492</v>
      </c>
      <c r="D35" t="s">
        <v>1549</v>
      </c>
      <c r="E35">
        <v>92.14249284505685</v>
      </c>
      <c r="F35">
        <v>0.61059105234897149</v>
      </c>
      <c r="G35">
        <v>2.73</v>
      </c>
      <c r="J35">
        <v>-11.244887733604928</v>
      </c>
      <c r="K35">
        <v>-11.537602002101044</v>
      </c>
      <c r="AE35">
        <f>VLOOKUP(A35,Literatuur!$A:$B,2,FALSE)</f>
        <v>39</v>
      </c>
      <c r="AF35" t="str">
        <f t="shared" si="3"/>
        <v>Toluene</v>
      </c>
      <c r="AI35">
        <f t="shared" si="4"/>
        <v>-11.244887733604928</v>
      </c>
      <c r="AJ35">
        <f t="shared" si="5"/>
        <v>-11.537602002101044</v>
      </c>
    </row>
    <row r="36" spans="1:38" x14ac:dyDescent="0.2">
      <c r="A36" t="s">
        <v>1875</v>
      </c>
      <c r="B36">
        <v>205</v>
      </c>
      <c r="C36" t="s">
        <v>762</v>
      </c>
      <c r="D36" t="s">
        <v>1549</v>
      </c>
      <c r="E36">
        <v>106.18999905823263</v>
      </c>
      <c r="F36">
        <v>0.1974065205245514</v>
      </c>
      <c r="G36">
        <v>3.2</v>
      </c>
      <c r="J36">
        <v>-11.430626090384955</v>
      </c>
      <c r="K36">
        <v>-11.721475035262982</v>
      </c>
      <c r="AE36">
        <f>VLOOKUP(A36,Literatuur!$A:$B,2,FALSE)</f>
        <v>39</v>
      </c>
      <c r="AF36" t="str">
        <f t="shared" si="3"/>
        <v>m-Xylene</v>
      </c>
      <c r="AI36">
        <f t="shared" si="4"/>
        <v>-11.430626090384955</v>
      </c>
      <c r="AJ36">
        <f t="shared" si="5"/>
        <v>-11.721475035262982</v>
      </c>
    </row>
    <row r="37" spans="1:38" x14ac:dyDescent="0.2">
      <c r="A37" t="s">
        <v>1875</v>
      </c>
      <c r="B37">
        <v>219</v>
      </c>
      <c r="C37" t="s">
        <v>493</v>
      </c>
      <c r="D37" t="s">
        <v>1549</v>
      </c>
      <c r="E37">
        <v>106.18666499232586</v>
      </c>
      <c r="F37">
        <v>0.21093846155625409</v>
      </c>
      <c r="G37">
        <v>3.15</v>
      </c>
      <c r="J37">
        <v>-11.260427655549908</v>
      </c>
      <c r="K37">
        <v>-11.588717086982616</v>
      </c>
      <c r="AE37">
        <f>VLOOKUP(A37,Literatuur!$A:$B,2,FALSE)</f>
        <v>39</v>
      </c>
      <c r="AF37" t="str">
        <f t="shared" si="3"/>
        <v>p-Xylene</v>
      </c>
      <c r="AI37">
        <f t="shared" si="4"/>
        <v>-11.260427655549908</v>
      </c>
      <c r="AJ37">
        <f t="shared" si="5"/>
        <v>-11.588717086982616</v>
      </c>
    </row>
    <row r="39" spans="1:38" x14ac:dyDescent="0.2">
      <c r="AE39" s="350"/>
      <c r="AF39" s="350"/>
      <c r="AG39" s="350"/>
      <c r="AH39" s="350"/>
      <c r="AI39" s="350"/>
      <c r="AJ39" s="350"/>
      <c r="AK39" s="350"/>
      <c r="AL39" s="350"/>
    </row>
    <row r="40" spans="1:38" x14ac:dyDescent="0.2">
      <c r="A40" s="107"/>
      <c r="B40" s="108"/>
      <c r="C40" s="110"/>
      <c r="D40" s="110"/>
      <c r="E40" s="110"/>
      <c r="F40" s="110"/>
      <c r="G40" s="110"/>
      <c r="H40" s="108" t="s">
        <v>1657</v>
      </c>
      <c r="I40" s="108" t="s">
        <v>1659</v>
      </c>
      <c r="J40" s="108" t="s">
        <v>1657</v>
      </c>
      <c r="K40" s="108" t="s">
        <v>1659</v>
      </c>
      <c r="L40" s="108" t="s">
        <v>1657</v>
      </c>
      <c r="M40" s="108" t="s">
        <v>1659</v>
      </c>
      <c r="N40" s="110"/>
      <c r="O40" s="110"/>
      <c r="P40" s="110"/>
      <c r="Q40" s="110"/>
      <c r="R40" s="110"/>
      <c r="S40" s="110"/>
      <c r="T40" s="110"/>
      <c r="U40" s="110"/>
      <c r="V40" s="110"/>
      <c r="W40" s="110"/>
      <c r="X40" s="110"/>
      <c r="Y40" s="110"/>
      <c r="Z40" s="111"/>
      <c r="AE40" s="350"/>
      <c r="AF40" s="350"/>
      <c r="AG40" s="350"/>
      <c r="AH40" s="350"/>
      <c r="AI40" s="350"/>
      <c r="AJ40" s="350"/>
      <c r="AK40" s="350"/>
      <c r="AL40" s="350"/>
    </row>
    <row r="41" spans="1:38" ht="15" x14ac:dyDescent="0.25">
      <c r="A41" s="280"/>
      <c r="B41" s="280"/>
      <c r="C41" s="224"/>
      <c r="D41" s="224"/>
      <c r="E41" s="224"/>
      <c r="F41" s="224"/>
      <c r="G41" s="224"/>
      <c r="H41" s="280"/>
      <c r="I41" s="280"/>
      <c r="J41" s="280"/>
      <c r="K41" s="280"/>
      <c r="L41" s="280"/>
      <c r="M41" s="280"/>
      <c r="N41" s="224"/>
      <c r="O41" s="224"/>
      <c r="P41" s="224"/>
      <c r="Q41" s="224"/>
      <c r="R41" s="224"/>
      <c r="S41" s="224"/>
      <c r="T41" s="224"/>
      <c r="U41" s="224"/>
      <c r="V41" s="224"/>
      <c r="W41" s="224"/>
      <c r="X41" s="224"/>
      <c r="Y41" s="224"/>
      <c r="Z41" s="224"/>
      <c r="AE41" s="491"/>
      <c r="AF41" s="491"/>
      <c r="AG41" s="491"/>
      <c r="AH41" s="491"/>
      <c r="AI41" s="350"/>
      <c r="AJ41" s="350"/>
      <c r="AK41" s="350"/>
      <c r="AL41" s="350"/>
    </row>
    <row r="43" spans="1:38" x14ac:dyDescent="0.2">
      <c r="A43" t="s">
        <v>1936</v>
      </c>
      <c r="B43">
        <v>-402</v>
      </c>
      <c r="C43" t="s">
        <v>537</v>
      </c>
      <c r="D43" t="s">
        <v>1891</v>
      </c>
      <c r="E43">
        <v>84.93</v>
      </c>
      <c r="F43">
        <v>20</v>
      </c>
      <c r="G43">
        <v>1.25</v>
      </c>
      <c r="H43">
        <v>0.48429983934678583</v>
      </c>
      <c r="I43">
        <v>0.78568566828090136</v>
      </c>
      <c r="J43">
        <v>-11.060480747381382</v>
      </c>
      <c r="K43">
        <v>-11.346787486224656</v>
      </c>
      <c r="L43">
        <v>-10.576180908034596</v>
      </c>
      <c r="M43">
        <v>-10.561101817943754</v>
      </c>
      <c r="P43" s="53" t="s">
        <v>1559</v>
      </c>
      <c r="Q43" s="65"/>
      <c r="R43" s="65"/>
      <c r="S43" s="65"/>
      <c r="T43" s="65"/>
      <c r="U43" s="65"/>
      <c r="V43" s="65"/>
      <c r="W43" s="65"/>
      <c r="X43" s="65"/>
      <c r="Y43" s="65"/>
      <c r="Z43" s="65"/>
      <c r="AE43">
        <f>VLOOKUP(A43,Literatuur!$A:$B,2,FALSE)</f>
        <v>7</v>
      </c>
      <c r="AF43" t="str">
        <f t="shared" ref="AF43" si="6">C43</f>
        <v>Dichloromethane</v>
      </c>
      <c r="AG43">
        <f t="shared" ref="AG43" si="7">H43</f>
        <v>0.48429983934678583</v>
      </c>
      <c r="AH43">
        <f t="shared" ref="AH43" si="8">I43</f>
        <v>0.78568566828090136</v>
      </c>
      <c r="AI43">
        <f t="shared" ref="AI43" si="9">J43</f>
        <v>-11.060480747381382</v>
      </c>
      <c r="AJ43">
        <f t="shared" ref="AJ43" si="10">K43</f>
        <v>-11.346787486224656</v>
      </c>
      <c r="AK43">
        <f t="shared" ref="AK43" si="11">L43</f>
        <v>-10.576180908034596</v>
      </c>
      <c r="AL43">
        <f t="shared" ref="AL43" si="12">M43</f>
        <v>-10.561101817943754</v>
      </c>
    </row>
    <row r="44" spans="1:38" x14ac:dyDescent="0.2">
      <c r="A44" t="s">
        <v>1936</v>
      </c>
      <c r="B44">
        <v>400</v>
      </c>
      <c r="C44" t="s">
        <v>907</v>
      </c>
      <c r="D44" t="s">
        <v>1891</v>
      </c>
      <c r="E44">
        <v>98.973331537275584</v>
      </c>
      <c r="F44">
        <v>10.188832473485421</v>
      </c>
      <c r="G44">
        <v>1.47</v>
      </c>
      <c r="H44">
        <v>0.57280055411990949</v>
      </c>
      <c r="I44">
        <v>0.67761731704655381</v>
      </c>
      <c r="J44">
        <v>-11.568636235841012</v>
      </c>
      <c r="K44">
        <v>-11.568636235841012</v>
      </c>
      <c r="L44">
        <v>-10.995835681721104</v>
      </c>
      <c r="M44">
        <v>-10.891018918794458</v>
      </c>
      <c r="P44" s="4" t="s">
        <v>1406</v>
      </c>
      <c r="Q44" s="4" t="s">
        <v>1412</v>
      </c>
      <c r="R44" s="4" t="s">
        <v>1408</v>
      </c>
      <c r="S44" s="4" t="s">
        <v>1409</v>
      </c>
      <c r="T44" s="4" t="s">
        <v>1410</v>
      </c>
      <c r="U44" s="4" t="s">
        <v>1411</v>
      </c>
      <c r="V44" s="4" t="s">
        <v>1407</v>
      </c>
      <c r="W44" s="4" t="s">
        <v>1564</v>
      </c>
      <c r="X44" s="4" t="s">
        <v>1565</v>
      </c>
      <c r="Y44" s="4" t="s">
        <v>1405</v>
      </c>
      <c r="Z44" s="4" t="s">
        <v>1413</v>
      </c>
      <c r="AE44">
        <f>VLOOKUP(A44,Literatuur!$A:$B,2,FALSE)</f>
        <v>7</v>
      </c>
      <c r="AF44" t="str">
        <f t="shared" ref="AF44:AF50" si="13">C44</f>
        <v>1,2-Dichloroethane</v>
      </c>
      <c r="AG44">
        <f t="shared" ref="AG44:AG50" si="14">H44</f>
        <v>0.57280055411990949</v>
      </c>
      <c r="AH44">
        <f t="shared" ref="AH44:AH50" si="15">I44</f>
        <v>0.67761731704655381</v>
      </c>
      <c r="AI44">
        <f t="shared" ref="AI44:AI50" si="16">J44</f>
        <v>-11.568636235841012</v>
      </c>
      <c r="AJ44">
        <f t="shared" ref="AJ44:AJ50" si="17">K44</f>
        <v>-11.568636235841012</v>
      </c>
      <c r="AK44">
        <f t="shared" ref="AK44:AK50" si="18">L44</f>
        <v>-10.995835681721104</v>
      </c>
      <c r="AL44">
        <f t="shared" ref="AL44:AL50" si="19">M44</f>
        <v>-10.891018918794458</v>
      </c>
    </row>
    <row r="45" spans="1:38" x14ac:dyDescent="0.2">
      <c r="A45" t="s">
        <v>1936</v>
      </c>
      <c r="B45">
        <v>-1534</v>
      </c>
      <c r="C45" t="s">
        <v>539</v>
      </c>
      <c r="D45" t="s">
        <v>1891</v>
      </c>
      <c r="E45">
        <v>119.38</v>
      </c>
      <c r="F45">
        <v>7.95</v>
      </c>
      <c r="G45">
        <v>1.97</v>
      </c>
      <c r="H45">
        <v>1.082356259012075</v>
      </c>
      <c r="I45">
        <v>1.3932163848396466</v>
      </c>
      <c r="J45">
        <v>-11.292429823902063</v>
      </c>
      <c r="K45">
        <v>-11.468521082957745</v>
      </c>
      <c r="L45">
        <v>-10.210073564889989</v>
      </c>
      <c r="M45">
        <v>-10.075304698118098</v>
      </c>
      <c r="P45">
        <f>1-_xlfn.F.DIST(((COUNT(J43:J70)-2)*RSQ(K43:K70,J43:J70))/(1-RSQ(K43:K70,J43:J70)),1,COUNT(J43:J70)-2,TRUE)</f>
        <v>3.0597746558669314E-13</v>
      </c>
      <c r="Q45">
        <f>COUNT(J43:J70)</f>
        <v>18</v>
      </c>
      <c r="R45">
        <f>SUM(J43:J70)</f>
        <v>-215.00563095543612</v>
      </c>
      <c r="S45">
        <f>SUMSQ(J43:J70)</f>
        <v>2575.7371149960768</v>
      </c>
      <c r="T45">
        <f>SUM(K43:K70)</f>
        <v>-217.24550557666913</v>
      </c>
      <c r="U45">
        <f>SUMSQ(K43:K70)</f>
        <v>2628.398574285563</v>
      </c>
      <c r="V45">
        <f>SUMPRODUCT(J43:J70,K43:K70)</f>
        <v>2601.7886218625763</v>
      </c>
      <c r="W45">
        <f>(Q45*V45-R45*T45)/(Q45*S45-R45^2)</f>
        <v>0.90681753733757486</v>
      </c>
      <c r="X45">
        <f>(T45/Q45)-W45*(R45/Q45)</f>
        <v>-1.2374793777749495</v>
      </c>
      <c r="Y45">
        <f>((Q45*V45-R45*T45)/SQRT((Q45*S45-R45^2)*(Q45*U45-T45^2)))^2</f>
        <v>0.96663833914075747</v>
      </c>
      <c r="Z45" s="176">
        <f>1/(Q45-2)*SUMSQ(SUM(K43:K70)-Q45*X45-W45*SUM(J43:J70))</f>
        <v>0</v>
      </c>
      <c r="AE45">
        <f>VLOOKUP(A45,Literatuur!$A:$B,2,FALSE)</f>
        <v>7</v>
      </c>
      <c r="AF45" t="str">
        <f t="shared" si="13"/>
        <v>Chloroform</v>
      </c>
      <c r="AG45">
        <f t="shared" si="14"/>
        <v>1.082356259012075</v>
      </c>
      <c r="AH45">
        <f t="shared" si="15"/>
        <v>1.3932163848396466</v>
      </c>
      <c r="AI45">
        <f t="shared" si="16"/>
        <v>-11.292429823902063</v>
      </c>
      <c r="AJ45">
        <f t="shared" si="17"/>
        <v>-11.468521082957745</v>
      </c>
      <c r="AK45">
        <f t="shared" si="18"/>
        <v>-10.210073564889989</v>
      </c>
      <c r="AL45">
        <f t="shared" si="19"/>
        <v>-10.075304698118098</v>
      </c>
    </row>
    <row r="46" spans="1:38" x14ac:dyDescent="0.2">
      <c r="A46" t="s">
        <v>1936</v>
      </c>
      <c r="B46">
        <v>405</v>
      </c>
      <c r="C46" t="s">
        <v>540</v>
      </c>
      <c r="D46" t="s">
        <v>1891</v>
      </c>
      <c r="E46">
        <v>131.4</v>
      </c>
      <c r="F46">
        <v>1.1648441611748488</v>
      </c>
      <c r="G46">
        <v>2.61</v>
      </c>
      <c r="H46">
        <v>2.0125513559933883</v>
      </c>
      <c r="I46">
        <v>2.2555376567520784</v>
      </c>
      <c r="J46">
        <v>-10.928117992693874</v>
      </c>
      <c r="K46">
        <v>-11.102372908709558</v>
      </c>
      <c r="L46">
        <v>-8.9155666367004862</v>
      </c>
      <c r="M46">
        <v>-8.8468352519574793</v>
      </c>
      <c r="P46">
        <v>-10</v>
      </c>
      <c r="Q46">
        <f>P46*W45+X45</f>
        <v>-10.305654751150698</v>
      </c>
      <c r="AE46">
        <f>VLOOKUP(A46,Literatuur!$A:$B,2,FALSE)</f>
        <v>7</v>
      </c>
      <c r="AF46" t="str">
        <f t="shared" si="13"/>
        <v>Trichloroethylene</v>
      </c>
      <c r="AG46">
        <f t="shared" si="14"/>
        <v>2.0125513559933883</v>
      </c>
      <c r="AH46">
        <f t="shared" si="15"/>
        <v>2.2555376567520784</v>
      </c>
      <c r="AI46">
        <f t="shared" si="16"/>
        <v>-10.928117992693874</v>
      </c>
      <c r="AJ46">
        <f t="shared" si="17"/>
        <v>-11.102372908709558</v>
      </c>
      <c r="AK46">
        <f t="shared" si="18"/>
        <v>-8.9155666367004862</v>
      </c>
      <c r="AL46">
        <f t="shared" si="19"/>
        <v>-8.8468352519574793</v>
      </c>
    </row>
    <row r="47" spans="1:38" x14ac:dyDescent="0.2">
      <c r="A47" t="s">
        <v>1936</v>
      </c>
      <c r="B47">
        <v>200</v>
      </c>
      <c r="C47" t="s">
        <v>548</v>
      </c>
      <c r="D47" t="s">
        <v>1549</v>
      </c>
      <c r="E47">
        <v>78.106666524406961</v>
      </c>
      <c r="F47">
        <v>1.9888988259336799</v>
      </c>
      <c r="G47">
        <v>2.13</v>
      </c>
      <c r="H47">
        <v>1.687711085658999</v>
      </c>
      <c r="I47">
        <v>1.9914219199707517</v>
      </c>
      <c r="J47">
        <v>-11.275724130399212</v>
      </c>
      <c r="K47">
        <v>-11.443697499232712</v>
      </c>
      <c r="L47">
        <v>-9.5880130447402117</v>
      </c>
      <c r="M47">
        <v>-9.4522755792619613</v>
      </c>
      <c r="P47">
        <v>-14</v>
      </c>
      <c r="Q47">
        <f>W45*P47+X45</f>
        <v>-13.932924900500998</v>
      </c>
      <c r="AE47">
        <f>VLOOKUP(A47,Literatuur!$A:$B,2,FALSE)</f>
        <v>7</v>
      </c>
      <c r="AF47" t="str">
        <f t="shared" si="13"/>
        <v>Benzene</v>
      </c>
      <c r="AG47">
        <f t="shared" si="14"/>
        <v>1.687711085658999</v>
      </c>
      <c r="AH47">
        <f t="shared" si="15"/>
        <v>1.9914219199707517</v>
      </c>
      <c r="AI47">
        <f t="shared" si="16"/>
        <v>-11.275724130399212</v>
      </c>
      <c r="AJ47">
        <f t="shared" si="17"/>
        <v>-11.443697499232712</v>
      </c>
      <c r="AK47">
        <f t="shared" si="18"/>
        <v>-9.5880130447402117</v>
      </c>
      <c r="AL47">
        <f t="shared" si="19"/>
        <v>-9.4522755792619613</v>
      </c>
    </row>
    <row r="48" spans="1:38" x14ac:dyDescent="0.2">
      <c r="A48" t="s">
        <v>1936</v>
      </c>
      <c r="B48">
        <v>204</v>
      </c>
      <c r="C48" t="s">
        <v>492</v>
      </c>
      <c r="D48" t="s">
        <v>1549</v>
      </c>
      <c r="E48">
        <v>92.14249284505685</v>
      </c>
      <c r="F48">
        <v>0.61059105234897149</v>
      </c>
      <c r="G48">
        <v>2.73</v>
      </c>
      <c r="H48">
        <v>2.229189913970385</v>
      </c>
      <c r="I48">
        <v>2.5141924642002156</v>
      </c>
      <c r="J48">
        <v>-11.214670164989233</v>
      </c>
      <c r="K48">
        <v>-11.387216143280265</v>
      </c>
      <c r="L48">
        <v>-8.9854802510188474</v>
      </c>
      <c r="M48">
        <v>-8.873023679080049</v>
      </c>
      <c r="P48" s="53" t="s">
        <v>774</v>
      </c>
      <c r="Q48" s="65"/>
      <c r="R48" s="65"/>
      <c r="S48" s="65"/>
      <c r="T48" s="65"/>
      <c r="U48" s="65"/>
      <c r="V48" s="65"/>
      <c r="W48" s="65"/>
      <c r="X48" s="65"/>
      <c r="Y48" s="65"/>
      <c r="Z48" s="65"/>
      <c r="AE48">
        <f>VLOOKUP(A48,Literatuur!$A:$B,2,FALSE)</f>
        <v>7</v>
      </c>
      <c r="AF48" t="str">
        <f t="shared" si="13"/>
        <v>Toluene</v>
      </c>
      <c r="AG48">
        <f t="shared" si="14"/>
        <v>2.229189913970385</v>
      </c>
      <c r="AH48">
        <f t="shared" si="15"/>
        <v>2.5141924642002156</v>
      </c>
      <c r="AI48">
        <f t="shared" si="16"/>
        <v>-11.214670164989233</v>
      </c>
      <c r="AJ48">
        <f t="shared" si="17"/>
        <v>-11.387216143280265</v>
      </c>
      <c r="AK48">
        <f t="shared" si="18"/>
        <v>-8.9854802510188474</v>
      </c>
      <c r="AL48">
        <f t="shared" si="19"/>
        <v>-8.873023679080049</v>
      </c>
    </row>
    <row r="49" spans="1:38" x14ac:dyDescent="0.2">
      <c r="A49" t="s">
        <v>1936</v>
      </c>
      <c r="B49">
        <v>704</v>
      </c>
      <c r="C49" t="s">
        <v>541</v>
      </c>
      <c r="D49" t="s">
        <v>1549</v>
      </c>
      <c r="E49">
        <v>104.14856451163628</v>
      </c>
      <c r="F49">
        <v>0.32005735053194412</v>
      </c>
      <c r="G49">
        <v>2.95</v>
      </c>
      <c r="H49">
        <v>2.4407328977954719</v>
      </c>
      <c r="I49">
        <v>2.7164471912886721</v>
      </c>
      <c r="J49">
        <v>-11.244125144327509</v>
      </c>
      <c r="K49">
        <v>-11.508638306165727</v>
      </c>
      <c r="L49">
        <v>-8.8033922465320362</v>
      </c>
      <c r="M49">
        <v>-8.7921911148770544</v>
      </c>
      <c r="P49" s="4" t="s">
        <v>1406</v>
      </c>
      <c r="Q49" s="4" t="s">
        <v>1412</v>
      </c>
      <c r="R49" s="4" t="s">
        <v>1408</v>
      </c>
      <c r="S49" s="4" t="s">
        <v>1409</v>
      </c>
      <c r="T49" s="4" t="s">
        <v>1410</v>
      </c>
      <c r="U49" s="4" t="s">
        <v>1411</v>
      </c>
      <c r="V49" s="4" t="s">
        <v>1407</v>
      </c>
      <c r="W49" s="4" t="s">
        <v>1564</v>
      </c>
      <c r="X49" s="4" t="s">
        <v>1565</v>
      </c>
      <c r="Y49" s="4" t="s">
        <v>1405</v>
      </c>
      <c r="Z49" s="4" t="s">
        <v>1413</v>
      </c>
      <c r="AE49">
        <f>VLOOKUP(A49,Literatuur!$A:$B,2,FALSE)</f>
        <v>7</v>
      </c>
      <c r="AF49" t="str">
        <f t="shared" si="13"/>
        <v>Styrene</v>
      </c>
      <c r="AG49">
        <f t="shared" si="14"/>
        <v>2.4407328977954719</v>
      </c>
      <c r="AH49">
        <f t="shared" si="15"/>
        <v>2.7164471912886721</v>
      </c>
      <c r="AI49">
        <f t="shared" si="16"/>
        <v>-11.244125144327509</v>
      </c>
      <c r="AJ49">
        <f t="shared" si="17"/>
        <v>-11.508638306165727</v>
      </c>
      <c r="AK49">
        <f t="shared" si="18"/>
        <v>-8.8033922465320362</v>
      </c>
      <c r="AL49">
        <f t="shared" si="19"/>
        <v>-8.7921911148770544</v>
      </c>
    </row>
    <row r="50" spans="1:38" x14ac:dyDescent="0.2">
      <c r="A50" t="s">
        <v>1936</v>
      </c>
      <c r="B50">
        <v>201</v>
      </c>
      <c r="C50" t="s">
        <v>694</v>
      </c>
      <c r="D50" t="s">
        <v>1549</v>
      </c>
      <c r="E50">
        <v>106.18666499232586</v>
      </c>
      <c r="F50">
        <v>0.15944942966652281</v>
      </c>
      <c r="G50">
        <v>3.15</v>
      </c>
      <c r="H50">
        <v>2.8059772016048585</v>
      </c>
      <c r="I50">
        <v>2.9848977506794041</v>
      </c>
      <c r="J50">
        <v>-11.346787486224656</v>
      </c>
      <c r="K50">
        <v>-11.602059991327963</v>
      </c>
      <c r="L50">
        <v>-8.5408102846197984</v>
      </c>
      <c r="M50">
        <v>-8.6171622406485593</v>
      </c>
      <c r="P50">
        <f>1-_xlfn.F.DIST(((COUNT(H43:H70)-2)*RSQ(I43:I70,H43:H70))/(1-RSQ(I43:I70,H43:H70)),1,COUNT(H43:H70)-2,TRUE)</f>
        <v>0</v>
      </c>
      <c r="Q50">
        <f>COUNT(H43:H70)</f>
        <v>26</v>
      </c>
      <c r="R50">
        <f>SUM(H43:H70)</f>
        <v>46.652950959071234</v>
      </c>
      <c r="S50">
        <f>SUMSQ(H43:H70)</f>
        <v>93.864794221196888</v>
      </c>
      <c r="T50">
        <f>SUM(I43:I70)</f>
        <v>50.814152302398711</v>
      </c>
      <c r="U50">
        <f>SUMSQ(I43:I70)</f>
        <v>109.68071335267572</v>
      </c>
      <c r="V50">
        <f>SUMPRODUCT(H43:H70,I43:I70)</f>
        <v>101.27331450706868</v>
      </c>
      <c r="W50">
        <f>(Q50*V50-R50*T50)/(Q50*S50-R50^2)</f>
        <v>0.99427700675325659</v>
      </c>
      <c r="X50">
        <f>(T50/Q50)-W50*(R50/Q50)</f>
        <v>0.17031522563872659</v>
      </c>
      <c r="Y50">
        <f>((Q50*V50-R50*T50)/SQRT((Q50*S50-R50^2)*(Q50*U50-T50^2)))^2</f>
        <v>0.9679304780891399</v>
      </c>
      <c r="Z50" s="176">
        <f>1/(Q50-2)*SUMSQ(SUM(I43:I70)-Q50*X50-W50*SUM(H43:H70))</f>
        <v>0</v>
      </c>
      <c r="AE50">
        <f>VLOOKUP(A50,Literatuur!$A:$B,2,FALSE)</f>
        <v>7</v>
      </c>
      <c r="AF50" t="str">
        <f t="shared" si="13"/>
        <v>Ethylbenzene</v>
      </c>
      <c r="AG50">
        <f t="shared" si="14"/>
        <v>2.8059772016048585</v>
      </c>
      <c r="AH50">
        <f t="shared" si="15"/>
        <v>2.9848977506794041</v>
      </c>
      <c r="AI50">
        <f t="shared" si="16"/>
        <v>-11.346787486224656</v>
      </c>
      <c r="AJ50">
        <f t="shared" si="17"/>
        <v>-11.602059991327963</v>
      </c>
      <c r="AK50">
        <f t="shared" si="18"/>
        <v>-8.5408102846197984</v>
      </c>
      <c r="AL50">
        <f t="shared" si="19"/>
        <v>-8.6171622406485593</v>
      </c>
    </row>
    <row r="51" spans="1:38" x14ac:dyDescent="0.2">
      <c r="P51">
        <v>0</v>
      </c>
      <c r="Q51">
        <f>P51*W50+X50</f>
        <v>0.17031522563872659</v>
      </c>
    </row>
    <row r="52" spans="1:38" x14ac:dyDescent="0.2">
      <c r="A52" t="s">
        <v>1236</v>
      </c>
      <c r="B52">
        <v>-402</v>
      </c>
      <c r="C52" t="s">
        <v>537</v>
      </c>
      <c r="D52" t="s">
        <v>1891</v>
      </c>
      <c r="E52">
        <v>84.93</v>
      </c>
      <c r="F52">
        <v>20</v>
      </c>
      <c r="G52">
        <v>1.25</v>
      </c>
      <c r="H52" s="138">
        <v>0.78532983501076703</v>
      </c>
      <c r="I52" s="138">
        <v>0.77815125038364363</v>
      </c>
      <c r="L52" s="138"/>
      <c r="M52" s="138"/>
      <c r="P52">
        <v>5</v>
      </c>
      <c r="Q52">
        <f>W50*P52+X50</f>
        <v>5.1417002594050096</v>
      </c>
      <c r="AE52">
        <f>VLOOKUP(A52,Literatuur!$A:$B,2,FALSE)</f>
        <v>26</v>
      </c>
      <c r="AF52" t="str">
        <f t="shared" ref="AF52:AF59" si="20">C52</f>
        <v>Dichloromethane</v>
      </c>
      <c r="AG52">
        <f t="shared" ref="AG52:AG59" si="21">H52</f>
        <v>0.78532983501076703</v>
      </c>
      <c r="AH52">
        <f t="shared" ref="AH52:AH59" si="22">I52</f>
        <v>0.77815125038364363</v>
      </c>
    </row>
    <row r="53" spans="1:38" x14ac:dyDescent="0.2">
      <c r="A53" t="s">
        <v>1236</v>
      </c>
      <c r="B53">
        <v>400</v>
      </c>
      <c r="C53" t="s">
        <v>907</v>
      </c>
      <c r="D53" t="s">
        <v>1891</v>
      </c>
      <c r="E53">
        <v>98.973331537275584</v>
      </c>
      <c r="F53">
        <v>10.188832473485421</v>
      </c>
      <c r="G53">
        <v>1.47</v>
      </c>
      <c r="H53" s="138">
        <v>0.97312785359969867</v>
      </c>
      <c r="I53" s="138">
        <v>1.0791812460476249</v>
      </c>
      <c r="L53" s="138"/>
      <c r="M53" s="138"/>
      <c r="P53" s="53" t="s">
        <v>1656</v>
      </c>
      <c r="Q53" s="65"/>
      <c r="R53" s="65"/>
      <c r="S53" s="65"/>
      <c r="T53" s="65"/>
      <c r="U53" s="65"/>
      <c r="V53" s="65"/>
      <c r="W53" s="65"/>
      <c r="X53" s="65"/>
      <c r="Y53" s="65"/>
      <c r="Z53" s="65"/>
      <c r="AE53">
        <f>VLOOKUP(A53,Literatuur!$A:$B,2,FALSE)</f>
        <v>26</v>
      </c>
      <c r="AF53" t="str">
        <f t="shared" si="20"/>
        <v>1,2-Dichloroethane</v>
      </c>
      <c r="AG53">
        <f t="shared" si="21"/>
        <v>0.97312785359969867</v>
      </c>
      <c r="AH53">
        <f t="shared" si="22"/>
        <v>1.0791812460476249</v>
      </c>
    </row>
    <row r="54" spans="1:38" x14ac:dyDescent="0.2">
      <c r="A54" t="s">
        <v>1236</v>
      </c>
      <c r="B54">
        <v>405</v>
      </c>
      <c r="C54" t="s">
        <v>540</v>
      </c>
      <c r="D54" t="s">
        <v>1891</v>
      </c>
      <c r="E54">
        <v>131.4</v>
      </c>
      <c r="F54">
        <v>1.1648441611748488</v>
      </c>
      <c r="G54">
        <v>2.61</v>
      </c>
      <c r="H54" s="138">
        <v>1.8633228601204559</v>
      </c>
      <c r="I54" s="138">
        <v>1.9294189257142926</v>
      </c>
      <c r="L54" s="138"/>
      <c r="M54" s="138"/>
      <c r="P54" s="4" t="s">
        <v>1406</v>
      </c>
      <c r="Q54" s="4" t="s">
        <v>1412</v>
      </c>
      <c r="R54" s="4" t="s">
        <v>1408</v>
      </c>
      <c r="S54" s="4" t="s">
        <v>1409</v>
      </c>
      <c r="T54" s="4" t="s">
        <v>1410</v>
      </c>
      <c r="U54" s="4" t="s">
        <v>1411</v>
      </c>
      <c r="V54" s="4" t="s">
        <v>1407</v>
      </c>
      <c r="W54" s="4" t="s">
        <v>1564</v>
      </c>
      <c r="X54" s="4" t="s">
        <v>1565</v>
      </c>
      <c r="Y54" s="4" t="s">
        <v>1405</v>
      </c>
      <c r="Z54" s="4" t="s">
        <v>1413</v>
      </c>
      <c r="AE54">
        <f>VLOOKUP(A54,Literatuur!$A:$B,2,FALSE)</f>
        <v>26</v>
      </c>
      <c r="AF54" t="str">
        <f t="shared" si="20"/>
        <v>Trichloroethylene</v>
      </c>
      <c r="AG54">
        <f t="shared" si="21"/>
        <v>1.8633228601204559</v>
      </c>
      <c r="AH54">
        <f t="shared" si="22"/>
        <v>1.9294189257142926</v>
      </c>
    </row>
    <row r="55" spans="1:38" x14ac:dyDescent="0.2">
      <c r="A55" t="s">
        <v>1236</v>
      </c>
      <c r="B55">
        <v>200</v>
      </c>
      <c r="C55" t="s">
        <v>548</v>
      </c>
      <c r="D55" t="s">
        <v>1549</v>
      </c>
      <c r="E55">
        <v>78.106666524406961</v>
      </c>
      <c r="F55">
        <v>1.9888988259336799</v>
      </c>
      <c r="G55">
        <v>2.13</v>
      </c>
      <c r="H55" s="138">
        <v>1.4471580313422192</v>
      </c>
      <c r="I55" s="138">
        <v>1.4771212547196624</v>
      </c>
      <c r="L55" s="138"/>
      <c r="M55" s="138"/>
      <c r="P55">
        <f>1-_xlfn.F.DIST(((COUNT(L43:L70)-2)*RSQ(M43:M70,L43:L70))/(1-RSQ(M43:M70,L43:L70)),1,COUNT(L43:L70)-2,TRUE)</f>
        <v>0</v>
      </c>
      <c r="Q55">
        <f>COUNT(L43:L70)</f>
        <v>18</v>
      </c>
      <c r="R55">
        <f>SUM(L43:L70)</f>
        <v>-182.82133728572882</v>
      </c>
      <c r="S55">
        <f>SUMSQ(L43:L70)</f>
        <v>1868.3944154419701</v>
      </c>
      <c r="T55">
        <f>SUM(M43:M70)</f>
        <v>-181.07061152764658</v>
      </c>
      <c r="U55">
        <f>SUMSQ(M43:M70)</f>
        <v>1831.9820957538934</v>
      </c>
      <c r="V55">
        <f>SUMPRODUCT(L43:L70,M43:M70)</f>
        <v>1850.0336340329882</v>
      </c>
      <c r="W55">
        <f>(Q55*V55-R55*T55)/(Q55*S55-R55^2)</f>
        <v>0.94975351410655695</v>
      </c>
      <c r="X55">
        <f>(T55/Q55)-W55*(R55/Q55)</f>
        <v>-0.41307799927030864</v>
      </c>
      <c r="Y55">
        <f>((Q55*V55-R55*T55)/SQRT((Q55*S55-R55^2)*(Q55*U55-T55^2)))^2</f>
        <v>0.98954285888155114</v>
      </c>
      <c r="Z55" s="176">
        <f>1/(Q55-2)*SUMSQ(SUM(M43:M70)-Q55*X55-W55*SUM(L43:L70))</f>
        <v>5.0487097934144756E-29</v>
      </c>
      <c r="AE55">
        <f>VLOOKUP(A55,Literatuur!$A:$B,2,FALSE)</f>
        <v>26</v>
      </c>
      <c r="AF55" t="str">
        <f t="shared" si="20"/>
        <v>Benzene</v>
      </c>
      <c r="AG55">
        <f t="shared" si="21"/>
        <v>1.4471580313422192</v>
      </c>
      <c r="AH55">
        <f t="shared" si="22"/>
        <v>1.4771212547196624</v>
      </c>
    </row>
    <row r="56" spans="1:38" x14ac:dyDescent="0.2">
      <c r="A56" t="s">
        <v>1236</v>
      </c>
      <c r="B56">
        <v>204</v>
      </c>
      <c r="C56" t="s">
        <v>492</v>
      </c>
      <c r="D56" t="s">
        <v>1549</v>
      </c>
      <c r="E56">
        <v>92.14249284505685</v>
      </c>
      <c r="F56">
        <v>0.61059105234897149</v>
      </c>
      <c r="G56">
        <v>2.73</v>
      </c>
      <c r="H56" s="138">
        <v>2.0314084642516241</v>
      </c>
      <c r="I56" s="138">
        <v>2</v>
      </c>
      <c r="L56" s="138"/>
      <c r="M56" s="138"/>
      <c r="P56">
        <v>-8</v>
      </c>
      <c r="Q56">
        <f>P56*W55+X55</f>
        <v>-8.0111061121227642</v>
      </c>
      <c r="AE56">
        <f>VLOOKUP(A56,Literatuur!$A:$B,2,FALSE)</f>
        <v>26</v>
      </c>
      <c r="AF56" t="str">
        <f t="shared" si="20"/>
        <v>Toluene</v>
      </c>
      <c r="AG56">
        <f t="shared" si="21"/>
        <v>2.0314084642516241</v>
      </c>
      <c r="AH56">
        <f t="shared" si="22"/>
        <v>2</v>
      </c>
    </row>
    <row r="57" spans="1:38" x14ac:dyDescent="0.2">
      <c r="A57" t="s">
        <v>1236</v>
      </c>
      <c r="B57">
        <v>201</v>
      </c>
      <c r="C57" t="s">
        <v>694</v>
      </c>
      <c r="D57" t="s">
        <v>1549</v>
      </c>
      <c r="E57">
        <v>106.18666499232586</v>
      </c>
      <c r="F57">
        <v>0.15944942966652281</v>
      </c>
      <c r="G57">
        <v>3.15</v>
      </c>
      <c r="H57" s="138">
        <v>2.4409090820652177</v>
      </c>
      <c r="I57" s="138">
        <v>2.4548448600085102</v>
      </c>
      <c r="L57" s="138"/>
      <c r="M57" s="138"/>
      <c r="P57">
        <v>-12</v>
      </c>
      <c r="Q57">
        <f>W55*P57+X55</f>
        <v>-11.810120168548993</v>
      </c>
      <c r="AE57">
        <f>VLOOKUP(A57,Literatuur!$A:$B,2,FALSE)</f>
        <v>26</v>
      </c>
      <c r="AF57" t="str">
        <f t="shared" si="20"/>
        <v>Ethylbenzene</v>
      </c>
      <c r="AG57">
        <f t="shared" si="21"/>
        <v>2.4409090820652177</v>
      </c>
      <c r="AH57">
        <f t="shared" si="22"/>
        <v>2.4548448600085102</v>
      </c>
    </row>
    <row r="58" spans="1:38" x14ac:dyDescent="0.2">
      <c r="A58" t="s">
        <v>1236</v>
      </c>
      <c r="B58">
        <v>205</v>
      </c>
      <c r="C58" t="s">
        <v>762</v>
      </c>
      <c r="D58" t="s">
        <v>1549</v>
      </c>
      <c r="E58">
        <v>106.18999905823263</v>
      </c>
      <c r="F58">
        <v>0.1974065205245514</v>
      </c>
      <c r="G58">
        <v>3.2</v>
      </c>
      <c r="H58" s="138">
        <v>2.5490032620257876</v>
      </c>
      <c r="I58" s="138">
        <v>2.5403294747908736</v>
      </c>
      <c r="L58" s="138"/>
      <c r="M58" s="138"/>
      <c r="AE58">
        <f>VLOOKUP(A58,Literatuur!$A:$B,2,FALSE)</f>
        <v>26</v>
      </c>
      <c r="AF58" t="str">
        <f t="shared" si="20"/>
        <v>m-Xylene</v>
      </c>
      <c r="AG58">
        <f t="shared" si="21"/>
        <v>2.5490032620257876</v>
      </c>
      <c r="AH58">
        <f t="shared" si="22"/>
        <v>2.5403294747908736</v>
      </c>
    </row>
    <row r="59" spans="1:38" x14ac:dyDescent="0.2">
      <c r="A59" t="s">
        <v>1236</v>
      </c>
      <c r="B59">
        <v>218</v>
      </c>
      <c r="C59" t="s">
        <v>872</v>
      </c>
      <c r="D59" t="s">
        <v>1549</v>
      </c>
      <c r="E59">
        <v>106.18666499232586</v>
      </c>
      <c r="F59">
        <v>0.21893359574593291</v>
      </c>
      <c r="G59">
        <v>3.12</v>
      </c>
      <c r="H59" s="138">
        <v>2.3783979009481375</v>
      </c>
      <c r="I59" s="138">
        <v>2.3802112417116059</v>
      </c>
      <c r="L59" s="138"/>
      <c r="M59" s="138"/>
      <c r="AE59">
        <f>VLOOKUP(A59,Literatuur!$A:$B,2,FALSE)</f>
        <v>26</v>
      </c>
      <c r="AF59" t="str">
        <f t="shared" si="20"/>
        <v>o-Xylene</v>
      </c>
      <c r="AG59">
        <f t="shared" si="21"/>
        <v>2.3783979009481375</v>
      </c>
      <c r="AH59">
        <f t="shared" si="22"/>
        <v>2.3802112417116059</v>
      </c>
    </row>
    <row r="60" spans="1:38" x14ac:dyDescent="0.2">
      <c r="I60" s="138"/>
      <c r="L60" s="138"/>
      <c r="M60" s="138"/>
    </row>
    <row r="61" spans="1:38" x14ac:dyDescent="0.2">
      <c r="A61" t="s">
        <v>1939</v>
      </c>
      <c r="B61">
        <v>200</v>
      </c>
      <c r="C61" t="s">
        <v>548</v>
      </c>
      <c r="D61" t="s">
        <v>1549</v>
      </c>
      <c r="E61">
        <v>78.106666524406961</v>
      </c>
      <c r="F61">
        <v>1.9888988259336799</v>
      </c>
      <c r="G61">
        <v>2.13</v>
      </c>
      <c r="H61" s="138">
        <v>1.6726519228400025</v>
      </c>
      <c r="I61" s="138">
        <v>1.7823292689968369</v>
      </c>
      <c r="J61">
        <v>-12.396855627379818</v>
      </c>
      <c r="K61">
        <v>-12.338187314462738</v>
      </c>
      <c r="L61" s="138">
        <v>-10.724203704539816</v>
      </c>
      <c r="M61" s="138">
        <v>-10.555858045465902</v>
      </c>
    </row>
    <row r="62" spans="1:38" x14ac:dyDescent="0.2">
      <c r="A62" t="s">
        <v>1939</v>
      </c>
      <c r="B62">
        <v>-1534</v>
      </c>
      <c r="C62" t="s">
        <v>539</v>
      </c>
      <c r="D62" t="s">
        <v>1891</v>
      </c>
      <c r="E62">
        <v>119.38</v>
      </c>
      <c r="F62">
        <v>7.95</v>
      </c>
      <c r="G62">
        <v>1.97</v>
      </c>
      <c r="H62" s="138">
        <v>1.638589083292717</v>
      </c>
      <c r="I62" s="138">
        <v>1.7532765701844184</v>
      </c>
      <c r="J62">
        <v>-12.496209316942819</v>
      </c>
      <c r="K62">
        <v>-12.377785977033705</v>
      </c>
      <c r="L62" s="138">
        <v>-10.857620233650103</v>
      </c>
      <c r="M62" s="138">
        <v>-10.624509406849286</v>
      </c>
    </row>
    <row r="63" spans="1:38" x14ac:dyDescent="0.2">
      <c r="A63" t="s">
        <v>1939</v>
      </c>
      <c r="B63">
        <v>201</v>
      </c>
      <c r="C63" t="s">
        <v>694</v>
      </c>
      <c r="D63" t="s">
        <v>1549</v>
      </c>
      <c r="E63">
        <v>106.18666499232586</v>
      </c>
      <c r="F63">
        <v>0.15944942966652281</v>
      </c>
      <c r="G63">
        <v>3.15</v>
      </c>
      <c r="H63" s="138">
        <v>2.2111739567284943</v>
      </c>
      <c r="I63" s="138">
        <v>2.3653382023469409</v>
      </c>
      <c r="J63">
        <v>-12.712198270069774</v>
      </c>
      <c r="K63">
        <v>-12.667561540084394</v>
      </c>
      <c r="L63" s="138">
        <v>-10.501024313341279</v>
      </c>
      <c r="M63" s="138">
        <v>-10.302223337737454</v>
      </c>
    </row>
    <row r="64" spans="1:38" x14ac:dyDescent="0.2">
      <c r="A64" t="s">
        <v>1939</v>
      </c>
      <c r="B64">
        <v>-402</v>
      </c>
      <c r="C64" t="s">
        <v>537</v>
      </c>
      <c r="D64" t="s">
        <v>1891</v>
      </c>
      <c r="E64">
        <v>84.93</v>
      </c>
      <c r="F64">
        <v>20</v>
      </c>
      <c r="G64">
        <v>1.25</v>
      </c>
      <c r="H64" s="138">
        <v>1.1003705451175629</v>
      </c>
      <c r="I64" s="138">
        <v>1.2370407913791908</v>
      </c>
      <c r="J64">
        <v>-12.290730039024169</v>
      </c>
      <c r="K64">
        <v>-12.293282217663242</v>
      </c>
      <c r="L64" s="138">
        <v>-11.190359493906607</v>
      </c>
      <c r="M64" s="138">
        <v>-11.05624142628405</v>
      </c>
    </row>
    <row r="65" spans="1:14" x14ac:dyDescent="0.2">
      <c r="A65" t="s">
        <v>1939</v>
      </c>
      <c r="B65">
        <v>403</v>
      </c>
      <c r="C65" t="s">
        <v>695</v>
      </c>
      <c r="D65" t="s">
        <v>1891</v>
      </c>
      <c r="E65">
        <v>165.80749949115744</v>
      </c>
      <c r="F65">
        <v>0.11888250367033854</v>
      </c>
      <c r="G65">
        <v>3.4</v>
      </c>
      <c r="H65" s="138">
        <v>2.2435093126267751</v>
      </c>
      <c r="I65" s="138">
        <v>2.4373858559663875</v>
      </c>
      <c r="J65">
        <v>-12.647817481888637</v>
      </c>
      <c r="K65">
        <v>-12.636388020107855</v>
      </c>
      <c r="L65" s="138">
        <v>-10.404308169261862</v>
      </c>
      <c r="M65" s="138">
        <v>-10.199002164141469</v>
      </c>
    </row>
    <row r="66" spans="1:14" x14ac:dyDescent="0.2">
      <c r="A66" t="s">
        <v>1939</v>
      </c>
      <c r="B66">
        <v>204</v>
      </c>
      <c r="C66" t="s">
        <v>492</v>
      </c>
      <c r="D66" t="s">
        <v>1549</v>
      </c>
      <c r="E66">
        <v>92.14249284505685</v>
      </c>
      <c r="F66">
        <v>0.61059105234897149</v>
      </c>
      <c r="G66">
        <v>2.73</v>
      </c>
      <c r="H66" s="138">
        <v>1.7764105888073423</v>
      </c>
      <c r="I66" s="138">
        <v>2.0525015634137809</v>
      </c>
      <c r="J66">
        <v>-12.405607449624574</v>
      </c>
      <c r="K66">
        <v>-12.642065152999546</v>
      </c>
      <c r="L66" s="138">
        <v>-10.629196860817231</v>
      </c>
      <c r="M66" s="138">
        <v>-10.589563589585765</v>
      </c>
    </row>
    <row r="67" spans="1:14" x14ac:dyDescent="0.2">
      <c r="A67" t="s">
        <v>1939</v>
      </c>
      <c r="B67">
        <v>408</v>
      </c>
      <c r="C67" t="s">
        <v>1303</v>
      </c>
      <c r="D67" t="s">
        <v>1891</v>
      </c>
      <c r="E67">
        <v>133.4</v>
      </c>
      <c r="F67">
        <v>2.3433333333333333</v>
      </c>
      <c r="G67">
        <v>2.8000000000000003</v>
      </c>
      <c r="H67" s="138">
        <v>1.7097786018482253</v>
      </c>
      <c r="I67" s="138">
        <v>1.9145018228273141</v>
      </c>
      <c r="J67">
        <v>-12.511449283499555</v>
      </c>
      <c r="K67">
        <v>-12.701146923590294</v>
      </c>
      <c r="L67" s="138">
        <v>-10.801670681651331</v>
      </c>
      <c r="M67" s="138">
        <v>-10.786645100762978</v>
      </c>
    </row>
    <row r="68" spans="1:14" x14ac:dyDescent="0.2">
      <c r="A68" t="s">
        <v>1939</v>
      </c>
      <c r="B68">
        <v>405</v>
      </c>
      <c r="C68" t="s">
        <v>540</v>
      </c>
      <c r="D68" t="s">
        <v>1891</v>
      </c>
      <c r="E68">
        <v>131.4</v>
      </c>
      <c r="F68">
        <v>1.1648441611748488</v>
      </c>
      <c r="G68">
        <v>2.61</v>
      </c>
      <c r="H68" s="138">
        <v>1.794418330874141</v>
      </c>
      <c r="I68" s="138">
        <v>2.1187275504270051</v>
      </c>
      <c r="J68">
        <v>-12.440093374963887</v>
      </c>
      <c r="K68">
        <v>-12.539102157243452</v>
      </c>
      <c r="L68" s="138">
        <v>-10.645675044089746</v>
      </c>
      <c r="M68" s="138">
        <v>-10.420374606816447</v>
      </c>
    </row>
    <row r="69" spans="1:14" x14ac:dyDescent="0.2">
      <c r="A69" t="s">
        <v>1939</v>
      </c>
      <c r="B69">
        <v>218</v>
      </c>
      <c r="C69" t="s">
        <v>872</v>
      </c>
      <c r="D69" t="s">
        <v>1549</v>
      </c>
      <c r="E69">
        <v>106.18666499232586</v>
      </c>
      <c r="F69">
        <v>0.21893359574593291</v>
      </c>
      <c r="G69">
        <v>3.12</v>
      </c>
      <c r="H69" s="138">
        <v>2.3763396725710351</v>
      </c>
      <c r="I69" s="138">
        <v>2.6416822839852192</v>
      </c>
      <c r="J69">
        <v>-12.688246138944246</v>
      </c>
      <c r="K69">
        <v>-12.903089986991944</v>
      </c>
      <c r="L69" s="138">
        <v>-10.311906466373211</v>
      </c>
      <c r="M69" s="138">
        <v>-10.261407703006725</v>
      </c>
    </row>
    <row r="70" spans="1:14" x14ac:dyDescent="0.2">
      <c r="A70" t="s">
        <v>1939</v>
      </c>
      <c r="B70">
        <v>219</v>
      </c>
      <c r="C70" t="s">
        <v>493</v>
      </c>
      <c r="D70" t="s">
        <v>1549</v>
      </c>
      <c r="E70">
        <v>106.18666499232586</v>
      </c>
      <c r="F70">
        <v>0.21093846155625409</v>
      </c>
      <c r="G70">
        <v>3.15</v>
      </c>
      <c r="H70" s="138">
        <v>2.3454325474991466</v>
      </c>
      <c r="I70" s="138">
        <v>2.5530937864371861</v>
      </c>
      <c r="J70">
        <v>-12.485452247339714</v>
      </c>
      <c r="K70">
        <v>-12.718966632752272</v>
      </c>
      <c r="L70" s="138">
        <v>-10.140019699840567</v>
      </c>
      <c r="M70" s="138">
        <v>-10.165872846315086</v>
      </c>
    </row>
    <row r="72" spans="1:14" x14ac:dyDescent="0.2">
      <c r="A72" s="4"/>
      <c r="F72" s="4" t="s">
        <v>11</v>
      </c>
      <c r="J72" s="4"/>
      <c r="K72" s="4"/>
      <c r="L72" s="4"/>
      <c r="M72" s="4"/>
    </row>
    <row r="73" spans="1:14" x14ac:dyDescent="0.2">
      <c r="A73" t="s">
        <v>430</v>
      </c>
      <c r="B73">
        <v>204</v>
      </c>
      <c r="C73" t="s">
        <v>492</v>
      </c>
      <c r="D73" t="s">
        <v>1549</v>
      </c>
      <c r="E73">
        <v>92.14249284505685</v>
      </c>
      <c r="F73">
        <v>0.61059105234897149</v>
      </c>
      <c r="G73">
        <v>2.73</v>
      </c>
      <c r="H73" s="138">
        <v>2.2424953807499222</v>
      </c>
      <c r="I73" s="138">
        <v>1.7323937598229686</v>
      </c>
      <c r="J73" s="138">
        <v>-11.405034825436639</v>
      </c>
      <c r="K73" s="138">
        <v>-12.044419139788413</v>
      </c>
      <c r="L73" s="138">
        <v>-9.1625394446867165</v>
      </c>
      <c r="M73" s="138">
        <v>-10.312025379965444</v>
      </c>
    </row>
    <row r="74" spans="1:14" x14ac:dyDescent="0.2">
      <c r="A74" t="s">
        <v>430</v>
      </c>
      <c r="B74">
        <v>500</v>
      </c>
      <c r="C74" t="s">
        <v>503</v>
      </c>
      <c r="D74" t="s">
        <v>1892</v>
      </c>
      <c r="E74">
        <v>112.58999866757466</v>
      </c>
      <c r="F74">
        <v>0.50742586202944473</v>
      </c>
      <c r="G74">
        <v>2.89</v>
      </c>
      <c r="H74" s="138">
        <v>2.39195413753158</v>
      </c>
      <c r="I74" s="138">
        <v>1.5514499979728751</v>
      </c>
      <c r="J74" s="138">
        <v>0</v>
      </c>
      <c r="K74" s="138">
        <v>-11.945287666786399</v>
      </c>
      <c r="L74" s="138">
        <v>0</v>
      </c>
      <c r="M74" s="138">
        <v>-10.393837668813523</v>
      </c>
    </row>
    <row r="75" spans="1:14" x14ac:dyDescent="0.2">
      <c r="A75" t="s">
        <v>430</v>
      </c>
      <c r="B75">
        <v>-505</v>
      </c>
      <c r="C75" t="s">
        <v>1284</v>
      </c>
      <c r="D75" t="s">
        <v>1892</v>
      </c>
      <c r="E75">
        <v>147</v>
      </c>
      <c r="F75">
        <v>0.11433333333333333</v>
      </c>
      <c r="G75">
        <v>3.4</v>
      </c>
      <c r="H75" s="138">
        <v>3.1283314331700307</v>
      </c>
      <c r="I75" s="138">
        <v>1.6794278966121188</v>
      </c>
      <c r="J75" s="138">
        <v>-11.657760141526065</v>
      </c>
      <c r="K75" s="138">
        <v>-12.345449135452395</v>
      </c>
      <c r="L75" s="138">
        <v>-8.5294287083560345</v>
      </c>
      <c r="M75" s="138">
        <v>-10.666021238840274</v>
      </c>
    </row>
    <row r="76" spans="1:14" x14ac:dyDescent="0.2">
      <c r="A76" t="s">
        <v>430</v>
      </c>
      <c r="B76">
        <v>403</v>
      </c>
      <c r="C76" t="s">
        <v>695</v>
      </c>
      <c r="D76" t="s">
        <v>1891</v>
      </c>
      <c r="E76">
        <v>165.80749949115744</v>
      </c>
      <c r="F76">
        <v>0.11888250367033854</v>
      </c>
      <c r="G76">
        <v>3.4</v>
      </c>
      <c r="H76" s="138">
        <v>3.0347979202516164</v>
      </c>
      <c r="I76" s="138">
        <v>1.354108439147401</v>
      </c>
      <c r="J76" s="138">
        <v>-11.431363764158988</v>
      </c>
      <c r="K76" s="138">
        <v>-12.405034825436639</v>
      </c>
      <c r="L76" s="138">
        <v>-8.3965658439073714</v>
      </c>
      <c r="M76" s="138">
        <v>-11.050926386289238</v>
      </c>
    </row>
    <row r="77" spans="1:14" x14ac:dyDescent="0.2">
      <c r="A77" t="s">
        <v>430</v>
      </c>
      <c r="B77">
        <v>405</v>
      </c>
      <c r="C77" t="s">
        <v>540</v>
      </c>
      <c r="D77" t="s">
        <v>1891</v>
      </c>
      <c r="E77">
        <v>131.4</v>
      </c>
      <c r="F77">
        <v>1.1648441611748488</v>
      </c>
      <c r="G77">
        <v>2.61</v>
      </c>
      <c r="H77" s="318"/>
      <c r="I77" s="138">
        <v>1.5092025223311027</v>
      </c>
      <c r="J77">
        <v>795</v>
      </c>
      <c r="K77" s="138">
        <v>-12.228943566380957</v>
      </c>
      <c r="L77" s="318"/>
      <c r="M77" s="318"/>
    </row>
    <row r="78" spans="1:14" x14ac:dyDescent="0.2">
      <c r="A78" t="s">
        <v>430</v>
      </c>
      <c r="B78">
        <v>1093</v>
      </c>
      <c r="C78" t="s">
        <v>1354</v>
      </c>
      <c r="D78" t="s">
        <v>1893</v>
      </c>
      <c r="E78">
        <v>72</v>
      </c>
      <c r="F78">
        <v>352.8</v>
      </c>
      <c r="G78">
        <v>0.27549999999999997</v>
      </c>
      <c r="H78" s="138">
        <v>-1.3049871481613979</v>
      </c>
      <c r="I78" s="138">
        <v>-0.74472749489669399</v>
      </c>
      <c r="J78" s="138">
        <v>-12.091415702464637</v>
      </c>
      <c r="K78" s="138">
        <v>-12.431363764158988</v>
      </c>
      <c r="L78" s="138">
        <v>-13.396402850626034</v>
      </c>
      <c r="M78" s="138">
        <v>-13.176091259055681</v>
      </c>
    </row>
    <row r="79" spans="1:14" x14ac:dyDescent="0.2">
      <c r="F79" s="4" t="s">
        <v>12</v>
      </c>
      <c r="J79" s="138"/>
    </row>
    <row r="80" spans="1:14" x14ac:dyDescent="0.2">
      <c r="A80" t="s">
        <v>430</v>
      </c>
      <c r="B80" s="138"/>
      <c r="C80" s="138" t="s">
        <v>492</v>
      </c>
      <c r="H80" s="318"/>
      <c r="J80" s="318"/>
      <c r="L80" s="318"/>
      <c r="N80" s="138"/>
    </row>
    <row r="81" spans="1:15" x14ac:dyDescent="0.2">
      <c r="A81" t="s">
        <v>430</v>
      </c>
      <c r="C81" t="s">
        <v>503</v>
      </c>
      <c r="H81" s="138">
        <v>2.2361388344502102</v>
      </c>
      <c r="I81" s="138">
        <v>1.6242820958356683</v>
      </c>
      <c r="J81" s="138">
        <v>0</v>
      </c>
      <c r="K81" s="138">
        <v>-12.27375591079732</v>
      </c>
      <c r="L81" s="138">
        <v>0</v>
      </c>
      <c r="M81" s="138">
        <v>-10.649473814961651</v>
      </c>
      <c r="O81" s="138"/>
    </row>
    <row r="82" spans="1:15" x14ac:dyDescent="0.2">
      <c r="A82" t="s">
        <v>430</v>
      </c>
      <c r="C82" t="s">
        <v>1284</v>
      </c>
      <c r="H82" s="138">
        <v>2.9802485803193512</v>
      </c>
      <c r="I82" s="138">
        <v>1.8959747323590646</v>
      </c>
      <c r="J82" s="138">
        <v>-12.091415702464637</v>
      </c>
      <c r="K82" s="138">
        <v>-12.790385706800656</v>
      </c>
      <c r="L82" s="138">
        <v>-9.1111671221452841</v>
      </c>
      <c r="M82" s="138">
        <v>-10.894410974441591</v>
      </c>
      <c r="O82" s="138"/>
    </row>
    <row r="83" spans="1:15" x14ac:dyDescent="0.2">
      <c r="A83" t="s">
        <v>430</v>
      </c>
      <c r="C83" t="s">
        <v>695</v>
      </c>
      <c r="H83" s="138">
        <v>3.1356017729088248</v>
      </c>
      <c r="I83" s="138">
        <v>1.4313637641589874</v>
      </c>
      <c r="J83" s="138">
        <v>-11.857332496431269</v>
      </c>
      <c r="K83" s="138">
        <v>-12.790385706800656</v>
      </c>
      <c r="L83" s="138">
        <v>-8.7217307235224428</v>
      </c>
      <c r="M83" s="138">
        <v>-11.359021942641668</v>
      </c>
      <c r="O83" s="138"/>
    </row>
    <row r="84" spans="1:15" x14ac:dyDescent="0.2">
      <c r="A84" t="s">
        <v>430</v>
      </c>
      <c r="C84" t="s">
        <v>540</v>
      </c>
      <c r="H84" s="138">
        <v>2.1101128651378098</v>
      </c>
      <c r="I84" s="138">
        <v>1.5774917998372253</v>
      </c>
      <c r="J84" s="138">
        <v>-11.489355711136675</v>
      </c>
      <c r="K84" s="138">
        <v>-12.657760141526065</v>
      </c>
      <c r="L84" s="138">
        <v>-9.3792428459988635</v>
      </c>
      <c r="M84" s="138">
        <v>-11.080268341688839</v>
      </c>
      <c r="O84" s="138"/>
    </row>
    <row r="85" spans="1:15" x14ac:dyDescent="0.2">
      <c r="A85" t="s">
        <v>430</v>
      </c>
      <c r="C85" t="s">
        <v>1354</v>
      </c>
      <c r="I85" s="318"/>
      <c r="K85" s="318"/>
      <c r="M85" s="318"/>
      <c r="O85" s="138"/>
    </row>
    <row r="87" spans="1:15" x14ac:dyDescent="0.2">
      <c r="A87" s="4" t="s">
        <v>1661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249977111117893"/>
  </sheetPr>
  <dimension ref="A1:AL116"/>
  <sheetViews>
    <sheetView topLeftCell="K88" zoomScale="70" zoomScaleNormal="70" workbookViewId="0">
      <selection activeCell="AE13" sqref="AE13:AL116"/>
    </sheetView>
  </sheetViews>
  <sheetFormatPr defaultRowHeight="12.75" x14ac:dyDescent="0.2"/>
  <cols>
    <col min="1" max="1" width="12.85546875" customWidth="1"/>
    <col min="4" max="4" width="20.5703125" customWidth="1"/>
    <col min="11" max="11" width="10.7109375" customWidth="1"/>
    <col min="15" max="15" width="12.42578125" bestFit="1" customWidth="1"/>
    <col min="16" max="16" width="12.5703125" bestFit="1" customWidth="1"/>
  </cols>
  <sheetData>
    <row r="1" spans="1:38" x14ac:dyDescent="0.2">
      <c r="H1" s="4" t="s">
        <v>1453</v>
      </c>
      <c r="J1" s="4"/>
      <c r="N1" s="107" t="s">
        <v>1655</v>
      </c>
      <c r="O1" s="110"/>
      <c r="P1" s="110"/>
      <c r="Q1" s="111"/>
      <c r="S1" s="391" t="s">
        <v>1927</v>
      </c>
      <c r="T1" s="392"/>
      <c r="AE1" s="1" t="s">
        <v>2087</v>
      </c>
    </row>
    <row r="2" spans="1:38" x14ac:dyDescent="0.2">
      <c r="H2" s="4" t="s">
        <v>1565</v>
      </c>
      <c r="I2">
        <f>INTERCEPT(J16:J86,I16:I86)</f>
        <v>-2.3587586734152843E-4</v>
      </c>
      <c r="J2" s="4"/>
      <c r="K2">
        <f>INTERCEPT(L16:L105,K16:K105)</f>
        <v>0.30152827509837898</v>
      </c>
      <c r="N2" s="4" t="s">
        <v>1654</v>
      </c>
      <c r="O2">
        <v>296</v>
      </c>
      <c r="P2">
        <v>296</v>
      </c>
      <c r="S2" s="188" t="s">
        <v>1400</v>
      </c>
    </row>
    <row r="3" spans="1:38" x14ac:dyDescent="0.2">
      <c r="H3" s="4" t="s">
        <v>1564</v>
      </c>
      <c r="I3">
        <f>SLOPE(J16:J86,I16:I86)</f>
        <v>0.96173526844680046</v>
      </c>
      <c r="J3" s="4"/>
      <c r="K3">
        <f>SLOPE(L16:L105,K16:K105)</f>
        <v>1.0596980082682097</v>
      </c>
      <c r="O3">
        <v>11.5</v>
      </c>
      <c r="P3">
        <v>14.5</v>
      </c>
      <c r="S3" s="4">
        <v>-15</v>
      </c>
    </row>
    <row r="4" spans="1:38" x14ac:dyDescent="0.2">
      <c r="H4" s="4" t="s">
        <v>1649</v>
      </c>
      <c r="I4">
        <f>RSQ(J16:J86,I16:I86)</f>
        <v>0.99535579621483772</v>
      </c>
      <c r="J4" s="4"/>
      <c r="K4">
        <f>RSQ(L16:L105,K16:K105)</f>
        <v>0.94444815252557801</v>
      </c>
      <c r="N4" s="4" t="s">
        <v>1</v>
      </c>
      <c r="O4">
        <v>0</v>
      </c>
      <c r="P4">
        <v>1577</v>
      </c>
      <c r="S4">
        <v>5</v>
      </c>
    </row>
    <row r="5" spans="1:38" x14ac:dyDescent="0.2">
      <c r="H5" s="4" t="s">
        <v>1651</v>
      </c>
      <c r="J5" s="4"/>
      <c r="O5" s="4" t="s">
        <v>11</v>
      </c>
      <c r="P5" s="4" t="s">
        <v>12</v>
      </c>
    </row>
    <row r="6" spans="1:38" x14ac:dyDescent="0.2">
      <c r="H6" s="4">
        <v>-15</v>
      </c>
      <c r="I6">
        <f>I$2+I$3*H6</f>
        <v>-14.426264902569349</v>
      </c>
      <c r="J6" s="4"/>
      <c r="K6">
        <f>K$2+K$3*H6</f>
        <v>-15.593941848924766</v>
      </c>
    </row>
    <row r="7" spans="1:38" x14ac:dyDescent="0.2">
      <c r="H7" s="4">
        <v>5</v>
      </c>
      <c r="I7">
        <f>I$2+I$3*H7</f>
        <v>4.8084404663666609</v>
      </c>
      <c r="J7" s="4"/>
      <c r="K7">
        <f>K$2+K$3*H7</f>
        <v>5.6000183164394279</v>
      </c>
      <c r="N7" s="4" t="s">
        <v>43</v>
      </c>
    </row>
    <row r="8" spans="1:38" x14ac:dyDescent="0.2">
      <c r="H8" s="390" t="s">
        <v>1653</v>
      </c>
      <c r="I8">
        <f>($H7-I7)/2</f>
        <v>9.5779766816669554E-2</v>
      </c>
      <c r="J8" s="4"/>
      <c r="K8">
        <f>($H7-K7)/2</f>
        <v>-0.30000915821971397</v>
      </c>
      <c r="N8">
        <v>0</v>
      </c>
      <c r="O8">
        <f t="shared" ref="O8:P11" si="0">LOG(EXP(O$3-O$4/O$2-0.1351*$N8^0.67+0.003*$N8-10454/O$2))</f>
        <v>-10.34383816695245</v>
      </c>
      <c r="P8">
        <f t="shared" si="0"/>
        <v>-11.354746606247518</v>
      </c>
    </row>
    <row r="9" spans="1:38" x14ac:dyDescent="0.2">
      <c r="H9" s="390" t="s">
        <v>1652</v>
      </c>
      <c r="I9" s="138">
        <f>10^I8</f>
        <v>1.2467511193805454</v>
      </c>
      <c r="J9" s="4"/>
      <c r="K9">
        <f>10^K8</f>
        <v>0.50117666491272672</v>
      </c>
      <c r="N9">
        <v>25</v>
      </c>
      <c r="O9">
        <f t="shared" si="0"/>
        <v>-10.81832621396137</v>
      </c>
      <c r="P9">
        <f t="shared" si="0"/>
        <v>-11.829234653256441</v>
      </c>
    </row>
    <row r="10" spans="1:38" x14ac:dyDescent="0.2">
      <c r="A10" s="88" t="s">
        <v>1650</v>
      </c>
      <c r="B10" s="89"/>
      <c r="C10" s="89"/>
      <c r="D10" s="89"/>
      <c r="E10" s="89"/>
      <c r="F10" s="89"/>
      <c r="G10" s="89"/>
      <c r="H10" s="89"/>
      <c r="I10" s="88" t="s">
        <v>373</v>
      </c>
      <c r="J10" s="89"/>
      <c r="K10" s="89"/>
      <c r="L10" s="90"/>
      <c r="N10">
        <v>50</v>
      </c>
      <c r="O10">
        <f t="shared" si="0"/>
        <v>-11.085463665426513</v>
      </c>
      <c r="P10">
        <f t="shared" si="0"/>
        <v>-12.096372104721581</v>
      </c>
    </row>
    <row r="11" spans="1:38" x14ac:dyDescent="0.2">
      <c r="A11" s="51" t="s">
        <v>1646</v>
      </c>
      <c r="B11" s="51" t="s">
        <v>742</v>
      </c>
      <c r="C11" s="51" t="s">
        <v>2082</v>
      </c>
      <c r="D11" s="51"/>
      <c r="E11" s="51" t="s">
        <v>1555</v>
      </c>
      <c r="F11" s="51" t="s">
        <v>1064</v>
      </c>
      <c r="G11" s="51" t="s">
        <v>1065</v>
      </c>
      <c r="H11" s="52" t="s">
        <v>46</v>
      </c>
      <c r="I11" s="53" t="s">
        <v>774</v>
      </c>
      <c r="J11" s="53" t="s">
        <v>774</v>
      </c>
      <c r="K11" s="73" t="s">
        <v>1559</v>
      </c>
      <c r="L11" s="73" t="s">
        <v>1559</v>
      </c>
      <c r="N11">
        <v>75</v>
      </c>
      <c r="O11">
        <f t="shared" si="0"/>
        <v>-11.304719025286692</v>
      </c>
      <c r="P11">
        <f t="shared" si="0"/>
        <v>-12.315627464581761</v>
      </c>
    </row>
    <row r="12" spans="1:38" x14ac:dyDescent="0.2">
      <c r="F12" s="53" t="s">
        <v>257</v>
      </c>
      <c r="G12" s="53" t="s">
        <v>962</v>
      </c>
      <c r="H12" s="67" t="s">
        <v>1439</v>
      </c>
      <c r="I12" s="53"/>
      <c r="J12" s="53"/>
      <c r="K12" s="73"/>
      <c r="L12" s="73"/>
      <c r="N12">
        <v>100</v>
      </c>
      <c r="O12">
        <f t="shared" ref="O12:P31" si="1">LOG(EXP(O$3-O$4/O$2-0.1351*$N12^0.67+0.003*$N12-10454/O$2))</f>
        <v>-11.497179236533809</v>
      </c>
      <c r="P12">
        <f t="shared" si="1"/>
        <v>-12.508087675828877</v>
      </c>
    </row>
    <row r="13" spans="1:38" x14ac:dyDescent="0.2">
      <c r="F13" s="57" t="s">
        <v>546</v>
      </c>
      <c r="G13" s="57" t="s">
        <v>400</v>
      </c>
      <c r="H13" s="120"/>
      <c r="I13" s="80" t="s">
        <v>349</v>
      </c>
      <c r="J13" s="73" t="s">
        <v>349</v>
      </c>
      <c r="K13" s="73" t="s">
        <v>1229</v>
      </c>
      <c r="L13" s="73" t="s">
        <v>1229</v>
      </c>
      <c r="N13">
        <v>125</v>
      </c>
      <c r="O13">
        <f t="shared" si="1"/>
        <v>-11.671606059790665</v>
      </c>
      <c r="P13">
        <f t="shared" si="1"/>
        <v>-12.682514499085734</v>
      </c>
      <c r="AE13" s="4" t="s">
        <v>2060</v>
      </c>
      <c r="AF13" s="4" t="s">
        <v>742</v>
      </c>
      <c r="AG13" s="4" t="s">
        <v>2082</v>
      </c>
      <c r="AH13" s="4" t="s">
        <v>774</v>
      </c>
      <c r="AJ13" s="4" t="s">
        <v>1559</v>
      </c>
      <c r="AL13" s="4" t="s">
        <v>2083</v>
      </c>
    </row>
    <row r="14" spans="1:38" x14ac:dyDescent="0.2">
      <c r="I14" s="80" t="s">
        <v>11</v>
      </c>
      <c r="J14" s="73" t="s">
        <v>12</v>
      </c>
      <c r="K14" s="73" t="s">
        <v>11</v>
      </c>
      <c r="L14" s="73" t="s">
        <v>12</v>
      </c>
      <c r="N14">
        <v>150</v>
      </c>
      <c r="O14">
        <f t="shared" si="1"/>
        <v>-11.832710906060614</v>
      </c>
      <c r="P14">
        <f t="shared" si="1"/>
        <v>-12.843619345355682</v>
      </c>
      <c r="AH14" s="4" t="s">
        <v>11</v>
      </c>
      <c r="AI14" s="4" t="s">
        <v>12</v>
      </c>
      <c r="AJ14" s="4" t="s">
        <v>11</v>
      </c>
      <c r="AK14" s="4" t="s">
        <v>12</v>
      </c>
    </row>
    <row r="15" spans="1:38" x14ac:dyDescent="0.2">
      <c r="A15" s="107" t="s">
        <v>1647</v>
      </c>
      <c r="B15" s="110"/>
      <c r="C15" s="110"/>
      <c r="D15" s="110"/>
      <c r="E15" s="110"/>
      <c r="F15" s="110"/>
      <c r="G15" s="110"/>
      <c r="H15" s="110"/>
      <c r="I15" s="110"/>
      <c r="J15" s="110"/>
      <c r="K15" s="110"/>
      <c r="L15" s="111"/>
      <c r="N15">
        <v>175</v>
      </c>
      <c r="O15">
        <f t="shared" si="1"/>
        <v>-11.983396098685894</v>
      </c>
      <c r="P15">
        <f t="shared" si="1"/>
        <v>-12.994304537980963</v>
      </c>
      <c r="AH15" s="4" t="s">
        <v>349</v>
      </c>
      <c r="AI15" s="4" t="s">
        <v>349</v>
      </c>
      <c r="AJ15" s="4" t="s">
        <v>380</v>
      </c>
      <c r="AK15" s="4" t="s">
        <v>380</v>
      </c>
    </row>
    <row r="16" spans="1:38" x14ac:dyDescent="0.2">
      <c r="A16" t="s">
        <v>430</v>
      </c>
      <c r="B16">
        <v>200</v>
      </c>
      <c r="C16" s="4" t="s">
        <v>1657</v>
      </c>
      <c r="D16" t="s">
        <v>548</v>
      </c>
      <c r="E16" t="s">
        <v>1549</v>
      </c>
      <c r="F16">
        <v>78.106666524406961</v>
      </c>
      <c r="G16">
        <v>1.9888988259336799</v>
      </c>
      <c r="H16">
        <v>2.13</v>
      </c>
      <c r="I16">
        <v>1.686364435023727</v>
      </c>
      <c r="J16" s="137">
        <v>1.5242089539113384</v>
      </c>
      <c r="L16" s="137"/>
      <c r="N16">
        <v>200</v>
      </c>
      <c r="O16">
        <f t="shared" si="1"/>
        <v>-12.125609538968767</v>
      </c>
      <c r="P16">
        <f t="shared" si="1"/>
        <v>-13.136517978263836</v>
      </c>
      <c r="AE16">
        <f>VLOOKUP(A16,Literatuur!$A:$B,2,FALSE)</f>
        <v>37</v>
      </c>
      <c r="AF16" t="str">
        <f t="shared" ref="AF16:AF47" si="2">D16</f>
        <v>Benzene</v>
      </c>
      <c r="AG16" t="str">
        <f t="shared" ref="AG16:AG47" si="3">C16</f>
        <v>immersion</v>
      </c>
      <c r="AH16">
        <f t="shared" ref="AH16:AH47" si="4">IF(ISNUMBER(I16),I16,"")</f>
        <v>1.686364435023727</v>
      </c>
      <c r="AI16">
        <f t="shared" ref="AI16:AI47" si="5">IF(ISNUMBER(J16),J16,"")</f>
        <v>1.5242089539113384</v>
      </c>
      <c r="AJ16" t="str">
        <f t="shared" ref="AJ16:AJ47" si="6">IF(ISNUMBER(K16),K16,"")</f>
        <v/>
      </c>
      <c r="AK16" t="str">
        <f t="shared" ref="AK16:AK47" si="7">IF(ISNUMBER(L16),L16,"")</f>
        <v/>
      </c>
    </row>
    <row r="17" spans="1:37" x14ac:dyDescent="0.2">
      <c r="A17" t="s">
        <v>430</v>
      </c>
      <c r="B17">
        <v>204</v>
      </c>
      <c r="C17" s="4" t="s">
        <v>1657</v>
      </c>
      <c r="D17" t="s">
        <v>492</v>
      </c>
      <c r="E17" t="s">
        <v>1549</v>
      </c>
      <c r="F17">
        <v>92.14249284505685</v>
      </c>
      <c r="G17">
        <v>0.61059105234897149</v>
      </c>
      <c r="H17">
        <v>2.73</v>
      </c>
      <c r="I17">
        <v>2.2424953807499222</v>
      </c>
      <c r="J17" s="137">
        <v>2.0727867617470874</v>
      </c>
      <c r="K17">
        <v>-11.405034825436639</v>
      </c>
      <c r="L17" s="137">
        <v>-11.790385706800656</v>
      </c>
      <c r="N17">
        <v>225</v>
      </c>
      <c r="O17">
        <f t="shared" si="1"/>
        <v>-12.260738619266244</v>
      </c>
      <c r="P17">
        <f t="shared" si="1"/>
        <v>-13.271647058561312</v>
      </c>
      <c r="AE17">
        <f>VLOOKUP(A17,Literatuur!$A:$B,2,FALSE)</f>
        <v>37</v>
      </c>
      <c r="AF17" t="str">
        <f t="shared" si="2"/>
        <v>Toluene</v>
      </c>
      <c r="AG17" t="str">
        <f t="shared" si="3"/>
        <v>immersion</v>
      </c>
      <c r="AH17">
        <f t="shared" si="4"/>
        <v>2.2424953807499222</v>
      </c>
      <c r="AI17">
        <f t="shared" si="5"/>
        <v>2.0727867617470874</v>
      </c>
      <c r="AJ17">
        <f t="shared" si="6"/>
        <v>-11.405034825436639</v>
      </c>
      <c r="AK17">
        <f t="shared" si="7"/>
        <v>-11.790385706800656</v>
      </c>
    </row>
    <row r="18" spans="1:37" x14ac:dyDescent="0.2">
      <c r="A18" t="s">
        <v>430</v>
      </c>
      <c r="B18">
        <v>218</v>
      </c>
      <c r="C18" s="4" t="s">
        <v>1657</v>
      </c>
      <c r="D18" t="s">
        <v>872</v>
      </c>
      <c r="E18" t="s">
        <v>1549</v>
      </c>
      <c r="F18">
        <v>106.18666499232586</v>
      </c>
      <c r="G18">
        <v>0.21893359574593291</v>
      </c>
      <c r="H18">
        <v>3.12</v>
      </c>
      <c r="I18">
        <v>2.7062607877270022</v>
      </c>
      <c r="J18" s="137">
        <v>2.5405011823457881</v>
      </c>
      <c r="L18" s="137"/>
      <c r="N18">
        <v>250</v>
      </c>
      <c r="O18">
        <f t="shared" si="1"/>
        <v>-12.389815735733002</v>
      </c>
      <c r="P18">
        <f t="shared" si="1"/>
        <v>-13.400724175028071</v>
      </c>
      <c r="AE18">
        <f>VLOOKUP(A18,Literatuur!$A:$B,2,FALSE)</f>
        <v>37</v>
      </c>
      <c r="AF18" t="str">
        <f t="shared" si="2"/>
        <v>o-Xylene</v>
      </c>
      <c r="AG18" t="str">
        <f t="shared" si="3"/>
        <v>immersion</v>
      </c>
      <c r="AH18">
        <f t="shared" si="4"/>
        <v>2.7062607877270022</v>
      </c>
      <c r="AI18">
        <f t="shared" si="5"/>
        <v>2.5405011823457881</v>
      </c>
      <c r="AJ18" t="str">
        <f t="shared" si="6"/>
        <v/>
      </c>
      <c r="AK18" t="str">
        <f t="shared" si="7"/>
        <v/>
      </c>
    </row>
    <row r="19" spans="1:37" x14ac:dyDescent="0.2">
      <c r="A19" t="s">
        <v>430</v>
      </c>
      <c r="B19">
        <v>205</v>
      </c>
      <c r="C19" s="4" t="s">
        <v>1657</v>
      </c>
      <c r="D19" t="s">
        <v>762</v>
      </c>
      <c r="E19" t="s">
        <v>1549</v>
      </c>
      <c r="F19">
        <v>106.18999905823263</v>
      </c>
      <c r="G19">
        <v>0.1974065205245514</v>
      </c>
      <c r="H19">
        <v>3.2</v>
      </c>
      <c r="I19">
        <v>2.7403083409226103</v>
      </c>
      <c r="J19" s="137">
        <v>2.5799892028502187</v>
      </c>
      <c r="L19" s="137"/>
      <c r="N19">
        <v>275</v>
      </c>
      <c r="O19">
        <f t="shared" si="1"/>
        <v>-12.513635419748423</v>
      </c>
      <c r="P19">
        <f t="shared" si="1"/>
        <v>-13.524543859043492</v>
      </c>
      <c r="AE19">
        <f>VLOOKUP(A19,Literatuur!$A:$B,2,FALSE)</f>
        <v>37</v>
      </c>
      <c r="AF19" t="str">
        <f t="shared" si="2"/>
        <v>m-Xylene</v>
      </c>
      <c r="AG19" t="str">
        <f t="shared" si="3"/>
        <v>immersion</v>
      </c>
      <c r="AH19">
        <f t="shared" si="4"/>
        <v>2.7403083409226103</v>
      </c>
      <c r="AI19">
        <f t="shared" si="5"/>
        <v>2.5799892028502187</v>
      </c>
      <c r="AJ19" t="str">
        <f t="shared" si="6"/>
        <v/>
      </c>
      <c r="AK19" t="str">
        <f t="shared" si="7"/>
        <v/>
      </c>
    </row>
    <row r="20" spans="1:37" x14ac:dyDescent="0.2">
      <c r="A20" t="s">
        <v>430</v>
      </c>
      <c r="B20">
        <v>219</v>
      </c>
      <c r="C20" s="4" t="s">
        <v>1657</v>
      </c>
      <c r="D20" t="s">
        <v>493</v>
      </c>
      <c r="E20" t="s">
        <v>1549</v>
      </c>
      <c r="F20">
        <v>106.18666499232586</v>
      </c>
      <c r="G20">
        <v>0.21093846155625409</v>
      </c>
      <c r="H20">
        <v>3.15</v>
      </c>
      <c r="I20">
        <v>2.733053738274605</v>
      </c>
      <c r="J20" s="137">
        <v>2.5620528499343123</v>
      </c>
      <c r="L20" s="137"/>
      <c r="N20">
        <v>300</v>
      </c>
      <c r="O20">
        <f t="shared" si="1"/>
        <v>-12.632825695039578</v>
      </c>
      <c r="P20">
        <f t="shared" si="1"/>
        <v>-13.643734134334647</v>
      </c>
      <c r="AE20">
        <f>VLOOKUP(A20,Literatuur!$A:$B,2,FALSE)</f>
        <v>37</v>
      </c>
      <c r="AF20" t="str">
        <f t="shared" si="2"/>
        <v>p-Xylene</v>
      </c>
      <c r="AG20" t="str">
        <f t="shared" si="3"/>
        <v>immersion</v>
      </c>
      <c r="AH20">
        <f t="shared" si="4"/>
        <v>2.733053738274605</v>
      </c>
      <c r="AI20">
        <f t="shared" si="5"/>
        <v>2.5620528499343123</v>
      </c>
      <c r="AJ20" t="str">
        <f t="shared" si="6"/>
        <v/>
      </c>
      <c r="AK20" t="str">
        <f t="shared" si="7"/>
        <v/>
      </c>
    </row>
    <row r="21" spans="1:37" x14ac:dyDescent="0.2">
      <c r="A21" t="s">
        <v>430</v>
      </c>
      <c r="B21">
        <v>-201</v>
      </c>
      <c r="C21" s="4" t="s">
        <v>1657</v>
      </c>
      <c r="D21" t="s">
        <v>1250</v>
      </c>
      <c r="E21" t="s">
        <v>1549</v>
      </c>
      <c r="F21">
        <v>120.19</v>
      </c>
      <c r="G21">
        <v>0.02</v>
      </c>
      <c r="H21">
        <v>3.51</v>
      </c>
      <c r="I21">
        <v>3.7234556720351857</v>
      </c>
      <c r="J21" s="137">
        <v>3.5743207009153082</v>
      </c>
      <c r="L21" s="137"/>
      <c r="N21">
        <v>325</v>
      </c>
      <c r="O21">
        <f t="shared" si="1"/>
        <v>-12.747893876251585</v>
      </c>
      <c r="P21">
        <f t="shared" si="1"/>
        <v>-13.758802315546653</v>
      </c>
      <c r="AE21">
        <f>VLOOKUP(A21,Literatuur!$A:$B,2,FALSE)</f>
        <v>37</v>
      </c>
      <c r="AF21" t="str">
        <f t="shared" si="2"/>
        <v>1,3,5-Trimethylbenzene</v>
      </c>
      <c r="AG21" t="str">
        <f t="shared" si="3"/>
        <v>immersion</v>
      </c>
      <c r="AH21">
        <f t="shared" si="4"/>
        <v>3.7234556720351857</v>
      </c>
      <c r="AI21">
        <f t="shared" si="5"/>
        <v>3.5743207009153082</v>
      </c>
      <c r="AJ21" t="str">
        <f t="shared" si="6"/>
        <v/>
      </c>
      <c r="AK21" t="str">
        <f t="shared" si="7"/>
        <v/>
      </c>
    </row>
    <row r="22" spans="1:37" x14ac:dyDescent="0.2">
      <c r="A22" t="s">
        <v>430</v>
      </c>
      <c r="B22">
        <v>201</v>
      </c>
      <c r="C22" s="4" t="s">
        <v>1657</v>
      </c>
      <c r="D22" t="s">
        <v>694</v>
      </c>
      <c r="E22" t="s">
        <v>1549</v>
      </c>
      <c r="F22">
        <v>106.18666499232586</v>
      </c>
      <c r="G22">
        <v>0.15944942966652281</v>
      </c>
      <c r="H22">
        <v>3.15</v>
      </c>
      <c r="I22">
        <v>2.7654862309711388</v>
      </c>
      <c r="J22" s="137">
        <v>2.6076095478380252</v>
      </c>
      <c r="L22" s="137"/>
      <c r="N22">
        <v>350</v>
      </c>
      <c r="O22">
        <f t="shared" si="1"/>
        <v>-12.859257225101308</v>
      </c>
      <c r="P22">
        <f t="shared" si="1"/>
        <v>-13.870165664396376</v>
      </c>
      <c r="AE22">
        <f>VLOOKUP(A22,Literatuur!$A:$B,2,FALSE)</f>
        <v>37</v>
      </c>
      <c r="AF22" t="str">
        <f t="shared" si="2"/>
        <v>Ethylbenzene</v>
      </c>
      <c r="AG22" t="str">
        <f t="shared" si="3"/>
        <v>immersion</v>
      </c>
      <c r="AH22">
        <f t="shared" si="4"/>
        <v>2.7654862309711388</v>
      </c>
      <c r="AI22">
        <f t="shared" si="5"/>
        <v>2.6076095478380252</v>
      </c>
      <c r="AJ22" t="str">
        <f t="shared" si="6"/>
        <v/>
      </c>
      <c r="AK22" t="str">
        <f t="shared" si="7"/>
        <v/>
      </c>
    </row>
    <row r="23" spans="1:37" x14ac:dyDescent="0.2">
      <c r="A23" t="s">
        <v>430</v>
      </c>
      <c r="B23">
        <v>-202</v>
      </c>
      <c r="C23" s="4" t="s">
        <v>1657</v>
      </c>
      <c r="D23" t="s">
        <v>1252</v>
      </c>
      <c r="E23" t="s">
        <v>1549</v>
      </c>
      <c r="F23">
        <v>120.19</v>
      </c>
      <c r="G23">
        <v>5.400633333333333E-2</v>
      </c>
      <c r="H23">
        <v>3.71</v>
      </c>
      <c r="I23">
        <v>3.2136143677763269</v>
      </c>
      <c r="J23" s="137">
        <v>3.0648228482219197</v>
      </c>
      <c r="L23" s="137"/>
      <c r="N23">
        <v>375</v>
      </c>
      <c r="O23">
        <f t="shared" si="1"/>
        <v>-12.96726419368402</v>
      </c>
      <c r="P23">
        <f t="shared" si="1"/>
        <v>-13.978172632979089</v>
      </c>
      <c r="AE23">
        <f>VLOOKUP(A23,Literatuur!$A:$B,2,FALSE)</f>
        <v>37</v>
      </c>
      <c r="AF23" t="str">
        <f t="shared" si="2"/>
        <v>Propylbenzene</v>
      </c>
      <c r="AG23" t="str">
        <f t="shared" si="3"/>
        <v>immersion</v>
      </c>
      <c r="AH23">
        <f t="shared" si="4"/>
        <v>3.2136143677763269</v>
      </c>
      <c r="AI23">
        <f t="shared" si="5"/>
        <v>3.0648228482219197</v>
      </c>
      <c r="AJ23" t="str">
        <f t="shared" si="6"/>
        <v/>
      </c>
      <c r="AK23" t="str">
        <f t="shared" si="7"/>
        <v/>
      </c>
    </row>
    <row r="24" spans="1:37" x14ac:dyDescent="0.2">
      <c r="A24" t="s">
        <v>430</v>
      </c>
      <c r="B24">
        <v>-203</v>
      </c>
      <c r="C24" s="4" t="s">
        <v>1657</v>
      </c>
      <c r="D24" t="s">
        <v>1256</v>
      </c>
      <c r="E24" t="s">
        <v>1549</v>
      </c>
      <c r="F24">
        <v>148.25</v>
      </c>
      <c r="G24">
        <v>3.3700000000000002E-3</v>
      </c>
      <c r="H24">
        <v>4.9000000000000004</v>
      </c>
      <c r="I24">
        <v>4.3552360188502908</v>
      </c>
      <c r="J24" s="137">
        <v>4.2282449548011529</v>
      </c>
      <c r="L24" s="137"/>
      <c r="N24">
        <v>400</v>
      </c>
      <c r="O24">
        <f t="shared" si="1"/>
        <v>-13.072209579023596</v>
      </c>
      <c r="P24">
        <f t="shared" si="1"/>
        <v>-14.083118018318666</v>
      </c>
      <c r="AE24">
        <f>VLOOKUP(A24,Literatuur!$A:$B,2,FALSE)</f>
        <v>37</v>
      </c>
      <c r="AF24" t="str">
        <f t="shared" si="2"/>
        <v>Penthylbenzene</v>
      </c>
      <c r="AG24" t="str">
        <f t="shared" si="3"/>
        <v>immersion</v>
      </c>
      <c r="AH24">
        <f t="shared" si="4"/>
        <v>4.3552360188502908</v>
      </c>
      <c r="AI24">
        <f t="shared" si="5"/>
        <v>4.2282449548011529</v>
      </c>
      <c r="AJ24" t="str">
        <f t="shared" si="6"/>
        <v/>
      </c>
      <c r="AK24" t="str">
        <f t="shared" si="7"/>
        <v/>
      </c>
    </row>
    <row r="25" spans="1:37" x14ac:dyDescent="0.2">
      <c r="A25" t="s">
        <v>430</v>
      </c>
      <c r="B25">
        <v>-200</v>
      </c>
      <c r="C25" s="4" t="s">
        <v>1657</v>
      </c>
      <c r="D25" t="s">
        <v>1257</v>
      </c>
      <c r="E25" t="s">
        <v>1549</v>
      </c>
      <c r="F25">
        <v>106.18777634762812</v>
      </c>
      <c r="G25">
        <v>0.20909285927557944</v>
      </c>
      <c r="H25">
        <v>3.1566666666666667</v>
      </c>
      <c r="I25">
        <v>2.726233996169853</v>
      </c>
      <c r="J25" s="137">
        <v>2.5604743907886389</v>
      </c>
      <c r="L25" s="137"/>
      <c r="N25">
        <v>425</v>
      </c>
      <c r="O25">
        <f t="shared" si="1"/>
        <v>-13.174345604768293</v>
      </c>
      <c r="P25">
        <f t="shared" si="1"/>
        <v>-14.185254044063361</v>
      </c>
      <c r="AE25">
        <f>VLOOKUP(A25,Literatuur!$A:$B,2,FALSE)</f>
        <v>37</v>
      </c>
      <c r="AF25" t="str">
        <f t="shared" si="2"/>
        <v>Xylene</v>
      </c>
      <c r="AG25" t="str">
        <f t="shared" si="3"/>
        <v>immersion</v>
      </c>
      <c r="AH25">
        <f t="shared" si="4"/>
        <v>2.726233996169853</v>
      </c>
      <c r="AI25">
        <f t="shared" si="5"/>
        <v>2.5604743907886389</v>
      </c>
      <c r="AJ25" t="str">
        <f t="shared" si="6"/>
        <v/>
      </c>
      <c r="AK25" t="str">
        <f t="shared" si="7"/>
        <v/>
      </c>
    </row>
    <row r="26" spans="1:37" x14ac:dyDescent="0.2">
      <c r="A26" t="s">
        <v>430</v>
      </c>
      <c r="B26">
        <v>-1300</v>
      </c>
      <c r="C26" s="4" t="s">
        <v>1657</v>
      </c>
      <c r="D26" t="s">
        <v>1261</v>
      </c>
      <c r="E26" t="s">
        <v>1890</v>
      </c>
      <c r="F26">
        <v>72.150000000000006</v>
      </c>
      <c r="G26">
        <v>3.925E-2</v>
      </c>
      <c r="H26">
        <v>3.42</v>
      </c>
      <c r="I26">
        <v>3.2730381532562274</v>
      </c>
      <c r="J26" s="137">
        <v>3.0914541203055128</v>
      </c>
      <c r="L26" s="137"/>
      <c r="N26">
        <v>450</v>
      </c>
      <c r="O26">
        <f t="shared" si="1"/>
        <v>-13.273890199281013</v>
      </c>
      <c r="P26">
        <f t="shared" si="1"/>
        <v>-14.284798638576079</v>
      </c>
      <c r="AE26">
        <f>VLOOKUP(A26,Literatuur!$A:$B,2,FALSE)</f>
        <v>37</v>
      </c>
      <c r="AF26" t="str">
        <f t="shared" si="2"/>
        <v>Pentane</v>
      </c>
      <c r="AG26" t="str">
        <f t="shared" si="3"/>
        <v>immersion</v>
      </c>
      <c r="AH26">
        <f t="shared" si="4"/>
        <v>3.2730381532562274</v>
      </c>
      <c r="AI26">
        <f t="shared" si="5"/>
        <v>3.0914541203055128</v>
      </c>
      <c r="AJ26" t="str">
        <f t="shared" si="6"/>
        <v/>
      </c>
      <c r="AK26" t="str">
        <f t="shared" si="7"/>
        <v/>
      </c>
    </row>
    <row r="27" spans="1:37" x14ac:dyDescent="0.2">
      <c r="A27" t="s">
        <v>430</v>
      </c>
      <c r="B27">
        <v>-1301</v>
      </c>
      <c r="C27" s="4" t="s">
        <v>1657</v>
      </c>
      <c r="D27" t="s">
        <v>1263</v>
      </c>
      <c r="E27" t="s">
        <v>1890</v>
      </c>
      <c r="F27">
        <v>86.18</v>
      </c>
      <c r="G27">
        <v>2.3000000000000003E-2</v>
      </c>
      <c r="H27">
        <v>3.8879999999999999</v>
      </c>
      <c r="I27">
        <v>3.5158738437116792</v>
      </c>
      <c r="J27" s="137">
        <v>3.3402716388720437</v>
      </c>
      <c r="L27" s="137"/>
      <c r="N27">
        <v>475</v>
      </c>
      <c r="O27">
        <f t="shared" si="1"/>
        <v>-13.371033295380018</v>
      </c>
      <c r="P27">
        <f t="shared" si="1"/>
        <v>-14.381941734675086</v>
      </c>
      <c r="AE27">
        <f>VLOOKUP(A27,Literatuur!$A:$B,2,FALSE)</f>
        <v>37</v>
      </c>
      <c r="AF27" t="str">
        <f t="shared" si="2"/>
        <v>Hexane</v>
      </c>
      <c r="AG27" t="str">
        <f t="shared" si="3"/>
        <v>immersion</v>
      </c>
      <c r="AH27">
        <f t="shared" si="4"/>
        <v>3.5158738437116792</v>
      </c>
      <c r="AI27">
        <f t="shared" si="5"/>
        <v>3.3402716388720437</v>
      </c>
      <c r="AJ27" t="str">
        <f t="shared" si="6"/>
        <v/>
      </c>
      <c r="AK27" t="str">
        <f t="shared" si="7"/>
        <v/>
      </c>
    </row>
    <row r="28" spans="1:37" x14ac:dyDescent="0.2">
      <c r="A28" t="s">
        <v>430</v>
      </c>
      <c r="B28">
        <v>-1302</v>
      </c>
      <c r="C28" s="4" t="s">
        <v>1657</v>
      </c>
      <c r="D28" t="s">
        <v>859</v>
      </c>
      <c r="E28" t="s">
        <v>1890</v>
      </c>
      <c r="F28">
        <v>84.16</v>
      </c>
      <c r="G28">
        <v>4.9000000000000009E-2</v>
      </c>
      <c r="H28">
        <v>3.48</v>
      </c>
      <c r="I28">
        <v>3.3941656785228913</v>
      </c>
      <c r="J28" s="137">
        <v>3.1851546165507756</v>
      </c>
      <c r="L28" s="137"/>
      <c r="N28">
        <v>500</v>
      </c>
      <c r="O28">
        <f t="shared" si="1"/>
        <v>-13.465941703487026</v>
      </c>
      <c r="P28">
        <f t="shared" si="1"/>
        <v>-14.476850142782094</v>
      </c>
      <c r="AE28">
        <f>VLOOKUP(A28,Literatuur!$A:$B,2,FALSE)</f>
        <v>37</v>
      </c>
      <c r="AF28" t="str">
        <f t="shared" si="2"/>
        <v>Cyclohexane</v>
      </c>
      <c r="AG28" t="str">
        <f t="shared" si="3"/>
        <v>immersion</v>
      </c>
      <c r="AH28">
        <f t="shared" si="4"/>
        <v>3.3941656785228913</v>
      </c>
      <c r="AI28">
        <f t="shared" si="5"/>
        <v>3.1851546165507756</v>
      </c>
      <c r="AJ28" t="str">
        <f t="shared" si="6"/>
        <v/>
      </c>
      <c r="AK28" t="str">
        <f t="shared" si="7"/>
        <v/>
      </c>
    </row>
    <row r="29" spans="1:37" x14ac:dyDescent="0.2">
      <c r="A29" t="s">
        <v>430</v>
      </c>
      <c r="B29">
        <v>-1303</v>
      </c>
      <c r="C29" s="4" t="s">
        <v>1657</v>
      </c>
      <c r="D29" t="s">
        <v>866</v>
      </c>
      <c r="E29" t="s">
        <v>1890</v>
      </c>
      <c r="F29">
        <v>100.2</v>
      </c>
      <c r="G29">
        <v>2.5999999999999999E-3</v>
      </c>
      <c r="H29">
        <v>4.58</v>
      </c>
      <c r="I29">
        <v>4.4519044663666811</v>
      </c>
      <c r="J29" s="137">
        <v>4.2870261269188186</v>
      </c>
      <c r="L29" s="137"/>
      <c r="N29">
        <v>525</v>
      </c>
      <c r="O29">
        <f t="shared" si="1"/>
        <v>-13.558762936212709</v>
      </c>
      <c r="P29">
        <f t="shared" si="1"/>
        <v>-14.569671375507779</v>
      </c>
      <c r="AE29">
        <f>VLOOKUP(A29,Literatuur!$A:$B,2,FALSE)</f>
        <v>37</v>
      </c>
      <c r="AF29" t="str">
        <f t="shared" si="2"/>
        <v>n-Heptane</v>
      </c>
      <c r="AG29" t="str">
        <f t="shared" si="3"/>
        <v>immersion</v>
      </c>
      <c r="AH29">
        <f t="shared" si="4"/>
        <v>4.4519044663666811</v>
      </c>
      <c r="AI29">
        <f t="shared" si="5"/>
        <v>4.2870261269188186</v>
      </c>
      <c r="AJ29" t="str">
        <f t="shared" si="6"/>
        <v/>
      </c>
      <c r="AK29" t="str">
        <f t="shared" si="7"/>
        <v/>
      </c>
    </row>
    <row r="30" spans="1:37" x14ac:dyDescent="0.2">
      <c r="A30" t="s">
        <v>430</v>
      </c>
      <c r="B30">
        <v>-1304</v>
      </c>
      <c r="C30" s="4" t="s">
        <v>1657</v>
      </c>
      <c r="D30" t="s">
        <v>1264</v>
      </c>
      <c r="E30" t="s">
        <v>1890</v>
      </c>
      <c r="F30">
        <v>114.23</v>
      </c>
      <c r="G30">
        <v>6.9999999999999999E-4</v>
      </c>
      <c r="H30">
        <v>5.15</v>
      </c>
      <c r="I30">
        <v>5.0163168786217396</v>
      </c>
      <c r="J30" s="137">
        <v>4.8569014348753798</v>
      </c>
      <c r="L30" s="137"/>
      <c r="N30">
        <v>550</v>
      </c>
      <c r="O30">
        <f t="shared" si="1"/>
        <v>-13.649628249041204</v>
      </c>
      <c r="P30">
        <f t="shared" si="1"/>
        <v>-14.660536688336274</v>
      </c>
      <c r="AE30">
        <f>VLOOKUP(A30,Literatuur!$A:$B,2,FALSE)</f>
        <v>37</v>
      </c>
      <c r="AF30" t="str">
        <f t="shared" si="2"/>
        <v>Octane</v>
      </c>
      <c r="AG30" t="str">
        <f t="shared" si="3"/>
        <v>immersion</v>
      </c>
      <c r="AH30">
        <f t="shared" si="4"/>
        <v>5.0163168786217396</v>
      </c>
      <c r="AI30">
        <f t="shared" si="5"/>
        <v>4.8569014348753798</v>
      </c>
      <c r="AJ30" t="str">
        <f t="shared" si="6"/>
        <v/>
      </c>
      <c r="AK30" t="str">
        <f t="shared" si="7"/>
        <v/>
      </c>
    </row>
    <row r="31" spans="1:37" x14ac:dyDescent="0.2">
      <c r="A31" t="s">
        <v>430</v>
      </c>
      <c r="B31">
        <v>-1305</v>
      </c>
      <c r="C31" s="4" t="s">
        <v>1657</v>
      </c>
      <c r="D31" t="s">
        <v>1265</v>
      </c>
      <c r="E31" t="s">
        <v>1890</v>
      </c>
      <c r="F31">
        <v>112.21</v>
      </c>
      <c r="G31">
        <v>1.4199999999999999E-2</v>
      </c>
      <c r="H31">
        <v>4.37</v>
      </c>
      <c r="I31">
        <v>3.6244128396053545</v>
      </c>
      <c r="J31" s="137">
        <v>3.4786477746811348</v>
      </c>
      <c r="L31" s="137"/>
      <c r="N31">
        <v>575</v>
      </c>
      <c r="O31">
        <f t="shared" si="1"/>
        <v>-13.738655086006055</v>
      </c>
      <c r="P31">
        <f t="shared" si="1"/>
        <v>-14.749563525301124</v>
      </c>
      <c r="AE31">
        <f>VLOOKUP(A31,Literatuur!$A:$B,2,FALSE)</f>
        <v>37</v>
      </c>
      <c r="AF31" t="str">
        <f t="shared" si="2"/>
        <v>2,2,4-Trimethylpentane</v>
      </c>
      <c r="AG31" t="str">
        <f t="shared" si="3"/>
        <v>immersion</v>
      </c>
      <c r="AH31">
        <f t="shared" si="4"/>
        <v>3.6244128396053545</v>
      </c>
      <c r="AI31">
        <f t="shared" si="5"/>
        <v>3.4786477746811348</v>
      </c>
      <c r="AJ31" t="str">
        <f t="shared" si="6"/>
        <v/>
      </c>
      <c r="AK31" t="str">
        <f t="shared" si="7"/>
        <v/>
      </c>
    </row>
    <row r="32" spans="1:37" x14ac:dyDescent="0.2">
      <c r="A32" t="s">
        <v>430</v>
      </c>
      <c r="B32">
        <v>500</v>
      </c>
      <c r="C32" s="4" t="s">
        <v>1657</v>
      </c>
      <c r="D32" t="s">
        <v>503</v>
      </c>
      <c r="E32" t="s">
        <v>1892</v>
      </c>
      <c r="F32">
        <v>112.58999866757466</v>
      </c>
      <c r="G32">
        <v>0.50742586202944473</v>
      </c>
      <c r="H32">
        <v>2.89</v>
      </c>
      <c r="I32">
        <v>2.39195413753158</v>
      </c>
      <c r="J32" s="137">
        <v>2.2361388344502102</v>
      </c>
      <c r="L32" s="137"/>
      <c r="N32">
        <v>600</v>
      </c>
      <c r="O32">
        <f t="shared" ref="O32:P49" si="8">LOG(EXP(O$3-O$4/O$2-0.1351*$N32^0.67+0.003*$N32-10454/O$2))</f>
        <v>-13.825949067518652</v>
      </c>
      <c r="P32">
        <f t="shared" si="8"/>
        <v>-14.836857506813722</v>
      </c>
      <c r="AE32">
        <f>VLOOKUP(A32,Literatuur!$A:$B,2,FALSE)</f>
        <v>37</v>
      </c>
      <c r="AF32" t="str">
        <f t="shared" si="2"/>
        <v>Chlorobenzene</v>
      </c>
      <c r="AG32" t="str">
        <f t="shared" si="3"/>
        <v>immersion</v>
      </c>
      <c r="AH32">
        <f t="shared" si="4"/>
        <v>2.39195413753158</v>
      </c>
      <c r="AI32">
        <f t="shared" si="5"/>
        <v>2.2361388344502102</v>
      </c>
      <c r="AJ32" t="str">
        <f t="shared" si="6"/>
        <v/>
      </c>
      <c r="AK32" t="str">
        <f t="shared" si="7"/>
        <v/>
      </c>
    </row>
    <row r="33" spans="1:37" x14ac:dyDescent="0.2">
      <c r="A33" t="s">
        <v>430</v>
      </c>
      <c r="B33">
        <v>-500</v>
      </c>
      <c r="C33" s="4" t="s">
        <v>1657</v>
      </c>
      <c r="D33" t="s">
        <v>1273</v>
      </c>
      <c r="E33" t="s">
        <v>1892</v>
      </c>
      <c r="F33">
        <v>126.59</v>
      </c>
      <c r="G33">
        <v>0.47650000000000003</v>
      </c>
      <c r="H33">
        <v>2.2999999999999998</v>
      </c>
      <c r="I33">
        <v>1.948482754052784</v>
      </c>
      <c r="J33" s="137">
        <v>1.8907253073410017</v>
      </c>
      <c r="L33" s="137"/>
      <c r="N33">
        <v>625</v>
      </c>
      <c r="O33">
        <f t="shared" si="8"/>
        <v>-13.911605621507922</v>
      </c>
      <c r="P33">
        <f t="shared" si="8"/>
        <v>-14.922514060802994</v>
      </c>
      <c r="AE33">
        <f>VLOOKUP(A33,Literatuur!$A:$B,2,FALSE)</f>
        <v>37</v>
      </c>
      <c r="AF33" t="str">
        <f t="shared" si="2"/>
        <v>Benzyl chloride</v>
      </c>
      <c r="AG33" t="str">
        <f t="shared" si="3"/>
        <v>immersion</v>
      </c>
      <c r="AH33">
        <f t="shared" si="4"/>
        <v>1.948482754052784</v>
      </c>
      <c r="AI33">
        <f t="shared" si="5"/>
        <v>1.8907253073410017</v>
      </c>
      <c r="AJ33" t="str">
        <f t="shared" si="6"/>
        <v/>
      </c>
      <c r="AK33" t="str">
        <f t="shared" si="7"/>
        <v/>
      </c>
    </row>
    <row r="34" spans="1:37" x14ac:dyDescent="0.2">
      <c r="A34" t="s">
        <v>430</v>
      </c>
      <c r="B34">
        <v>-502</v>
      </c>
      <c r="C34" s="4" t="s">
        <v>1657</v>
      </c>
      <c r="D34" t="s">
        <v>1275</v>
      </c>
      <c r="E34" t="s">
        <v>1892</v>
      </c>
      <c r="F34">
        <v>126.586</v>
      </c>
      <c r="G34">
        <v>0.154</v>
      </c>
      <c r="H34">
        <v>3.2</v>
      </c>
      <c r="I34">
        <v>2.9346295986043418</v>
      </c>
      <c r="J34" s="137">
        <v>2.7769746187186297</v>
      </c>
      <c r="L34" s="137"/>
      <c r="N34">
        <v>650</v>
      </c>
      <c r="O34">
        <f t="shared" si="8"/>
        <v>-13.995711333537232</v>
      </c>
      <c r="P34">
        <f t="shared" si="8"/>
        <v>-15.0066197728323</v>
      </c>
      <c r="AE34">
        <f>VLOOKUP(A34,Literatuur!$A:$B,2,FALSE)</f>
        <v>37</v>
      </c>
      <c r="AF34" t="str">
        <f t="shared" si="2"/>
        <v>o-Chlorotoluene</v>
      </c>
      <c r="AG34" t="str">
        <f t="shared" si="3"/>
        <v>immersion</v>
      </c>
      <c r="AH34">
        <f t="shared" si="4"/>
        <v>2.9346295986043418</v>
      </c>
      <c r="AI34">
        <f t="shared" si="5"/>
        <v>2.7769746187186297</v>
      </c>
      <c r="AJ34" t="str">
        <f t="shared" si="6"/>
        <v/>
      </c>
      <c r="AK34" t="str">
        <f t="shared" si="7"/>
        <v/>
      </c>
    </row>
    <row r="35" spans="1:37" x14ac:dyDescent="0.2">
      <c r="A35" t="s">
        <v>430</v>
      </c>
      <c r="B35">
        <v>-503</v>
      </c>
      <c r="C35" s="4" t="s">
        <v>1657</v>
      </c>
      <c r="D35" t="s">
        <v>1278</v>
      </c>
      <c r="E35" t="s">
        <v>1892</v>
      </c>
      <c r="F35">
        <v>126.586</v>
      </c>
      <c r="G35">
        <v>0.11700000000000001</v>
      </c>
      <c r="H35">
        <v>3.7639999999999998</v>
      </c>
      <c r="I35">
        <v>2.9994056865553507</v>
      </c>
      <c r="J35" s="137">
        <v>2.8589277501875987</v>
      </c>
      <c r="L35" s="137"/>
      <c r="N35">
        <v>675</v>
      </c>
      <c r="O35">
        <f t="shared" si="8"/>
        <v>-14.078345073227384</v>
      </c>
      <c r="P35">
        <f t="shared" si="8"/>
        <v>-15.089253512522452</v>
      </c>
      <c r="AE35">
        <f>VLOOKUP(A35,Literatuur!$A:$B,2,FALSE)</f>
        <v>37</v>
      </c>
      <c r="AF35" t="str">
        <f t="shared" si="2"/>
        <v>mo-Chlorotoluene</v>
      </c>
      <c r="AG35" t="str">
        <f t="shared" si="3"/>
        <v>immersion</v>
      </c>
      <c r="AH35">
        <f t="shared" si="4"/>
        <v>2.9994056865553507</v>
      </c>
      <c r="AI35">
        <f t="shared" si="5"/>
        <v>2.8589277501875987</v>
      </c>
      <c r="AJ35" t="str">
        <f t="shared" si="6"/>
        <v/>
      </c>
      <c r="AK35" t="str">
        <f t="shared" si="7"/>
        <v/>
      </c>
    </row>
    <row r="36" spans="1:37" x14ac:dyDescent="0.2">
      <c r="A36" t="s">
        <v>430</v>
      </c>
      <c r="B36">
        <v>-504</v>
      </c>
      <c r="C36" s="4" t="s">
        <v>1657</v>
      </c>
      <c r="D36" t="s">
        <v>1279</v>
      </c>
      <c r="E36" t="s">
        <v>1892</v>
      </c>
      <c r="F36">
        <v>126.586</v>
      </c>
      <c r="G36">
        <v>0.123</v>
      </c>
      <c r="H36">
        <v>3.33</v>
      </c>
      <c r="I36">
        <v>2.9810926855540258</v>
      </c>
      <c r="J36" s="137">
        <v>2.8372085004943628</v>
      </c>
      <c r="L36" s="137"/>
      <c r="N36">
        <v>700</v>
      </c>
      <c r="O36">
        <f t="shared" si="8"/>
        <v>-14.159578940935026</v>
      </c>
      <c r="P36">
        <f t="shared" si="8"/>
        <v>-15.170487380230094</v>
      </c>
      <c r="AE36">
        <f>VLOOKUP(A36,Literatuur!$A:$B,2,FALSE)</f>
        <v>37</v>
      </c>
      <c r="AF36" t="str">
        <f t="shared" si="2"/>
        <v>p-Chlorotoluene</v>
      </c>
      <c r="AG36" t="str">
        <f t="shared" si="3"/>
        <v>immersion</v>
      </c>
      <c r="AH36">
        <f t="shared" si="4"/>
        <v>2.9810926855540258</v>
      </c>
      <c r="AI36">
        <f t="shared" si="5"/>
        <v>2.8372085004943628</v>
      </c>
      <c r="AJ36" t="str">
        <f t="shared" si="6"/>
        <v/>
      </c>
      <c r="AK36" t="str">
        <f t="shared" si="7"/>
        <v/>
      </c>
    </row>
    <row r="37" spans="1:37" x14ac:dyDescent="0.2">
      <c r="A37" t="s">
        <v>430</v>
      </c>
      <c r="B37">
        <v>528</v>
      </c>
      <c r="C37" s="4" t="s">
        <v>1657</v>
      </c>
      <c r="D37" t="s">
        <v>1280</v>
      </c>
      <c r="E37" t="s">
        <v>1892</v>
      </c>
      <c r="F37">
        <v>147.002499936227</v>
      </c>
      <c r="G37">
        <v>0.14021858602054385</v>
      </c>
      <c r="H37">
        <v>3.43</v>
      </c>
      <c r="I37">
        <v>2.9537028111767518</v>
      </c>
      <c r="J37" s="137">
        <v>2.8309180219636372</v>
      </c>
      <c r="L37" s="137"/>
      <c r="N37">
        <v>725</v>
      </c>
      <c r="O37">
        <f t="shared" si="8"/>
        <v>-14.23947906874344</v>
      </c>
      <c r="P37">
        <f t="shared" si="8"/>
        <v>-15.250387508038509</v>
      </c>
      <c r="AE37">
        <f>VLOOKUP(A37,Literatuur!$A:$B,2,FALSE)</f>
        <v>37</v>
      </c>
      <c r="AF37" t="str">
        <f t="shared" si="2"/>
        <v>1,2-Dichlorobenzene</v>
      </c>
      <c r="AG37" t="str">
        <f t="shared" si="3"/>
        <v>immersion</v>
      </c>
      <c r="AH37">
        <f t="shared" si="4"/>
        <v>2.9537028111767518</v>
      </c>
      <c r="AI37">
        <f t="shared" si="5"/>
        <v>2.8309180219636372</v>
      </c>
      <c r="AJ37" t="str">
        <f t="shared" si="6"/>
        <v/>
      </c>
      <c r="AK37" t="str">
        <f t="shared" si="7"/>
        <v/>
      </c>
    </row>
    <row r="38" spans="1:37" x14ac:dyDescent="0.2">
      <c r="A38" t="s">
        <v>430</v>
      </c>
      <c r="B38">
        <v>-505</v>
      </c>
      <c r="C38" s="4" t="s">
        <v>1657</v>
      </c>
      <c r="D38" t="s">
        <v>1284</v>
      </c>
      <c r="E38" t="s">
        <v>1892</v>
      </c>
      <c r="F38">
        <v>147</v>
      </c>
      <c r="G38">
        <v>0.11433333333333333</v>
      </c>
      <c r="H38">
        <v>3.4</v>
      </c>
      <c r="I38">
        <v>3.1283314331700307</v>
      </c>
      <c r="J38" s="137">
        <v>2.9802485803193512</v>
      </c>
      <c r="K38">
        <v>-11.657760141526065</v>
      </c>
      <c r="L38" s="137">
        <v>-12.091415702464637</v>
      </c>
      <c r="N38">
        <v>750</v>
      </c>
      <c r="O38">
        <f t="shared" si="8"/>
        <v>-14.318106302421295</v>
      </c>
      <c r="P38">
        <f t="shared" si="8"/>
        <v>-15.329014741716364</v>
      </c>
      <c r="AE38">
        <f>VLOOKUP(A38,Literatuur!$A:$B,2,FALSE)</f>
        <v>37</v>
      </c>
      <c r="AF38" t="str">
        <f t="shared" si="2"/>
        <v>1,3-Dichlorobenzene</v>
      </c>
      <c r="AG38" t="str">
        <f t="shared" si="3"/>
        <v>immersion</v>
      </c>
      <c r="AH38">
        <f t="shared" si="4"/>
        <v>3.1283314331700307</v>
      </c>
      <c r="AI38">
        <f t="shared" si="5"/>
        <v>2.9802485803193512</v>
      </c>
      <c r="AJ38">
        <f t="shared" si="6"/>
        <v>-11.657760141526065</v>
      </c>
      <c r="AK38">
        <f t="shared" si="7"/>
        <v>-12.091415702464637</v>
      </c>
    </row>
    <row r="39" spans="1:37" x14ac:dyDescent="0.2">
      <c r="A39" t="s">
        <v>430</v>
      </c>
      <c r="B39">
        <v>501</v>
      </c>
      <c r="C39" s="4" t="s">
        <v>1657</v>
      </c>
      <c r="D39" t="s">
        <v>1285</v>
      </c>
      <c r="E39" t="s">
        <v>1892</v>
      </c>
      <c r="F39">
        <v>147.00199994558051</v>
      </c>
      <c r="G39">
        <v>6.0526307160070549E-2</v>
      </c>
      <c r="H39">
        <v>3.44</v>
      </c>
      <c r="I39">
        <v>2.8252963263495219</v>
      </c>
      <c r="J39" s="137">
        <v>2.7398474721569026</v>
      </c>
      <c r="L39" s="137"/>
      <c r="N39">
        <v>775</v>
      </c>
      <c r="O39">
        <f t="shared" si="8"/>
        <v>-14.3955167854041</v>
      </c>
      <c r="P39">
        <f t="shared" si="8"/>
        <v>-15.406425224699168</v>
      </c>
      <c r="AE39">
        <f>VLOOKUP(A39,Literatuur!$A:$B,2,FALSE)</f>
        <v>37</v>
      </c>
      <c r="AF39" t="str">
        <f t="shared" si="2"/>
        <v>1,4-Dichlorobenzene</v>
      </c>
      <c r="AG39" t="str">
        <f t="shared" si="3"/>
        <v>immersion</v>
      </c>
      <c r="AH39">
        <f t="shared" si="4"/>
        <v>2.8252963263495219</v>
      </c>
      <c r="AI39">
        <f t="shared" si="5"/>
        <v>2.7398474721569026</v>
      </c>
      <c r="AJ39" t="str">
        <f t="shared" si="6"/>
        <v/>
      </c>
      <c r="AK39" t="str">
        <f t="shared" si="7"/>
        <v/>
      </c>
    </row>
    <row r="40" spans="1:37" x14ac:dyDescent="0.2">
      <c r="A40" t="s">
        <v>430</v>
      </c>
      <c r="B40">
        <v>530</v>
      </c>
      <c r="C40" s="4" t="s">
        <v>1657</v>
      </c>
      <c r="D40" t="s">
        <v>1286</v>
      </c>
      <c r="E40" t="s">
        <v>1892</v>
      </c>
      <c r="F40">
        <v>181.43999503992538</v>
      </c>
      <c r="G40">
        <v>1.362398701186651E-2</v>
      </c>
      <c r="H40">
        <v>4.1399999999999997</v>
      </c>
      <c r="I40">
        <v>3.4527328968139694</v>
      </c>
      <c r="J40" s="137">
        <v>3.3748983014016165</v>
      </c>
      <c r="L40" s="137"/>
      <c r="N40">
        <v>800</v>
      </c>
      <c r="O40">
        <f t="shared" si="8"/>
        <v>-14.471762461571636</v>
      </c>
      <c r="P40">
        <f t="shared" si="8"/>
        <v>-15.482670900866706</v>
      </c>
      <c r="AE40">
        <f>VLOOKUP(A40,Literatuur!$A:$B,2,FALSE)</f>
        <v>37</v>
      </c>
      <c r="AF40" t="str">
        <f t="shared" si="2"/>
        <v>1,2,3-Trichlorobenzene</v>
      </c>
      <c r="AG40" t="str">
        <f t="shared" si="3"/>
        <v>immersion</v>
      </c>
      <c r="AH40">
        <f t="shared" si="4"/>
        <v>3.4527328968139694</v>
      </c>
      <c r="AI40">
        <f t="shared" si="5"/>
        <v>3.3748983014016165</v>
      </c>
      <c r="AJ40" t="str">
        <f t="shared" si="6"/>
        <v/>
      </c>
      <c r="AK40" t="str">
        <f t="shared" si="7"/>
        <v/>
      </c>
    </row>
    <row r="41" spans="1:37" x14ac:dyDescent="0.2">
      <c r="A41" t="s">
        <v>430</v>
      </c>
      <c r="B41">
        <v>502</v>
      </c>
      <c r="C41" s="4" t="s">
        <v>1657</v>
      </c>
      <c r="D41" t="s">
        <v>1287</v>
      </c>
      <c r="E41" t="s">
        <v>1892</v>
      </c>
      <c r="F41">
        <v>181.43999503992538</v>
      </c>
      <c r="G41">
        <v>2.8808020153910686E-2</v>
      </c>
      <c r="H41">
        <v>4.05</v>
      </c>
      <c r="I41">
        <v>3.7056715394729687</v>
      </c>
      <c r="J41" s="137">
        <v>3.5863960548419715</v>
      </c>
      <c r="L41" s="137"/>
      <c r="N41">
        <v>825</v>
      </c>
      <c r="O41">
        <f t="shared" si="8"/>
        <v>-14.546891510290145</v>
      </c>
      <c r="P41">
        <f t="shared" si="8"/>
        <v>-15.557799949585215</v>
      </c>
      <c r="AE41">
        <f>VLOOKUP(A41,Literatuur!$A:$B,2,FALSE)</f>
        <v>37</v>
      </c>
      <c r="AF41" t="str">
        <f t="shared" si="2"/>
        <v>1,2,4-Trichlorobenzene</v>
      </c>
      <c r="AG41" t="str">
        <f t="shared" si="3"/>
        <v>immersion</v>
      </c>
      <c r="AH41">
        <f t="shared" si="4"/>
        <v>3.7056715394729687</v>
      </c>
      <c r="AI41">
        <f t="shared" si="5"/>
        <v>3.5863960548419715</v>
      </c>
      <c r="AJ41" t="str">
        <f t="shared" si="6"/>
        <v/>
      </c>
      <c r="AK41" t="str">
        <f t="shared" si="7"/>
        <v/>
      </c>
    </row>
    <row r="42" spans="1:37" x14ac:dyDescent="0.2">
      <c r="A42" t="s">
        <v>430</v>
      </c>
      <c r="B42">
        <v>531</v>
      </c>
      <c r="C42" s="4" t="s">
        <v>1657</v>
      </c>
      <c r="D42" t="s">
        <v>1288</v>
      </c>
      <c r="E42" t="s">
        <v>1892</v>
      </c>
      <c r="F42">
        <v>181.42499827752513</v>
      </c>
      <c r="G42">
        <v>4.7119534067902348E-3</v>
      </c>
      <c r="H42">
        <v>4.1900000000000004</v>
      </c>
      <c r="I42">
        <v>3.9340395164656732</v>
      </c>
      <c r="J42" s="137">
        <v>3.8608251186900651</v>
      </c>
      <c r="L42" s="137"/>
      <c r="N42">
        <v>850</v>
      </c>
      <c r="O42">
        <f t="shared" si="8"/>
        <v>-14.620948724614546</v>
      </c>
      <c r="P42">
        <f t="shared" si="8"/>
        <v>-15.631857163909615</v>
      </c>
      <c r="AE42">
        <f>VLOOKUP(A42,Literatuur!$A:$B,2,FALSE)</f>
        <v>37</v>
      </c>
      <c r="AF42" t="str">
        <f t="shared" si="2"/>
        <v>1,3,5-Trichlorobenzene</v>
      </c>
      <c r="AG42" t="str">
        <f t="shared" si="3"/>
        <v>immersion</v>
      </c>
      <c r="AH42">
        <f t="shared" si="4"/>
        <v>3.9340395164656732</v>
      </c>
      <c r="AI42">
        <f t="shared" si="5"/>
        <v>3.8608251186900651</v>
      </c>
      <c r="AJ42" t="str">
        <f t="shared" si="6"/>
        <v/>
      </c>
      <c r="AK42" t="str">
        <f t="shared" si="7"/>
        <v/>
      </c>
    </row>
    <row r="43" spans="1:37" x14ac:dyDescent="0.2">
      <c r="A43" t="s">
        <v>430</v>
      </c>
      <c r="B43">
        <v>-506</v>
      </c>
      <c r="C43" s="4" t="s">
        <v>1657</v>
      </c>
      <c r="D43" t="s">
        <v>1290</v>
      </c>
      <c r="E43" t="s">
        <v>1892</v>
      </c>
      <c r="F43">
        <v>195.47499999999999</v>
      </c>
      <c r="G43">
        <v>5.1500000000000004E-2</v>
      </c>
      <c r="H43">
        <v>2.92</v>
      </c>
      <c r="I43">
        <v>3.2690139376031446</v>
      </c>
      <c r="J43" s="137">
        <v>3.2249577685687503</v>
      </c>
      <c r="L43" s="137"/>
      <c r="N43">
        <v>875</v>
      </c>
      <c r="O43">
        <f t="shared" si="8"/>
        <v>-14.693975841525504</v>
      </c>
      <c r="P43">
        <f t="shared" si="8"/>
        <v>-15.704884280820568</v>
      </c>
      <c r="AE43">
        <f>VLOOKUP(A43,Literatuur!$A:$B,2,FALSE)</f>
        <v>37</v>
      </c>
      <c r="AF43" t="str">
        <f t="shared" si="2"/>
        <v>Benzotrichloride</v>
      </c>
      <c r="AG43" t="str">
        <f t="shared" si="3"/>
        <v>immersion</v>
      </c>
      <c r="AH43">
        <f t="shared" si="4"/>
        <v>3.2690139376031446</v>
      </c>
      <c r="AI43">
        <f t="shared" si="5"/>
        <v>3.2249577685687503</v>
      </c>
      <c r="AJ43" t="str">
        <f t="shared" si="6"/>
        <v/>
      </c>
      <c r="AK43" t="str">
        <f t="shared" si="7"/>
        <v/>
      </c>
    </row>
    <row r="44" spans="1:37" x14ac:dyDescent="0.2">
      <c r="A44" t="s">
        <v>430</v>
      </c>
      <c r="B44">
        <v>-507</v>
      </c>
      <c r="C44" s="4" t="s">
        <v>1657</v>
      </c>
      <c r="D44" t="s">
        <v>1294</v>
      </c>
      <c r="E44" t="s">
        <v>1892</v>
      </c>
      <c r="F44">
        <v>216</v>
      </c>
      <c r="G44">
        <v>4.1599999999999996E-3</v>
      </c>
      <c r="H44">
        <v>4.5999999999999996</v>
      </c>
      <c r="I44">
        <v>3.8887625410690885</v>
      </c>
      <c r="J44" s="137">
        <v>3.9026983190123805</v>
      </c>
      <c r="L44" s="137"/>
      <c r="N44">
        <v>900</v>
      </c>
      <c r="O44">
        <f t="shared" si="8"/>
        <v>-14.766011831477096</v>
      </c>
      <c r="P44">
        <f t="shared" si="8"/>
        <v>-15.776920270772164</v>
      </c>
      <c r="AE44">
        <f>VLOOKUP(A44,Literatuur!$A:$B,2,FALSE)</f>
        <v>37</v>
      </c>
      <c r="AF44" t="str">
        <f t="shared" si="2"/>
        <v>1,2,4,5-tetrachlorobenzene</v>
      </c>
      <c r="AG44" t="str">
        <f t="shared" si="3"/>
        <v>immersion</v>
      </c>
      <c r="AH44">
        <f t="shared" si="4"/>
        <v>3.8887625410690885</v>
      </c>
      <c r="AI44">
        <f t="shared" si="5"/>
        <v>3.9026983190123805</v>
      </c>
      <c r="AJ44" t="str">
        <f t="shared" si="6"/>
        <v/>
      </c>
      <c r="AK44" t="str">
        <f t="shared" si="7"/>
        <v/>
      </c>
    </row>
    <row r="45" spans="1:37" x14ac:dyDescent="0.2">
      <c r="A45" t="s">
        <v>430</v>
      </c>
      <c r="B45">
        <v>504</v>
      </c>
      <c r="C45" s="4" t="s">
        <v>1657</v>
      </c>
      <c r="D45" t="s">
        <v>1295</v>
      </c>
      <c r="E45" t="s">
        <v>1892</v>
      </c>
      <c r="F45">
        <v>250.12977852353896</v>
      </c>
      <c r="G45">
        <v>3.2281846202218884E-4</v>
      </c>
      <c r="H45">
        <v>5.0766666666666671</v>
      </c>
      <c r="I45">
        <v>4.2999275032519009</v>
      </c>
      <c r="J45" s="137">
        <v>4.1677352455169556</v>
      </c>
      <c r="L45" s="137"/>
      <c r="N45">
        <v>925</v>
      </c>
      <c r="O45">
        <f t="shared" si="8"/>
        <v>-14.837093153256223</v>
      </c>
      <c r="P45">
        <f t="shared" si="8"/>
        <v>-15.848001592551292</v>
      </c>
      <c r="AE45">
        <f>VLOOKUP(A45,Literatuur!$A:$B,2,FALSE)</f>
        <v>37</v>
      </c>
      <c r="AF45" t="str">
        <f t="shared" si="2"/>
        <v>Pentachlorobenzene</v>
      </c>
      <c r="AG45" t="str">
        <f t="shared" si="3"/>
        <v>immersion</v>
      </c>
      <c r="AH45">
        <f t="shared" si="4"/>
        <v>4.2999275032519009</v>
      </c>
      <c r="AI45">
        <f t="shared" si="5"/>
        <v>4.1677352455169556</v>
      </c>
      <c r="AJ45" t="str">
        <f t="shared" si="6"/>
        <v/>
      </c>
      <c r="AK45" t="str">
        <f t="shared" si="7"/>
        <v/>
      </c>
    </row>
    <row r="46" spans="1:37" x14ac:dyDescent="0.2">
      <c r="A46" t="s">
        <v>430</v>
      </c>
      <c r="B46">
        <v>-402</v>
      </c>
      <c r="C46" s="4" t="s">
        <v>1657</v>
      </c>
      <c r="D46" t="s">
        <v>537</v>
      </c>
      <c r="E46" t="s">
        <v>1891</v>
      </c>
      <c r="F46">
        <v>84.93</v>
      </c>
      <c r="G46">
        <v>20</v>
      </c>
      <c r="H46">
        <v>1.25</v>
      </c>
      <c r="I46">
        <v>0.68394713075151214</v>
      </c>
      <c r="J46" s="137">
        <v>0.56878821231534693</v>
      </c>
      <c r="L46" s="137"/>
      <c r="N46">
        <v>950</v>
      </c>
      <c r="O46">
        <f t="shared" si="8"/>
        <v>-14.907253979132065</v>
      </c>
      <c r="P46">
        <f t="shared" si="8"/>
        <v>-15.918162418427134</v>
      </c>
      <c r="AE46">
        <f>VLOOKUP(A46,Literatuur!$A:$B,2,FALSE)</f>
        <v>37</v>
      </c>
      <c r="AF46" t="str">
        <f t="shared" si="2"/>
        <v>Dichloromethane</v>
      </c>
      <c r="AG46" t="str">
        <f t="shared" si="3"/>
        <v>immersion</v>
      </c>
      <c r="AH46">
        <f t="shared" si="4"/>
        <v>0.68394713075151214</v>
      </c>
      <c r="AI46">
        <f t="shared" si="5"/>
        <v>0.56878821231534693</v>
      </c>
      <c r="AJ46" t="str">
        <f t="shared" si="6"/>
        <v/>
      </c>
      <c r="AK46" t="str">
        <f t="shared" si="7"/>
        <v/>
      </c>
    </row>
    <row r="47" spans="1:37" x14ac:dyDescent="0.2">
      <c r="A47" t="s">
        <v>430</v>
      </c>
      <c r="B47">
        <v>-403</v>
      </c>
      <c r="C47" s="4" t="s">
        <v>1657</v>
      </c>
      <c r="D47" t="s">
        <v>1296</v>
      </c>
      <c r="E47" t="s">
        <v>1891</v>
      </c>
      <c r="F47">
        <v>153.82</v>
      </c>
      <c r="G47">
        <v>0.8</v>
      </c>
      <c r="H47">
        <v>2.83</v>
      </c>
      <c r="I47">
        <v>2.5094041602586916</v>
      </c>
      <c r="J47" s="137">
        <v>2.3151828665795038</v>
      </c>
      <c r="L47" s="137"/>
      <c r="N47">
        <v>975</v>
      </c>
      <c r="O47">
        <f t="shared" si="8"/>
        <v>-14.976526394447379</v>
      </c>
      <c r="P47">
        <f t="shared" si="8"/>
        <v>-15.987434833742448</v>
      </c>
      <c r="AE47">
        <f>VLOOKUP(A47,Literatuur!$A:$B,2,FALSE)</f>
        <v>37</v>
      </c>
      <c r="AF47" t="str">
        <f t="shared" si="2"/>
        <v>Tetrachloromethane</v>
      </c>
      <c r="AG47" t="str">
        <f t="shared" si="3"/>
        <v>immersion</v>
      </c>
      <c r="AH47">
        <f t="shared" si="4"/>
        <v>2.5094041602586916</v>
      </c>
      <c r="AI47">
        <f t="shared" si="5"/>
        <v>2.3151828665795038</v>
      </c>
      <c r="AJ47" t="str">
        <f t="shared" si="6"/>
        <v/>
      </c>
      <c r="AK47" t="str">
        <f t="shared" si="7"/>
        <v/>
      </c>
    </row>
    <row r="48" spans="1:37" x14ac:dyDescent="0.2">
      <c r="A48" t="s">
        <v>430</v>
      </c>
      <c r="B48">
        <v>400</v>
      </c>
      <c r="C48" s="4" t="s">
        <v>1657</v>
      </c>
      <c r="D48" t="s">
        <v>907</v>
      </c>
      <c r="E48" t="s">
        <v>1891</v>
      </c>
      <c r="F48">
        <v>98.973331537275584</v>
      </c>
      <c r="G48">
        <v>10.188832473485421</v>
      </c>
      <c r="H48">
        <v>1.47</v>
      </c>
      <c r="I48">
        <v>0.71909139935278277</v>
      </c>
      <c r="J48" s="137">
        <v>0.63235701541471201</v>
      </c>
      <c r="L48" s="137"/>
      <c r="N48">
        <v>1000</v>
      </c>
      <c r="O48">
        <f t="shared" si="8"/>
        <v>-15.044940575132152</v>
      </c>
      <c r="P48">
        <f t="shared" si="8"/>
        <v>-16.055849014427221</v>
      </c>
      <c r="AE48">
        <f>VLOOKUP(A48,Literatuur!$A:$B,2,FALSE)</f>
        <v>37</v>
      </c>
      <c r="AF48" t="str">
        <f t="shared" ref="AF48:AF77" si="9">D48</f>
        <v>1,2-Dichloroethane</v>
      </c>
      <c r="AG48" t="str">
        <f t="shared" ref="AG48:AG77" si="10">C48</f>
        <v>immersion</v>
      </c>
      <c r="AH48">
        <f t="shared" ref="AH48:AH77" si="11">IF(ISNUMBER(I48),I48,"")</f>
        <v>0.71909139935278277</v>
      </c>
      <c r="AI48">
        <f t="shared" ref="AI48:AI77" si="12">IF(ISNUMBER(J48),J48,"")</f>
        <v>0.63235701541471201</v>
      </c>
      <c r="AJ48" t="str">
        <f t="shared" ref="AJ48:AJ77" si="13">IF(ISNUMBER(K48),K48,"")</f>
        <v/>
      </c>
      <c r="AK48" t="str">
        <f t="shared" ref="AK48:AK77" si="14">IF(ISNUMBER(L48),L48,"")</f>
        <v/>
      </c>
    </row>
    <row r="49" spans="1:37" x14ac:dyDescent="0.2">
      <c r="A49" t="s">
        <v>430</v>
      </c>
      <c r="B49">
        <v>-401</v>
      </c>
      <c r="C49" s="4" t="s">
        <v>1657</v>
      </c>
      <c r="D49" t="s">
        <v>1299</v>
      </c>
      <c r="E49" t="s">
        <v>1891</v>
      </c>
      <c r="F49">
        <v>167.85</v>
      </c>
      <c r="G49">
        <v>2.9</v>
      </c>
      <c r="H49">
        <v>2.39</v>
      </c>
      <c r="I49">
        <v>1.5225791285165373</v>
      </c>
      <c r="J49" s="137">
        <v>1.4396048934517733</v>
      </c>
      <c r="L49" s="137"/>
      <c r="N49">
        <v>1025</v>
      </c>
      <c r="O49">
        <f t="shared" si="8"/>
        <v>-15.112524946070959</v>
      </c>
      <c r="P49">
        <f t="shared" si="8"/>
        <v>-16.123433385366027</v>
      </c>
      <c r="AE49">
        <f>VLOOKUP(A49,Literatuur!$A:$B,2,FALSE)</f>
        <v>37</v>
      </c>
      <c r="AF49" t="str">
        <f t="shared" si="9"/>
        <v>1,1,2,2-Tetrachloroethane</v>
      </c>
      <c r="AG49" t="str">
        <f t="shared" si="10"/>
        <v>immersion</v>
      </c>
      <c r="AH49">
        <f t="shared" si="11"/>
        <v>1.5225791285165373</v>
      </c>
      <c r="AI49">
        <f t="shared" si="12"/>
        <v>1.4396048934517733</v>
      </c>
      <c r="AJ49" t="str">
        <f t="shared" si="13"/>
        <v/>
      </c>
      <c r="AK49" t="str">
        <f t="shared" si="14"/>
        <v/>
      </c>
    </row>
    <row r="50" spans="1:37" x14ac:dyDescent="0.2">
      <c r="A50" t="s">
        <v>430</v>
      </c>
      <c r="B50">
        <v>408</v>
      </c>
      <c r="C50" s="4" t="s">
        <v>1657</v>
      </c>
      <c r="D50" t="s">
        <v>1303</v>
      </c>
      <c r="E50" t="s">
        <v>1891</v>
      </c>
      <c r="F50">
        <v>133.4</v>
      </c>
      <c r="G50">
        <v>2.3433333333333333</v>
      </c>
      <c r="H50">
        <v>2.8000000000000003</v>
      </c>
      <c r="I50">
        <v>1.7926108439998165</v>
      </c>
      <c r="J50" s="137">
        <v>1.641313290475636</v>
      </c>
      <c r="L50" s="137"/>
      <c r="N50">
        <v>1050</v>
      </c>
      <c r="O50">
        <f>LOG(EXP(O$3-O$4/O$2-0.1351*$N50^0.67+0.003*$N50-10454/O$2))</f>
        <v>-15.179306322804562</v>
      </c>
      <c r="P50">
        <f>LOG(EXP(P$3-P$4/P$2-0.1351*$N50^0.67+0.003*$N50-10454/P$2))</f>
        <v>-16.190214762099629</v>
      </c>
      <c r="AE50">
        <f>VLOOKUP(A50,Literatuur!$A:$B,2,FALSE)</f>
        <v>37</v>
      </c>
      <c r="AF50" t="str">
        <f t="shared" si="9"/>
        <v>1,1,1-Trichloroethane</v>
      </c>
      <c r="AG50" t="str">
        <f t="shared" si="10"/>
        <v>immersion</v>
      </c>
      <c r="AH50">
        <f t="shared" si="11"/>
        <v>1.7926108439998165</v>
      </c>
      <c r="AI50">
        <f t="shared" si="12"/>
        <v>1.641313290475636</v>
      </c>
      <c r="AJ50" t="str">
        <f t="shared" si="13"/>
        <v/>
      </c>
      <c r="AK50" t="str">
        <f t="shared" si="14"/>
        <v/>
      </c>
    </row>
    <row r="51" spans="1:37" x14ac:dyDescent="0.2">
      <c r="A51" t="s">
        <v>430</v>
      </c>
      <c r="B51">
        <v>409</v>
      </c>
      <c r="C51" s="4" t="s">
        <v>1657</v>
      </c>
      <c r="D51" t="s">
        <v>1302</v>
      </c>
      <c r="E51" t="s">
        <v>1891</v>
      </c>
      <c r="F51">
        <v>133.4</v>
      </c>
      <c r="G51">
        <v>3.0550000000000002</v>
      </c>
      <c r="H51">
        <v>1.8900000000000001</v>
      </c>
      <c r="I51">
        <v>1.3925904651506988</v>
      </c>
      <c r="J51" s="137">
        <v>1.3122563262521434</v>
      </c>
      <c r="L51" s="137"/>
      <c r="AE51">
        <f>VLOOKUP(A51,Literatuur!$A:$B,2,FALSE)</f>
        <v>37</v>
      </c>
      <c r="AF51" t="str">
        <f t="shared" si="9"/>
        <v>1,1,2-Trichloroethane</v>
      </c>
      <c r="AG51" t="str">
        <f t="shared" si="10"/>
        <v>immersion</v>
      </c>
      <c r="AH51">
        <f t="shared" si="11"/>
        <v>1.3925904651506988</v>
      </c>
      <c r="AI51">
        <f t="shared" si="12"/>
        <v>1.3122563262521434</v>
      </c>
      <c r="AJ51" t="str">
        <f t="shared" si="13"/>
        <v/>
      </c>
      <c r="AK51" t="str">
        <f t="shared" si="14"/>
        <v/>
      </c>
    </row>
    <row r="52" spans="1:37" x14ac:dyDescent="0.2">
      <c r="A52" t="s">
        <v>430</v>
      </c>
      <c r="B52">
        <v>415</v>
      </c>
      <c r="C52" s="4" t="s">
        <v>1657</v>
      </c>
      <c r="D52" t="s">
        <v>1304</v>
      </c>
      <c r="E52" t="s">
        <v>1891</v>
      </c>
      <c r="F52">
        <v>113</v>
      </c>
      <c r="G52">
        <v>1.4690000000000001</v>
      </c>
      <c r="H52">
        <v>1.99</v>
      </c>
      <c r="I52">
        <v>1.6718272949469988</v>
      </c>
      <c r="J52" s="137">
        <v>1.5588898365047916</v>
      </c>
      <c r="L52" s="137"/>
      <c r="AE52">
        <f>VLOOKUP(A52,Literatuur!$A:$B,2,FALSE)</f>
        <v>37</v>
      </c>
      <c r="AF52" t="str">
        <f t="shared" si="9"/>
        <v>1,2-Dichloropropane</v>
      </c>
      <c r="AG52" t="str">
        <f t="shared" si="10"/>
        <v>immersion</v>
      </c>
      <c r="AH52">
        <f t="shared" si="11"/>
        <v>1.6718272949469988</v>
      </c>
      <c r="AI52">
        <f t="shared" si="12"/>
        <v>1.5588898365047916</v>
      </c>
      <c r="AJ52" t="str">
        <f t="shared" si="13"/>
        <v/>
      </c>
      <c r="AK52" t="str">
        <f t="shared" si="14"/>
        <v/>
      </c>
    </row>
    <row r="53" spans="1:37" x14ac:dyDescent="0.2">
      <c r="A53" t="s">
        <v>430</v>
      </c>
      <c r="B53">
        <v>410</v>
      </c>
      <c r="C53" s="4" t="s">
        <v>1657</v>
      </c>
      <c r="D53" t="s">
        <v>1307</v>
      </c>
      <c r="E53" t="s">
        <v>1891</v>
      </c>
      <c r="F53">
        <v>96.95</v>
      </c>
      <c r="G53">
        <v>0.77560000000000007</v>
      </c>
      <c r="H53">
        <v>1.906666666666667</v>
      </c>
      <c r="I53">
        <v>2.3641846383014054</v>
      </c>
      <c r="J53" s="137">
        <v>2.1884563499997429</v>
      </c>
      <c r="L53" s="137"/>
      <c r="AE53">
        <f>VLOOKUP(A53,Literatuur!$A:$B,2,FALSE)</f>
        <v>37</v>
      </c>
      <c r="AF53" t="str">
        <f t="shared" si="9"/>
        <v>1,2-dichloro-, (Z)-Ethene</v>
      </c>
      <c r="AG53" t="str">
        <f t="shared" si="10"/>
        <v>immersion</v>
      </c>
      <c r="AH53">
        <f t="shared" si="11"/>
        <v>2.3641846383014054</v>
      </c>
      <c r="AI53">
        <f t="shared" si="12"/>
        <v>2.1884563499997429</v>
      </c>
      <c r="AJ53" t="str">
        <f t="shared" si="13"/>
        <v/>
      </c>
      <c r="AK53" t="str">
        <f t="shared" si="14"/>
        <v/>
      </c>
    </row>
    <row r="54" spans="1:37" x14ac:dyDescent="0.2">
      <c r="A54" t="s">
        <v>430</v>
      </c>
      <c r="B54">
        <v>403</v>
      </c>
      <c r="C54" s="4" t="s">
        <v>1657</v>
      </c>
      <c r="D54" t="s">
        <v>695</v>
      </c>
      <c r="E54" t="s">
        <v>1891</v>
      </c>
      <c r="F54">
        <v>165.80749949115744</v>
      </c>
      <c r="G54">
        <v>0.11888250367033854</v>
      </c>
      <c r="H54">
        <v>3.4</v>
      </c>
      <c r="I54">
        <v>3.0347979202516164</v>
      </c>
      <c r="J54" s="137">
        <v>3.1356017729088248</v>
      </c>
      <c r="K54">
        <v>-11.431363764158988</v>
      </c>
      <c r="L54" s="137">
        <v>-11.857332496431269</v>
      </c>
      <c r="AE54">
        <f>VLOOKUP(A54,Literatuur!$A:$B,2,FALSE)</f>
        <v>37</v>
      </c>
      <c r="AF54" t="str">
        <f t="shared" si="9"/>
        <v>Tetrachloroethylene</v>
      </c>
      <c r="AG54" t="str">
        <f t="shared" si="10"/>
        <v>immersion</v>
      </c>
      <c r="AH54">
        <f t="shared" si="11"/>
        <v>3.0347979202516164</v>
      </c>
      <c r="AI54">
        <f t="shared" si="12"/>
        <v>3.1356017729088248</v>
      </c>
      <c r="AJ54">
        <f t="shared" si="13"/>
        <v>-11.431363764158988</v>
      </c>
      <c r="AK54">
        <f t="shared" si="14"/>
        <v>-11.857332496431269</v>
      </c>
    </row>
    <row r="55" spans="1:37" x14ac:dyDescent="0.2">
      <c r="A55" t="s">
        <v>430</v>
      </c>
      <c r="B55">
        <v>405</v>
      </c>
      <c r="C55" s="4" t="s">
        <v>1657</v>
      </c>
      <c r="D55" t="s">
        <v>540</v>
      </c>
      <c r="E55" t="s">
        <v>1891</v>
      </c>
      <c r="F55">
        <v>131.4</v>
      </c>
      <c r="G55">
        <v>1.1648441611748488</v>
      </c>
      <c r="H55">
        <v>2.61</v>
      </c>
      <c r="I55">
        <v>2.3023537168600328</v>
      </c>
      <c r="J55" s="137">
        <v>2.1101128651378098</v>
      </c>
      <c r="K55">
        <v>-11.123600385836038</v>
      </c>
      <c r="L55" s="137">
        <v>-11.489355711136675</v>
      </c>
      <c r="AE55">
        <f>VLOOKUP(A55,Literatuur!$A:$B,2,FALSE)</f>
        <v>37</v>
      </c>
      <c r="AF55" t="str">
        <f t="shared" si="9"/>
        <v>Trichloroethylene</v>
      </c>
      <c r="AG55" t="str">
        <f t="shared" si="10"/>
        <v>immersion</v>
      </c>
      <c r="AH55">
        <f t="shared" si="11"/>
        <v>2.3023537168600328</v>
      </c>
      <c r="AI55">
        <f t="shared" si="12"/>
        <v>2.1101128651378098</v>
      </c>
      <c r="AJ55">
        <f t="shared" si="13"/>
        <v>-11.123600385836038</v>
      </c>
      <c r="AK55">
        <f t="shared" si="14"/>
        <v>-11.489355711136675</v>
      </c>
    </row>
    <row r="56" spans="1:37" x14ac:dyDescent="0.2">
      <c r="A56" t="s">
        <v>430</v>
      </c>
      <c r="B56">
        <v>-1400</v>
      </c>
      <c r="C56" s="4" t="s">
        <v>1657</v>
      </c>
      <c r="D56" t="s">
        <v>1321</v>
      </c>
      <c r="E56" t="s">
        <v>1551</v>
      </c>
      <c r="F56">
        <v>93.13</v>
      </c>
      <c r="G56">
        <v>35.333333333333336</v>
      </c>
      <c r="H56">
        <v>0.98799999999999999</v>
      </c>
      <c r="I56">
        <v>-0.80624553281590894</v>
      </c>
      <c r="J56" s="137">
        <v>-0.87149100092024123</v>
      </c>
      <c r="L56" s="137"/>
      <c r="AE56">
        <f>VLOOKUP(A56,Literatuur!$A:$B,2,FALSE)</f>
        <v>37</v>
      </c>
      <c r="AF56" t="str">
        <f t="shared" si="9"/>
        <v>Anilin</v>
      </c>
      <c r="AG56" t="str">
        <f t="shared" si="10"/>
        <v>immersion</v>
      </c>
      <c r="AH56">
        <f t="shared" si="11"/>
        <v>-0.80624553281590894</v>
      </c>
      <c r="AI56">
        <f t="shared" si="12"/>
        <v>-0.87149100092024123</v>
      </c>
      <c r="AJ56" t="str">
        <f t="shared" si="13"/>
        <v/>
      </c>
      <c r="AK56" t="str">
        <f t="shared" si="14"/>
        <v/>
      </c>
    </row>
    <row r="57" spans="1:37" x14ac:dyDescent="0.2">
      <c r="A57" t="s">
        <v>430</v>
      </c>
      <c r="B57">
        <v>-1401</v>
      </c>
      <c r="C57" s="4" t="s">
        <v>1657</v>
      </c>
      <c r="D57" t="s">
        <v>1323</v>
      </c>
      <c r="E57" t="s">
        <v>1894</v>
      </c>
      <c r="F57">
        <v>127.57</v>
      </c>
      <c r="G57">
        <v>8.16</v>
      </c>
      <c r="H57">
        <v>1.9</v>
      </c>
      <c r="I57">
        <v>0.41382550460928702</v>
      </c>
      <c r="J57" s="137">
        <v>0.40845612735719283</v>
      </c>
      <c r="L57" s="137"/>
      <c r="AE57">
        <f>VLOOKUP(A57,Literatuur!$A:$B,2,FALSE)</f>
        <v>37</v>
      </c>
      <c r="AF57" t="str">
        <f t="shared" si="9"/>
        <v>2-Chloroaniline</v>
      </c>
      <c r="AG57" t="str">
        <f t="shared" si="10"/>
        <v>immersion</v>
      </c>
      <c r="AH57">
        <f t="shared" si="11"/>
        <v>0.41382550460928702</v>
      </c>
      <c r="AI57">
        <f t="shared" si="12"/>
        <v>0.40845612735719283</v>
      </c>
      <c r="AJ57" t="str">
        <f t="shared" si="13"/>
        <v/>
      </c>
      <c r="AK57" t="str">
        <f t="shared" si="14"/>
        <v/>
      </c>
    </row>
    <row r="58" spans="1:37" x14ac:dyDescent="0.2">
      <c r="A58" t="s">
        <v>430</v>
      </c>
      <c r="B58">
        <v>-1402</v>
      </c>
      <c r="C58" s="4" t="s">
        <v>1657</v>
      </c>
      <c r="D58" t="s">
        <v>1326</v>
      </c>
      <c r="E58" t="s">
        <v>1894</v>
      </c>
      <c r="F58">
        <v>127.57</v>
      </c>
      <c r="G58">
        <v>5.4</v>
      </c>
      <c r="H58">
        <v>1.88</v>
      </c>
      <c r="I58">
        <v>0.27278675268081176</v>
      </c>
      <c r="J58" s="137">
        <v>0.28672253062410424</v>
      </c>
      <c r="L58" s="137"/>
      <c r="AE58">
        <f>VLOOKUP(A58,Literatuur!$A:$B,2,FALSE)</f>
        <v>37</v>
      </c>
      <c r="AF58" t="str">
        <f t="shared" si="9"/>
        <v>3-Chloroaniline</v>
      </c>
      <c r="AG58" t="str">
        <f t="shared" si="10"/>
        <v>immersion</v>
      </c>
      <c r="AH58">
        <f t="shared" si="11"/>
        <v>0.27278675268081176</v>
      </c>
      <c r="AI58">
        <f t="shared" si="12"/>
        <v>0.28672253062410424</v>
      </c>
      <c r="AJ58" t="str">
        <f t="shared" si="13"/>
        <v/>
      </c>
      <c r="AK58" t="str">
        <f t="shared" si="14"/>
        <v/>
      </c>
    </row>
    <row r="59" spans="1:37" x14ac:dyDescent="0.2">
      <c r="A59" t="s">
        <v>430</v>
      </c>
      <c r="B59">
        <v>-1403</v>
      </c>
      <c r="C59" s="4" t="s">
        <v>1657</v>
      </c>
      <c r="D59" t="s">
        <v>1329</v>
      </c>
      <c r="E59" t="s">
        <v>1894</v>
      </c>
      <c r="F59">
        <v>127.57</v>
      </c>
      <c r="G59">
        <v>3.9</v>
      </c>
      <c r="H59">
        <v>1.83</v>
      </c>
      <c r="I59">
        <v>-2.5216788352981506E-2</v>
      </c>
      <c r="J59" s="137">
        <v>-0.13621974701798897</v>
      </c>
      <c r="L59" s="137"/>
      <c r="AE59">
        <f>VLOOKUP(A59,Literatuur!$A:$B,2,FALSE)</f>
        <v>37</v>
      </c>
      <c r="AF59" t="str">
        <f t="shared" si="9"/>
        <v>4-Chloroaniline</v>
      </c>
      <c r="AG59" t="str">
        <f t="shared" si="10"/>
        <v>immersion</v>
      </c>
      <c r="AH59">
        <f t="shared" si="11"/>
        <v>-2.5216788352981506E-2</v>
      </c>
      <c r="AI59">
        <f t="shared" si="12"/>
        <v>-0.13621974701798897</v>
      </c>
      <c r="AJ59" t="str">
        <f t="shared" si="13"/>
        <v/>
      </c>
      <c r="AK59" t="str">
        <f t="shared" si="14"/>
        <v/>
      </c>
    </row>
    <row r="60" spans="1:37" x14ac:dyDescent="0.2">
      <c r="A60" t="s">
        <v>430</v>
      </c>
      <c r="B60">
        <v>-1404</v>
      </c>
      <c r="C60" s="4" t="s">
        <v>1657</v>
      </c>
      <c r="D60" t="s">
        <v>1331</v>
      </c>
      <c r="E60" t="s">
        <v>1551</v>
      </c>
      <c r="F60">
        <v>107.16</v>
      </c>
      <c r="G60">
        <v>5.62</v>
      </c>
      <c r="H60">
        <v>1.66</v>
      </c>
      <c r="I60">
        <v>0.51508150744047543</v>
      </c>
      <c r="J60" s="137">
        <v>0.52901728538376791</v>
      </c>
      <c r="L60" s="137"/>
      <c r="AE60">
        <f>VLOOKUP(A60,Literatuur!$A:$B,2,FALSE)</f>
        <v>37</v>
      </c>
      <c r="AF60" t="str">
        <f t="shared" si="9"/>
        <v>N-Methylaniline</v>
      </c>
      <c r="AG60" t="str">
        <f t="shared" si="10"/>
        <v>immersion</v>
      </c>
      <c r="AH60">
        <f t="shared" si="11"/>
        <v>0.51508150744047543</v>
      </c>
      <c r="AI60">
        <f t="shared" si="12"/>
        <v>0.52901728538376791</v>
      </c>
      <c r="AJ60" t="str">
        <f t="shared" si="13"/>
        <v/>
      </c>
      <c r="AK60" t="str">
        <f t="shared" si="14"/>
        <v/>
      </c>
    </row>
    <row r="61" spans="1:37" x14ac:dyDescent="0.2">
      <c r="A61" t="s">
        <v>430</v>
      </c>
      <c r="B61">
        <v>-1405</v>
      </c>
      <c r="C61" s="4" t="s">
        <v>1657</v>
      </c>
      <c r="D61" t="s">
        <v>1334</v>
      </c>
      <c r="E61" t="s">
        <v>1551</v>
      </c>
      <c r="F61">
        <v>138.13</v>
      </c>
      <c r="G61">
        <v>1.2</v>
      </c>
      <c r="H61">
        <v>1.37</v>
      </c>
      <c r="I61">
        <v>-0.11539341870206953</v>
      </c>
      <c r="J61" s="137">
        <v>0.19957235490520417</v>
      </c>
      <c r="L61" s="137"/>
      <c r="AE61">
        <f>VLOOKUP(A61,Literatuur!$A:$B,2,FALSE)</f>
        <v>37</v>
      </c>
      <c r="AF61" t="str">
        <f t="shared" si="9"/>
        <v>3-Nitroaniline</v>
      </c>
      <c r="AG61" t="str">
        <f t="shared" si="10"/>
        <v>immersion</v>
      </c>
      <c r="AH61">
        <f t="shared" si="11"/>
        <v>-0.11539341870206953</v>
      </c>
      <c r="AI61">
        <f t="shared" si="12"/>
        <v>0.19957235490520417</v>
      </c>
      <c r="AJ61" t="str">
        <f t="shared" si="13"/>
        <v/>
      </c>
      <c r="AK61" t="str">
        <f t="shared" si="14"/>
        <v/>
      </c>
    </row>
    <row r="62" spans="1:37" x14ac:dyDescent="0.2">
      <c r="A62" t="s">
        <v>430</v>
      </c>
      <c r="B62">
        <v>202</v>
      </c>
      <c r="C62" s="4" t="s">
        <v>1657</v>
      </c>
      <c r="D62" t="s">
        <v>865</v>
      </c>
      <c r="E62" t="s">
        <v>1893</v>
      </c>
      <c r="F62">
        <v>94.104999867169639</v>
      </c>
      <c r="G62">
        <v>65.559556704569275</v>
      </c>
      <c r="H62">
        <v>1.48</v>
      </c>
      <c r="I62">
        <v>-1.5518181853207387</v>
      </c>
      <c r="J62" s="137">
        <v>-1.8389124030414272</v>
      </c>
      <c r="L62" s="137"/>
      <c r="AE62">
        <f>VLOOKUP(A62,Literatuur!$A:$B,2,FALSE)</f>
        <v>37</v>
      </c>
      <c r="AF62" t="str">
        <f t="shared" si="9"/>
        <v>Phenol</v>
      </c>
      <c r="AG62" t="str">
        <f t="shared" si="10"/>
        <v>immersion</v>
      </c>
      <c r="AH62">
        <f t="shared" si="11"/>
        <v>-1.5518181853207387</v>
      </c>
      <c r="AI62">
        <f t="shared" si="12"/>
        <v>-1.8389124030414272</v>
      </c>
      <c r="AJ62" t="str">
        <f t="shared" si="13"/>
        <v/>
      </c>
      <c r="AK62" t="str">
        <f t="shared" si="14"/>
        <v/>
      </c>
    </row>
    <row r="63" spans="1:37" x14ac:dyDescent="0.2">
      <c r="A63" t="s">
        <v>430</v>
      </c>
      <c r="B63">
        <v>-1406</v>
      </c>
      <c r="C63" s="4" t="s">
        <v>1657</v>
      </c>
      <c r="D63" t="s">
        <v>1336</v>
      </c>
      <c r="E63" t="s">
        <v>1894</v>
      </c>
      <c r="F63">
        <v>128.56</v>
      </c>
      <c r="G63">
        <v>25.5</v>
      </c>
      <c r="H63">
        <v>2.27</v>
      </c>
      <c r="I63">
        <v>-0.84069236176043749</v>
      </c>
      <c r="J63" s="137">
        <v>-0.82675658381714501</v>
      </c>
      <c r="L63" s="137"/>
      <c r="AE63">
        <f>VLOOKUP(A63,Literatuur!$A:$B,2,FALSE)</f>
        <v>37</v>
      </c>
      <c r="AF63" t="str">
        <f t="shared" si="9"/>
        <v>P-chlorophenol</v>
      </c>
      <c r="AG63" t="str">
        <f t="shared" si="10"/>
        <v>immersion</v>
      </c>
      <c r="AH63">
        <f t="shared" si="11"/>
        <v>-0.84069236176043749</v>
      </c>
      <c r="AI63">
        <f t="shared" si="12"/>
        <v>-0.82675658381714501</v>
      </c>
      <c r="AJ63" t="str">
        <f t="shared" si="13"/>
        <v/>
      </c>
      <c r="AK63" t="str">
        <f t="shared" si="14"/>
        <v/>
      </c>
    </row>
    <row r="64" spans="1:37" x14ac:dyDescent="0.2">
      <c r="A64" t="s">
        <v>430</v>
      </c>
      <c r="B64">
        <v>-1407</v>
      </c>
      <c r="C64" s="4" t="s">
        <v>1657</v>
      </c>
      <c r="D64" t="s">
        <v>1341</v>
      </c>
      <c r="E64" t="s">
        <v>1894</v>
      </c>
      <c r="F64">
        <v>163</v>
      </c>
      <c r="G64" t="e">
        <v>#DIV/0!</v>
      </c>
      <c r="H64" t="e">
        <v>#DIV/0!</v>
      </c>
      <c r="J64" s="137"/>
      <c r="L64" s="137"/>
      <c r="AE64">
        <f>VLOOKUP(A64,Literatuur!$A:$B,2,FALSE)</f>
        <v>37</v>
      </c>
      <c r="AF64" t="str">
        <f t="shared" si="9"/>
        <v>X,X-Dichlorphenol</v>
      </c>
      <c r="AG64" t="str">
        <f t="shared" si="10"/>
        <v>immersion</v>
      </c>
      <c r="AH64" t="str">
        <f t="shared" si="11"/>
        <v/>
      </c>
      <c r="AI64" t="str">
        <f t="shared" si="12"/>
        <v/>
      </c>
      <c r="AJ64" t="str">
        <f t="shared" si="13"/>
        <v/>
      </c>
      <c r="AK64" t="str">
        <f t="shared" si="14"/>
        <v/>
      </c>
    </row>
    <row r="65" spans="1:37" x14ac:dyDescent="0.2">
      <c r="A65" t="s">
        <v>430</v>
      </c>
      <c r="B65">
        <v>508</v>
      </c>
      <c r="C65" s="4" t="s">
        <v>1657</v>
      </c>
      <c r="D65" t="s">
        <v>1340</v>
      </c>
      <c r="E65" t="s">
        <v>1894</v>
      </c>
      <c r="F65">
        <v>197.5</v>
      </c>
      <c r="G65">
        <v>7.1099999999999997E-2</v>
      </c>
      <c r="H65">
        <v>3.8</v>
      </c>
      <c r="I65">
        <v>1.9570162666300459</v>
      </c>
      <c r="J65" s="137">
        <v>1.9040052549427251</v>
      </c>
      <c r="L65" s="137"/>
      <c r="AE65">
        <f>VLOOKUP(A65,Literatuur!$A:$B,2,FALSE)</f>
        <v>37</v>
      </c>
      <c r="AF65" t="str">
        <f t="shared" si="9"/>
        <v>2,3,4-Trichlorophenol</v>
      </c>
      <c r="AG65" t="str">
        <f t="shared" si="10"/>
        <v>immersion</v>
      </c>
      <c r="AH65">
        <f t="shared" si="11"/>
        <v>1.9570162666300459</v>
      </c>
      <c r="AI65">
        <f t="shared" si="12"/>
        <v>1.9040052549427251</v>
      </c>
      <c r="AJ65" t="str">
        <f t="shared" si="13"/>
        <v/>
      </c>
      <c r="AK65" t="str">
        <f t="shared" si="14"/>
        <v/>
      </c>
    </row>
    <row r="66" spans="1:37" x14ac:dyDescent="0.2">
      <c r="A66" t="s">
        <v>430</v>
      </c>
      <c r="B66">
        <v>544</v>
      </c>
      <c r="C66" s="4" t="s">
        <v>1657</v>
      </c>
      <c r="D66" t="s">
        <v>1343</v>
      </c>
      <c r="E66" t="s">
        <v>1894</v>
      </c>
      <c r="F66">
        <v>197.46</v>
      </c>
      <c r="G66">
        <v>0.24299999999999999</v>
      </c>
      <c r="H66">
        <v>3.6950000000000003</v>
      </c>
      <c r="I66">
        <v>1.7243095894254812</v>
      </c>
      <c r="J66" s="137">
        <v>1.6712985777381604</v>
      </c>
      <c r="L66" s="137"/>
      <c r="AE66">
        <f>VLOOKUP(A66,Literatuur!$A:$B,2,FALSE)</f>
        <v>37</v>
      </c>
      <c r="AF66" t="str">
        <f t="shared" si="9"/>
        <v>2,4,6-Trichlorophenol</v>
      </c>
      <c r="AG66" t="str">
        <f t="shared" si="10"/>
        <v>immersion</v>
      </c>
      <c r="AH66">
        <f t="shared" si="11"/>
        <v>1.7243095894254812</v>
      </c>
      <c r="AI66">
        <f t="shared" si="12"/>
        <v>1.6712985777381604</v>
      </c>
      <c r="AJ66" t="str">
        <f t="shared" si="13"/>
        <v/>
      </c>
      <c r="AK66" t="str">
        <f t="shared" si="14"/>
        <v/>
      </c>
    </row>
    <row r="67" spans="1:37" x14ac:dyDescent="0.2">
      <c r="A67" t="s">
        <v>430</v>
      </c>
      <c r="B67">
        <v>543</v>
      </c>
      <c r="C67" s="4" t="s">
        <v>1657</v>
      </c>
      <c r="D67" t="s">
        <v>1345</v>
      </c>
      <c r="E67" t="s">
        <v>1894</v>
      </c>
      <c r="F67">
        <v>197.45</v>
      </c>
      <c r="G67">
        <v>3.4599999999999999E-2</v>
      </c>
      <c r="H67">
        <v>4.01</v>
      </c>
      <c r="I67">
        <v>2.0267717198807409</v>
      </c>
      <c r="J67" s="137">
        <v>1.9157687612157337</v>
      </c>
      <c r="L67" s="137"/>
      <c r="AE67">
        <f>VLOOKUP(A67,Literatuur!$A:$B,2,FALSE)</f>
        <v>37</v>
      </c>
      <c r="AF67" t="str">
        <f t="shared" si="9"/>
        <v>3,4,5-Trichlorophenol</v>
      </c>
      <c r="AG67" t="str">
        <f t="shared" si="10"/>
        <v>immersion</v>
      </c>
      <c r="AH67">
        <f t="shared" si="11"/>
        <v>2.0267717198807409</v>
      </c>
      <c r="AI67">
        <f t="shared" si="12"/>
        <v>1.9157687612157337</v>
      </c>
      <c r="AJ67" t="str">
        <f t="shared" si="13"/>
        <v/>
      </c>
      <c r="AK67" t="str">
        <f t="shared" si="14"/>
        <v/>
      </c>
    </row>
    <row r="68" spans="1:37" x14ac:dyDescent="0.2">
      <c r="A68" t="s">
        <v>430</v>
      </c>
      <c r="B68">
        <v>547</v>
      </c>
      <c r="C68" s="4" t="s">
        <v>1657</v>
      </c>
      <c r="D68" t="s">
        <v>1347</v>
      </c>
      <c r="E68" t="s">
        <v>1894</v>
      </c>
      <c r="F68">
        <v>231.9</v>
      </c>
      <c r="G68">
        <v>4.79E-3</v>
      </c>
      <c r="H68">
        <v>3.88</v>
      </c>
      <c r="I68">
        <v>2.7605735686506545</v>
      </c>
      <c r="J68" s="137">
        <v>2.5984180875382656</v>
      </c>
      <c r="L68" s="137"/>
      <c r="AE68">
        <f>VLOOKUP(A68,Literatuur!$A:$B,2,FALSE)</f>
        <v>37</v>
      </c>
      <c r="AF68" t="str">
        <f t="shared" si="9"/>
        <v>2,3,5,6-Tetrachlorophenol</v>
      </c>
      <c r="AG68" t="str">
        <f t="shared" si="10"/>
        <v>immersion</v>
      </c>
      <c r="AH68">
        <f t="shared" si="11"/>
        <v>2.7605735686506545</v>
      </c>
      <c r="AI68">
        <f t="shared" si="12"/>
        <v>2.5984180875382656</v>
      </c>
      <c r="AJ68" t="str">
        <f t="shared" si="13"/>
        <v/>
      </c>
      <c r="AK68" t="str">
        <f t="shared" si="14"/>
        <v/>
      </c>
    </row>
    <row r="69" spans="1:37" x14ac:dyDescent="0.2">
      <c r="A69" t="s">
        <v>430</v>
      </c>
      <c r="B69">
        <v>510</v>
      </c>
      <c r="C69" s="4" t="s">
        <v>1657</v>
      </c>
      <c r="D69" t="s">
        <v>1351</v>
      </c>
      <c r="E69" t="s">
        <v>1894</v>
      </c>
      <c r="F69">
        <v>266.33</v>
      </c>
      <c r="G69">
        <v>4.28E-3</v>
      </c>
      <c r="H69">
        <v>5.1050000000000004</v>
      </c>
      <c r="I69">
        <v>2.3323440583323833</v>
      </c>
      <c r="J69" s="137">
        <v>2.3462798362756758</v>
      </c>
      <c r="L69" s="137"/>
      <c r="AE69">
        <f>VLOOKUP(A69,Literatuur!$A:$B,2,FALSE)</f>
        <v>37</v>
      </c>
      <c r="AF69" t="str">
        <f t="shared" si="9"/>
        <v>Pentachlorophenol</v>
      </c>
      <c r="AG69" t="str">
        <f t="shared" si="10"/>
        <v>immersion</v>
      </c>
      <c r="AH69">
        <f t="shared" si="11"/>
        <v>2.3323440583323833</v>
      </c>
      <c r="AI69">
        <f t="shared" si="12"/>
        <v>2.3462798362756758</v>
      </c>
      <c r="AJ69" t="str">
        <f t="shared" si="13"/>
        <v/>
      </c>
      <c r="AK69" t="str">
        <f t="shared" si="14"/>
        <v/>
      </c>
    </row>
    <row r="70" spans="1:37" x14ac:dyDescent="0.2">
      <c r="A70" t="s">
        <v>430</v>
      </c>
      <c r="B70">
        <v>-1408</v>
      </c>
      <c r="C70" s="4" t="s">
        <v>1657</v>
      </c>
      <c r="D70" t="s">
        <v>1251</v>
      </c>
      <c r="E70" t="s">
        <v>1551</v>
      </c>
      <c r="F70">
        <v>123.11</v>
      </c>
      <c r="G70">
        <v>2.0266666666666668</v>
      </c>
      <c r="H70">
        <v>1.8450000000000002</v>
      </c>
      <c r="I70">
        <v>0.91227800789578883</v>
      </c>
      <c r="J70" s="137">
        <v>0.90139020211404919</v>
      </c>
      <c r="L70" s="137"/>
      <c r="AE70">
        <f>VLOOKUP(A70,Literatuur!$A:$B,2,FALSE)</f>
        <v>37</v>
      </c>
      <c r="AF70" t="str">
        <f t="shared" si="9"/>
        <v>Nitrobenzene</v>
      </c>
      <c r="AG70" t="str">
        <f t="shared" si="10"/>
        <v>immersion</v>
      </c>
      <c r="AH70">
        <f t="shared" si="11"/>
        <v>0.91227800789578883</v>
      </c>
      <c r="AI70">
        <f t="shared" si="12"/>
        <v>0.90139020211404919</v>
      </c>
      <c r="AJ70" t="str">
        <f t="shared" si="13"/>
        <v/>
      </c>
      <c r="AK70" t="str">
        <f t="shared" si="14"/>
        <v/>
      </c>
    </row>
    <row r="71" spans="1:37" x14ac:dyDescent="0.2">
      <c r="A71" t="s">
        <v>430</v>
      </c>
      <c r="B71">
        <v>-1409</v>
      </c>
      <c r="C71" s="4" t="s">
        <v>1657</v>
      </c>
      <c r="D71" t="s">
        <v>333</v>
      </c>
      <c r="E71" t="s">
        <v>1894</v>
      </c>
      <c r="F71" t="e">
        <v>#DIV/0!</v>
      </c>
      <c r="G71" t="e">
        <v>#DIV/0!</v>
      </c>
      <c r="H71" t="e">
        <v>#DIV/0!</v>
      </c>
      <c r="J71" s="137"/>
      <c r="L71" s="137"/>
      <c r="AE71">
        <f>VLOOKUP(A71,Literatuur!$A:$B,2,FALSE)</f>
        <v>37</v>
      </c>
      <c r="AF71" t="str">
        <f t="shared" si="9"/>
        <v>2,3-Dichloor-5-nitrotolueen</v>
      </c>
      <c r="AG71" t="str">
        <f t="shared" si="10"/>
        <v>immersion</v>
      </c>
      <c r="AH71" t="str">
        <f t="shared" si="11"/>
        <v/>
      </c>
      <c r="AI71" t="str">
        <f t="shared" si="12"/>
        <v/>
      </c>
      <c r="AJ71" t="str">
        <f t="shared" si="13"/>
        <v/>
      </c>
      <c r="AK71" t="str">
        <f t="shared" si="14"/>
        <v/>
      </c>
    </row>
    <row r="72" spans="1:37" x14ac:dyDescent="0.2">
      <c r="A72" t="s">
        <v>430</v>
      </c>
      <c r="B72">
        <v>-1410</v>
      </c>
      <c r="C72" s="4" t="s">
        <v>1657</v>
      </c>
      <c r="D72" t="s">
        <v>334</v>
      </c>
      <c r="E72" t="s">
        <v>1893</v>
      </c>
      <c r="F72">
        <v>46.07</v>
      </c>
      <c r="G72">
        <v>1000</v>
      </c>
      <c r="H72">
        <v>-0.30499999999999999</v>
      </c>
      <c r="I72">
        <v>-3.0362121726544449</v>
      </c>
      <c r="J72" s="137">
        <v>-2.7212463990471711</v>
      </c>
      <c r="L72" s="137"/>
      <c r="AE72">
        <f>VLOOKUP(A72,Literatuur!$A:$B,2,FALSE)</f>
        <v>37</v>
      </c>
      <c r="AF72" t="str">
        <f t="shared" si="9"/>
        <v>Ethanol</v>
      </c>
      <c r="AG72" t="str">
        <f t="shared" si="10"/>
        <v>immersion</v>
      </c>
      <c r="AH72">
        <f t="shared" si="11"/>
        <v>-3.0362121726544449</v>
      </c>
      <c r="AI72">
        <f t="shared" si="12"/>
        <v>-2.7212463990471711</v>
      </c>
      <c r="AJ72" t="str">
        <f t="shared" si="13"/>
        <v/>
      </c>
      <c r="AK72" t="str">
        <f t="shared" si="14"/>
        <v/>
      </c>
    </row>
    <row r="73" spans="1:37" x14ac:dyDescent="0.2">
      <c r="A73" t="s">
        <v>430</v>
      </c>
      <c r="B73">
        <v>-1411</v>
      </c>
      <c r="C73" s="4" t="s">
        <v>1657</v>
      </c>
      <c r="D73" t="s">
        <v>336</v>
      </c>
      <c r="E73" t="s">
        <v>1893</v>
      </c>
      <c r="F73">
        <v>102.18</v>
      </c>
      <c r="G73">
        <v>5.9</v>
      </c>
      <c r="H73">
        <v>2.0299999999999998</v>
      </c>
      <c r="I73">
        <v>-0.20500419296862657</v>
      </c>
      <c r="J73" s="137">
        <v>-0.191068415025334</v>
      </c>
      <c r="L73" s="137"/>
      <c r="AE73">
        <f>VLOOKUP(A73,Literatuur!$A:$B,2,FALSE)</f>
        <v>37</v>
      </c>
      <c r="AF73" t="str">
        <f t="shared" si="9"/>
        <v>1-Hexanol</v>
      </c>
      <c r="AG73" t="str">
        <f t="shared" si="10"/>
        <v>immersion</v>
      </c>
      <c r="AH73">
        <f t="shared" si="11"/>
        <v>-0.20500419296862657</v>
      </c>
      <c r="AI73">
        <f t="shared" si="12"/>
        <v>-0.191068415025334</v>
      </c>
      <c r="AJ73" t="str">
        <f t="shared" si="13"/>
        <v/>
      </c>
      <c r="AK73" t="str">
        <f t="shared" si="14"/>
        <v/>
      </c>
    </row>
    <row r="74" spans="1:37" x14ac:dyDescent="0.2">
      <c r="A74" t="s">
        <v>430</v>
      </c>
      <c r="B74">
        <v>1093</v>
      </c>
      <c r="C74" s="4" t="s">
        <v>1657</v>
      </c>
      <c r="D74" t="s">
        <v>1354</v>
      </c>
      <c r="E74" t="s">
        <v>1893</v>
      </c>
      <c r="F74">
        <v>72</v>
      </c>
      <c r="G74">
        <v>352.8</v>
      </c>
      <c r="H74">
        <v>0.27549999999999997</v>
      </c>
      <c r="I74">
        <v>-1.3049871481613979</v>
      </c>
      <c r="J74" s="137">
        <v>-1.3145324660676283</v>
      </c>
      <c r="K74">
        <v>-12.091415702464637</v>
      </c>
      <c r="L74" s="137">
        <v>-12.857332496431269</v>
      </c>
      <c r="AE74">
        <f>VLOOKUP(A74,Literatuur!$A:$B,2,FALSE)</f>
        <v>37</v>
      </c>
      <c r="AF74" t="str">
        <f t="shared" si="9"/>
        <v>2-Butanone</v>
      </c>
      <c r="AG74" t="str">
        <f t="shared" si="10"/>
        <v>immersion</v>
      </c>
      <c r="AH74">
        <f t="shared" si="11"/>
        <v>-1.3049871481613979</v>
      </c>
      <c r="AI74">
        <f t="shared" si="12"/>
        <v>-1.3145324660676283</v>
      </c>
      <c r="AJ74">
        <f t="shared" si="13"/>
        <v>-12.091415702464637</v>
      </c>
      <c r="AK74">
        <f t="shared" si="14"/>
        <v>-12.857332496431269</v>
      </c>
    </row>
    <row r="75" spans="1:37" x14ac:dyDescent="0.2">
      <c r="A75" t="s">
        <v>430</v>
      </c>
      <c r="B75">
        <v>-1413</v>
      </c>
      <c r="C75" s="4" t="s">
        <v>1657</v>
      </c>
      <c r="D75" t="s">
        <v>338</v>
      </c>
      <c r="E75" t="s">
        <v>1893</v>
      </c>
      <c r="F75">
        <v>114.18</v>
      </c>
      <c r="G75">
        <v>5.7</v>
      </c>
      <c r="H75">
        <v>1.86</v>
      </c>
      <c r="I75">
        <v>0.71306294999296982</v>
      </c>
      <c r="J75" s="137">
        <v>0.63682209758717434</v>
      </c>
      <c r="L75" s="137"/>
      <c r="AE75">
        <f>VLOOKUP(A75,Literatuur!$A:$B,2,FALSE)</f>
        <v>37</v>
      </c>
      <c r="AF75" t="str">
        <f t="shared" si="9"/>
        <v>Di-isopropylketon</v>
      </c>
      <c r="AG75" t="str">
        <f t="shared" si="10"/>
        <v>immersion</v>
      </c>
      <c r="AH75">
        <f t="shared" si="11"/>
        <v>0.71306294999296982</v>
      </c>
      <c r="AI75">
        <f t="shared" si="12"/>
        <v>0.63682209758717434</v>
      </c>
      <c r="AJ75" t="str">
        <f t="shared" si="13"/>
        <v/>
      </c>
      <c r="AK75" t="str">
        <f t="shared" si="14"/>
        <v/>
      </c>
    </row>
    <row r="76" spans="1:37" x14ac:dyDescent="0.2">
      <c r="A76" t="s">
        <v>430</v>
      </c>
      <c r="B76">
        <v>-1414</v>
      </c>
      <c r="C76" s="4" t="s">
        <v>1657</v>
      </c>
      <c r="D76" t="s">
        <v>1359</v>
      </c>
      <c r="E76" t="s">
        <v>1893</v>
      </c>
      <c r="F76">
        <v>108.14</v>
      </c>
      <c r="G76">
        <v>1.04</v>
      </c>
      <c r="H76">
        <v>2.11</v>
      </c>
      <c r="I76">
        <v>1.6871171775410188</v>
      </c>
      <c r="J76" s="137">
        <v>1.5517548730165664</v>
      </c>
      <c r="L76" s="137"/>
      <c r="AE76">
        <f>VLOOKUP(A76,Literatuur!$A:$B,2,FALSE)</f>
        <v>37</v>
      </c>
      <c r="AF76" t="str">
        <f t="shared" si="9"/>
        <v>methoxybenzene</v>
      </c>
      <c r="AG76" t="str">
        <f t="shared" si="10"/>
        <v>immersion</v>
      </c>
      <c r="AH76">
        <f t="shared" si="11"/>
        <v>1.6871171775410188</v>
      </c>
      <c r="AI76">
        <f t="shared" si="12"/>
        <v>1.5517548730165664</v>
      </c>
      <c r="AJ76" t="str">
        <f t="shared" si="13"/>
        <v/>
      </c>
      <c r="AK76" t="str">
        <f t="shared" si="14"/>
        <v/>
      </c>
    </row>
    <row r="77" spans="1:37" x14ac:dyDescent="0.2">
      <c r="A77" t="s">
        <v>430</v>
      </c>
      <c r="B77">
        <v>-1415</v>
      </c>
      <c r="C77" s="4" t="s">
        <v>1657</v>
      </c>
      <c r="D77" t="s">
        <v>1360</v>
      </c>
      <c r="E77" t="s">
        <v>1893</v>
      </c>
      <c r="F77">
        <v>102.18</v>
      </c>
      <c r="G77">
        <v>8.9</v>
      </c>
      <c r="H77">
        <v>1.52</v>
      </c>
      <c r="I77">
        <v>0.75476051019488632</v>
      </c>
      <c r="J77" s="137">
        <v>0.61939820567043413</v>
      </c>
      <c r="L77" s="137"/>
      <c r="AE77">
        <f>VLOOKUP(A77,Literatuur!$A:$B,2,FALSE)</f>
        <v>37</v>
      </c>
      <c r="AF77" t="str">
        <f t="shared" si="9"/>
        <v>Diisopropyl ether</v>
      </c>
      <c r="AG77" t="str">
        <f t="shared" si="10"/>
        <v>immersion</v>
      </c>
      <c r="AH77">
        <f t="shared" si="11"/>
        <v>0.75476051019488632</v>
      </c>
      <c r="AI77">
        <f t="shared" si="12"/>
        <v>0.61939820567043413</v>
      </c>
      <c r="AJ77" t="str">
        <f t="shared" si="13"/>
        <v/>
      </c>
      <c r="AK77" t="str">
        <f t="shared" si="14"/>
        <v/>
      </c>
    </row>
    <row r="78" spans="1:37" x14ac:dyDescent="0.2">
      <c r="J78" s="137"/>
      <c r="K78" s="137"/>
      <c r="L78" s="137"/>
    </row>
    <row r="79" spans="1:37" x14ac:dyDescent="0.2">
      <c r="J79" s="137"/>
      <c r="K79" s="137"/>
      <c r="L79" s="137"/>
    </row>
    <row r="80" spans="1:37" x14ac:dyDescent="0.2">
      <c r="J80" s="137"/>
      <c r="K80" s="137"/>
      <c r="L80" s="137"/>
    </row>
    <row r="81" spans="1:38" x14ac:dyDescent="0.2">
      <c r="A81" s="107" t="s">
        <v>1648</v>
      </c>
      <c r="B81" s="110"/>
      <c r="C81" s="110"/>
      <c r="D81" s="110"/>
      <c r="E81" s="110"/>
      <c r="F81" s="110"/>
      <c r="G81" s="110"/>
      <c r="H81" s="110"/>
      <c r="I81" s="110"/>
      <c r="J81" s="110"/>
      <c r="K81" s="110"/>
      <c r="L81" s="111"/>
    </row>
    <row r="82" spans="1:38" x14ac:dyDescent="0.2">
      <c r="A82" t="s">
        <v>430</v>
      </c>
      <c r="B82">
        <v>500</v>
      </c>
      <c r="C82" s="4" t="s">
        <v>1659</v>
      </c>
      <c r="D82" t="s">
        <v>503</v>
      </c>
      <c r="E82" t="s">
        <v>1892</v>
      </c>
      <c r="F82">
        <v>112.58999866757466</v>
      </c>
      <c r="G82">
        <v>2.0266666666666668</v>
      </c>
      <c r="H82">
        <v>2.89</v>
      </c>
      <c r="I82" s="137">
        <v>1.5514499979728751</v>
      </c>
      <c r="J82" s="138">
        <v>1.6242820958356683</v>
      </c>
      <c r="K82" s="137">
        <v>-11.945287666786399</v>
      </c>
      <c r="L82" s="137">
        <v>-12.27375591079732</v>
      </c>
      <c r="N82" s="137"/>
      <c r="AE82">
        <f>VLOOKUP(A82,Literatuur!$A:$B,2,FALSE)</f>
        <v>37</v>
      </c>
      <c r="AF82" t="str">
        <f>D82</f>
        <v>Chlorobenzene</v>
      </c>
      <c r="AG82" t="str">
        <f>C82</f>
        <v>permeation</v>
      </c>
      <c r="AH82">
        <f t="shared" ref="AH82:AK86" si="15">IF(ISNUMBER(I82),I82,"")</f>
        <v>1.5514499979728751</v>
      </c>
      <c r="AI82">
        <f t="shared" si="15"/>
        <v>1.6242820958356683</v>
      </c>
      <c r="AJ82">
        <f t="shared" si="15"/>
        <v>-11.945287666786399</v>
      </c>
      <c r="AK82">
        <f t="shared" si="15"/>
        <v>-12.27375591079732</v>
      </c>
    </row>
    <row r="83" spans="1:38" x14ac:dyDescent="0.2">
      <c r="A83" t="s">
        <v>430</v>
      </c>
      <c r="B83">
        <v>-505</v>
      </c>
      <c r="C83" s="4" t="s">
        <v>1659</v>
      </c>
      <c r="D83" t="s">
        <v>1284</v>
      </c>
      <c r="E83" t="s">
        <v>1892</v>
      </c>
      <c r="F83">
        <v>147</v>
      </c>
      <c r="G83" t="e">
        <v>#DIV/0!</v>
      </c>
      <c r="H83">
        <v>3.4</v>
      </c>
      <c r="I83" s="137">
        <v>1.6794278966121188</v>
      </c>
      <c r="J83" s="138">
        <v>1.8959747323590646</v>
      </c>
      <c r="K83" s="137">
        <v>-12.345449135452395</v>
      </c>
      <c r="L83" s="137">
        <v>-12.790385706800656</v>
      </c>
      <c r="N83" s="137"/>
      <c r="AE83">
        <f>VLOOKUP(A83,Literatuur!$A:$B,2,FALSE)</f>
        <v>37</v>
      </c>
      <c r="AF83" t="str">
        <f>D83</f>
        <v>1,3-Dichlorobenzene</v>
      </c>
      <c r="AG83" t="str">
        <f>C83</f>
        <v>permeation</v>
      </c>
      <c r="AH83">
        <f t="shared" si="15"/>
        <v>1.6794278966121188</v>
      </c>
      <c r="AI83">
        <f t="shared" si="15"/>
        <v>1.8959747323590646</v>
      </c>
      <c r="AJ83">
        <f t="shared" si="15"/>
        <v>-12.345449135452395</v>
      </c>
      <c r="AK83">
        <f t="shared" si="15"/>
        <v>-12.790385706800656</v>
      </c>
    </row>
    <row r="84" spans="1:38" x14ac:dyDescent="0.2">
      <c r="A84" t="s">
        <v>430</v>
      </c>
      <c r="B84">
        <v>403</v>
      </c>
      <c r="C84" s="4" t="s">
        <v>1659</v>
      </c>
      <c r="D84" t="s">
        <v>695</v>
      </c>
      <c r="E84" t="s">
        <v>1891</v>
      </c>
      <c r="F84">
        <v>165.80749949115744</v>
      </c>
      <c r="G84">
        <v>1000</v>
      </c>
      <c r="H84">
        <v>3.4</v>
      </c>
      <c r="I84" s="137">
        <v>1.354108439147401</v>
      </c>
      <c r="J84" s="138">
        <v>1.4313637641589874</v>
      </c>
      <c r="K84" s="137">
        <v>-12.405034825436639</v>
      </c>
      <c r="L84" s="137">
        <v>-12.790385706800656</v>
      </c>
      <c r="N84" s="137"/>
      <c r="AE84">
        <f>VLOOKUP(A84,Literatuur!$A:$B,2,FALSE)</f>
        <v>37</v>
      </c>
      <c r="AF84" t="str">
        <f>D84</f>
        <v>Tetrachloroethylene</v>
      </c>
      <c r="AG84" t="str">
        <f>C84</f>
        <v>permeation</v>
      </c>
      <c r="AH84">
        <f t="shared" si="15"/>
        <v>1.354108439147401</v>
      </c>
      <c r="AI84">
        <f t="shared" si="15"/>
        <v>1.4313637641589874</v>
      </c>
      <c r="AJ84">
        <f t="shared" si="15"/>
        <v>-12.405034825436639</v>
      </c>
      <c r="AK84">
        <f t="shared" si="15"/>
        <v>-12.790385706800656</v>
      </c>
    </row>
    <row r="85" spans="1:38" x14ac:dyDescent="0.2">
      <c r="A85" t="s">
        <v>430</v>
      </c>
      <c r="B85">
        <v>405</v>
      </c>
      <c r="C85" s="4" t="s">
        <v>1659</v>
      </c>
      <c r="D85" t="s">
        <v>540</v>
      </c>
      <c r="E85" t="s">
        <v>1891</v>
      </c>
      <c r="F85">
        <v>131.4</v>
      </c>
      <c r="G85">
        <v>5.9</v>
      </c>
      <c r="H85">
        <v>2.61</v>
      </c>
      <c r="I85" s="137">
        <v>1.5092025223311027</v>
      </c>
      <c r="J85" s="138">
        <v>1.5774917998372253</v>
      </c>
      <c r="K85" s="137">
        <v>-12.228943566380957</v>
      </c>
      <c r="L85" s="137">
        <v>-12.657760141526065</v>
      </c>
      <c r="N85" s="137"/>
      <c r="AE85">
        <f>VLOOKUP(A85,Literatuur!$A:$B,2,FALSE)</f>
        <v>37</v>
      </c>
      <c r="AF85" t="str">
        <f>D85</f>
        <v>Trichloroethylene</v>
      </c>
      <c r="AG85" t="str">
        <f>C85</f>
        <v>permeation</v>
      </c>
      <c r="AH85">
        <f t="shared" si="15"/>
        <v>1.5092025223311027</v>
      </c>
      <c r="AI85">
        <f t="shared" si="15"/>
        <v>1.5774917998372253</v>
      </c>
      <c r="AJ85">
        <f t="shared" si="15"/>
        <v>-12.228943566380957</v>
      </c>
      <c r="AK85">
        <f t="shared" si="15"/>
        <v>-12.657760141526065</v>
      </c>
    </row>
    <row r="86" spans="1:38" x14ac:dyDescent="0.2">
      <c r="A86" t="s">
        <v>430</v>
      </c>
      <c r="B86">
        <v>1093</v>
      </c>
      <c r="C86" s="4" t="s">
        <v>1659</v>
      </c>
      <c r="D86" t="s">
        <v>1354</v>
      </c>
      <c r="E86" t="s">
        <v>1893</v>
      </c>
      <c r="F86">
        <v>72</v>
      </c>
      <c r="G86">
        <v>352.8</v>
      </c>
      <c r="H86">
        <v>0.27549999999999997</v>
      </c>
      <c r="I86" s="137">
        <v>-0.74472749489669399</v>
      </c>
      <c r="J86" s="138">
        <v>-0.44369749923271273</v>
      </c>
      <c r="K86" s="137">
        <v>-12.431363764158988</v>
      </c>
      <c r="L86" s="137">
        <v>-13.03342375548695</v>
      </c>
      <c r="N86" s="137"/>
      <c r="AE86">
        <f>VLOOKUP(A86,Literatuur!$A:$B,2,FALSE)</f>
        <v>37</v>
      </c>
      <c r="AF86" t="str">
        <f>D86</f>
        <v>2-Butanone</v>
      </c>
      <c r="AG86" t="str">
        <f>C86</f>
        <v>permeation</v>
      </c>
      <c r="AH86">
        <f t="shared" si="15"/>
        <v>-0.74472749489669399</v>
      </c>
      <c r="AI86">
        <f t="shared" si="15"/>
        <v>-0.44369749923271273</v>
      </c>
      <c r="AJ86">
        <f t="shared" si="15"/>
        <v>-12.431363764158988</v>
      </c>
      <c r="AK86">
        <f t="shared" si="15"/>
        <v>-13.03342375548695</v>
      </c>
    </row>
    <row r="87" spans="1:38" x14ac:dyDescent="0.2">
      <c r="I87" s="138"/>
    </row>
    <row r="88" spans="1:38" x14ac:dyDescent="0.2">
      <c r="A88" s="107" t="s">
        <v>1869</v>
      </c>
      <c r="B88" s="110"/>
      <c r="C88" s="110"/>
      <c r="D88" s="110"/>
      <c r="E88" s="110"/>
      <c r="F88" s="110"/>
      <c r="G88" s="110"/>
      <c r="H88" s="110"/>
      <c r="I88" s="110"/>
      <c r="J88" s="110"/>
      <c r="K88" s="110"/>
      <c r="L88" s="111"/>
    </row>
    <row r="89" spans="1:38" x14ac:dyDescent="0.2">
      <c r="A89" s="4" t="s">
        <v>2086</v>
      </c>
      <c r="C89" s="4" t="s">
        <v>1657</v>
      </c>
      <c r="D89" s="4" t="s">
        <v>1870</v>
      </c>
      <c r="I89" s="138"/>
      <c r="K89" s="289">
        <v>-10.657577319177793</v>
      </c>
      <c r="L89" s="289">
        <v>-11.376750709602099</v>
      </c>
      <c r="AE89">
        <f>VLOOKUP(A89,Literatuur!$A:$B,2,FALSE)</f>
        <v>19</v>
      </c>
      <c r="AF89" t="str">
        <f>D89</f>
        <v>gasoline</v>
      </c>
      <c r="AG89" t="str">
        <f>C89</f>
        <v>immersion</v>
      </c>
      <c r="AH89" t="str">
        <f t="shared" ref="AH89:AK90" si="16">IF(ISNUMBER(I89),I89,"")</f>
        <v/>
      </c>
      <c r="AI89" t="str">
        <f t="shared" si="16"/>
        <v/>
      </c>
      <c r="AJ89">
        <f t="shared" si="16"/>
        <v>-10.657577319177793</v>
      </c>
      <c r="AK89">
        <f t="shared" si="16"/>
        <v>-11.376750709602099</v>
      </c>
    </row>
    <row r="90" spans="1:38" x14ac:dyDescent="0.2">
      <c r="A90" s="4" t="s">
        <v>2086</v>
      </c>
      <c r="C90" s="4" t="s">
        <v>1657</v>
      </c>
      <c r="D90" s="4" t="s">
        <v>1870</v>
      </c>
      <c r="I90" s="138"/>
      <c r="K90" s="289">
        <v>-10.657577319177793</v>
      </c>
      <c r="L90" s="289">
        <v>-11.080921907623926</v>
      </c>
      <c r="AE90">
        <f>VLOOKUP(A90,Literatuur!$A:$B,2,FALSE)</f>
        <v>19</v>
      </c>
      <c r="AF90" t="str">
        <f>D90</f>
        <v>gasoline</v>
      </c>
      <c r="AG90" t="str">
        <f>C90</f>
        <v>immersion</v>
      </c>
      <c r="AH90" t="str">
        <f t="shared" si="16"/>
        <v/>
      </c>
      <c r="AI90" t="str">
        <f t="shared" si="16"/>
        <v/>
      </c>
      <c r="AJ90">
        <f t="shared" si="16"/>
        <v>-10.657577319177793</v>
      </c>
      <c r="AK90">
        <f t="shared" si="16"/>
        <v>-11.080921907623926</v>
      </c>
    </row>
    <row r="91" spans="1:38" x14ac:dyDescent="0.2">
      <c r="I91" s="138"/>
    </row>
    <row r="92" spans="1:38" x14ac:dyDescent="0.2">
      <c r="A92" s="107" t="s">
        <v>1874</v>
      </c>
      <c r="B92" s="110"/>
      <c r="C92" s="110"/>
      <c r="D92" s="110"/>
      <c r="E92" s="110"/>
      <c r="F92" s="110"/>
      <c r="G92" s="110"/>
      <c r="H92" s="110"/>
      <c r="I92" s="110"/>
      <c r="J92" s="110"/>
      <c r="K92" s="110"/>
      <c r="L92" s="111"/>
    </row>
    <row r="93" spans="1:38" x14ac:dyDescent="0.2">
      <c r="A93" s="4" t="s">
        <v>1817</v>
      </c>
      <c r="C93" s="4" t="s">
        <v>1659</v>
      </c>
      <c r="D93" s="4" t="s">
        <v>1871</v>
      </c>
      <c r="I93" s="112"/>
      <c r="K93" s="289">
        <v>-12.060480747381382</v>
      </c>
      <c r="L93" s="289">
        <v>-12.443697499232712</v>
      </c>
      <c r="M93" s="4" t="s">
        <v>1873</v>
      </c>
      <c r="AE93">
        <f>VLOOKUP(A93,Literatuur!$A:$B,2,FALSE)</f>
        <v>18</v>
      </c>
      <c r="AF93" t="str">
        <f>D93</f>
        <v>Methylethylenechloride</v>
      </c>
      <c r="AG93" t="str">
        <f>C93</f>
        <v>permeation</v>
      </c>
      <c r="AH93" t="str">
        <f t="shared" ref="AH93:AK96" si="17">IF(ISNUMBER(I93),I93,"")</f>
        <v/>
      </c>
      <c r="AI93" t="str">
        <f t="shared" si="17"/>
        <v/>
      </c>
      <c r="AJ93">
        <f t="shared" si="17"/>
        <v>-12.060480747381382</v>
      </c>
      <c r="AK93">
        <f t="shared" si="17"/>
        <v>-12.443697499232712</v>
      </c>
      <c r="AL93" s="4" t="s">
        <v>855</v>
      </c>
    </row>
    <row r="94" spans="1:38" x14ac:dyDescent="0.2">
      <c r="A94" s="4" t="s">
        <v>1817</v>
      </c>
      <c r="C94" s="4" t="s">
        <v>1659</v>
      </c>
      <c r="D94" s="4" t="s">
        <v>492</v>
      </c>
      <c r="I94" s="138"/>
      <c r="K94" s="289">
        <v>-11.835647144215564</v>
      </c>
      <c r="L94" s="289">
        <v>-12.275724130399212</v>
      </c>
      <c r="AE94">
        <f>VLOOKUP(A94,Literatuur!$A:$B,2,FALSE)</f>
        <v>18</v>
      </c>
      <c r="AF94" t="str">
        <f>D94</f>
        <v>Toluene</v>
      </c>
      <c r="AG94" t="str">
        <f>C94</f>
        <v>permeation</v>
      </c>
      <c r="AH94" t="str">
        <f t="shared" si="17"/>
        <v/>
      </c>
      <c r="AI94" t="str">
        <f t="shared" si="17"/>
        <v/>
      </c>
      <c r="AJ94">
        <f t="shared" si="17"/>
        <v>-11.835647144215564</v>
      </c>
      <c r="AK94">
        <f t="shared" si="17"/>
        <v>-12.275724130399212</v>
      </c>
      <c r="AL94" s="4" t="s">
        <v>855</v>
      </c>
    </row>
    <row r="95" spans="1:38" x14ac:dyDescent="0.2">
      <c r="A95" s="4" t="s">
        <v>1817</v>
      </c>
      <c r="C95" s="4" t="s">
        <v>1659</v>
      </c>
      <c r="D95" s="4" t="s">
        <v>1872</v>
      </c>
      <c r="I95" s="138"/>
      <c r="K95" s="289">
        <v>-11.812479279163536</v>
      </c>
      <c r="L95" s="289">
        <v>-12.180456064458131</v>
      </c>
      <c r="AE95">
        <f>VLOOKUP(A95,Literatuur!$A:$B,2,FALSE)</f>
        <v>18</v>
      </c>
      <c r="AF95" t="str">
        <f>D95</f>
        <v>Trichloroethene</v>
      </c>
      <c r="AG95" t="str">
        <f>C95</f>
        <v>permeation</v>
      </c>
      <c r="AH95" t="str">
        <f t="shared" si="17"/>
        <v/>
      </c>
      <c r="AI95" t="str">
        <f t="shared" si="17"/>
        <v/>
      </c>
      <c r="AJ95">
        <f t="shared" si="17"/>
        <v>-11.812479279163536</v>
      </c>
      <c r="AK95">
        <f t="shared" si="17"/>
        <v>-12.180456064458131</v>
      </c>
      <c r="AL95" s="4" t="s">
        <v>855</v>
      </c>
    </row>
    <row r="96" spans="1:38" x14ac:dyDescent="0.2">
      <c r="A96" s="4" t="s">
        <v>1817</v>
      </c>
      <c r="C96" s="4" t="s">
        <v>1659</v>
      </c>
      <c r="D96" s="4" t="s">
        <v>762</v>
      </c>
      <c r="I96" s="138"/>
      <c r="K96" s="289">
        <v>-11.815308569182401</v>
      </c>
      <c r="L96" s="289">
        <v>-12.017728766960431</v>
      </c>
      <c r="P96" s="291"/>
      <c r="AE96">
        <f>VLOOKUP(A96,Literatuur!$A:$B,2,FALSE)</f>
        <v>18</v>
      </c>
      <c r="AF96" t="str">
        <f>D96</f>
        <v>m-Xylene</v>
      </c>
      <c r="AG96" t="str">
        <f>C96</f>
        <v>permeation</v>
      </c>
      <c r="AH96" t="str">
        <f t="shared" si="17"/>
        <v/>
      </c>
      <c r="AI96" t="str">
        <f t="shared" si="17"/>
        <v/>
      </c>
      <c r="AJ96">
        <f t="shared" si="17"/>
        <v>-11.815308569182401</v>
      </c>
      <c r="AK96">
        <f t="shared" si="17"/>
        <v>-12.017728766960431</v>
      </c>
      <c r="AL96" s="4" t="s">
        <v>855</v>
      </c>
    </row>
    <row r="99" spans="1:38" x14ac:dyDescent="0.2">
      <c r="A99" s="107" t="s">
        <v>1875</v>
      </c>
      <c r="B99" s="110"/>
      <c r="C99" s="110"/>
      <c r="D99" s="110"/>
      <c r="E99" s="110"/>
      <c r="F99" s="110"/>
      <c r="G99" s="110"/>
      <c r="H99" s="110"/>
      <c r="I99" s="110"/>
      <c r="J99" s="110"/>
      <c r="K99" s="110"/>
      <c r="L99" s="111"/>
      <c r="P99" s="291"/>
    </row>
    <row r="100" spans="1:38" x14ac:dyDescent="0.2">
      <c r="A100" t="s">
        <v>1875</v>
      </c>
      <c r="B100">
        <v>-402</v>
      </c>
      <c r="C100" s="4" t="s">
        <v>1657</v>
      </c>
      <c r="D100" t="s">
        <v>537</v>
      </c>
      <c r="H100" s="4" t="s">
        <v>1877</v>
      </c>
      <c r="J100" s="4"/>
      <c r="K100" s="289">
        <v>-10.87942606879415</v>
      </c>
      <c r="L100" s="289">
        <v>-11.191114132640188</v>
      </c>
      <c r="M100" s="4" t="s">
        <v>1876</v>
      </c>
      <c r="O100" s="291"/>
      <c r="P100" s="138"/>
      <c r="Q100" s="138"/>
      <c r="AE100">
        <f>VLOOKUP(A100,Literatuur!$A:$B,2,FALSE)</f>
        <v>39</v>
      </c>
      <c r="AF100" t="str">
        <f t="shared" ref="AF100:AF105" si="18">D100</f>
        <v>Dichloromethane</v>
      </c>
      <c r="AG100" t="str">
        <f t="shared" ref="AG100:AG105" si="19">C100</f>
        <v>immersion</v>
      </c>
      <c r="AH100" t="str">
        <f t="shared" ref="AH100:AK105" si="20">IF(ISNUMBER(I100),I100,"")</f>
        <v/>
      </c>
      <c r="AI100" t="str">
        <f t="shared" si="20"/>
        <v/>
      </c>
      <c r="AJ100">
        <f t="shared" si="20"/>
        <v>-10.87942606879415</v>
      </c>
      <c r="AK100">
        <f t="shared" si="20"/>
        <v>-11.191114132640188</v>
      </c>
      <c r="AL100" s="4" t="s">
        <v>856</v>
      </c>
    </row>
    <row r="101" spans="1:38" x14ac:dyDescent="0.2">
      <c r="A101" t="s">
        <v>1875</v>
      </c>
      <c r="B101" s="33">
        <v>-1695</v>
      </c>
      <c r="C101" s="4" t="s">
        <v>1657</v>
      </c>
      <c r="D101" t="s">
        <v>931</v>
      </c>
      <c r="K101" s="289">
        <v>-11.899629454882437</v>
      </c>
      <c r="L101" s="289">
        <v>-12.177178354696895</v>
      </c>
      <c r="O101" s="291"/>
      <c r="P101" s="138"/>
      <c r="Q101" s="138"/>
      <c r="AE101">
        <f>VLOOKUP(A101,Literatuur!$A:$B,2,FALSE)</f>
        <v>39</v>
      </c>
      <c r="AF101" t="str">
        <f t="shared" si="18"/>
        <v>MTBE</v>
      </c>
      <c r="AG101" t="str">
        <f t="shared" si="19"/>
        <v>immersion</v>
      </c>
      <c r="AH101" t="str">
        <f t="shared" si="20"/>
        <v/>
      </c>
      <c r="AI101" t="str">
        <f t="shared" si="20"/>
        <v/>
      </c>
      <c r="AJ101">
        <f t="shared" si="20"/>
        <v>-11.899629454882437</v>
      </c>
      <c r="AK101">
        <f t="shared" si="20"/>
        <v>-12.177178354696895</v>
      </c>
      <c r="AL101" s="4" t="s">
        <v>856</v>
      </c>
    </row>
    <row r="102" spans="1:38" x14ac:dyDescent="0.2">
      <c r="A102" t="s">
        <v>1875</v>
      </c>
      <c r="B102" s="33">
        <v>-1534</v>
      </c>
      <c r="C102" s="4" t="s">
        <v>1657</v>
      </c>
      <c r="D102" t="s">
        <v>932</v>
      </c>
      <c r="K102" s="289">
        <v>-11.036684488613888</v>
      </c>
      <c r="L102" s="289">
        <v>-11.235077015350111</v>
      </c>
      <c r="O102" s="291"/>
      <c r="P102" s="291"/>
      <c r="Q102" s="138"/>
      <c r="AE102">
        <f>VLOOKUP(A102,Literatuur!$A:$B,2,FALSE)</f>
        <v>39</v>
      </c>
      <c r="AF102" t="str">
        <f t="shared" si="18"/>
        <v>Trichloromethane</v>
      </c>
      <c r="AG102" t="str">
        <f t="shared" si="19"/>
        <v>immersion</v>
      </c>
      <c r="AH102" t="str">
        <f t="shared" si="20"/>
        <v/>
      </c>
      <c r="AI102" t="str">
        <f t="shared" si="20"/>
        <v/>
      </c>
      <c r="AJ102">
        <f t="shared" si="20"/>
        <v>-11.036684488613888</v>
      </c>
      <c r="AK102">
        <f t="shared" si="20"/>
        <v>-11.235077015350111</v>
      </c>
      <c r="AL102" s="4" t="s">
        <v>856</v>
      </c>
    </row>
    <row r="103" spans="1:38" x14ac:dyDescent="0.2">
      <c r="A103" t="s">
        <v>1875</v>
      </c>
      <c r="B103" s="33">
        <v>204</v>
      </c>
      <c r="C103" s="4" t="s">
        <v>1657</v>
      </c>
      <c r="D103" t="s">
        <v>492</v>
      </c>
      <c r="K103" s="289">
        <v>-11.014573525916997</v>
      </c>
      <c r="L103" s="289">
        <v>-11.244887733604928</v>
      </c>
      <c r="O103" s="291"/>
      <c r="P103" s="138"/>
      <c r="Q103" s="138"/>
      <c r="AE103">
        <f>VLOOKUP(A103,Literatuur!$A:$B,2,FALSE)</f>
        <v>39</v>
      </c>
      <c r="AF103" t="str">
        <f t="shared" si="18"/>
        <v>Toluene</v>
      </c>
      <c r="AG103" t="str">
        <f t="shared" si="19"/>
        <v>immersion</v>
      </c>
      <c r="AH103" t="str">
        <f t="shared" si="20"/>
        <v/>
      </c>
      <c r="AI103" t="str">
        <f t="shared" si="20"/>
        <v/>
      </c>
      <c r="AJ103">
        <f t="shared" si="20"/>
        <v>-11.014573525916997</v>
      </c>
      <c r="AK103">
        <f t="shared" si="20"/>
        <v>-11.244887733604928</v>
      </c>
      <c r="AL103" s="4" t="s">
        <v>856</v>
      </c>
    </row>
    <row r="104" spans="1:38" x14ac:dyDescent="0.2">
      <c r="A104" t="s">
        <v>1875</v>
      </c>
      <c r="B104" s="33">
        <v>205</v>
      </c>
      <c r="C104" s="4" t="s">
        <v>1657</v>
      </c>
      <c r="D104" t="s">
        <v>933</v>
      </c>
      <c r="K104" s="289">
        <v>-11.202732459169283</v>
      </c>
      <c r="L104" s="289">
        <v>-11.430626090384955</v>
      </c>
      <c r="O104" s="291"/>
      <c r="P104" s="138"/>
      <c r="Q104" s="138"/>
      <c r="AE104">
        <f>VLOOKUP(A104,Literatuur!$A:$B,2,FALSE)</f>
        <v>39</v>
      </c>
      <c r="AF104" t="str">
        <f t="shared" si="18"/>
        <v>m-xylene</v>
      </c>
      <c r="AG104" t="str">
        <f t="shared" si="19"/>
        <v>immersion</v>
      </c>
      <c r="AH104" t="str">
        <f t="shared" si="20"/>
        <v/>
      </c>
      <c r="AI104" t="str">
        <f t="shared" si="20"/>
        <v/>
      </c>
      <c r="AJ104">
        <f t="shared" si="20"/>
        <v>-11.202732459169283</v>
      </c>
      <c r="AK104">
        <f t="shared" si="20"/>
        <v>-11.430626090384955</v>
      </c>
      <c r="AL104" s="4" t="s">
        <v>856</v>
      </c>
    </row>
    <row r="105" spans="1:38" x14ac:dyDescent="0.2">
      <c r="A105" t="s">
        <v>1875</v>
      </c>
      <c r="B105" s="33">
        <v>219</v>
      </c>
      <c r="C105" s="4" t="s">
        <v>1657</v>
      </c>
      <c r="D105" t="s">
        <v>699</v>
      </c>
      <c r="K105" s="289">
        <v>-11.021819483062586</v>
      </c>
      <c r="L105" s="289">
        <v>-11.260427655549908</v>
      </c>
      <c r="O105" s="291"/>
      <c r="P105" s="138"/>
      <c r="Q105" s="138"/>
      <c r="AE105">
        <f>VLOOKUP(A105,Literatuur!$A:$B,2,FALSE)</f>
        <v>39</v>
      </c>
      <c r="AF105" t="str">
        <f t="shared" si="18"/>
        <v>p-xylene</v>
      </c>
      <c r="AG105" t="str">
        <f t="shared" si="19"/>
        <v>immersion</v>
      </c>
      <c r="AH105" t="str">
        <f t="shared" si="20"/>
        <v/>
      </c>
      <c r="AI105" t="str">
        <f t="shared" si="20"/>
        <v/>
      </c>
      <c r="AJ105">
        <f t="shared" si="20"/>
        <v>-11.021819483062586</v>
      </c>
      <c r="AK105">
        <f t="shared" si="20"/>
        <v>-11.260427655549908</v>
      </c>
      <c r="AL105" s="4" t="s">
        <v>856</v>
      </c>
    </row>
    <row r="106" spans="1:38" x14ac:dyDescent="0.2">
      <c r="K106" s="289"/>
      <c r="L106" s="289"/>
    </row>
    <row r="107" spans="1:38" x14ac:dyDescent="0.2">
      <c r="A107" t="s">
        <v>1875</v>
      </c>
      <c r="B107" s="33">
        <v>-1690</v>
      </c>
      <c r="C107" s="4" t="s">
        <v>1657</v>
      </c>
      <c r="D107" t="s">
        <v>925</v>
      </c>
      <c r="H107" s="4" t="s">
        <v>1878</v>
      </c>
      <c r="J107" s="4"/>
      <c r="K107" s="289">
        <v>-11.522878745280337</v>
      </c>
      <c r="L107" s="289">
        <v>-11.939302159646388</v>
      </c>
      <c r="P107" s="138"/>
      <c r="Q107" s="138"/>
      <c r="AE107">
        <f>VLOOKUP(A107,Literatuur!$A:$B,2,FALSE)</f>
        <v>39</v>
      </c>
      <c r="AF107" t="str">
        <f t="shared" ref="AF107:AF113" si="21">D107</f>
        <v>Acetonitrile</v>
      </c>
      <c r="AG107" t="str">
        <f t="shared" ref="AG107:AG113" si="22">C107</f>
        <v>immersion</v>
      </c>
      <c r="AH107" t="str">
        <f t="shared" ref="AH107:AK113" si="23">IF(ISNUMBER(I107),I107,"")</f>
        <v/>
      </c>
      <c r="AI107" t="str">
        <f t="shared" si="23"/>
        <v/>
      </c>
      <c r="AJ107">
        <f t="shared" si="23"/>
        <v>-11.522878745280337</v>
      </c>
      <c r="AK107">
        <f t="shared" si="23"/>
        <v>-11.939302159646388</v>
      </c>
      <c r="AL107" s="4" t="s">
        <v>856</v>
      </c>
    </row>
    <row r="108" spans="1:38" x14ac:dyDescent="0.2">
      <c r="A108" t="s">
        <v>1875</v>
      </c>
      <c r="B108" s="33">
        <v>-1507</v>
      </c>
      <c r="C108" s="4" t="s">
        <v>1657</v>
      </c>
      <c r="D108" t="s">
        <v>926</v>
      </c>
      <c r="K108" s="289">
        <v>-11.75448733218585</v>
      </c>
      <c r="L108" s="289">
        <v>-11.978810700930062</v>
      </c>
      <c r="P108" s="138"/>
      <c r="Q108" s="138"/>
      <c r="AE108">
        <f>VLOOKUP(A108,Literatuur!$A:$B,2,FALSE)</f>
        <v>39</v>
      </c>
      <c r="AF108" t="str">
        <f t="shared" si="21"/>
        <v>Propanone</v>
      </c>
      <c r="AG108" t="str">
        <f t="shared" si="22"/>
        <v>immersion</v>
      </c>
      <c r="AH108" t="str">
        <f t="shared" si="23"/>
        <v/>
      </c>
      <c r="AI108" t="str">
        <f t="shared" si="23"/>
        <v/>
      </c>
      <c r="AJ108">
        <f t="shared" si="23"/>
        <v>-11.75448733218585</v>
      </c>
      <c r="AK108">
        <f t="shared" si="23"/>
        <v>-11.978810700930062</v>
      </c>
      <c r="AL108" s="4" t="s">
        <v>856</v>
      </c>
    </row>
    <row r="109" spans="1:38" x14ac:dyDescent="0.2">
      <c r="A109" t="s">
        <v>1875</v>
      </c>
      <c r="B109" s="33">
        <v>-1691</v>
      </c>
      <c r="C109" s="4" t="s">
        <v>1657</v>
      </c>
      <c r="D109" t="s">
        <v>927</v>
      </c>
      <c r="K109" s="289">
        <v>-12.090979145788843</v>
      </c>
      <c r="L109" s="289">
        <v>-12.321481620959887</v>
      </c>
      <c r="P109" s="138"/>
      <c r="Q109" s="138"/>
      <c r="AE109">
        <f>VLOOKUP(A109,Literatuur!$A:$B,2,FALSE)</f>
        <v>39</v>
      </c>
      <c r="AF109" t="str">
        <f t="shared" si="21"/>
        <v>Benzaldehyde</v>
      </c>
      <c r="AG109" t="str">
        <f t="shared" si="22"/>
        <v>immersion</v>
      </c>
      <c r="AH109" t="str">
        <f t="shared" si="23"/>
        <v/>
      </c>
      <c r="AI109" t="str">
        <f t="shared" si="23"/>
        <v/>
      </c>
      <c r="AJ109">
        <f t="shared" si="23"/>
        <v>-12.090979145788843</v>
      </c>
      <c r="AK109">
        <f t="shared" si="23"/>
        <v>-12.321481620959887</v>
      </c>
      <c r="AL109" s="4" t="s">
        <v>856</v>
      </c>
    </row>
    <row r="110" spans="1:38" x14ac:dyDescent="0.2">
      <c r="A110" t="s">
        <v>1875</v>
      </c>
      <c r="B110" s="33">
        <v>1093</v>
      </c>
      <c r="C110" s="4" t="s">
        <v>1657</v>
      </c>
      <c r="D110" t="s">
        <v>928</v>
      </c>
      <c r="K110" s="289">
        <v>-11.759450751717401</v>
      </c>
      <c r="L110" s="289">
        <v>-12.102372908709558</v>
      </c>
      <c r="P110" s="138"/>
      <c r="Q110" s="138"/>
      <c r="AE110">
        <f>VLOOKUP(A110,Literatuur!$A:$B,2,FALSE)</f>
        <v>39</v>
      </c>
      <c r="AF110" t="str">
        <f t="shared" si="21"/>
        <v>Butanone</v>
      </c>
      <c r="AG110" t="str">
        <f t="shared" si="22"/>
        <v>immersion</v>
      </c>
      <c r="AH110" t="str">
        <f t="shared" si="23"/>
        <v/>
      </c>
      <c r="AI110" t="str">
        <f t="shared" si="23"/>
        <v/>
      </c>
      <c r="AJ110">
        <f t="shared" si="23"/>
        <v>-11.759450751717401</v>
      </c>
      <c r="AK110">
        <f t="shared" si="23"/>
        <v>-12.102372908709558</v>
      </c>
      <c r="AL110" s="4" t="s">
        <v>856</v>
      </c>
    </row>
    <row r="111" spans="1:38" x14ac:dyDescent="0.2">
      <c r="A111" t="s">
        <v>1875</v>
      </c>
      <c r="B111" s="33">
        <v>-1692</v>
      </c>
      <c r="C111" s="4" t="s">
        <v>1657</v>
      </c>
      <c r="D111" t="s">
        <v>936</v>
      </c>
      <c r="K111" s="289">
        <v>-12.39469495385889</v>
      </c>
      <c r="L111" s="289">
        <v>-12.258060922270801</v>
      </c>
      <c r="P111" s="138"/>
      <c r="Q111" s="138"/>
      <c r="AE111">
        <f>VLOOKUP(A111,Literatuur!$A:$B,2,FALSE)</f>
        <v>39</v>
      </c>
      <c r="AF111" t="str">
        <f t="shared" si="21"/>
        <v>Benzyl alcohol</v>
      </c>
      <c r="AG111" t="str">
        <f t="shared" si="22"/>
        <v>immersion</v>
      </c>
      <c r="AH111" t="str">
        <f t="shared" si="23"/>
        <v/>
      </c>
      <c r="AI111" t="str">
        <f t="shared" si="23"/>
        <v/>
      </c>
      <c r="AJ111">
        <f t="shared" si="23"/>
        <v>-12.39469495385889</v>
      </c>
      <c r="AK111">
        <f t="shared" si="23"/>
        <v>-12.258060922270801</v>
      </c>
      <c r="AL111" s="4" t="s">
        <v>856</v>
      </c>
    </row>
    <row r="112" spans="1:38" x14ac:dyDescent="0.2">
      <c r="A112" t="s">
        <v>1875</v>
      </c>
      <c r="B112" s="33">
        <v>-1693</v>
      </c>
      <c r="C112" s="4" t="s">
        <v>1657</v>
      </c>
      <c r="D112" t="s">
        <v>929</v>
      </c>
      <c r="K112" s="289">
        <v>-12.570247719997592</v>
      </c>
      <c r="L112" s="289">
        <v>-13.004364805402449</v>
      </c>
      <c r="P112" s="138"/>
      <c r="Q112" s="138"/>
      <c r="AE112">
        <f>VLOOKUP(A112,Literatuur!$A:$B,2,FALSE)</f>
        <v>39</v>
      </c>
      <c r="AF112" t="str">
        <f t="shared" si="21"/>
        <v>1-butanol</v>
      </c>
      <c r="AG112" t="str">
        <f t="shared" si="22"/>
        <v>immersion</v>
      </c>
      <c r="AH112" t="str">
        <f t="shared" si="23"/>
        <v/>
      </c>
      <c r="AI112" t="str">
        <f t="shared" si="23"/>
        <v/>
      </c>
      <c r="AJ112">
        <f t="shared" si="23"/>
        <v>-12.570247719997592</v>
      </c>
      <c r="AK112">
        <f t="shared" si="23"/>
        <v>-13.004364805402449</v>
      </c>
      <c r="AL112" s="4" t="s">
        <v>856</v>
      </c>
    </row>
    <row r="113" spans="1:38" x14ac:dyDescent="0.2">
      <c r="A113" t="s">
        <v>1875</v>
      </c>
      <c r="B113" s="33">
        <v>-1694</v>
      </c>
      <c r="C113" s="4" t="s">
        <v>1657</v>
      </c>
      <c r="D113" t="s">
        <v>930</v>
      </c>
      <c r="K113" s="289">
        <v>-12.570247719997592</v>
      </c>
      <c r="L113" s="289">
        <v>-12.303643611266669</v>
      </c>
      <c r="P113" s="138"/>
      <c r="Q113" s="138"/>
      <c r="AE113">
        <f>VLOOKUP(A113,Literatuur!$A:$B,2,FALSE)</f>
        <v>39</v>
      </c>
      <c r="AF113" t="str">
        <f t="shared" si="21"/>
        <v>2-propanol</v>
      </c>
      <c r="AG113" t="str">
        <f t="shared" si="22"/>
        <v>immersion</v>
      </c>
      <c r="AH113" t="str">
        <f t="shared" si="23"/>
        <v/>
      </c>
      <c r="AI113" t="str">
        <f t="shared" si="23"/>
        <v/>
      </c>
      <c r="AJ113">
        <f t="shared" si="23"/>
        <v>-12.570247719997592</v>
      </c>
      <c r="AK113">
        <f t="shared" si="23"/>
        <v>-12.303643611266669</v>
      </c>
      <c r="AL113" s="4" t="s">
        <v>856</v>
      </c>
    </row>
    <row r="115" spans="1:38" x14ac:dyDescent="0.2">
      <c r="AE115" s="4" t="s">
        <v>2084</v>
      </c>
    </row>
    <row r="116" spans="1:38" x14ac:dyDescent="0.2">
      <c r="AE116" s="4" t="s">
        <v>2085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249977111117893"/>
  </sheetPr>
  <dimension ref="A1:EP188"/>
  <sheetViews>
    <sheetView topLeftCell="A36" zoomScale="85" zoomScaleNormal="85" workbookViewId="0">
      <pane xSplit="2" ySplit="10" topLeftCell="BV104" activePane="bottomRight" state="frozen"/>
      <selection activeCell="A36" sqref="A36"/>
      <selection pane="topRight" activeCell="C36" sqref="C36"/>
      <selection pane="bottomLeft" activeCell="A46" sqref="A46"/>
      <selection pane="bottomRight" activeCell="CJ125" sqref="CJ125"/>
    </sheetView>
  </sheetViews>
  <sheetFormatPr defaultRowHeight="12.75" x14ac:dyDescent="0.2"/>
  <cols>
    <col min="1" max="1" width="5.42578125" customWidth="1"/>
    <col min="2" max="3" width="19.85546875" customWidth="1"/>
    <col min="4" max="4" width="8.42578125" customWidth="1"/>
    <col min="5" max="5" width="19.85546875" customWidth="1"/>
    <col min="6" max="6" width="8.5703125" customWidth="1"/>
    <col min="7" max="7" width="6.140625" customWidth="1"/>
    <col min="8" max="8" width="9.140625" customWidth="1"/>
    <col min="9" max="13" width="11.85546875" customWidth="1"/>
    <col min="14" max="14" width="10.7109375" customWidth="1"/>
    <col min="15" max="15" width="11.85546875" customWidth="1"/>
    <col min="16" max="16" width="13.140625" customWidth="1"/>
    <col min="17" max="53" width="10.28515625" customWidth="1"/>
    <col min="54" max="54" width="8" customWidth="1"/>
    <col min="55" max="59" width="10.28515625" customWidth="1"/>
    <col min="60" max="60" width="8" customWidth="1"/>
    <col min="61" max="61" width="9.28515625" bestFit="1" customWidth="1"/>
    <col min="62" max="62" width="7.140625" customWidth="1"/>
    <col min="63" max="63" width="10.28515625" customWidth="1"/>
    <col min="64" max="65" width="10.28515625" style="2" customWidth="1"/>
    <col min="66" max="66" width="22.7109375" style="162" customWidth="1"/>
    <col min="67" max="68" width="9.28515625" style="2" customWidth="1"/>
    <col min="69" max="69" width="10" style="2" customWidth="1"/>
    <col min="70" max="70" width="3.5703125" style="2" customWidth="1"/>
    <col min="71" max="71" width="10.28515625" style="2" customWidth="1"/>
    <col min="72" max="72" width="11.28515625" style="2" customWidth="1"/>
    <col min="73" max="73" width="4.28515625" style="2" customWidth="1"/>
    <col min="74" max="74" width="10.28515625" style="2" customWidth="1"/>
    <col min="75" max="75" width="12.85546875" style="2" customWidth="1"/>
    <col min="76" max="76" width="4.28515625" style="2" customWidth="1"/>
    <col min="77" max="77" width="10.28515625" style="2" customWidth="1"/>
    <col min="78" max="78" width="3.5703125" style="2" customWidth="1"/>
    <col min="79" max="79" width="10.28515625" style="2" customWidth="1"/>
    <col min="80" max="80" width="10.28515625" customWidth="1"/>
    <col min="88" max="88" width="10.7109375" bestFit="1" customWidth="1"/>
    <col min="90" max="90" width="9.28515625" bestFit="1" customWidth="1"/>
    <col min="92" max="92" width="10.85546875" bestFit="1" customWidth="1"/>
    <col min="93" max="93" width="10.85546875" customWidth="1"/>
    <col min="94" max="94" width="9.28515625" bestFit="1" customWidth="1"/>
    <col min="96" max="96" width="10.85546875" bestFit="1" customWidth="1"/>
    <col min="97" max="99" width="10.85546875" customWidth="1"/>
    <col min="100" max="100" width="9.28515625" bestFit="1" customWidth="1"/>
    <col min="106" max="107" width="9" customWidth="1"/>
    <col min="114" max="114" width="11.140625" customWidth="1"/>
    <col min="115" max="115" width="12.5703125" bestFit="1" customWidth="1"/>
    <col min="117" max="117" width="9.7109375" customWidth="1"/>
    <col min="127" max="127" width="20.85546875" bestFit="1" customWidth="1"/>
  </cols>
  <sheetData>
    <row r="1" spans="1:116" x14ac:dyDescent="0.2">
      <c r="M1" s="279" t="s">
        <v>256</v>
      </c>
      <c r="N1" s="224"/>
      <c r="O1" s="224"/>
      <c r="P1" s="224"/>
      <c r="Q1" s="224"/>
      <c r="R1" s="224"/>
      <c r="S1" s="224"/>
      <c r="T1" s="224"/>
      <c r="U1" s="224"/>
      <c r="V1" s="224"/>
      <c r="W1" s="224"/>
      <c r="X1" s="224"/>
      <c r="Y1" s="224"/>
      <c r="Z1" s="224"/>
      <c r="AA1" s="224"/>
      <c r="AB1" s="224"/>
      <c r="AC1" s="224"/>
      <c r="AD1" s="224"/>
      <c r="AE1" s="224"/>
      <c r="AL1" s="224"/>
      <c r="AM1" s="224"/>
      <c r="AN1" s="224"/>
    </row>
    <row r="2" spans="1:116" x14ac:dyDescent="0.2">
      <c r="N2" t="s">
        <v>2096</v>
      </c>
      <c r="O2" s="4" t="s">
        <v>1514</v>
      </c>
      <c r="P2">
        <f>273</f>
        <v>273</v>
      </c>
      <c r="Q2">
        <v>283</v>
      </c>
      <c r="R2">
        <v>293</v>
      </c>
      <c r="S2">
        <v>303</v>
      </c>
      <c r="T2">
        <v>313</v>
      </c>
      <c r="U2">
        <v>323</v>
      </c>
      <c r="W2">
        <f t="shared" ref="W2:AA2" si="0">1/P2</f>
        <v>3.663003663003663E-3</v>
      </c>
      <c r="X2">
        <f t="shared" si="0"/>
        <v>3.5335689045936395E-3</v>
      </c>
      <c r="Y2">
        <f t="shared" si="0"/>
        <v>3.4129692832764505E-3</v>
      </c>
      <c r="Z2">
        <f t="shared" si="0"/>
        <v>3.3003300330033004E-3</v>
      </c>
      <c r="AA2">
        <f t="shared" si="0"/>
        <v>3.1948881789137379E-3</v>
      </c>
      <c r="AC2" s="4" t="s">
        <v>1516</v>
      </c>
      <c r="AD2" s="4" t="s">
        <v>1502</v>
      </c>
      <c r="AE2" s="4" t="s">
        <v>1503</v>
      </c>
    </row>
    <row r="3" spans="1:116" x14ac:dyDescent="0.2">
      <c r="N3" s="4" t="s">
        <v>1883</v>
      </c>
      <c r="O3" s="4" t="s">
        <v>1800</v>
      </c>
      <c r="P3">
        <v>3.9960000000000002E-2</v>
      </c>
      <c r="Q3">
        <v>4.4600000000000001E-2</v>
      </c>
      <c r="R3">
        <v>5.8200000000000002E-2</v>
      </c>
      <c r="S3">
        <v>7.4899999999999994E-2</v>
      </c>
      <c r="T3">
        <v>9.4799999999999995E-2</v>
      </c>
      <c r="U3">
        <v>0.1177</v>
      </c>
      <c r="AC3" s="4" t="s">
        <v>2100</v>
      </c>
      <c r="AD3" s="4"/>
      <c r="AE3" s="4"/>
    </row>
    <row r="4" spans="1:116" x14ac:dyDescent="0.2">
      <c r="M4" s="4" t="s">
        <v>548</v>
      </c>
      <c r="N4" s="372" t="s">
        <v>1884</v>
      </c>
      <c r="O4" s="4" t="s">
        <v>1515</v>
      </c>
      <c r="P4">
        <f>P3*10</f>
        <v>0.39960000000000001</v>
      </c>
      <c r="Q4">
        <f t="shared" ref="Q4:R4" si="1">Q3*10</f>
        <v>0.44600000000000001</v>
      </c>
      <c r="R4">
        <f t="shared" si="1"/>
        <v>0.58200000000000007</v>
      </c>
      <c r="W4">
        <f>LN(P4)</f>
        <v>-0.91729123220773856</v>
      </c>
      <c r="X4">
        <f>LN(Q4)</f>
        <v>-0.80743632696207301</v>
      </c>
      <c r="Y4">
        <f>LN(R4)</f>
        <v>-0.54128483125069915</v>
      </c>
      <c r="AC4">
        <f>INTERCEPT(W4:Y4,W2:Y2)</f>
        <v>4.5346983804741186</v>
      </c>
      <c r="AD4">
        <f>SLOPE(W4:Y4,W2:Y2)</f>
        <v>-1495.8334445455696</v>
      </c>
      <c r="AE4">
        <f>-AD4*0.008413</f>
        <v>12.584446768961877</v>
      </c>
    </row>
    <row r="6" spans="1:116" x14ac:dyDescent="0.2">
      <c r="O6" s="4"/>
    </row>
    <row r="7" spans="1:116" x14ac:dyDescent="0.2">
      <c r="M7" s="4" t="s">
        <v>1505</v>
      </c>
      <c r="N7" t="s">
        <v>2096</v>
      </c>
      <c r="O7" s="4" t="s">
        <v>1886</v>
      </c>
      <c r="AC7" s="4"/>
    </row>
    <row r="8" spans="1:116" x14ac:dyDescent="0.2">
      <c r="A8" s="4"/>
      <c r="B8" s="4"/>
      <c r="C8" s="4"/>
      <c r="D8" s="4"/>
      <c r="E8" s="4"/>
      <c r="F8" s="4"/>
      <c r="G8" s="4"/>
      <c r="H8" s="4"/>
      <c r="I8" s="4"/>
      <c r="J8" s="4"/>
      <c r="K8" s="4"/>
      <c r="L8" s="4"/>
      <c r="M8" s="4"/>
      <c r="N8" s="372" t="s">
        <v>1885</v>
      </c>
      <c r="O8" s="4"/>
      <c r="AE8">
        <v>6.9</v>
      </c>
      <c r="AP8" s="4"/>
      <c r="AQ8" s="4"/>
      <c r="AR8" s="4"/>
      <c r="AS8" s="4"/>
      <c r="AT8" s="4"/>
      <c r="AU8" s="4"/>
      <c r="AV8" s="4"/>
      <c r="AW8" s="4"/>
      <c r="AX8" s="4"/>
      <c r="AY8" s="4"/>
      <c r="AZ8" s="4"/>
      <c r="BA8" s="4"/>
      <c r="BC8" s="4"/>
      <c r="BD8" s="4"/>
      <c r="BE8" s="4"/>
      <c r="BF8" s="4"/>
      <c r="BG8" s="4"/>
      <c r="BK8" s="4"/>
      <c r="BL8" s="5"/>
      <c r="BM8" s="5"/>
      <c r="BN8" s="21"/>
      <c r="BO8" s="5"/>
      <c r="BP8" s="5"/>
      <c r="BQ8" s="5"/>
      <c r="BR8" s="5"/>
      <c r="BS8" s="5"/>
      <c r="BT8" s="5"/>
      <c r="BU8" s="5"/>
      <c r="BV8" s="5"/>
      <c r="BW8" s="5"/>
      <c r="BX8" s="5"/>
      <c r="BY8" s="5"/>
      <c r="BZ8" s="5"/>
      <c r="CA8" s="5"/>
      <c r="CB8" s="4"/>
      <c r="CW8" s="1" t="s">
        <v>1414</v>
      </c>
      <c r="CX8" s="1"/>
      <c r="DL8" s="1" t="s">
        <v>1495</v>
      </c>
    </row>
    <row r="9" spans="1:116" x14ac:dyDescent="0.2">
      <c r="A9" s="4"/>
      <c r="B9" s="4"/>
      <c r="C9" s="4"/>
      <c r="D9" s="4"/>
      <c r="E9" s="4"/>
      <c r="F9" s="4"/>
      <c r="G9" s="4"/>
      <c r="H9" s="4"/>
      <c r="I9" s="4"/>
      <c r="J9" s="4"/>
      <c r="K9" s="4"/>
      <c r="L9" s="4"/>
      <c r="M9" s="4"/>
      <c r="N9" s="4"/>
      <c r="O9" s="4"/>
      <c r="AP9" s="4"/>
      <c r="AQ9" s="4"/>
      <c r="AR9" s="4"/>
      <c r="AS9" s="4"/>
      <c r="AT9" s="4"/>
      <c r="AU9" s="4"/>
      <c r="AV9" s="4"/>
      <c r="AW9" s="4"/>
      <c r="AX9" s="4"/>
      <c r="AY9" s="4"/>
      <c r="AZ9" s="4"/>
      <c r="BA9" s="4"/>
      <c r="BC9" s="4"/>
      <c r="BD9" s="4"/>
      <c r="BE9" s="4"/>
      <c r="BF9" s="4"/>
      <c r="BG9" s="4"/>
      <c r="BK9" s="4"/>
      <c r="BL9" s="5"/>
      <c r="BM9" s="5"/>
      <c r="BN9" s="21"/>
      <c r="BO9" s="5"/>
      <c r="BP9" s="5"/>
      <c r="BQ9" s="5"/>
      <c r="BR9" s="5"/>
      <c r="BS9" s="5"/>
      <c r="BT9" s="5"/>
      <c r="BU9" s="5"/>
      <c r="BV9" s="5"/>
      <c r="BW9" s="5"/>
      <c r="BX9" s="5"/>
      <c r="BY9" s="5"/>
      <c r="BZ9" s="5"/>
      <c r="CA9" s="5"/>
      <c r="CB9" s="4"/>
      <c r="CW9" s="1"/>
      <c r="CX9" s="1"/>
      <c r="DL9" s="1"/>
    </row>
    <row r="10" spans="1:116" x14ac:dyDescent="0.2">
      <c r="A10" s="4"/>
      <c r="B10" s="4"/>
      <c r="C10" s="4"/>
      <c r="D10" s="4"/>
      <c r="E10" s="4"/>
      <c r="F10" s="4"/>
      <c r="G10" s="4"/>
      <c r="H10" s="4"/>
      <c r="I10" s="4"/>
      <c r="J10" s="4"/>
      <c r="K10" s="4"/>
      <c r="L10" s="4"/>
      <c r="M10" s="4" t="s">
        <v>1354</v>
      </c>
      <c r="N10" t="s">
        <v>2096</v>
      </c>
      <c r="O10" s="4" t="s">
        <v>1514</v>
      </c>
      <c r="P10">
        <v>278</v>
      </c>
      <c r="Q10">
        <v>298</v>
      </c>
      <c r="R10">
        <v>323</v>
      </c>
      <c r="W10">
        <f>1/P10</f>
        <v>3.5971223021582736E-3</v>
      </c>
      <c r="X10">
        <f>1/Q10</f>
        <v>3.3557046979865771E-3</v>
      </c>
      <c r="Y10">
        <f>1/R10</f>
        <v>3.0959752321981426E-3</v>
      </c>
      <c r="AP10" s="4"/>
      <c r="AQ10" s="4"/>
      <c r="AR10" s="4"/>
      <c r="AS10" s="4"/>
      <c r="AT10" s="4"/>
      <c r="AU10" s="4"/>
      <c r="AV10" s="4"/>
      <c r="AW10" s="4"/>
      <c r="AX10" s="4"/>
      <c r="AY10" s="4"/>
      <c r="AZ10" s="4"/>
      <c r="BA10" s="4"/>
      <c r="BC10" s="4"/>
      <c r="BD10" s="4"/>
      <c r="BE10" s="4"/>
      <c r="BF10" s="4"/>
      <c r="BG10" s="4"/>
      <c r="BK10" s="4"/>
      <c r="BL10" s="5"/>
      <c r="BM10" s="5"/>
      <c r="BN10" s="21"/>
      <c r="BO10" s="5"/>
      <c r="BP10" s="5"/>
      <c r="BQ10" s="5"/>
      <c r="BR10" s="5"/>
      <c r="BS10" s="5"/>
      <c r="BT10" s="5"/>
      <c r="BU10" s="5"/>
      <c r="BV10" s="5"/>
      <c r="BW10" s="5"/>
      <c r="BX10" s="5"/>
      <c r="BY10" s="5"/>
      <c r="BZ10" s="5"/>
      <c r="CA10" s="5"/>
      <c r="CB10" s="4"/>
      <c r="CW10" s="1"/>
      <c r="CX10" s="1"/>
      <c r="DL10" s="1"/>
    </row>
    <row r="11" spans="1:116" x14ac:dyDescent="0.2">
      <c r="A11" s="4"/>
      <c r="B11" s="4"/>
      <c r="C11" s="4"/>
      <c r="D11" s="4"/>
      <c r="E11" s="4"/>
      <c r="F11" s="4"/>
      <c r="G11" s="4"/>
      <c r="H11" s="4"/>
      <c r="I11" s="4"/>
      <c r="J11" s="4"/>
      <c r="K11" s="4"/>
      <c r="L11" s="4"/>
      <c r="M11" s="4"/>
      <c r="N11" s="4" t="s">
        <v>1801</v>
      </c>
      <c r="O11" s="4" t="s">
        <v>1800</v>
      </c>
      <c r="P11">
        <v>35.299999999999997</v>
      </c>
      <c r="Q11">
        <v>25.2</v>
      </c>
      <c r="R11">
        <v>20.6</v>
      </c>
      <c r="AC11" s="4" t="s">
        <v>2101</v>
      </c>
      <c r="AP11" s="4"/>
      <c r="AQ11" s="4"/>
      <c r="AR11" s="4"/>
      <c r="AS11" s="4"/>
      <c r="AT11" s="4"/>
      <c r="AU11" s="4"/>
      <c r="AV11" s="4"/>
      <c r="AW11" s="4"/>
      <c r="AX11" s="4"/>
      <c r="AY11" s="4"/>
      <c r="AZ11" s="4"/>
      <c r="BA11" s="4"/>
      <c r="BC11" s="4"/>
      <c r="BD11" s="4"/>
      <c r="BE11" s="4"/>
      <c r="BF11" s="4"/>
      <c r="BG11" s="4"/>
      <c r="BK11" s="4"/>
      <c r="BL11" s="5"/>
      <c r="BM11" s="5"/>
      <c r="BN11" s="21"/>
      <c r="BO11" s="5"/>
      <c r="BP11" s="5"/>
      <c r="BQ11" s="5"/>
      <c r="BR11" s="5"/>
      <c r="BS11" s="5"/>
      <c r="BT11" s="5"/>
      <c r="BU11" s="5"/>
      <c r="BV11" s="5"/>
      <c r="BW11" s="5"/>
      <c r="BX11" s="5"/>
      <c r="BY11" s="5"/>
      <c r="BZ11" s="5"/>
      <c r="CA11" s="5"/>
      <c r="CB11" s="4"/>
      <c r="CW11" s="1"/>
      <c r="CX11" s="1"/>
      <c r="DL11" s="1"/>
    </row>
    <row r="12" spans="1:116" x14ac:dyDescent="0.2">
      <c r="A12" s="4"/>
      <c r="B12" s="4"/>
      <c r="C12" s="4"/>
      <c r="D12" s="4"/>
      <c r="E12" s="4"/>
      <c r="F12" s="4"/>
      <c r="G12" s="4"/>
      <c r="H12" s="4"/>
      <c r="I12" s="4"/>
      <c r="J12" s="4"/>
      <c r="K12" s="4"/>
      <c r="L12" s="4"/>
      <c r="M12" s="4"/>
      <c r="N12" s="372" t="s">
        <v>1799</v>
      </c>
      <c r="O12" s="4" t="s">
        <v>1515</v>
      </c>
      <c r="P12">
        <f>P11*10</f>
        <v>353</v>
      </c>
      <c r="Q12">
        <f t="shared" ref="Q12:R12" si="2">Q11*10</f>
        <v>252</v>
      </c>
      <c r="R12">
        <f t="shared" si="2"/>
        <v>206</v>
      </c>
      <c r="W12">
        <f>LN(P12)</f>
        <v>5.8664680569332965</v>
      </c>
      <c r="X12">
        <f>LN(Q12)</f>
        <v>5.5294290875114234</v>
      </c>
      <c r="Y12">
        <f>LN(R12)</f>
        <v>5.3278761687895813</v>
      </c>
      <c r="AC12">
        <f>INTERCEPT(W12:Y12,W10:Y10)</f>
        <v>1.9873404912308446</v>
      </c>
      <c r="AD12">
        <f>SLOPE(W12:Y12,W10:Y10)</f>
        <v>1070.9487151517503</v>
      </c>
      <c r="AE12">
        <f>-AD12*0.008413</f>
        <v>-9.009891540571676</v>
      </c>
      <c r="AP12" s="4"/>
      <c r="AQ12" s="4"/>
      <c r="AR12" s="4"/>
      <c r="AS12" s="4"/>
      <c r="AT12" s="4"/>
      <c r="AU12" s="4"/>
      <c r="AV12" s="4"/>
      <c r="AW12" s="4"/>
      <c r="AX12" s="4"/>
      <c r="AY12" s="4"/>
      <c r="AZ12" s="4"/>
      <c r="BA12" s="4"/>
      <c r="BC12" s="4"/>
      <c r="BD12" s="4"/>
      <c r="BE12" s="4"/>
      <c r="BF12" s="4"/>
      <c r="BG12" s="4"/>
      <c r="BK12" s="4"/>
      <c r="BL12" s="5"/>
      <c r="BM12" s="5"/>
      <c r="BN12" s="21"/>
      <c r="BO12" s="5"/>
      <c r="BP12" s="5"/>
      <c r="BQ12" s="5"/>
      <c r="BR12" s="5"/>
      <c r="BS12" s="5"/>
      <c r="BT12" s="5"/>
      <c r="BU12" s="5"/>
      <c r="BV12" s="5"/>
      <c r="BW12" s="5"/>
      <c r="BX12" s="5"/>
      <c r="BY12" s="5"/>
      <c r="BZ12" s="5"/>
      <c r="CA12" s="5"/>
      <c r="CB12" s="4"/>
      <c r="CW12" s="1"/>
      <c r="CX12" s="1"/>
      <c r="DL12" s="1"/>
    </row>
    <row r="13" spans="1:116" x14ac:dyDescent="0.2">
      <c r="A13" s="4"/>
      <c r="B13" s="4"/>
      <c r="C13" s="4"/>
      <c r="D13" s="4"/>
      <c r="E13" s="4"/>
      <c r="F13" s="4"/>
      <c r="G13" s="4"/>
      <c r="H13" s="4"/>
      <c r="I13" s="4"/>
      <c r="J13" s="4"/>
      <c r="K13" s="4"/>
      <c r="L13" s="4"/>
      <c r="M13" s="4"/>
      <c r="N13" s="4"/>
      <c r="O13" s="4"/>
      <c r="AP13" s="4"/>
      <c r="AQ13" s="4"/>
      <c r="AR13" s="4"/>
      <c r="AS13" s="4"/>
      <c r="AT13" s="4"/>
      <c r="AU13" s="4"/>
      <c r="AV13" s="4"/>
      <c r="AW13" s="4"/>
      <c r="AX13" s="4"/>
      <c r="AY13" s="4"/>
      <c r="AZ13" s="4"/>
      <c r="BA13" s="4"/>
      <c r="BC13" s="4"/>
      <c r="BD13" s="4"/>
      <c r="BE13" s="4"/>
      <c r="BF13" s="4"/>
      <c r="BG13" s="4"/>
      <c r="BK13" s="4"/>
      <c r="BL13" s="5"/>
      <c r="BM13" s="5"/>
      <c r="BN13" s="21"/>
      <c r="BO13" s="5"/>
      <c r="BP13" s="5"/>
      <c r="BQ13" s="5"/>
      <c r="BR13" s="5"/>
      <c r="BS13" s="5"/>
      <c r="BT13" s="5"/>
      <c r="BU13" s="5"/>
      <c r="BV13" s="5"/>
      <c r="BW13" s="5"/>
      <c r="BX13" s="5"/>
      <c r="BY13" s="5"/>
      <c r="BZ13" s="5"/>
      <c r="CA13" s="5"/>
      <c r="CB13" s="4"/>
      <c r="CW13" s="1"/>
      <c r="CX13" s="1"/>
      <c r="DL13" s="1"/>
    </row>
    <row r="14" spans="1:116" x14ac:dyDescent="0.2">
      <c r="A14" s="4"/>
      <c r="B14" s="4"/>
      <c r="C14" s="4"/>
      <c r="D14" s="4"/>
      <c r="E14" s="4"/>
      <c r="F14" s="4"/>
      <c r="G14" s="4"/>
      <c r="H14" s="4" t="s">
        <v>1073</v>
      </c>
      <c r="I14" s="4"/>
      <c r="J14" s="4"/>
      <c r="K14" s="4"/>
      <c r="L14" s="4"/>
      <c r="M14" s="4" t="s">
        <v>1071</v>
      </c>
      <c r="N14" t="s">
        <v>2096</v>
      </c>
      <c r="O14" s="4" t="s">
        <v>1514</v>
      </c>
      <c r="P14">
        <v>288</v>
      </c>
      <c r="Q14">
        <v>298</v>
      </c>
      <c r="R14">
        <v>308</v>
      </c>
      <c r="S14">
        <v>318</v>
      </c>
      <c r="W14">
        <f>1/P14</f>
        <v>3.472222222222222E-3</v>
      </c>
      <c r="X14">
        <f>1/Q14</f>
        <v>3.3557046979865771E-3</v>
      </c>
      <c r="Y14">
        <f>1/R14</f>
        <v>3.246753246753247E-3</v>
      </c>
      <c r="AP14" s="4"/>
      <c r="AQ14" s="4"/>
      <c r="AR14" s="4"/>
      <c r="AS14" s="4"/>
      <c r="AT14" s="4"/>
      <c r="AU14" s="4"/>
      <c r="AV14" s="4"/>
      <c r="AW14" s="4"/>
      <c r="AX14" s="4"/>
      <c r="AY14" s="4"/>
      <c r="AZ14" s="4"/>
      <c r="BA14" s="4"/>
      <c r="BC14" s="4"/>
      <c r="BD14" s="4"/>
      <c r="BE14" s="4"/>
      <c r="BF14" s="4"/>
      <c r="BG14" s="4"/>
      <c r="BK14" s="4"/>
      <c r="BL14" s="5"/>
      <c r="BM14" s="5"/>
      <c r="BN14" s="21"/>
      <c r="BO14" s="5"/>
      <c r="BP14" s="5"/>
      <c r="BQ14" s="5"/>
      <c r="BR14" s="5"/>
      <c r="BS14" s="5"/>
      <c r="BT14" s="5"/>
      <c r="BU14" s="5"/>
      <c r="BV14" s="5"/>
      <c r="BW14" s="5"/>
      <c r="BX14" s="5"/>
      <c r="BY14" s="5"/>
      <c r="BZ14" s="5"/>
      <c r="CA14" s="5"/>
      <c r="CB14" s="4"/>
      <c r="CW14" s="1"/>
      <c r="CX14" s="1"/>
      <c r="DL14" s="1"/>
    </row>
    <row r="15" spans="1:116" x14ac:dyDescent="0.2">
      <c r="A15" s="4"/>
      <c r="B15" s="4"/>
      <c r="C15" s="4"/>
      <c r="D15" s="4"/>
      <c r="E15" s="4"/>
      <c r="F15" s="4"/>
      <c r="G15" s="4"/>
      <c r="H15" s="4" t="s">
        <v>1071</v>
      </c>
      <c r="I15" s="4"/>
      <c r="J15" s="4"/>
      <c r="K15" s="4"/>
      <c r="L15" s="4"/>
      <c r="M15" s="4"/>
      <c r="N15" s="4" t="s">
        <v>1803</v>
      </c>
      <c r="O15" s="4" t="s">
        <v>1800</v>
      </c>
      <c r="P15">
        <v>6</v>
      </c>
      <c r="Q15">
        <v>6.9</v>
      </c>
      <c r="R15">
        <v>7.2</v>
      </c>
      <c r="S15">
        <v>8.5</v>
      </c>
      <c r="AC15" s="4" t="s">
        <v>2102</v>
      </c>
      <c r="AP15" s="4"/>
      <c r="AQ15" s="4"/>
      <c r="AR15" s="4"/>
      <c r="AS15" s="4"/>
      <c r="AT15" s="4"/>
      <c r="AU15" s="4"/>
      <c r="AV15" s="4"/>
      <c r="AW15" s="4"/>
      <c r="AX15" s="4"/>
      <c r="AY15" s="4"/>
      <c r="AZ15" s="4"/>
      <c r="BA15" s="4"/>
      <c r="BC15" s="4"/>
      <c r="BD15" s="4"/>
      <c r="BE15" s="4"/>
      <c r="BF15" s="4"/>
      <c r="BG15" s="4"/>
      <c r="BK15" s="4"/>
      <c r="BL15" s="5"/>
      <c r="BM15" s="5"/>
      <c r="BN15" s="21"/>
      <c r="BO15" s="5"/>
      <c r="BP15" s="5"/>
      <c r="BQ15" s="5"/>
      <c r="BR15" s="5"/>
      <c r="BS15" s="5"/>
      <c r="BT15" s="5"/>
      <c r="BU15" s="5"/>
      <c r="BV15" s="5"/>
      <c r="BW15" s="5"/>
      <c r="BX15" s="5"/>
      <c r="BY15" s="5"/>
      <c r="BZ15" s="5"/>
      <c r="CA15" s="5"/>
      <c r="CB15" s="4"/>
      <c r="CW15" s="1"/>
      <c r="CX15" s="1"/>
      <c r="DL15" s="1"/>
    </row>
    <row r="16" spans="1:116" x14ac:dyDescent="0.2">
      <c r="A16" s="4"/>
      <c r="B16" s="4"/>
      <c r="C16" s="4"/>
      <c r="D16" s="4"/>
      <c r="E16" s="4"/>
      <c r="F16" s="4"/>
      <c r="G16" s="4"/>
      <c r="H16" s="4" t="s">
        <v>907</v>
      </c>
      <c r="I16" s="4"/>
      <c r="J16" s="4"/>
      <c r="K16" s="4"/>
      <c r="L16" s="4"/>
      <c r="M16" s="4"/>
      <c r="N16" s="372" t="s">
        <v>1802</v>
      </c>
      <c r="O16" s="4" t="s">
        <v>1515</v>
      </c>
      <c r="P16">
        <f>P15*10</f>
        <v>60</v>
      </c>
      <c r="Q16">
        <f t="shared" ref="Q16" si="3">Q15*10</f>
        <v>69</v>
      </c>
      <c r="R16">
        <f t="shared" ref="R16:S16" si="4">R15*10</f>
        <v>72</v>
      </c>
      <c r="S16">
        <f t="shared" si="4"/>
        <v>85</v>
      </c>
      <c r="W16">
        <f>LN(P16)</f>
        <v>4.0943445622221004</v>
      </c>
      <c r="X16">
        <f>LN(Q16)</f>
        <v>4.2341065045972597</v>
      </c>
      <c r="Y16">
        <f>LN(R16)</f>
        <v>4.2766661190160553</v>
      </c>
      <c r="AC16">
        <f>INTERCEPT(W16:Y16,W14:Y14)</f>
        <v>6.9324465296920756</v>
      </c>
      <c r="AD16">
        <f>SLOPE(W16:Y16,W14:Y14)</f>
        <v>-813.14962534548852</v>
      </c>
      <c r="AE16">
        <f>-AD16*0.008413</f>
        <v>6.841027798031595</v>
      </c>
      <c r="AP16" s="4"/>
      <c r="AQ16" s="4"/>
      <c r="AR16" s="4"/>
      <c r="AS16" s="4"/>
      <c r="AT16" s="4"/>
      <c r="AU16" s="4"/>
      <c r="AV16" s="4"/>
      <c r="AW16" s="4"/>
      <c r="AX16" s="4"/>
      <c r="AY16" s="4"/>
      <c r="AZ16" s="4"/>
      <c r="BA16" s="4"/>
      <c r="BC16" s="4"/>
      <c r="BD16" s="4"/>
      <c r="BE16" s="4"/>
      <c r="BF16" s="4"/>
      <c r="BG16" s="4"/>
      <c r="BK16" s="4"/>
      <c r="BL16" s="5"/>
      <c r="BM16" s="5"/>
      <c r="BN16" s="21"/>
      <c r="BO16" s="5"/>
      <c r="BP16" s="5"/>
      <c r="BQ16" s="5"/>
      <c r="BR16" s="5"/>
      <c r="BS16" s="5"/>
      <c r="BT16" s="5"/>
      <c r="BU16" s="5"/>
      <c r="BV16" s="5"/>
      <c r="BW16" s="5"/>
      <c r="BX16" s="5"/>
      <c r="BY16" s="5"/>
      <c r="BZ16" s="5"/>
      <c r="CA16" s="5"/>
      <c r="CB16" s="4"/>
      <c r="CW16" s="1"/>
      <c r="CX16" s="1"/>
      <c r="DL16" s="1"/>
    </row>
    <row r="17" spans="1:116" x14ac:dyDescent="0.2">
      <c r="A17" s="4"/>
      <c r="B17" s="4"/>
      <c r="C17" s="4"/>
      <c r="D17" s="4"/>
      <c r="E17" s="4"/>
      <c r="F17" s="4"/>
      <c r="G17" s="4"/>
      <c r="H17" s="4" t="s">
        <v>859</v>
      </c>
      <c r="I17" s="4"/>
      <c r="J17" s="4"/>
      <c r="K17" s="4"/>
      <c r="L17" s="4"/>
      <c r="M17" s="4"/>
      <c r="N17" s="372"/>
      <c r="O17" s="4"/>
      <c r="AP17" s="4"/>
      <c r="AQ17" s="4"/>
      <c r="AR17" s="4"/>
      <c r="AS17" s="4"/>
      <c r="AT17" s="4"/>
      <c r="AU17" s="4"/>
      <c r="AV17" s="4"/>
      <c r="AW17" s="4"/>
      <c r="AX17" s="4"/>
      <c r="AY17" s="4"/>
      <c r="AZ17" s="4"/>
      <c r="BA17" s="4"/>
      <c r="BC17" s="4"/>
      <c r="BD17" s="4"/>
      <c r="BE17" s="4"/>
      <c r="BF17" s="4"/>
      <c r="BG17" s="4"/>
      <c r="BK17" s="4"/>
      <c r="BL17" s="5"/>
      <c r="BM17" s="5"/>
      <c r="BN17" s="21"/>
      <c r="BO17" s="5"/>
      <c r="BP17" s="5"/>
      <c r="BQ17" s="5"/>
      <c r="BR17" s="5"/>
      <c r="BS17" s="5"/>
      <c r="BT17" s="5"/>
      <c r="BU17" s="5"/>
      <c r="BV17" s="5"/>
      <c r="BW17" s="5"/>
      <c r="BX17" s="5"/>
      <c r="BY17" s="5"/>
      <c r="BZ17" s="5"/>
      <c r="CA17" s="5"/>
      <c r="CB17" s="4"/>
      <c r="CW17" s="1"/>
      <c r="CX17" s="1"/>
      <c r="DL17" s="1"/>
    </row>
    <row r="18" spans="1:116" x14ac:dyDescent="0.2">
      <c r="A18" s="4"/>
      <c r="B18" s="4"/>
      <c r="C18" s="4"/>
      <c r="D18" s="4"/>
      <c r="E18" s="4"/>
      <c r="F18" s="4"/>
      <c r="G18" s="4"/>
      <c r="H18" s="4"/>
      <c r="I18" s="4"/>
      <c r="J18" s="4"/>
      <c r="K18" s="4"/>
      <c r="L18" s="4"/>
      <c r="M18" s="4" t="s">
        <v>907</v>
      </c>
      <c r="N18" t="s">
        <v>2096</v>
      </c>
      <c r="O18" s="4" t="s">
        <v>1514</v>
      </c>
      <c r="P18">
        <v>273.14999999999998</v>
      </c>
      <c r="Q18">
        <f t="shared" ref="Q18:V18" si="5">P18+5</f>
        <v>278.14999999999998</v>
      </c>
      <c r="R18">
        <f t="shared" si="5"/>
        <v>283.14999999999998</v>
      </c>
      <c r="S18">
        <f t="shared" si="5"/>
        <v>288.14999999999998</v>
      </c>
      <c r="T18">
        <f t="shared" si="5"/>
        <v>293.14999999999998</v>
      </c>
      <c r="U18">
        <f t="shared" si="5"/>
        <v>298.14999999999998</v>
      </c>
      <c r="V18">
        <f t="shared" si="5"/>
        <v>303.14999999999998</v>
      </c>
      <c r="W18">
        <f>1/P18</f>
        <v>3.6609921288669233E-3</v>
      </c>
      <c r="X18">
        <f>1/Q18</f>
        <v>3.5951824555096176E-3</v>
      </c>
      <c r="Y18">
        <f>1/R18</f>
        <v>3.5316969803990822E-3</v>
      </c>
      <c r="Z18">
        <f t="shared" ref="Z18:AB18" si="6">1/S18</f>
        <v>3.4704147145583901E-3</v>
      </c>
      <c r="AA18">
        <f t="shared" si="6"/>
        <v>3.4112229234180458E-3</v>
      </c>
      <c r="AB18">
        <f t="shared" si="6"/>
        <v>3.3540164346805303E-3</v>
      </c>
      <c r="AP18" s="4"/>
      <c r="AQ18" s="4"/>
      <c r="AR18" s="4"/>
      <c r="AS18" s="4"/>
      <c r="AT18" s="4"/>
      <c r="AU18" s="4"/>
      <c r="AV18" s="4"/>
      <c r="AW18" s="4"/>
      <c r="AX18" s="4"/>
      <c r="AY18" s="4"/>
      <c r="AZ18" s="4"/>
      <c r="BA18" s="4"/>
      <c r="BC18" s="4"/>
      <c r="BD18" s="4"/>
      <c r="BE18" s="4"/>
      <c r="BF18" s="4"/>
      <c r="BG18" s="4"/>
      <c r="BK18" s="4"/>
      <c r="BL18" s="5"/>
      <c r="BM18" s="5"/>
      <c r="BN18" s="21"/>
      <c r="BO18" s="5"/>
      <c r="BP18" s="5"/>
      <c r="BQ18" s="5"/>
      <c r="BR18" s="5"/>
      <c r="BS18" s="5"/>
      <c r="BT18" s="5"/>
      <c r="BU18" s="5"/>
      <c r="BV18" s="5"/>
      <c r="BW18" s="5"/>
      <c r="BX18" s="5"/>
      <c r="BY18" s="5"/>
      <c r="BZ18" s="5"/>
      <c r="CA18" s="5"/>
      <c r="CB18" s="4"/>
      <c r="CW18" s="1"/>
      <c r="CX18" s="1"/>
      <c r="DL18" s="1"/>
    </row>
    <row r="19" spans="1:116" x14ac:dyDescent="0.2">
      <c r="A19" s="4"/>
      <c r="B19" s="4"/>
      <c r="C19" s="4"/>
      <c r="D19" s="4"/>
      <c r="E19" s="4"/>
      <c r="F19" s="4"/>
      <c r="G19" s="4"/>
      <c r="H19" s="4"/>
      <c r="I19" s="4"/>
      <c r="J19" s="4"/>
      <c r="K19" s="4"/>
      <c r="L19" s="4"/>
      <c r="M19" s="4"/>
      <c r="N19" s="4" t="s">
        <v>1803</v>
      </c>
      <c r="O19" s="4" t="s">
        <v>1804</v>
      </c>
      <c r="P19">
        <v>0.92400000000000004</v>
      </c>
      <c r="Q19">
        <v>0.89100000000000001</v>
      </c>
      <c r="R19">
        <v>0.86799999999999999</v>
      </c>
      <c r="S19">
        <v>0.85499999999999998</v>
      </c>
      <c r="T19">
        <v>0.85199999999999998</v>
      </c>
      <c r="U19">
        <v>0.86</v>
      </c>
      <c r="V19">
        <v>0.877</v>
      </c>
      <c r="AC19" s="4" t="s">
        <v>2103</v>
      </c>
      <c r="AP19" s="4"/>
      <c r="AQ19" s="4"/>
      <c r="AR19" s="4"/>
      <c r="AS19" s="4"/>
      <c r="AT19" s="4"/>
      <c r="AU19" s="4"/>
      <c r="AV19" s="4"/>
      <c r="AW19" s="4"/>
      <c r="AX19" s="4"/>
      <c r="AY19" s="4"/>
      <c r="AZ19" s="4"/>
      <c r="BA19" s="4"/>
      <c r="BC19" s="4"/>
      <c r="BD19" s="4"/>
      <c r="BE19" s="4"/>
      <c r="BF19" s="4"/>
      <c r="BG19" s="4"/>
      <c r="BK19" s="4"/>
      <c r="BL19" s="5"/>
      <c r="BM19" s="5"/>
      <c r="BN19" s="21"/>
      <c r="BO19" s="5"/>
      <c r="BP19" s="5"/>
      <c r="BQ19" s="5"/>
      <c r="BR19" s="5"/>
      <c r="BS19" s="5"/>
      <c r="BT19" s="5"/>
      <c r="BU19" s="5"/>
      <c r="BV19" s="5"/>
      <c r="BW19" s="5"/>
      <c r="BX19" s="5"/>
      <c r="BY19" s="5"/>
      <c r="BZ19" s="5"/>
      <c r="CA19" s="5"/>
      <c r="CB19" s="4"/>
      <c r="CW19" s="1"/>
      <c r="CX19" s="1"/>
      <c r="DL19" s="1"/>
    </row>
    <row r="20" spans="1:116" x14ac:dyDescent="0.2">
      <c r="A20" s="4"/>
      <c r="B20" s="4"/>
      <c r="C20" s="4"/>
      <c r="D20" s="4"/>
      <c r="E20" s="4"/>
      <c r="F20" s="4"/>
      <c r="G20" s="4"/>
      <c r="H20" s="4"/>
      <c r="I20" s="4"/>
      <c r="J20" s="4"/>
      <c r="K20" s="4"/>
      <c r="L20" s="4"/>
      <c r="M20" s="4"/>
      <c r="N20" s="372"/>
      <c r="O20" s="4" t="s">
        <v>1515</v>
      </c>
      <c r="P20">
        <f>P19*10</f>
        <v>9.24</v>
      </c>
      <c r="Q20">
        <f t="shared" ref="Q20" si="7">Q19*10</f>
        <v>8.91</v>
      </c>
      <c r="R20">
        <f t="shared" ref="R20" si="8">R19*10</f>
        <v>8.68</v>
      </c>
      <c r="S20">
        <f t="shared" ref="S20" si="9">S19*10</f>
        <v>8.5500000000000007</v>
      </c>
      <c r="T20">
        <f t="shared" ref="T20" si="10">T19*10</f>
        <v>8.52</v>
      </c>
      <c r="U20">
        <f t="shared" ref="U20" si="11">U19*10</f>
        <v>8.6</v>
      </c>
      <c r="V20">
        <f t="shared" ref="V20" si="12">V19*10</f>
        <v>8.77</v>
      </c>
      <c r="W20">
        <f>LN(P20)</f>
        <v>2.2235418856535927</v>
      </c>
      <c r="X20">
        <f>LN(Q20)</f>
        <v>2.187174241482718</v>
      </c>
      <c r="Y20">
        <f>LN(R20)</f>
        <v>2.1610215286722587</v>
      </c>
      <c r="Z20">
        <f t="shared" ref="Z20:AB20" si="13">LN(S20)</f>
        <v>2.145931282948669</v>
      </c>
      <c r="AA20">
        <f t="shared" si="13"/>
        <v>2.1424163408412245</v>
      </c>
      <c r="AB20">
        <f t="shared" si="13"/>
        <v>2.1517622032594619</v>
      </c>
      <c r="AC20">
        <f>INTERCEPT(W20:AB20,W18:AB18)</f>
        <v>1.3279582230740914</v>
      </c>
      <c r="AD20">
        <f>SLOPE(W20:AB20,W18:AB18)</f>
        <v>239.92636779400655</v>
      </c>
      <c r="AE20">
        <f>-AD20*0.008413</f>
        <v>-2.018500532250977</v>
      </c>
      <c r="AP20" s="4"/>
      <c r="AQ20" s="4"/>
      <c r="AR20" s="4"/>
      <c r="AS20" s="4"/>
      <c r="AT20" s="4"/>
      <c r="AU20" s="4"/>
      <c r="AV20" s="4"/>
      <c r="AW20" s="4"/>
      <c r="AX20" s="4"/>
      <c r="AY20" s="4"/>
      <c r="AZ20" s="4"/>
      <c r="BA20" s="4"/>
      <c r="BC20" s="4"/>
      <c r="BD20" s="4"/>
      <c r="BE20" s="4"/>
      <c r="BF20" s="4"/>
      <c r="BG20" s="4"/>
      <c r="BK20" s="4"/>
      <c r="BL20" s="5"/>
      <c r="BM20" s="5"/>
      <c r="BN20" s="21"/>
      <c r="BO20" s="5"/>
      <c r="BP20" s="5"/>
      <c r="BQ20" s="5"/>
      <c r="BR20" s="5"/>
      <c r="BS20" s="5"/>
      <c r="BT20" s="5"/>
      <c r="BU20" s="5"/>
      <c r="BV20" s="5"/>
      <c r="BW20" s="5"/>
      <c r="BX20" s="5"/>
      <c r="BY20" s="5"/>
      <c r="BZ20" s="5"/>
      <c r="CA20" s="5"/>
      <c r="CB20" s="4"/>
      <c r="CW20" s="1"/>
      <c r="CX20" s="1"/>
      <c r="DL20" s="1"/>
    </row>
    <row r="21" spans="1:116" x14ac:dyDescent="0.2">
      <c r="A21" s="4"/>
      <c r="B21" s="4"/>
      <c r="C21" s="4"/>
      <c r="D21" s="4"/>
      <c r="E21" s="4"/>
      <c r="F21" s="4"/>
      <c r="G21" s="4"/>
      <c r="H21" s="4"/>
      <c r="I21" s="4"/>
      <c r="J21" s="4"/>
      <c r="K21" s="4"/>
      <c r="L21" s="4"/>
      <c r="M21" s="4"/>
      <c r="N21" s="372"/>
      <c r="O21" s="4"/>
      <c r="AP21" s="4"/>
      <c r="AQ21" s="4"/>
      <c r="AR21" s="4"/>
      <c r="AS21" s="4"/>
      <c r="AT21" s="4"/>
      <c r="AU21" s="4"/>
      <c r="AV21" s="4"/>
      <c r="AW21" s="4"/>
      <c r="AX21" s="4"/>
      <c r="AY21" s="4"/>
      <c r="AZ21" s="4"/>
      <c r="BA21" s="4"/>
      <c r="BC21" s="4"/>
      <c r="BD21" s="4"/>
      <c r="BE21" s="4"/>
      <c r="BF21" s="4"/>
      <c r="BG21" s="4"/>
      <c r="BK21" s="4"/>
      <c r="BL21" s="5"/>
      <c r="BM21" s="5"/>
      <c r="BN21" s="21"/>
      <c r="BO21" s="5"/>
      <c r="BP21" s="5"/>
      <c r="BQ21" s="5"/>
      <c r="BR21" s="5"/>
      <c r="BS21" s="5"/>
      <c r="BT21" s="5"/>
      <c r="BU21" s="5"/>
      <c r="BV21" s="5"/>
      <c r="BW21" s="5"/>
      <c r="BX21" s="5"/>
      <c r="BY21" s="5"/>
      <c r="BZ21" s="5"/>
      <c r="CA21" s="5"/>
      <c r="CB21" s="4"/>
      <c r="CW21" s="1"/>
      <c r="CX21" s="1"/>
      <c r="DL21" s="1"/>
    </row>
    <row r="22" spans="1:116" x14ac:dyDescent="0.2">
      <c r="A22" s="4"/>
      <c r="B22" s="4"/>
      <c r="C22" s="4"/>
      <c r="D22" s="4"/>
      <c r="E22" s="4"/>
      <c r="F22" s="4"/>
      <c r="G22" s="4"/>
      <c r="H22" s="4"/>
      <c r="I22" s="4"/>
      <c r="J22" s="4"/>
      <c r="K22" s="4"/>
      <c r="L22" s="4"/>
      <c r="M22" s="170" t="s">
        <v>932</v>
      </c>
      <c r="N22" t="s">
        <v>2096</v>
      </c>
      <c r="O22" s="4" t="s">
        <v>1514</v>
      </c>
      <c r="P22">
        <v>273.14999999999998</v>
      </c>
      <c r="Q22">
        <f t="shared" ref="Q22:V22" si="14">P22+5</f>
        <v>278.14999999999998</v>
      </c>
      <c r="R22">
        <f t="shared" si="14"/>
        <v>283.14999999999998</v>
      </c>
      <c r="S22">
        <f t="shared" si="14"/>
        <v>288.14999999999998</v>
      </c>
      <c r="T22">
        <f t="shared" si="14"/>
        <v>293.14999999999998</v>
      </c>
      <c r="U22">
        <f t="shared" si="14"/>
        <v>298.14999999999998</v>
      </c>
      <c r="V22">
        <f t="shared" si="14"/>
        <v>303.14999999999998</v>
      </c>
      <c r="W22">
        <f>1/P22</f>
        <v>3.6609921288669233E-3</v>
      </c>
      <c r="X22">
        <f>1/Q22</f>
        <v>3.5951824555096176E-3</v>
      </c>
      <c r="Y22">
        <f>1/R22</f>
        <v>3.5316969803990822E-3</v>
      </c>
      <c r="Z22">
        <f t="shared" ref="Z22" si="15">1/S22</f>
        <v>3.4704147145583901E-3</v>
      </c>
      <c r="AA22">
        <f t="shared" ref="AA22" si="16">1/T22</f>
        <v>3.4112229234180458E-3</v>
      </c>
      <c r="AB22">
        <f t="shared" ref="AB22" si="17">1/U22</f>
        <v>3.3540164346805303E-3</v>
      </c>
      <c r="AP22" s="4"/>
      <c r="AQ22" s="4"/>
      <c r="AR22" s="4"/>
      <c r="AS22" s="4"/>
      <c r="AT22" s="4"/>
      <c r="AU22" s="4"/>
      <c r="AV22" s="4"/>
      <c r="AW22" s="4"/>
      <c r="AX22" s="4"/>
      <c r="AY22" s="4"/>
      <c r="AZ22" s="4"/>
      <c r="BA22" s="4"/>
      <c r="BC22" s="4"/>
      <c r="BD22" s="4"/>
      <c r="BE22" s="4"/>
      <c r="BF22" s="4"/>
      <c r="BG22" s="4"/>
      <c r="BK22" s="4"/>
      <c r="BL22" s="5"/>
      <c r="BM22" s="5"/>
      <c r="BN22" s="21"/>
      <c r="BO22" s="5"/>
      <c r="BP22" s="5"/>
      <c r="BQ22" s="5"/>
      <c r="BR22" s="5"/>
      <c r="BS22" s="5"/>
      <c r="BT22" s="5"/>
      <c r="BU22" s="5"/>
      <c r="BV22" s="5"/>
      <c r="BW22" s="5"/>
      <c r="BX22" s="5"/>
      <c r="BY22" s="5"/>
      <c r="BZ22" s="5"/>
      <c r="CA22" s="5"/>
      <c r="CB22" s="4"/>
      <c r="CW22" s="1"/>
      <c r="CX22" s="1"/>
      <c r="DL22" s="1"/>
    </row>
    <row r="23" spans="1:116" x14ac:dyDescent="0.2">
      <c r="A23" s="4"/>
      <c r="B23" s="4"/>
      <c r="C23" s="4"/>
      <c r="D23" s="4"/>
      <c r="E23" s="4"/>
      <c r="F23" s="4"/>
      <c r="G23" s="4"/>
      <c r="H23" s="4"/>
      <c r="I23" s="4"/>
      <c r="J23" s="4"/>
      <c r="K23" s="4"/>
      <c r="L23" s="4"/>
      <c r="M23" s="4"/>
      <c r="N23" s="4" t="s">
        <v>1803</v>
      </c>
      <c r="O23" s="4" t="s">
        <v>1804</v>
      </c>
      <c r="P23">
        <v>0.98799999999999999</v>
      </c>
      <c r="Q23">
        <v>0.93799999999999994</v>
      </c>
      <c r="R23">
        <v>0.89500000000000002</v>
      </c>
      <c r="S23">
        <v>0.85699999999999998</v>
      </c>
      <c r="T23">
        <v>0.82499999999999996</v>
      </c>
      <c r="U23">
        <v>0.79800000000000004</v>
      </c>
      <c r="V23">
        <v>0.77800000000000002</v>
      </c>
      <c r="AC23" s="4" t="s">
        <v>2103</v>
      </c>
      <c r="AP23" s="4"/>
      <c r="AQ23" s="4"/>
      <c r="AR23" s="4"/>
      <c r="AS23" s="4"/>
      <c r="AT23" s="4"/>
      <c r="AU23" s="4"/>
      <c r="AV23" s="4"/>
      <c r="AW23" s="4"/>
      <c r="AX23" s="4"/>
      <c r="AY23" s="4"/>
      <c r="AZ23" s="4"/>
      <c r="BA23" s="4"/>
      <c r="BC23" s="4"/>
      <c r="BD23" s="4"/>
      <c r="BE23" s="4"/>
      <c r="BF23" s="4"/>
      <c r="BG23" s="4"/>
      <c r="BK23" s="4"/>
      <c r="BL23" s="5"/>
      <c r="BM23" s="5"/>
      <c r="BN23" s="21"/>
      <c r="BO23" s="5"/>
      <c r="BP23" s="5"/>
      <c r="BQ23" s="5"/>
      <c r="BR23" s="5"/>
      <c r="BS23" s="5"/>
      <c r="BT23" s="5"/>
      <c r="BU23" s="5"/>
      <c r="BV23" s="5"/>
      <c r="BW23" s="5"/>
      <c r="BX23" s="5"/>
      <c r="BY23" s="5"/>
      <c r="BZ23" s="5"/>
      <c r="CA23" s="5"/>
      <c r="CB23" s="4"/>
      <c r="CW23" s="1"/>
      <c r="CX23" s="1"/>
      <c r="DL23" s="1"/>
    </row>
    <row r="24" spans="1:116" x14ac:dyDescent="0.2">
      <c r="A24" s="4"/>
      <c r="B24" s="4"/>
      <c r="C24" s="4"/>
      <c r="D24" s="4"/>
      <c r="E24" s="4"/>
      <c r="F24" s="4"/>
      <c r="G24" s="4"/>
      <c r="H24" s="4"/>
      <c r="I24" s="4"/>
      <c r="J24" s="4"/>
      <c r="K24" s="4"/>
      <c r="L24" s="4"/>
      <c r="M24" s="4"/>
      <c r="N24" s="372" t="s">
        <v>1805</v>
      </c>
      <c r="O24" s="4" t="s">
        <v>1515</v>
      </c>
      <c r="P24">
        <f>P23*10</f>
        <v>9.879999999999999</v>
      </c>
      <c r="Q24">
        <f t="shared" ref="Q24" si="18">Q23*10</f>
        <v>9.379999999999999</v>
      </c>
      <c r="R24">
        <f t="shared" ref="R24" si="19">R23*10</f>
        <v>8.9499999999999993</v>
      </c>
      <c r="S24">
        <f t="shared" ref="S24" si="20">S23*10</f>
        <v>8.57</v>
      </c>
      <c r="T24">
        <f t="shared" ref="T24" si="21">T23*10</f>
        <v>8.25</v>
      </c>
      <c r="U24">
        <f t="shared" ref="U24" si="22">U23*10</f>
        <v>7.98</v>
      </c>
      <c r="V24">
        <f t="shared" ref="V24" si="23">V23*10</f>
        <v>7.78</v>
      </c>
      <c r="W24">
        <f>LN(P24)</f>
        <v>2.2905125117597764</v>
      </c>
      <c r="X24">
        <f>LN(Q24)</f>
        <v>2.2385797630181332</v>
      </c>
      <c r="Y24">
        <f>LN(R24)</f>
        <v>2.1916535322867641</v>
      </c>
      <c r="Z24">
        <f t="shared" ref="Z24" si="24">LN(S24)</f>
        <v>2.1482677326096886</v>
      </c>
      <c r="AA24">
        <f t="shared" ref="AA24" si="25">LN(T24)</f>
        <v>2.1102132003465894</v>
      </c>
      <c r="AB24">
        <f t="shared" ref="AB24" si="26">LN(U24)</f>
        <v>2.0769384114617173</v>
      </c>
      <c r="AC24">
        <f>INTERCEPT(W24:AB24,W22:AB22)</f>
        <v>-0.26815817795264651</v>
      </c>
      <c r="AD24">
        <f>SLOPE(W24:AB24,W22:AB22)</f>
        <v>697.55732088471268</v>
      </c>
      <c r="AE24">
        <f>-AD24*0.008413</f>
        <v>-5.868549740603088</v>
      </c>
      <c r="AP24" s="4"/>
      <c r="AQ24" s="4"/>
      <c r="AR24" s="4"/>
      <c r="AS24" s="4"/>
      <c r="AT24" s="4"/>
      <c r="AU24" s="4"/>
      <c r="AV24" s="4"/>
      <c r="AW24" s="4"/>
      <c r="AX24" s="4"/>
      <c r="AY24" s="4"/>
      <c r="AZ24" s="4"/>
      <c r="BA24" s="4"/>
      <c r="BC24" s="4"/>
      <c r="BD24" s="4"/>
      <c r="BE24" s="4"/>
      <c r="BF24" s="4"/>
      <c r="BG24" s="4"/>
      <c r="BK24" s="4"/>
      <c r="BL24" s="5"/>
      <c r="BM24" s="5"/>
      <c r="BN24" s="21"/>
      <c r="BO24" s="5"/>
      <c r="BP24" s="5"/>
      <c r="BQ24" s="5"/>
      <c r="BR24" s="5"/>
      <c r="BS24" s="5"/>
      <c r="BT24" s="5"/>
      <c r="BU24" s="5"/>
      <c r="BV24" s="5"/>
      <c r="BW24" s="5"/>
      <c r="BX24" s="5"/>
      <c r="BY24" s="5"/>
      <c r="BZ24" s="5"/>
      <c r="CA24" s="5"/>
      <c r="CB24" s="4"/>
      <c r="CW24" s="1"/>
      <c r="CX24" s="1"/>
      <c r="DL24" s="1"/>
    </row>
    <row r="25" spans="1:116" x14ac:dyDescent="0.2">
      <c r="A25" s="4"/>
      <c r="B25" s="4"/>
      <c r="C25" s="4"/>
      <c r="D25" s="4"/>
      <c r="E25" s="4"/>
      <c r="F25" s="4"/>
      <c r="G25" s="4"/>
      <c r="H25" s="4"/>
      <c r="I25" s="4"/>
      <c r="J25" s="4"/>
      <c r="K25" s="4"/>
      <c r="L25" s="4"/>
      <c r="M25" s="4"/>
      <c r="N25" s="372"/>
      <c r="O25" s="4"/>
      <c r="AP25" s="4"/>
      <c r="AQ25" s="4"/>
      <c r="AR25" s="4"/>
      <c r="AS25" s="4"/>
      <c r="AT25" s="4"/>
      <c r="AU25" s="4"/>
      <c r="AV25" s="4"/>
      <c r="AW25" s="4"/>
      <c r="AX25" s="4"/>
      <c r="AY25" s="4"/>
      <c r="AZ25" s="4"/>
      <c r="BA25" s="4"/>
      <c r="BC25" s="4"/>
      <c r="BD25" s="4"/>
      <c r="BE25" s="4"/>
      <c r="BF25" s="4"/>
      <c r="BG25" s="4"/>
      <c r="BK25" s="4"/>
      <c r="BL25" s="5"/>
      <c r="BM25" s="5"/>
      <c r="BN25" s="21"/>
      <c r="BO25" s="5"/>
      <c r="BP25" s="5"/>
      <c r="BQ25" s="5"/>
      <c r="BR25" s="5"/>
      <c r="BS25" s="5"/>
      <c r="BT25" s="5"/>
      <c r="BU25" s="5"/>
      <c r="BV25" s="5"/>
      <c r="BW25" s="5"/>
      <c r="BX25" s="5"/>
      <c r="BY25" s="5"/>
      <c r="BZ25" s="5"/>
      <c r="CA25" s="5"/>
      <c r="CB25" s="4"/>
      <c r="CW25" s="1"/>
      <c r="CX25" s="1"/>
      <c r="DL25" s="1"/>
    </row>
    <row r="26" spans="1:116" x14ac:dyDescent="0.2">
      <c r="A26" s="4"/>
      <c r="B26" s="4"/>
      <c r="C26" s="4"/>
      <c r="D26" s="4"/>
      <c r="E26" s="4"/>
      <c r="F26" s="4"/>
      <c r="G26" s="4"/>
      <c r="H26" s="4"/>
      <c r="I26" s="4"/>
      <c r="J26" s="4"/>
      <c r="K26" s="4"/>
      <c r="L26" s="4"/>
      <c r="M26" s="4" t="s">
        <v>859</v>
      </c>
      <c r="N26" t="s">
        <v>2096</v>
      </c>
      <c r="O26" s="4" t="s">
        <v>1514</v>
      </c>
      <c r="P26">
        <v>278</v>
      </c>
      <c r="Q26">
        <v>288</v>
      </c>
      <c r="R26">
        <v>293</v>
      </c>
      <c r="S26">
        <v>298</v>
      </c>
      <c r="W26">
        <f>1/P26</f>
        <v>3.5971223021582736E-3</v>
      </c>
      <c r="X26">
        <f>1/Q26</f>
        <v>3.472222222222222E-3</v>
      </c>
      <c r="Y26">
        <f>1/R26</f>
        <v>3.4129692832764505E-3</v>
      </c>
      <c r="Z26">
        <f t="shared" ref="Z26" si="27">1/S26</f>
        <v>3.3557046979865771E-3</v>
      </c>
      <c r="AP26" s="4"/>
      <c r="AQ26" s="4"/>
      <c r="AR26" s="4"/>
      <c r="AS26" s="4"/>
      <c r="AT26" s="4"/>
      <c r="AU26" s="4"/>
      <c r="AV26" s="4"/>
      <c r="AW26" s="4"/>
      <c r="AX26" s="4"/>
      <c r="AY26" s="4"/>
      <c r="AZ26" s="4"/>
      <c r="BA26" s="4"/>
      <c r="BC26" s="4"/>
      <c r="BD26" s="4"/>
      <c r="BE26" s="4"/>
      <c r="BF26" s="4"/>
      <c r="BG26" s="4"/>
      <c r="BK26" s="4"/>
      <c r="BL26" s="5"/>
      <c r="BM26" s="5"/>
      <c r="BN26" s="21"/>
      <c r="BO26" s="5"/>
      <c r="BP26" s="5"/>
      <c r="BQ26" s="5"/>
      <c r="BR26" s="5"/>
      <c r="BS26" s="5"/>
      <c r="BT26" s="5"/>
      <c r="BU26" s="5"/>
      <c r="BV26" s="5"/>
      <c r="BW26" s="5"/>
      <c r="BX26" s="5"/>
      <c r="BY26" s="5"/>
      <c r="BZ26" s="5"/>
      <c r="CA26" s="5"/>
      <c r="CB26" s="4"/>
      <c r="CW26" s="1"/>
      <c r="CX26" s="1"/>
      <c r="DL26" s="1"/>
    </row>
    <row r="27" spans="1:116" x14ac:dyDescent="0.2">
      <c r="A27" s="4"/>
      <c r="B27" s="4"/>
      <c r="C27" s="4"/>
      <c r="D27" s="4"/>
      <c r="E27" s="4"/>
      <c r="F27" s="4"/>
      <c r="G27" s="4"/>
      <c r="H27" s="4"/>
      <c r="I27" s="4"/>
      <c r="J27" s="4"/>
      <c r="K27" s="4"/>
      <c r="L27" s="4"/>
      <c r="M27" s="4"/>
      <c r="N27" s="4" t="s">
        <v>1803</v>
      </c>
      <c r="O27" s="4" t="s">
        <v>1804</v>
      </c>
      <c r="P27">
        <v>8.19</v>
      </c>
      <c r="Q27">
        <f>AVERAGE(6.2,8.87)</f>
        <v>7.5350000000000001</v>
      </c>
      <c r="R27">
        <f>AVERAGE(7,10)</f>
        <v>8.5</v>
      </c>
      <c r="S27">
        <f>AVERAGE(5.5, 5.67, 5.75, 6.65, 5.5)</f>
        <v>5.8140000000000001</v>
      </c>
      <c r="AC27" s="4" t="s">
        <v>2103</v>
      </c>
      <c r="AP27" s="4"/>
      <c r="AQ27" s="4"/>
      <c r="AR27" s="4"/>
      <c r="AS27" s="4"/>
      <c r="AT27" s="4"/>
      <c r="AU27" s="4"/>
      <c r="AV27" s="4"/>
      <c r="AW27" s="4"/>
      <c r="AX27" s="4"/>
      <c r="AY27" s="4"/>
      <c r="AZ27" s="4"/>
      <c r="BA27" s="4"/>
      <c r="BC27" s="4"/>
      <c r="BD27" s="4"/>
      <c r="BE27" s="4"/>
      <c r="BF27" s="4"/>
      <c r="BG27" s="4"/>
      <c r="BK27" s="4"/>
      <c r="BL27" s="5"/>
      <c r="BM27" s="5"/>
      <c r="BN27" s="21"/>
      <c r="BO27" s="5"/>
      <c r="BP27" s="5"/>
      <c r="BQ27" s="5"/>
      <c r="BR27" s="5"/>
      <c r="BS27" s="5"/>
      <c r="BT27" s="5"/>
      <c r="BU27" s="5"/>
      <c r="BV27" s="5"/>
      <c r="BW27" s="5"/>
      <c r="BX27" s="5"/>
      <c r="BY27" s="5"/>
      <c r="BZ27" s="5"/>
      <c r="CA27" s="5"/>
      <c r="CB27" s="4"/>
      <c r="CW27" s="1"/>
      <c r="CX27" s="1"/>
      <c r="DL27" s="1"/>
    </row>
    <row r="28" spans="1:116" x14ac:dyDescent="0.2">
      <c r="A28" s="4"/>
      <c r="B28" s="4"/>
      <c r="C28" s="4"/>
      <c r="D28" s="4"/>
      <c r="E28" s="4"/>
      <c r="F28" s="4"/>
      <c r="G28" s="4"/>
      <c r="H28" s="4"/>
      <c r="I28" s="4"/>
      <c r="J28" s="4"/>
      <c r="K28" s="4"/>
      <c r="L28" s="4"/>
      <c r="M28" s="4"/>
      <c r="N28" s="372" t="s">
        <v>1806</v>
      </c>
      <c r="O28" s="4" t="s">
        <v>1515</v>
      </c>
      <c r="P28">
        <f>P27*10</f>
        <v>81.899999999999991</v>
      </c>
      <c r="Q28">
        <f t="shared" ref="Q28" si="28">Q27*10</f>
        <v>75.349999999999994</v>
      </c>
      <c r="R28" s="148"/>
      <c r="S28">
        <f t="shared" ref="S28" si="29">S27*10</f>
        <v>58.14</v>
      </c>
      <c r="W28">
        <f>LN(P28)</f>
        <v>4.4054989908590239</v>
      </c>
      <c r="X28">
        <f>LN(Q28)</f>
        <v>4.3221439250725044</v>
      </c>
      <c r="Y28" s="148"/>
      <c r="Z28">
        <f t="shared" ref="Z28" si="30">LN(S28)</f>
        <v>4.06285389513073</v>
      </c>
      <c r="AC28">
        <f>INTERCEPT(W28:Z28,W26:Z26)</f>
        <v>-0.63732729948515932</v>
      </c>
      <c r="AD28">
        <f>SLOPE(W28:Z28,W26:Z26)</f>
        <v>1410.3030495024796</v>
      </c>
      <c r="AE28">
        <f>-AD28*0.008413</f>
        <v>-11.864879555464361</v>
      </c>
      <c r="AP28" s="4"/>
      <c r="AQ28" s="4"/>
      <c r="AR28" s="4"/>
      <c r="AS28" s="4"/>
      <c r="AT28" s="4"/>
      <c r="AU28" s="4"/>
      <c r="AV28" s="4"/>
      <c r="AW28" s="4"/>
      <c r="AX28" s="4"/>
      <c r="AY28" s="4"/>
      <c r="AZ28" s="4"/>
      <c r="BA28" s="4"/>
      <c r="BC28" s="4"/>
      <c r="BD28" s="4"/>
      <c r="BE28" s="4"/>
      <c r="BF28" s="4"/>
      <c r="BG28" s="4"/>
      <c r="BK28" s="4"/>
      <c r="BL28" s="5"/>
      <c r="BM28" s="5"/>
      <c r="BN28" s="21"/>
      <c r="BO28" s="5"/>
      <c r="BP28" s="5"/>
      <c r="BQ28" s="5"/>
      <c r="BR28" s="5"/>
      <c r="BS28" s="5"/>
      <c r="BT28" s="5"/>
      <c r="BU28" s="5"/>
      <c r="BV28" s="5"/>
      <c r="BW28" s="5"/>
      <c r="BX28" s="5"/>
      <c r="BY28" s="5"/>
      <c r="BZ28" s="5"/>
      <c r="CA28" s="5"/>
      <c r="CB28" s="4"/>
      <c r="CW28" s="1"/>
      <c r="CX28" s="1"/>
      <c r="DL28" s="1"/>
    </row>
    <row r="29" spans="1:116" x14ac:dyDescent="0.2">
      <c r="A29" s="4"/>
      <c r="B29" s="4"/>
      <c r="C29" s="4"/>
      <c r="D29" s="4"/>
      <c r="E29" s="4"/>
      <c r="F29" s="4"/>
      <c r="G29" s="4"/>
      <c r="H29" s="4"/>
      <c r="I29" s="4"/>
      <c r="J29" s="4"/>
      <c r="K29" s="4"/>
      <c r="L29" s="4"/>
      <c r="M29" s="4"/>
      <c r="N29" s="372"/>
      <c r="O29" s="4"/>
      <c r="AP29" s="4"/>
      <c r="AQ29" s="4"/>
      <c r="AR29" s="4"/>
      <c r="AS29" s="4"/>
      <c r="AT29" s="4"/>
      <c r="AU29" s="4"/>
      <c r="AV29" s="4"/>
      <c r="AW29" s="4"/>
      <c r="AX29" s="4"/>
      <c r="AY29" s="4"/>
      <c r="AZ29" s="4"/>
      <c r="BA29" s="4"/>
      <c r="BC29" s="4"/>
      <c r="BD29" s="4"/>
      <c r="BE29" s="4"/>
      <c r="BF29" s="4"/>
      <c r="BG29" s="4"/>
      <c r="BK29" s="4"/>
      <c r="BL29" s="5"/>
      <c r="BM29" s="5"/>
      <c r="BN29" s="21"/>
      <c r="BO29" s="5"/>
      <c r="BP29" s="5"/>
      <c r="BQ29" s="5"/>
      <c r="BR29" s="5"/>
      <c r="BS29" s="5"/>
      <c r="BT29" s="5"/>
      <c r="BU29" s="5"/>
      <c r="BV29" s="5"/>
      <c r="BW29" s="5"/>
      <c r="BX29" s="5"/>
      <c r="BY29" s="5"/>
      <c r="BZ29" s="5"/>
      <c r="CA29" s="5"/>
      <c r="CB29" s="4"/>
      <c r="CW29" s="1"/>
      <c r="CX29" s="1"/>
      <c r="DL29" s="1"/>
    </row>
    <row r="30" spans="1:116" x14ac:dyDescent="0.2">
      <c r="A30" s="4"/>
      <c r="B30" s="4"/>
      <c r="C30" s="4"/>
      <c r="D30" s="4"/>
      <c r="E30" s="4"/>
      <c r="F30" s="4"/>
      <c r="G30" s="4"/>
      <c r="H30" s="4"/>
      <c r="I30" s="4"/>
      <c r="J30" s="4"/>
      <c r="K30" s="4"/>
      <c r="L30" s="4"/>
      <c r="M30" s="4"/>
      <c r="N30" s="372"/>
      <c r="O30" s="4"/>
      <c r="AP30" s="4"/>
      <c r="AQ30" s="4"/>
      <c r="AR30" s="4"/>
      <c r="AS30" s="4"/>
      <c r="AT30" s="4"/>
      <c r="AU30" s="4"/>
      <c r="AV30" s="4"/>
      <c r="AW30" s="4"/>
      <c r="AX30" s="4"/>
      <c r="AY30" s="4"/>
      <c r="AZ30" s="4"/>
      <c r="BA30" s="4"/>
      <c r="BC30" s="4"/>
      <c r="BD30" s="4"/>
      <c r="BE30" s="4"/>
      <c r="BF30" s="4"/>
      <c r="BG30" s="4"/>
      <c r="BK30" s="4"/>
      <c r="BL30" s="5"/>
      <c r="BM30" s="5"/>
      <c r="BN30" s="21"/>
      <c r="BO30" s="5"/>
      <c r="BP30" s="5"/>
      <c r="BQ30" s="5"/>
      <c r="BR30" s="5"/>
      <c r="BS30" s="5"/>
      <c r="BT30" s="5"/>
      <c r="BU30" s="5"/>
      <c r="BV30" s="5"/>
      <c r="BW30" s="5"/>
      <c r="BX30" s="5"/>
      <c r="BY30" s="5"/>
      <c r="BZ30" s="5"/>
      <c r="CA30" s="5"/>
      <c r="CB30" s="4"/>
      <c r="CW30" s="1"/>
      <c r="CX30" s="1"/>
      <c r="DL30" s="1"/>
    </row>
    <row r="31" spans="1:116" x14ac:dyDescent="0.2">
      <c r="A31" s="4"/>
      <c r="B31" s="4"/>
      <c r="C31" s="4"/>
      <c r="D31" s="4"/>
      <c r="E31" s="4"/>
      <c r="F31" s="4"/>
      <c r="G31" s="4"/>
      <c r="H31" s="4"/>
      <c r="I31" s="4"/>
      <c r="J31" s="4"/>
      <c r="K31" s="4"/>
      <c r="L31" s="4"/>
      <c r="M31" s="4"/>
      <c r="N31" s="372"/>
      <c r="O31" s="4"/>
      <c r="AP31" s="4"/>
      <c r="AQ31" s="4"/>
      <c r="AR31" s="4"/>
      <c r="AS31" s="4"/>
      <c r="AT31" s="4"/>
      <c r="AU31" s="4"/>
      <c r="AV31" s="4"/>
      <c r="AW31" s="4"/>
      <c r="AX31" s="4"/>
      <c r="AY31" s="4"/>
      <c r="AZ31" s="4"/>
      <c r="BA31" s="4"/>
      <c r="BC31" s="4"/>
      <c r="BD31" s="4"/>
      <c r="BE31" s="4"/>
      <c r="BF31" s="4"/>
      <c r="BG31" s="4"/>
      <c r="BK31" s="4"/>
      <c r="BL31" s="5"/>
      <c r="BM31" s="5"/>
      <c r="BN31" s="21"/>
      <c r="BO31" s="5"/>
      <c r="BP31" s="5"/>
      <c r="BQ31" s="5"/>
      <c r="BR31" s="5"/>
      <c r="BS31" s="5"/>
      <c r="BT31" s="5"/>
      <c r="BU31" s="5"/>
      <c r="BV31" s="5"/>
      <c r="BW31" s="5"/>
      <c r="BX31" s="5"/>
      <c r="BY31" s="5"/>
      <c r="BZ31" s="5"/>
      <c r="CA31" s="5"/>
      <c r="CB31" s="4"/>
      <c r="CW31" s="1"/>
      <c r="CX31" s="1"/>
      <c r="DL31" s="1"/>
    </row>
    <row r="32" spans="1:116" x14ac:dyDescent="0.2">
      <c r="A32" s="4"/>
      <c r="B32" s="4"/>
      <c r="C32" s="4"/>
      <c r="D32" s="4"/>
      <c r="E32" s="4"/>
      <c r="F32" s="4"/>
      <c r="G32" s="4"/>
      <c r="H32" s="4"/>
      <c r="I32" s="4"/>
      <c r="J32" s="4"/>
      <c r="K32" s="4"/>
      <c r="L32" s="4"/>
      <c r="M32" s="4"/>
      <c r="N32" s="372"/>
      <c r="O32" s="4"/>
      <c r="AP32" s="4"/>
      <c r="AQ32" s="4"/>
      <c r="AR32" s="4"/>
      <c r="AS32" s="4"/>
      <c r="AT32" s="4"/>
      <c r="AU32" s="4"/>
      <c r="AV32" s="4"/>
      <c r="AW32" s="4"/>
      <c r="AX32" s="4"/>
      <c r="AY32" s="4"/>
      <c r="AZ32" s="4"/>
      <c r="BA32" s="4"/>
      <c r="BC32" s="4"/>
      <c r="BD32" s="4"/>
      <c r="BE32" s="4"/>
      <c r="BF32" s="4"/>
      <c r="BG32" s="4"/>
      <c r="BK32" s="4"/>
      <c r="BL32" s="5"/>
      <c r="BM32" s="5"/>
      <c r="BN32" s="21"/>
      <c r="BO32" s="5"/>
      <c r="BP32" s="5"/>
      <c r="BQ32" s="5"/>
      <c r="BR32" s="5"/>
      <c r="BS32" s="5"/>
      <c r="BT32" s="5"/>
      <c r="BU32" s="5"/>
      <c r="BV32" s="5"/>
      <c r="BW32" s="5"/>
      <c r="BX32" s="5"/>
      <c r="BY32" s="5"/>
      <c r="BZ32" s="5"/>
      <c r="CA32" s="5"/>
      <c r="CB32" s="4"/>
      <c r="CW32" s="1"/>
      <c r="CX32" s="1"/>
      <c r="DL32" s="1"/>
    </row>
    <row r="33" spans="1:137" x14ac:dyDescent="0.2">
      <c r="A33" s="4"/>
      <c r="B33" s="4"/>
      <c r="C33" s="4"/>
      <c r="D33" s="4"/>
      <c r="E33" s="4"/>
      <c r="F33" s="4"/>
      <c r="G33" s="4"/>
      <c r="H33" s="4"/>
      <c r="I33" s="4"/>
      <c r="J33" s="4"/>
      <c r="K33" s="4"/>
      <c r="L33" s="4"/>
      <c r="M33" s="279" t="s">
        <v>17</v>
      </c>
      <c r="N33" s="280"/>
      <c r="O33" s="280"/>
      <c r="P33" s="224"/>
      <c r="Q33" s="224"/>
      <c r="R33" s="224"/>
      <c r="S33" s="224"/>
      <c r="T33" s="224"/>
      <c r="U33" s="224"/>
      <c r="V33" s="224"/>
      <c r="W33" s="224"/>
      <c r="X33" s="224"/>
      <c r="Y33" s="224"/>
      <c r="Z33" s="224"/>
      <c r="AA33" s="224"/>
      <c r="AB33" s="224"/>
      <c r="AC33" s="224"/>
      <c r="AD33" s="224"/>
      <c r="AE33" s="280"/>
      <c r="AL33" s="224"/>
      <c r="AM33" s="224"/>
      <c r="AN33" s="224"/>
      <c r="AP33" s="4"/>
      <c r="AQ33" s="4"/>
      <c r="AR33" s="4"/>
      <c r="AS33" s="4"/>
      <c r="AT33" s="4"/>
      <c r="AU33" s="4"/>
      <c r="AV33" s="4"/>
      <c r="AW33" s="4"/>
      <c r="AX33" s="4"/>
      <c r="AY33" s="4"/>
      <c r="AZ33" s="4"/>
      <c r="BA33" s="4"/>
      <c r="BC33" s="4"/>
      <c r="BD33" s="4"/>
      <c r="BE33" s="4"/>
      <c r="BF33" s="4"/>
      <c r="BG33" s="4"/>
      <c r="BK33" s="4"/>
      <c r="BL33" s="5"/>
      <c r="BM33" s="5"/>
      <c r="BN33" s="21"/>
      <c r="BO33" s="5"/>
      <c r="BP33" s="5"/>
      <c r="BQ33" s="5"/>
      <c r="BR33" s="5"/>
      <c r="BS33" s="5"/>
      <c r="BT33" s="5"/>
      <c r="BU33" s="5"/>
      <c r="BV33" s="5"/>
      <c r="BW33" s="5"/>
      <c r="BX33" s="5"/>
      <c r="BY33" s="5"/>
      <c r="BZ33" s="5"/>
      <c r="CA33" s="5"/>
      <c r="CB33" s="4"/>
      <c r="CW33" s="1"/>
      <c r="CX33" s="1"/>
      <c r="DL33" s="1"/>
    </row>
    <row r="34" spans="1:137" x14ac:dyDescent="0.2">
      <c r="A34" s="4"/>
      <c r="B34" s="4"/>
      <c r="C34" s="4"/>
      <c r="D34" s="4"/>
      <c r="E34" s="4"/>
      <c r="F34" s="4"/>
      <c r="G34" s="4"/>
      <c r="H34" s="4"/>
      <c r="I34" s="4"/>
      <c r="J34" s="4"/>
      <c r="K34" s="4"/>
      <c r="L34" s="4"/>
      <c r="M34" s="1"/>
      <c r="N34" s="4"/>
      <c r="O34" s="4" t="s">
        <v>1514</v>
      </c>
      <c r="P34">
        <v>299</v>
      </c>
      <c r="Q34">
        <v>325</v>
      </c>
      <c r="R34">
        <v>346</v>
      </c>
      <c r="W34">
        <f>1/P34</f>
        <v>3.3444816053511705E-3</v>
      </c>
      <c r="X34">
        <f>1/Q34</f>
        <v>3.0769230769230769E-3</v>
      </c>
      <c r="Y34">
        <f>1/R34</f>
        <v>2.8901734104046241E-3</v>
      </c>
      <c r="AE34" s="4"/>
      <c r="AP34" s="4"/>
      <c r="AQ34" s="4"/>
      <c r="AR34" s="4"/>
      <c r="AS34" s="4"/>
      <c r="AT34" s="4"/>
      <c r="AU34" s="4"/>
      <c r="AV34" s="4"/>
      <c r="AW34" s="4"/>
      <c r="AX34" s="4"/>
      <c r="AY34" s="4"/>
      <c r="AZ34" s="4"/>
      <c r="BA34" s="4"/>
      <c r="BC34" s="4"/>
      <c r="BD34" s="4"/>
      <c r="BE34" s="4"/>
      <c r="BF34" s="4"/>
      <c r="BG34" s="4"/>
      <c r="BK34" s="4"/>
      <c r="BL34" s="5"/>
      <c r="BM34" s="5"/>
      <c r="BN34" s="21"/>
      <c r="BO34" s="5"/>
      <c r="BP34" s="5"/>
      <c r="BQ34" s="5"/>
      <c r="BR34" s="5"/>
      <c r="BS34" s="5"/>
      <c r="BT34" s="5"/>
      <c r="BU34" s="5"/>
      <c r="BV34" s="5"/>
      <c r="BW34" s="5"/>
      <c r="BX34" s="5"/>
      <c r="BY34" s="5"/>
      <c r="BZ34" s="5"/>
      <c r="CA34" s="5"/>
      <c r="CB34" s="4"/>
      <c r="CW34" s="1"/>
      <c r="CX34" s="1"/>
      <c r="DL34" s="1"/>
    </row>
    <row r="35" spans="1:137" x14ac:dyDescent="0.2">
      <c r="A35" s="4"/>
      <c r="B35" s="4"/>
      <c r="C35" s="4"/>
      <c r="D35" s="4"/>
      <c r="E35" s="4"/>
      <c r="F35" s="4"/>
      <c r="G35" s="4"/>
      <c r="H35" s="4"/>
      <c r="I35" s="4"/>
      <c r="J35" s="4"/>
      <c r="K35" s="4"/>
      <c r="L35" s="4"/>
      <c r="M35" s="4" t="s">
        <v>548</v>
      </c>
      <c r="N35" s="4"/>
      <c r="O35" s="4" t="s">
        <v>526</v>
      </c>
      <c r="P35">
        <f>EXP($AC49+$AD49*W34)/EXP($AC4+$AD4*W34)</f>
        <v>0.18904629385541677</v>
      </c>
      <c r="Q35">
        <f>EXP($AC49+$AD49*X34)/EXP($AC4+$AD4*X34)</f>
        <v>0.21896041204981848</v>
      </c>
      <c r="R35">
        <f>EXP($AC49+$AD49*Y34)/EXP($AC4+$AD4*Y34)</f>
        <v>0.24260220035711791</v>
      </c>
      <c r="W35">
        <f>LN(P35)</f>
        <v>-1.6657633528817011</v>
      </c>
      <c r="X35">
        <f>LN(Q35)</f>
        <v>-1.5188643324017468</v>
      </c>
      <c r="Y35">
        <f>LN(R35)</f>
        <v>-1.4163322126158828</v>
      </c>
      <c r="AC35">
        <f>INTERCEPT(W35:Y35,W34:Y34)</f>
        <v>0.17047440311772655</v>
      </c>
      <c r="AD35">
        <f>SLOPE(W35:Y35,W34:Y34)</f>
        <v>-549.03508904382886</v>
      </c>
      <c r="AE35">
        <f>-AD35*0.008413</f>
        <v>4.6190322041257321</v>
      </c>
      <c r="AP35" s="4"/>
      <c r="AQ35" s="4"/>
      <c r="AR35" s="4"/>
      <c r="AS35" s="4"/>
      <c r="AT35" s="4"/>
      <c r="AU35" s="4"/>
      <c r="AV35" s="4"/>
      <c r="AW35" s="4"/>
      <c r="AX35" s="4"/>
      <c r="AY35" s="4"/>
      <c r="AZ35" s="4"/>
      <c r="BA35" s="4"/>
      <c r="BC35" s="4"/>
      <c r="BD35" s="4"/>
      <c r="BE35" s="4"/>
      <c r="BF35" s="4"/>
      <c r="BG35" s="4"/>
      <c r="BK35" s="4"/>
      <c r="BL35" s="5"/>
      <c r="BM35" s="5"/>
      <c r="BN35" s="21"/>
      <c r="BO35" s="5"/>
      <c r="BP35" s="5"/>
      <c r="BQ35" s="5"/>
      <c r="BR35" s="5"/>
      <c r="BS35" s="5"/>
      <c r="BT35" s="5"/>
      <c r="BU35" s="5"/>
      <c r="BV35" s="5"/>
      <c r="BW35" s="5"/>
      <c r="BX35" s="5"/>
      <c r="BY35" s="5"/>
      <c r="BZ35" s="5"/>
      <c r="CA35" s="5"/>
      <c r="CB35" s="4"/>
      <c r="CW35" s="1"/>
      <c r="CX35" s="1"/>
      <c r="DL35" s="1"/>
    </row>
    <row r="36" spans="1:137" x14ac:dyDescent="0.2">
      <c r="A36" s="4"/>
      <c r="B36" s="4"/>
      <c r="C36" s="4"/>
      <c r="D36" s="4"/>
      <c r="E36" s="4"/>
      <c r="F36" s="4"/>
      <c r="G36" s="4"/>
      <c r="H36" s="4"/>
      <c r="I36" s="4"/>
      <c r="J36" s="4"/>
      <c r="K36" s="4"/>
      <c r="L36" s="4"/>
      <c r="AP36" s="4"/>
      <c r="AQ36" s="4"/>
      <c r="AR36" s="4"/>
      <c r="AS36" s="4"/>
      <c r="AT36" s="4"/>
      <c r="AU36" s="4"/>
      <c r="AV36" s="4"/>
      <c r="AW36" s="4"/>
      <c r="AX36" s="4"/>
      <c r="AY36" s="4"/>
      <c r="AZ36" s="4"/>
      <c r="BA36" s="4"/>
      <c r="BC36" s="4"/>
      <c r="BD36" s="4"/>
      <c r="BE36" s="4"/>
      <c r="BF36" s="4"/>
      <c r="BG36" s="4"/>
      <c r="BK36" s="4"/>
      <c r="BL36" s="5"/>
      <c r="BM36" s="5"/>
      <c r="BN36" s="21"/>
      <c r="BO36" s="5"/>
      <c r="BP36" s="5"/>
      <c r="BQ36" s="5"/>
      <c r="BR36" s="5"/>
      <c r="BS36" s="5"/>
      <c r="BT36" s="5"/>
      <c r="BU36" s="5"/>
      <c r="BV36" s="5"/>
      <c r="BW36" s="5"/>
      <c r="BX36" s="5"/>
      <c r="BY36" s="5"/>
      <c r="BZ36" s="5"/>
      <c r="CA36" s="5"/>
      <c r="CB36" s="4"/>
      <c r="CW36" s="1"/>
      <c r="CX36" s="1"/>
      <c r="DL36" s="1"/>
    </row>
    <row r="37" spans="1:137" x14ac:dyDescent="0.2">
      <c r="A37" s="4"/>
      <c r="B37" s="4"/>
      <c r="C37" s="4"/>
      <c r="D37" s="4"/>
      <c r="E37" s="4"/>
      <c r="F37" s="4"/>
      <c r="G37" s="4"/>
      <c r="H37" s="4"/>
      <c r="I37" s="4"/>
      <c r="J37" s="4"/>
      <c r="K37" s="4"/>
      <c r="L37" s="4"/>
      <c r="M37" s="1"/>
      <c r="N37" s="4"/>
      <c r="O37" s="4" t="s">
        <v>1514</v>
      </c>
      <c r="P37">
        <v>299</v>
      </c>
      <c r="Q37">
        <v>325</v>
      </c>
      <c r="R37">
        <v>346</v>
      </c>
      <c r="W37">
        <f>1/P37</f>
        <v>3.3444816053511705E-3</v>
      </c>
      <c r="X37">
        <f>1/Q37</f>
        <v>3.0769230769230769E-3</v>
      </c>
      <c r="Y37">
        <f>1/R37</f>
        <v>2.8901734104046241E-3</v>
      </c>
      <c r="AE37" s="4"/>
      <c r="AP37" s="4"/>
      <c r="AQ37" s="4"/>
      <c r="AR37" s="4"/>
      <c r="AS37" s="4"/>
      <c r="AT37" s="4"/>
      <c r="AU37" s="4"/>
      <c r="AV37" s="4"/>
      <c r="AW37" s="4"/>
      <c r="AX37" s="4"/>
      <c r="AY37" s="4"/>
      <c r="AZ37" s="4"/>
      <c r="BA37" s="4"/>
      <c r="BC37" s="4"/>
      <c r="BD37" s="4"/>
      <c r="BE37" s="4"/>
      <c r="BF37" s="4"/>
      <c r="BG37" s="4"/>
      <c r="BK37" s="4"/>
      <c r="BL37" s="5"/>
      <c r="BM37" s="5"/>
      <c r="BN37" s="21"/>
      <c r="BO37" s="5"/>
      <c r="BP37" s="5"/>
      <c r="BQ37" s="5"/>
      <c r="BR37" s="5"/>
      <c r="BS37" s="5"/>
      <c r="BT37" s="5"/>
      <c r="BU37" s="5"/>
      <c r="BV37" s="5"/>
      <c r="BW37" s="5"/>
      <c r="BX37" s="5"/>
      <c r="BY37" s="5"/>
      <c r="BZ37" s="5"/>
      <c r="CA37" s="5"/>
      <c r="CB37" s="4"/>
      <c r="CW37" s="1"/>
      <c r="CX37" s="1"/>
      <c r="DL37" s="1"/>
    </row>
    <row r="38" spans="1:137" x14ac:dyDescent="0.2">
      <c r="A38" s="4"/>
      <c r="B38" s="4"/>
      <c r="C38" s="4"/>
      <c r="D38" s="4"/>
      <c r="E38" s="4"/>
      <c r="F38" s="4"/>
      <c r="G38" s="4"/>
      <c r="H38" s="4"/>
      <c r="I38" s="4"/>
      <c r="J38" s="4"/>
      <c r="K38" s="4"/>
      <c r="L38" s="4"/>
      <c r="M38" s="4" t="s">
        <v>1505</v>
      </c>
      <c r="N38" s="4"/>
      <c r="O38" s="4" t="s">
        <v>526</v>
      </c>
      <c r="P38">
        <f>EXP($AC51+$AD51*W37)/EXP($AC8+$AD8*W37)</f>
        <v>0.10037835048883677</v>
      </c>
      <c r="Q38">
        <f>EXP($AC51+$AD51*X37)/EXP($AC8+$AD8*X37)</f>
        <v>0.16138904695208364</v>
      </c>
      <c r="R38">
        <f>EXP($AC51+$AD51*Y37)/EXP($AC8+$AD8*Y37)</f>
        <v>0.22481258644375421</v>
      </c>
      <c r="W38">
        <f>LN(P38)</f>
        <v>-2.298808727557863</v>
      </c>
      <c r="X38">
        <f>LN(Q38)</f>
        <v>-1.8239373881994805</v>
      </c>
      <c r="Y38">
        <f>LN(R38)</f>
        <v>-1.4924881730114761</v>
      </c>
      <c r="AC38">
        <f>INTERCEPT(W38:Y38,W37:Y37)</f>
        <v>3.6370830144219211</v>
      </c>
      <c r="AD38">
        <f>SLOPE(W38:Y38,W37:Y37)</f>
        <v>-1774.8316308519554</v>
      </c>
      <c r="AE38">
        <f>-AD38*0.008413</f>
        <v>14.931658510357501</v>
      </c>
      <c r="AG38" s="137"/>
      <c r="AH38" s="137"/>
      <c r="AI38" s="137"/>
      <c r="AJ38" s="137"/>
      <c r="AP38" s="4"/>
      <c r="AQ38" s="4"/>
      <c r="AR38" s="4"/>
      <c r="AS38" s="4"/>
      <c r="AT38" s="4"/>
      <c r="AU38" s="4"/>
      <c r="AV38" s="4"/>
      <c r="AW38" s="4"/>
      <c r="AX38" s="4"/>
      <c r="AY38" s="4"/>
      <c r="AZ38" s="4"/>
      <c r="BA38" s="4"/>
      <c r="BC38" s="4"/>
      <c r="BD38" s="4"/>
      <c r="BE38" s="4"/>
      <c r="BF38" s="4"/>
      <c r="BG38" s="4"/>
      <c r="BK38" s="4"/>
      <c r="BL38" s="503" t="s">
        <v>2087</v>
      </c>
      <c r="BM38" s="5"/>
      <c r="BN38" s="21"/>
      <c r="BO38" s="5"/>
      <c r="BP38" s="5"/>
      <c r="BS38" s="5"/>
      <c r="BT38" s="5"/>
      <c r="BU38" s="5"/>
      <c r="BV38" s="5"/>
      <c r="BW38" s="5"/>
      <c r="BX38" s="5"/>
      <c r="BY38" s="5"/>
      <c r="BZ38" s="5"/>
      <c r="CA38" s="5"/>
      <c r="CB38" s="4"/>
      <c r="CW38" s="1"/>
      <c r="CX38" s="1"/>
      <c r="DL38" s="1"/>
    </row>
    <row r="39" spans="1:137" x14ac:dyDescent="0.2">
      <c r="A39" s="4"/>
      <c r="B39" s="4"/>
      <c r="C39" s="4"/>
      <c r="D39" s="4"/>
      <c r="E39" s="4"/>
      <c r="F39" s="4"/>
      <c r="G39" s="4"/>
      <c r="H39" s="4"/>
      <c r="I39" s="4"/>
      <c r="J39" s="4"/>
      <c r="K39" s="4"/>
      <c r="L39" s="4"/>
      <c r="M39" s="4"/>
      <c r="N39" s="4"/>
      <c r="O39" s="4"/>
      <c r="P39" s="4"/>
      <c r="Q39" s="4"/>
      <c r="R39" s="4"/>
      <c r="AG39" s="4"/>
      <c r="AH39" s="4"/>
      <c r="AI39" s="4"/>
      <c r="AJ39" s="4"/>
      <c r="AK39">
        <f>EXP($AC8+Q$47*$AD8)</f>
        <v>1</v>
      </c>
      <c r="AN39">
        <f>EXP($AC8+T$47*$AD8)</f>
        <v>1</v>
      </c>
      <c r="AO39">
        <f>EXP($AC8+U$47*$AD8)</f>
        <v>1</v>
      </c>
      <c r="AP39" s="4"/>
      <c r="AQ39" s="4"/>
      <c r="AR39" s="4"/>
      <c r="AS39" s="4"/>
      <c r="AT39" s="4"/>
      <c r="AU39" s="4"/>
      <c r="AV39" s="4"/>
      <c r="AW39" s="4"/>
      <c r="AX39" s="4"/>
      <c r="AY39" s="4"/>
      <c r="AZ39" s="4"/>
      <c r="BA39" s="4"/>
      <c r="BC39" s="4"/>
      <c r="BD39" s="4"/>
      <c r="BE39" s="4"/>
      <c r="BF39" s="4"/>
      <c r="BG39" s="4"/>
      <c r="BK39" s="4"/>
      <c r="BL39" s="5"/>
      <c r="BM39" s="5"/>
      <c r="BN39" s="21"/>
      <c r="BO39" s="5"/>
      <c r="BP39" s="5"/>
      <c r="BQ39" s="5"/>
      <c r="BR39" s="5"/>
      <c r="BS39" s="5"/>
      <c r="BT39" s="5"/>
      <c r="BU39" s="5"/>
      <c r="BV39" s="5"/>
      <c r="BW39" s="5"/>
      <c r="BX39" s="5"/>
      <c r="BY39" s="5"/>
      <c r="BZ39" s="5"/>
      <c r="CA39" s="5"/>
      <c r="CB39" s="4"/>
      <c r="CW39" s="1"/>
      <c r="CX39" s="1"/>
      <c r="DL39" s="1"/>
    </row>
    <row r="40" spans="1:137" x14ac:dyDescent="0.2">
      <c r="A40" s="4"/>
      <c r="B40" s="4"/>
      <c r="C40" s="4"/>
      <c r="D40" s="4"/>
      <c r="E40" s="4"/>
      <c r="F40" s="4"/>
      <c r="G40" s="4"/>
      <c r="H40" s="4"/>
      <c r="I40" s="4"/>
      <c r="J40" s="4"/>
      <c r="K40" s="4"/>
      <c r="L40" s="4"/>
      <c r="M40" s="4"/>
      <c r="N40" s="4"/>
      <c r="O40" s="4"/>
      <c r="X40" s="4"/>
      <c r="Y40" s="4"/>
      <c r="Z40" s="4"/>
      <c r="AA40" s="4"/>
      <c r="AB40" s="4"/>
      <c r="AC40" s="4"/>
      <c r="AD40" s="4"/>
      <c r="AE40" s="4"/>
      <c r="AF40" s="4"/>
      <c r="AG40" s="4"/>
      <c r="AH40" s="4"/>
      <c r="AI40" s="4"/>
      <c r="AJ40" s="4"/>
      <c r="AP40" s="4"/>
      <c r="AQ40" s="4"/>
      <c r="AR40" s="4"/>
      <c r="AS40" s="4"/>
      <c r="AT40" s="4"/>
      <c r="AU40" s="4"/>
      <c r="AV40" s="4"/>
      <c r="AW40" s="4"/>
      <c r="AX40" s="4"/>
      <c r="AY40" s="4"/>
      <c r="AZ40" s="4"/>
      <c r="BA40" s="4"/>
      <c r="BC40" s="4"/>
      <c r="BD40" s="4"/>
      <c r="BE40" s="4"/>
      <c r="BF40" s="4"/>
      <c r="BG40" s="4"/>
      <c r="BK40" s="4"/>
      <c r="BL40" s="5"/>
      <c r="BM40" s="5"/>
      <c r="BN40" s="21"/>
      <c r="BO40" s="5"/>
      <c r="BP40" s="5"/>
      <c r="BQ40" s="5"/>
      <c r="BR40" s="5"/>
      <c r="BS40" s="5"/>
      <c r="BT40" s="5"/>
      <c r="BU40" s="5"/>
      <c r="BV40" s="5"/>
      <c r="BW40" s="5"/>
      <c r="BX40" s="5"/>
      <c r="BY40" s="5"/>
      <c r="BZ40" s="5"/>
      <c r="CA40" s="5"/>
      <c r="CB40" s="4"/>
      <c r="CP40" s="4" t="s">
        <v>1528</v>
      </c>
    </row>
    <row r="41" spans="1:137" x14ac:dyDescent="0.2">
      <c r="A41" s="107" t="s">
        <v>1039</v>
      </c>
      <c r="B41" s="108"/>
      <c r="C41" s="107" t="s">
        <v>613</v>
      </c>
      <c r="D41" s="108"/>
      <c r="E41" s="108"/>
      <c r="F41" s="108"/>
      <c r="G41" s="108"/>
      <c r="H41" s="108"/>
      <c r="I41" s="108"/>
      <c r="J41" s="108"/>
      <c r="K41" s="108"/>
      <c r="L41" s="108"/>
      <c r="M41" s="109"/>
      <c r="N41" s="114" t="s">
        <v>2</v>
      </c>
      <c r="O41" s="108" t="s">
        <v>1041</v>
      </c>
      <c r="P41" s="108"/>
      <c r="Q41" s="107" t="s">
        <v>396</v>
      </c>
      <c r="R41" s="108"/>
      <c r="S41" s="108"/>
      <c r="T41" s="108"/>
      <c r="U41" s="108"/>
      <c r="V41" s="108"/>
      <c r="W41" s="108"/>
      <c r="X41" s="108"/>
      <c r="Y41" s="108"/>
      <c r="Z41" s="108"/>
      <c r="AA41" s="108"/>
      <c r="AB41" s="108"/>
      <c r="AC41" s="108"/>
      <c r="AD41" s="108"/>
      <c r="AE41" s="109"/>
      <c r="AF41" s="107"/>
      <c r="AG41" s="109"/>
      <c r="AH41" s="108"/>
      <c r="AI41" s="108"/>
      <c r="AJ41" s="108"/>
      <c r="AK41" s="108"/>
      <c r="AL41" s="108"/>
      <c r="AM41" s="108"/>
      <c r="AN41" s="108"/>
      <c r="AO41" s="109"/>
      <c r="AP41" s="108"/>
      <c r="AQ41" s="108"/>
      <c r="AR41" s="108"/>
      <c r="AS41" s="108"/>
      <c r="AT41" s="108"/>
      <c r="AU41" s="108"/>
      <c r="AV41" s="108"/>
      <c r="AW41" s="108"/>
      <c r="AX41" s="108"/>
      <c r="AY41" s="108"/>
      <c r="AZ41" s="108"/>
      <c r="BA41" s="108"/>
      <c r="BB41" s="108"/>
      <c r="BC41" s="108"/>
      <c r="BD41" s="108"/>
      <c r="BE41" s="108"/>
      <c r="BF41" s="108"/>
      <c r="BG41" s="108"/>
      <c r="BH41" s="108"/>
      <c r="BI41" s="108"/>
      <c r="BJ41" s="110"/>
      <c r="BK41" s="110"/>
      <c r="CC41" s="108" t="s">
        <v>1441</v>
      </c>
      <c r="CD41" s="108"/>
      <c r="CE41" s="108"/>
      <c r="CF41" s="108"/>
      <c r="CG41" s="108"/>
      <c r="CH41" s="108"/>
      <c r="CI41" s="108"/>
      <c r="CJ41" s="108"/>
      <c r="CK41" s="110"/>
      <c r="CL41" s="110"/>
      <c r="CM41" s="110"/>
      <c r="CN41" s="110"/>
      <c r="CO41" s="110"/>
      <c r="CP41" s="110"/>
      <c r="CQ41" s="110"/>
      <c r="CR41" s="110"/>
      <c r="CS41" s="110"/>
      <c r="CT41" s="108" t="s">
        <v>1813</v>
      </c>
      <c r="CU41" s="110"/>
      <c r="CV41" s="132" t="s">
        <v>1456</v>
      </c>
      <c r="CW41" s="133"/>
      <c r="CX41" s="134"/>
      <c r="CY41" s="134"/>
      <c r="CZ41" s="134"/>
      <c r="DA41" s="134"/>
      <c r="DB41" s="134"/>
      <c r="DC41" s="134"/>
      <c r="DD41" s="134"/>
      <c r="DE41" s="134"/>
      <c r="DF41" s="134"/>
      <c r="DG41" s="134"/>
      <c r="DH41" s="134"/>
      <c r="DI41" s="134"/>
      <c r="DJ41" s="135"/>
      <c r="DK41" s="107" t="s">
        <v>1496</v>
      </c>
      <c r="DL41" s="108"/>
      <c r="DM41" s="108"/>
      <c r="DN41" s="108"/>
      <c r="DO41" s="108"/>
      <c r="DP41" s="108"/>
      <c r="DQ41" s="108"/>
      <c r="DR41" s="108"/>
      <c r="DS41" s="108"/>
      <c r="DT41" s="108"/>
      <c r="DU41" s="109"/>
    </row>
    <row r="42" spans="1:137" ht="15.75" x14ac:dyDescent="0.3">
      <c r="A42" s="51" t="s">
        <v>13</v>
      </c>
      <c r="B42" s="53" t="s">
        <v>1039</v>
      </c>
      <c r="C42" s="61" t="s">
        <v>613</v>
      </c>
      <c r="D42" s="51"/>
      <c r="E42" s="51"/>
      <c r="F42" s="51"/>
      <c r="G42" s="51" t="s">
        <v>622</v>
      </c>
      <c r="H42" s="51"/>
      <c r="I42" s="51" t="s">
        <v>1064</v>
      </c>
      <c r="J42" s="51" t="s">
        <v>1807</v>
      </c>
      <c r="K42" s="51" t="s">
        <v>1065</v>
      </c>
      <c r="L42" s="51" t="s">
        <v>2058</v>
      </c>
      <c r="M42" s="52" t="s">
        <v>46</v>
      </c>
      <c r="N42" s="219" t="s">
        <v>1396</v>
      </c>
      <c r="O42" s="51" t="s">
        <v>1043</v>
      </c>
      <c r="P42" s="51"/>
      <c r="Q42" s="61" t="s">
        <v>366</v>
      </c>
      <c r="R42" s="51"/>
      <c r="S42" s="51"/>
      <c r="T42" s="51"/>
      <c r="U42" s="51"/>
      <c r="V42" s="51"/>
      <c r="W42" s="51" t="s">
        <v>1504</v>
      </c>
      <c r="X42" s="51"/>
      <c r="Y42" s="51"/>
      <c r="Z42" s="51"/>
      <c r="AA42" s="51"/>
      <c r="AB42" s="53"/>
      <c r="AC42" s="53" t="s">
        <v>9</v>
      </c>
      <c r="AD42" s="53" t="s">
        <v>10</v>
      </c>
      <c r="AE42" s="67" t="s">
        <v>1450</v>
      </c>
      <c r="AF42" s="78"/>
      <c r="AG42" s="67"/>
      <c r="AH42" s="53"/>
      <c r="AI42" s="53"/>
      <c r="AJ42" s="53"/>
      <c r="AK42" s="51" t="s">
        <v>1592</v>
      </c>
      <c r="AL42" s="51"/>
      <c r="AM42" s="51"/>
      <c r="AN42" s="51"/>
      <c r="AO42" s="52"/>
      <c r="AP42" s="53"/>
      <c r="AQ42" s="51" t="s">
        <v>398</v>
      </c>
      <c r="AR42" s="51"/>
      <c r="AS42" s="51"/>
      <c r="AT42" s="51"/>
      <c r="AU42" s="51"/>
      <c r="AV42" s="51"/>
      <c r="AW42" s="51" t="s">
        <v>1766</v>
      </c>
      <c r="AX42" s="51"/>
      <c r="AY42" s="51"/>
      <c r="AZ42" s="51"/>
      <c r="BA42" s="51"/>
      <c r="BB42" s="51"/>
      <c r="BC42" s="51" t="s">
        <v>1423</v>
      </c>
      <c r="BD42" s="51"/>
      <c r="BE42" s="51"/>
      <c r="BF42" s="51"/>
      <c r="BG42" s="51"/>
      <c r="BH42" s="51"/>
      <c r="BI42" s="53" t="s">
        <v>9</v>
      </c>
      <c r="BJ42" s="53" t="s">
        <v>10</v>
      </c>
      <c r="BK42" s="53" t="s">
        <v>1450</v>
      </c>
      <c r="BL42" s="5"/>
      <c r="BM42" s="5"/>
      <c r="BN42" s="21"/>
      <c r="BO42" s="5"/>
      <c r="BP42" s="5"/>
      <c r="BQ42" s="5"/>
      <c r="BR42" s="5"/>
      <c r="BS42" s="5"/>
      <c r="BT42" s="5"/>
      <c r="BU42" s="5"/>
      <c r="BV42" s="5"/>
      <c r="BW42" s="5"/>
      <c r="BX42" s="5"/>
      <c r="BY42" s="5"/>
      <c r="BZ42" s="5"/>
      <c r="CA42" s="5"/>
      <c r="CB42" s="4"/>
      <c r="CC42" s="51" t="s">
        <v>1523</v>
      </c>
      <c r="CD42" s="53" t="s">
        <v>1517</v>
      </c>
      <c r="CE42" s="53"/>
      <c r="CF42" s="53"/>
      <c r="CG42" s="51" t="s">
        <v>1518</v>
      </c>
      <c r="CH42" s="53"/>
      <c r="CI42" s="51" t="s">
        <v>1542</v>
      </c>
      <c r="CJ42" s="51"/>
      <c r="CK42" s="51" t="s">
        <v>496</v>
      </c>
      <c r="CL42" s="53" t="s">
        <v>1062</v>
      </c>
      <c r="CM42" s="53"/>
      <c r="CN42" s="53"/>
      <c r="CO42" s="53"/>
      <c r="CP42" s="51" t="s">
        <v>1527</v>
      </c>
      <c r="CQ42" s="53"/>
      <c r="CR42" s="53"/>
      <c r="CS42" s="51"/>
      <c r="CT42" s="51" t="s">
        <v>1814</v>
      </c>
      <c r="CU42" s="51"/>
      <c r="CV42" s="124" t="s">
        <v>1498</v>
      </c>
      <c r="CW42" s="51" t="s">
        <v>1444</v>
      </c>
      <c r="CX42" s="51" t="s">
        <v>1445</v>
      </c>
      <c r="CY42" s="51" t="s">
        <v>1446</v>
      </c>
      <c r="CZ42" s="51" t="s">
        <v>1448</v>
      </c>
      <c r="DA42" s="51" t="s">
        <v>1451</v>
      </c>
      <c r="DB42" s="51" t="s">
        <v>1808</v>
      </c>
      <c r="DC42" s="51" t="s">
        <v>1447</v>
      </c>
      <c r="DD42" s="51" t="s">
        <v>1424</v>
      </c>
      <c r="DE42" s="51" t="s">
        <v>1062</v>
      </c>
      <c r="DF42" s="123"/>
      <c r="DG42" s="51" t="s">
        <v>1486</v>
      </c>
      <c r="DH42" s="51" t="s">
        <v>1406</v>
      </c>
      <c r="DI42" s="51" t="s">
        <v>1485</v>
      </c>
      <c r="DJ42" s="52" t="s">
        <v>398</v>
      </c>
      <c r="DK42" s="78" t="s">
        <v>1548</v>
      </c>
      <c r="DL42" s="53" t="s">
        <v>1497</v>
      </c>
      <c r="DM42" s="53" t="s">
        <v>1462</v>
      </c>
      <c r="DN42" s="53"/>
      <c r="DO42" s="53"/>
      <c r="DP42" s="53"/>
      <c r="DQ42" s="53"/>
      <c r="DR42" s="53"/>
      <c r="DS42" s="53"/>
      <c r="DT42" s="53"/>
      <c r="DU42" s="67"/>
    </row>
    <row r="43" spans="1:137" x14ac:dyDescent="0.2">
      <c r="A43" s="65"/>
      <c r="B43" s="53"/>
      <c r="C43" s="78"/>
      <c r="D43" s="53"/>
      <c r="E43" s="53"/>
      <c r="F43" s="53"/>
      <c r="G43" s="53"/>
      <c r="H43" s="53"/>
      <c r="I43" s="53" t="s">
        <v>257</v>
      </c>
      <c r="J43" s="53"/>
      <c r="K43" s="53" t="s">
        <v>962</v>
      </c>
      <c r="L43" s="53"/>
      <c r="M43" s="67" t="s">
        <v>1439</v>
      </c>
      <c r="N43" s="96" t="s">
        <v>1440</v>
      </c>
      <c r="O43" s="53"/>
      <c r="P43" s="65"/>
      <c r="Q43" s="78" t="s">
        <v>940</v>
      </c>
      <c r="R43" s="53"/>
      <c r="S43" s="53"/>
      <c r="T43" s="53"/>
      <c r="U43" s="53"/>
      <c r="V43" s="53"/>
      <c r="W43" s="53"/>
      <c r="X43" s="53"/>
      <c r="Y43" s="53"/>
      <c r="Z43" s="53"/>
      <c r="AA43" s="53"/>
      <c r="AB43" s="53"/>
      <c r="AC43" s="53"/>
      <c r="AD43" s="53"/>
      <c r="AE43" s="67"/>
      <c r="AF43" s="78"/>
      <c r="AG43" s="67"/>
      <c r="AH43" s="53"/>
      <c r="AI43" s="53"/>
      <c r="AJ43" s="53"/>
      <c r="AK43" s="53"/>
      <c r="AL43" s="53"/>
      <c r="AM43" s="53"/>
      <c r="AN43" s="53"/>
      <c r="AO43" s="67"/>
      <c r="AP43" s="53"/>
      <c r="AQ43" s="53" t="s">
        <v>1059</v>
      </c>
      <c r="AR43" s="53"/>
      <c r="AS43" s="53"/>
      <c r="AT43" s="53"/>
      <c r="AU43" s="53"/>
      <c r="AV43" s="53"/>
      <c r="AW43" s="53"/>
      <c r="AX43" s="53"/>
      <c r="AY43" s="53"/>
      <c r="AZ43" s="53"/>
      <c r="BA43" s="53"/>
      <c r="BB43" s="53"/>
      <c r="BC43" s="53"/>
      <c r="BD43" s="53"/>
      <c r="BE43" s="53"/>
      <c r="BF43" s="53"/>
      <c r="BG43" s="53"/>
      <c r="BH43" s="53"/>
      <c r="BI43" s="53"/>
      <c r="BJ43" s="53"/>
      <c r="BK43" s="53"/>
      <c r="BL43" s="5"/>
      <c r="BM43" s="21" t="s">
        <v>2106</v>
      </c>
      <c r="BN43" s="21"/>
      <c r="BO43" s="5"/>
      <c r="BP43" s="5"/>
      <c r="BQ43" s="5"/>
      <c r="BR43" s="5"/>
      <c r="BS43" s="5"/>
      <c r="BV43" s="21" t="s">
        <v>2106</v>
      </c>
      <c r="BW43" s="5"/>
      <c r="BY43" s="5"/>
      <c r="BZ43" s="5"/>
      <c r="CA43" s="5" t="s">
        <v>2106</v>
      </c>
      <c r="CB43" s="4"/>
      <c r="CC43" s="53" t="s">
        <v>1543</v>
      </c>
      <c r="CD43" s="53"/>
      <c r="CE43" s="53"/>
      <c r="CF43" s="53"/>
      <c r="CG43" s="53" t="s">
        <v>1544</v>
      </c>
      <c r="CH43" s="53"/>
      <c r="CI43" s="53" t="s">
        <v>1545</v>
      </c>
      <c r="CJ43" s="53"/>
      <c r="CK43" s="53" t="s">
        <v>513</v>
      </c>
      <c r="CL43" s="53"/>
      <c r="CM43" s="53"/>
      <c r="CN43" s="53"/>
      <c r="CO43" s="53"/>
      <c r="CP43" s="53" t="s">
        <v>1526</v>
      </c>
      <c r="CQ43" s="53"/>
      <c r="CR43" s="53"/>
      <c r="CS43" s="53"/>
      <c r="CT43" s="53"/>
      <c r="CU43" s="53"/>
      <c r="CV43" s="96"/>
      <c r="CW43" s="53" t="s">
        <v>1455</v>
      </c>
      <c r="CX43" s="53"/>
      <c r="CY43" s="53"/>
      <c r="CZ43" s="53"/>
      <c r="DA43" s="53" t="s">
        <v>257</v>
      </c>
      <c r="DB43" s="53"/>
      <c r="DC43" s="53" t="s">
        <v>1457</v>
      </c>
      <c r="DD43" s="53"/>
      <c r="DE43" s="65"/>
      <c r="DF43" s="65"/>
      <c r="DG43" s="65"/>
      <c r="DH43" s="65"/>
      <c r="DI43" s="65"/>
      <c r="DJ43" s="55"/>
      <c r="DK43" s="62"/>
      <c r="DL43" s="65"/>
      <c r="DM43" s="65"/>
      <c r="DN43" s="65"/>
      <c r="DO43" s="65"/>
      <c r="DP43" s="65"/>
      <c r="DQ43" s="65"/>
      <c r="DR43" s="65"/>
      <c r="DS43" s="65"/>
      <c r="DT43" s="65"/>
      <c r="DU43" s="55"/>
    </row>
    <row r="44" spans="1:137" x14ac:dyDescent="0.2">
      <c r="A44" s="66"/>
      <c r="B44" s="57"/>
      <c r="C44" s="115"/>
      <c r="D44" s="57"/>
      <c r="E44" s="57"/>
      <c r="F44" s="57"/>
      <c r="G44" s="57"/>
      <c r="H44" s="57"/>
      <c r="I44" s="57" t="s">
        <v>546</v>
      </c>
      <c r="J44" s="57"/>
      <c r="K44" s="57" t="s">
        <v>400</v>
      </c>
      <c r="L44" s="57"/>
      <c r="M44" s="120"/>
      <c r="N44" s="97" t="s">
        <v>400</v>
      </c>
      <c r="O44" s="57"/>
      <c r="P44" s="57"/>
      <c r="Q44" s="115" t="s">
        <v>341</v>
      </c>
      <c r="R44" s="57"/>
      <c r="S44" s="57"/>
      <c r="T44" s="57"/>
      <c r="U44" s="57"/>
      <c r="V44" s="57"/>
      <c r="W44" s="53"/>
      <c r="X44" s="57"/>
      <c r="Y44" s="57"/>
      <c r="Z44" s="57"/>
      <c r="AA44" s="57"/>
      <c r="AB44" s="57"/>
      <c r="AC44" s="57"/>
      <c r="AD44" s="57"/>
      <c r="AE44" s="120"/>
      <c r="AF44" s="115" t="s">
        <v>1442</v>
      </c>
      <c r="AG44" s="120"/>
      <c r="AH44" s="53"/>
      <c r="AI44" s="53"/>
      <c r="AJ44" s="53"/>
      <c r="AK44" s="53"/>
      <c r="AL44" s="53"/>
      <c r="AM44" s="53"/>
      <c r="AN44" s="53"/>
      <c r="AO44" s="67"/>
      <c r="AP44" s="57"/>
      <c r="AQ44" s="57" t="s">
        <v>1054</v>
      </c>
      <c r="AR44" s="57"/>
      <c r="AS44" s="57"/>
      <c r="AT44" s="57"/>
      <c r="AU44" s="57"/>
      <c r="AV44" s="53"/>
      <c r="AW44" s="57"/>
      <c r="AX44" s="57"/>
      <c r="AY44" s="57"/>
      <c r="AZ44" s="57"/>
      <c r="BA44" s="57"/>
      <c r="BB44" s="57"/>
      <c r="BC44" s="57"/>
      <c r="BD44" s="57"/>
      <c r="BE44" s="57"/>
      <c r="BF44" s="57"/>
      <c r="BG44" s="57"/>
      <c r="BH44" s="57"/>
      <c r="BI44" s="57"/>
      <c r="BJ44" s="57"/>
      <c r="BK44" s="57"/>
      <c r="BL44" s="5"/>
      <c r="BM44" s="4"/>
      <c r="BN44" s="21"/>
      <c r="BO44" s="5"/>
      <c r="BP44" s="5"/>
      <c r="BQ44" s="5"/>
      <c r="BR44" s="5"/>
      <c r="BS44" s="5"/>
      <c r="BT44" s="5"/>
      <c r="BU44" s="5"/>
      <c r="BV44" s="5"/>
      <c r="BW44" s="5"/>
      <c r="BX44" s="5"/>
      <c r="BY44" s="5"/>
      <c r="BZ44" s="5"/>
      <c r="CA44" s="5"/>
      <c r="CB44" s="4"/>
      <c r="CC44" s="57" t="s">
        <v>494</v>
      </c>
      <c r="CD44" s="57"/>
      <c r="CE44" s="57"/>
      <c r="CF44" s="57"/>
      <c r="CG44" s="57" t="s">
        <v>494</v>
      </c>
      <c r="CH44" s="57"/>
      <c r="CI44" s="57"/>
      <c r="CJ44" s="57"/>
      <c r="CK44" s="57" t="s">
        <v>494</v>
      </c>
      <c r="CL44" s="57"/>
      <c r="CM44" s="57"/>
      <c r="CN44" s="57"/>
      <c r="CO44" s="57"/>
      <c r="CP44" s="57" t="s">
        <v>494</v>
      </c>
      <c r="CQ44" s="57"/>
      <c r="CR44" s="57"/>
      <c r="CS44" s="57"/>
      <c r="CT44" s="57" t="s">
        <v>1815</v>
      </c>
      <c r="CU44" s="57" t="s">
        <v>386</v>
      </c>
      <c r="CV44" s="125"/>
      <c r="CW44" s="65"/>
      <c r="CX44" s="65"/>
      <c r="CY44" s="65"/>
      <c r="CZ44" s="65"/>
      <c r="DA44" s="53" t="s">
        <v>1460</v>
      </c>
      <c r="DB44" s="53"/>
      <c r="DC44" s="53" t="s">
        <v>526</v>
      </c>
      <c r="DD44" s="65"/>
      <c r="DE44" s="53" t="s">
        <v>494</v>
      </c>
      <c r="DF44" s="65"/>
      <c r="DG44" s="65"/>
      <c r="DH44" s="65"/>
      <c r="DI44" s="65"/>
      <c r="DJ44" s="55"/>
      <c r="DK44" s="78" t="s">
        <v>494</v>
      </c>
      <c r="DL44" s="53"/>
      <c r="DM44" s="53"/>
      <c r="DN44" s="53"/>
      <c r="DO44" s="53"/>
      <c r="DP44" s="53"/>
      <c r="DQ44" s="53"/>
      <c r="DR44" s="53"/>
      <c r="DS44" s="53"/>
      <c r="DT44" s="53"/>
      <c r="DU44" s="67"/>
    </row>
    <row r="45" spans="1:137" x14ac:dyDescent="0.2">
      <c r="A45" s="225" t="s">
        <v>770</v>
      </c>
      <c r="B45" s="225" t="s">
        <v>771</v>
      </c>
      <c r="C45" s="226"/>
      <c r="D45" s="225"/>
      <c r="E45" s="225"/>
      <c r="F45" s="225"/>
      <c r="G45" s="225"/>
      <c r="H45" s="225"/>
      <c r="I45" s="225"/>
      <c r="J45" s="225"/>
      <c r="K45" s="225"/>
      <c r="L45" s="225"/>
      <c r="M45" s="227"/>
      <c r="N45" s="228"/>
      <c r="O45" s="225"/>
      <c r="P45" s="225"/>
      <c r="Q45" s="226">
        <v>25</v>
      </c>
      <c r="R45" s="225">
        <v>35</v>
      </c>
      <c r="S45" s="225">
        <v>45</v>
      </c>
      <c r="T45" s="225">
        <v>50</v>
      </c>
      <c r="U45" s="225">
        <v>70</v>
      </c>
      <c r="V45" s="225"/>
      <c r="W45" s="250">
        <v>25</v>
      </c>
      <c r="X45" s="229">
        <v>35</v>
      </c>
      <c r="Y45" s="229">
        <v>45</v>
      </c>
      <c r="Z45" s="229">
        <v>50</v>
      </c>
      <c r="AA45" s="229">
        <v>70</v>
      </c>
      <c r="AB45" s="229"/>
      <c r="AC45" s="225"/>
      <c r="AD45" s="225"/>
      <c r="AE45" s="227"/>
      <c r="AF45" s="226" t="s">
        <v>1499</v>
      </c>
      <c r="AG45" s="227" t="s">
        <v>1500</v>
      </c>
      <c r="AH45" s="250">
        <v>2</v>
      </c>
      <c r="AI45" s="250">
        <v>13</v>
      </c>
      <c r="AJ45" s="250">
        <v>30</v>
      </c>
      <c r="AK45" s="250">
        <v>25</v>
      </c>
      <c r="AL45" s="229">
        <v>35</v>
      </c>
      <c r="AM45" s="229">
        <v>45</v>
      </c>
      <c r="AN45" s="229">
        <v>50</v>
      </c>
      <c r="AO45" s="240">
        <v>70</v>
      </c>
      <c r="AP45" s="225"/>
      <c r="AQ45" s="225">
        <v>25</v>
      </c>
      <c r="AR45" s="225">
        <v>35</v>
      </c>
      <c r="AS45" s="225">
        <v>45</v>
      </c>
      <c r="AT45" s="225">
        <v>50</v>
      </c>
      <c r="AU45" s="225">
        <v>70</v>
      </c>
      <c r="AV45" s="247"/>
      <c r="AW45" s="229">
        <v>25</v>
      </c>
      <c r="AX45" s="229">
        <v>35</v>
      </c>
      <c r="AY45" s="229">
        <v>45</v>
      </c>
      <c r="AZ45" s="229">
        <v>50</v>
      </c>
      <c r="BA45" s="229">
        <v>70</v>
      </c>
      <c r="BB45" s="229">
        <v>70</v>
      </c>
      <c r="BC45" s="229">
        <v>25</v>
      </c>
      <c r="BD45" s="229">
        <v>35</v>
      </c>
      <c r="BE45" s="229">
        <v>45</v>
      </c>
      <c r="BF45" s="229">
        <v>50</v>
      </c>
      <c r="BG45" s="229">
        <v>70</v>
      </c>
      <c r="BH45" s="229">
        <v>70</v>
      </c>
      <c r="BI45" s="225"/>
      <c r="BJ45" s="225"/>
      <c r="BK45" s="225"/>
      <c r="BL45" s="5"/>
      <c r="BM45" s="5"/>
      <c r="BN45" s="21"/>
      <c r="BO45" s="5"/>
      <c r="BP45" s="5"/>
      <c r="BQ45" s="5"/>
      <c r="BR45" s="5"/>
      <c r="BS45" s="5"/>
      <c r="BT45" s="5"/>
      <c r="BU45" s="5"/>
      <c r="BV45" s="5"/>
      <c r="BW45" s="5"/>
      <c r="BX45" s="5"/>
      <c r="BY45" s="5"/>
      <c r="BZ45" s="5"/>
      <c r="CA45" s="5"/>
      <c r="CB45" s="4"/>
      <c r="CC45" s="225" t="s">
        <v>1458</v>
      </c>
      <c r="CD45" s="225"/>
      <c r="CE45" s="225"/>
      <c r="CF45" s="225"/>
      <c r="CG45" s="225"/>
      <c r="CH45" s="225"/>
      <c r="CI45" s="225"/>
      <c r="CJ45" s="225"/>
      <c r="CK45" s="225"/>
      <c r="CL45" s="225"/>
      <c r="CM45" s="225"/>
      <c r="CN45" s="225"/>
      <c r="CO45" s="225"/>
      <c r="CP45" s="225"/>
      <c r="CQ45" s="225"/>
      <c r="CR45" s="225"/>
      <c r="CS45" s="225"/>
      <c r="CT45" s="225"/>
      <c r="CU45" s="225"/>
      <c r="CV45" s="272"/>
      <c r="CW45" s="249"/>
      <c r="CX45" s="249"/>
      <c r="CY45" s="249"/>
      <c r="CZ45" s="249"/>
      <c r="DA45" s="249"/>
      <c r="DB45" s="249"/>
      <c r="DC45" s="249"/>
      <c r="DD45" s="247" t="s">
        <v>494</v>
      </c>
      <c r="DE45" s="247"/>
      <c r="DF45" s="247">
        <f>10+273</f>
        <v>283</v>
      </c>
      <c r="DG45" s="247"/>
      <c r="DH45" s="247"/>
      <c r="DI45" s="247"/>
      <c r="DJ45" s="248"/>
      <c r="DK45" s="264"/>
      <c r="DL45" s="247" t="s">
        <v>771</v>
      </c>
      <c r="DM45" s="250">
        <v>0</v>
      </c>
      <c r="DN45" s="250">
        <f>AVERAGE(DM45,DO45)</f>
        <v>6.25</v>
      </c>
      <c r="DO45" s="250">
        <v>12.5</v>
      </c>
      <c r="DP45" s="250">
        <f>AVERAGE(DO45,DQ45)</f>
        <v>18.75</v>
      </c>
      <c r="DQ45" s="250">
        <v>25</v>
      </c>
      <c r="DR45" s="250">
        <f>AVERAGE(DQ45,DS45)</f>
        <v>31.25</v>
      </c>
      <c r="DS45" s="250">
        <v>37.5</v>
      </c>
      <c r="DT45" s="250">
        <f>AVERAGE(DS45,DU45)</f>
        <v>43.75</v>
      </c>
      <c r="DU45" s="258">
        <v>50</v>
      </c>
    </row>
    <row r="46" spans="1:137" x14ac:dyDescent="0.2">
      <c r="A46" s="230"/>
      <c r="B46" s="225" t="s">
        <v>1425</v>
      </c>
      <c r="C46" s="226"/>
      <c r="D46" s="225"/>
      <c r="E46" s="225"/>
      <c r="F46" s="225"/>
      <c r="G46" s="225"/>
      <c r="H46" s="225"/>
      <c r="I46" s="225"/>
      <c r="J46" s="225"/>
      <c r="K46" s="225"/>
      <c r="L46" s="225"/>
      <c r="M46" s="227"/>
      <c r="N46" s="228"/>
      <c r="O46" s="225"/>
      <c r="P46" s="225"/>
      <c r="Q46" s="226">
        <f>Q45+273</f>
        <v>298</v>
      </c>
      <c r="R46" s="225">
        <f>R45+273</f>
        <v>308</v>
      </c>
      <c r="S46" s="225">
        <f>S45+273</f>
        <v>318</v>
      </c>
      <c r="T46" s="225">
        <f>T45+273</f>
        <v>323</v>
      </c>
      <c r="U46" s="225">
        <f>U45+273</f>
        <v>343</v>
      </c>
      <c r="V46" s="225"/>
      <c r="W46" s="229">
        <f>W45+273</f>
        <v>298</v>
      </c>
      <c r="X46" s="229">
        <f>X45+273</f>
        <v>308</v>
      </c>
      <c r="Y46" s="229">
        <f>Y45+273</f>
        <v>318</v>
      </c>
      <c r="Z46" s="229">
        <f>Z45+273</f>
        <v>323</v>
      </c>
      <c r="AA46" s="229">
        <f>AA45+273</f>
        <v>343</v>
      </c>
      <c r="AB46" s="229"/>
      <c r="AC46" s="225"/>
      <c r="AD46" s="225"/>
      <c r="AE46" s="227"/>
      <c r="AF46" s="226"/>
      <c r="AG46" s="227"/>
      <c r="AH46" s="229">
        <f t="shared" ref="AH46:AJ46" si="31">AH45+273</f>
        <v>275</v>
      </c>
      <c r="AI46" s="229">
        <f t="shared" si="31"/>
        <v>286</v>
      </c>
      <c r="AJ46" s="229">
        <f t="shared" si="31"/>
        <v>303</v>
      </c>
      <c r="AK46" s="229">
        <f>AK45+273</f>
        <v>298</v>
      </c>
      <c r="AL46" s="229">
        <f>AL45+273</f>
        <v>308</v>
      </c>
      <c r="AM46" s="229">
        <f>AM45+273</f>
        <v>318</v>
      </c>
      <c r="AN46" s="229">
        <f>AN45+273</f>
        <v>323</v>
      </c>
      <c r="AO46" s="240">
        <f>AO45+273</f>
        <v>343</v>
      </c>
      <c r="AP46" s="225"/>
      <c r="AQ46" s="225">
        <f>AQ45+273</f>
        <v>298</v>
      </c>
      <c r="AR46" s="225">
        <f>AR45+273</f>
        <v>308</v>
      </c>
      <c r="AS46" s="225">
        <f>AS45+273</f>
        <v>318</v>
      </c>
      <c r="AT46" s="225">
        <f>AT45+273</f>
        <v>323</v>
      </c>
      <c r="AU46" s="225">
        <f>AU45+273</f>
        <v>343</v>
      </c>
      <c r="AV46" s="225"/>
      <c r="AW46" s="229">
        <f>AW45+273</f>
        <v>298</v>
      </c>
      <c r="AX46" s="229">
        <f>AX45+273</f>
        <v>308</v>
      </c>
      <c r="AY46" s="229">
        <f>AY45+273</f>
        <v>318</v>
      </c>
      <c r="AZ46" s="229">
        <f>AZ45+273</f>
        <v>323</v>
      </c>
      <c r="BA46" s="229">
        <f>BA45+273</f>
        <v>343</v>
      </c>
      <c r="BB46" s="230"/>
      <c r="BC46" s="229">
        <f>BC45+273</f>
        <v>298</v>
      </c>
      <c r="BD46" s="229">
        <f>BD45+273</f>
        <v>308</v>
      </c>
      <c r="BE46" s="229">
        <f>BE45+273</f>
        <v>318</v>
      </c>
      <c r="BF46" s="229">
        <f>BF45+273</f>
        <v>323</v>
      </c>
      <c r="BG46" s="229">
        <f>BG45+273</f>
        <v>343</v>
      </c>
      <c r="BH46" s="230"/>
      <c r="BI46" s="225"/>
      <c r="BJ46" s="225"/>
      <c r="BK46" s="225"/>
      <c r="BL46" s="494" t="s">
        <v>2060</v>
      </c>
      <c r="BM46" s="494" t="s">
        <v>2060</v>
      </c>
      <c r="BN46" s="499" t="s">
        <v>2107</v>
      </c>
      <c r="BO46" s="494" t="s">
        <v>43</v>
      </c>
      <c r="BP46" s="494" t="s">
        <v>2068</v>
      </c>
      <c r="BQ46" s="494" t="s">
        <v>2093</v>
      </c>
      <c r="BR46" s="494"/>
      <c r="BS46" s="494" t="s">
        <v>2109</v>
      </c>
      <c r="BT46" s="494" t="s">
        <v>2092</v>
      </c>
      <c r="BU46" s="494"/>
      <c r="BV46" s="494" t="s">
        <v>2110</v>
      </c>
      <c r="BW46" s="494" t="s">
        <v>2091</v>
      </c>
      <c r="BX46" s="494"/>
      <c r="BY46" s="494" t="s">
        <v>1492</v>
      </c>
      <c r="BZ46" s="494"/>
      <c r="CA46" s="494" t="s">
        <v>2111</v>
      </c>
      <c r="CB46" s="4"/>
      <c r="CC46" s="225" t="s">
        <v>1459</v>
      </c>
      <c r="CD46" s="225"/>
      <c r="CE46" s="225"/>
      <c r="CF46" s="225"/>
      <c r="CG46" s="225"/>
      <c r="CH46" s="225"/>
      <c r="CI46" s="225"/>
      <c r="CJ46" s="225" t="s">
        <v>1453</v>
      </c>
      <c r="CK46" s="225"/>
      <c r="CL46" s="225"/>
      <c r="CM46" s="225"/>
      <c r="CN46" s="225"/>
      <c r="CO46" s="225" t="s">
        <v>1453</v>
      </c>
      <c r="CP46" s="225"/>
      <c r="CQ46" s="225"/>
      <c r="CR46" s="225"/>
      <c r="CS46" s="225"/>
      <c r="CT46" s="225"/>
      <c r="CU46" s="225"/>
      <c r="CV46" s="273"/>
      <c r="CW46" s="230"/>
      <c r="CX46" s="230"/>
      <c r="CY46" s="230"/>
      <c r="CZ46" s="230"/>
      <c r="DA46" s="230"/>
      <c r="DB46" s="230"/>
      <c r="DC46" s="230"/>
      <c r="DD46" s="230"/>
      <c r="DE46" s="225"/>
      <c r="DF46" s="225">
        <f>25+273</f>
        <v>298</v>
      </c>
      <c r="DG46" s="225"/>
      <c r="DH46" s="225"/>
      <c r="DI46" s="225"/>
      <c r="DJ46" s="227"/>
      <c r="DK46" s="237"/>
      <c r="DL46" s="225" t="s">
        <v>526</v>
      </c>
      <c r="DM46" s="229">
        <f t="shared" ref="DM46:DU46" si="32">DM45+273</f>
        <v>273</v>
      </c>
      <c r="DN46" s="229">
        <f t="shared" si="32"/>
        <v>279.25</v>
      </c>
      <c r="DO46" s="229">
        <f t="shared" si="32"/>
        <v>285.5</v>
      </c>
      <c r="DP46" s="229">
        <f t="shared" si="32"/>
        <v>291.75</v>
      </c>
      <c r="DQ46" s="229">
        <f t="shared" si="32"/>
        <v>298</v>
      </c>
      <c r="DR46" s="229">
        <f t="shared" si="32"/>
        <v>304.25</v>
      </c>
      <c r="DS46" s="229">
        <f t="shared" si="32"/>
        <v>310.5</v>
      </c>
      <c r="DT46" s="229">
        <f t="shared" si="32"/>
        <v>316.75</v>
      </c>
      <c r="DU46" s="240">
        <f t="shared" si="32"/>
        <v>323</v>
      </c>
    </row>
    <row r="47" spans="1:137" s="13" customFormat="1" x14ac:dyDescent="0.2">
      <c r="A47" s="231"/>
      <c r="B47" s="232" t="s">
        <v>1426</v>
      </c>
      <c r="C47" s="233"/>
      <c r="D47" s="232"/>
      <c r="E47" s="232"/>
      <c r="F47" s="232"/>
      <c r="G47" s="232"/>
      <c r="H47" s="232"/>
      <c r="I47" s="232"/>
      <c r="J47" s="232"/>
      <c r="K47" s="232"/>
      <c r="L47" s="232"/>
      <c r="M47" s="234"/>
      <c r="N47" s="235"/>
      <c r="O47" s="232"/>
      <c r="P47" s="232"/>
      <c r="Q47" s="233">
        <f>1/Q46</f>
        <v>3.3557046979865771E-3</v>
      </c>
      <c r="R47" s="232">
        <f>1/R46</f>
        <v>3.246753246753247E-3</v>
      </c>
      <c r="S47" s="232">
        <f>1/S46</f>
        <v>3.1446540880503146E-3</v>
      </c>
      <c r="T47" s="232">
        <f>1/T46</f>
        <v>3.0959752321981426E-3</v>
      </c>
      <c r="U47" s="232">
        <f>1/U46</f>
        <v>2.9154518950437317E-3</v>
      </c>
      <c r="V47" s="232"/>
      <c r="W47" s="236">
        <f>1/W46</f>
        <v>3.3557046979865771E-3</v>
      </c>
      <c r="X47" s="236">
        <f>1/X46</f>
        <v>3.246753246753247E-3</v>
      </c>
      <c r="Y47" s="236">
        <f>1/Y46</f>
        <v>3.1446540880503146E-3</v>
      </c>
      <c r="Z47" s="236">
        <f>1/Z46</f>
        <v>3.0959752321981426E-3</v>
      </c>
      <c r="AA47" s="236">
        <f>1/AA46</f>
        <v>2.9154518950437317E-3</v>
      </c>
      <c r="AB47" s="236"/>
      <c r="AC47" s="232"/>
      <c r="AD47" s="232"/>
      <c r="AE47" s="234"/>
      <c r="AF47" s="233"/>
      <c r="AG47" s="234"/>
      <c r="AH47" s="236">
        <f t="shared" ref="AH47:AJ47" si="33">1/AH46</f>
        <v>3.6363636363636364E-3</v>
      </c>
      <c r="AI47" s="236">
        <f t="shared" si="33"/>
        <v>3.4965034965034965E-3</v>
      </c>
      <c r="AJ47" s="236">
        <f t="shared" si="33"/>
        <v>3.3003300330033004E-3</v>
      </c>
      <c r="AK47" s="236">
        <f>1/AK46</f>
        <v>3.3557046979865771E-3</v>
      </c>
      <c r="AL47" s="236">
        <f>1/AL46</f>
        <v>3.246753246753247E-3</v>
      </c>
      <c r="AM47" s="236">
        <f>1/AM46</f>
        <v>3.1446540880503146E-3</v>
      </c>
      <c r="AN47" s="236">
        <f>1/AN46</f>
        <v>3.0959752321981426E-3</v>
      </c>
      <c r="AO47" s="356">
        <f>1/AO46</f>
        <v>2.9154518950437317E-3</v>
      </c>
      <c r="AP47" s="232"/>
      <c r="AQ47" s="232">
        <f>1/AQ46</f>
        <v>3.3557046979865771E-3</v>
      </c>
      <c r="AR47" s="232">
        <f>1/AR46</f>
        <v>3.246753246753247E-3</v>
      </c>
      <c r="AS47" s="232">
        <f>1/AS46</f>
        <v>3.1446540880503146E-3</v>
      </c>
      <c r="AT47" s="232">
        <f>1/AT46</f>
        <v>3.0959752321981426E-3</v>
      </c>
      <c r="AU47" s="232">
        <f>1/AU46</f>
        <v>2.9154518950437317E-3</v>
      </c>
      <c r="AV47" s="232"/>
      <c r="AW47" s="236">
        <f>1/AW46</f>
        <v>3.3557046979865771E-3</v>
      </c>
      <c r="AX47" s="236">
        <f>1/AX46</f>
        <v>3.246753246753247E-3</v>
      </c>
      <c r="AY47" s="236">
        <f>1/AY46</f>
        <v>3.1446540880503146E-3</v>
      </c>
      <c r="AZ47" s="236">
        <f>1/AZ46</f>
        <v>3.0959752321981426E-3</v>
      </c>
      <c r="BA47" s="236">
        <f>1/BA46</f>
        <v>2.9154518950437317E-3</v>
      </c>
      <c r="BB47" s="231"/>
      <c r="BC47" s="236">
        <f>1/BC46</f>
        <v>3.3557046979865771E-3</v>
      </c>
      <c r="BD47" s="236">
        <f>1/BD46</f>
        <v>3.246753246753247E-3</v>
      </c>
      <c r="BE47" s="236">
        <f>1/BE46</f>
        <v>3.1446540880503146E-3</v>
      </c>
      <c r="BF47" s="236">
        <f>1/BF46</f>
        <v>3.0959752321981426E-3</v>
      </c>
      <c r="BG47" s="236">
        <f>1/BG46</f>
        <v>2.9154518950437317E-3</v>
      </c>
      <c r="BH47" s="231"/>
      <c r="BI47" s="232"/>
      <c r="BJ47" s="232"/>
      <c r="BK47" s="232"/>
      <c r="BL47" s="494" t="s">
        <v>2125</v>
      </c>
      <c r="BM47" s="494" t="s">
        <v>2126</v>
      </c>
      <c r="BN47" s="499"/>
      <c r="BO47" s="494" t="s">
        <v>258</v>
      </c>
      <c r="BP47" s="494" t="s">
        <v>2094</v>
      </c>
      <c r="BQ47" s="494" t="s">
        <v>494</v>
      </c>
      <c r="BR47" s="494"/>
      <c r="BS47" s="494" t="s">
        <v>2079</v>
      </c>
      <c r="BT47" s="494" t="s">
        <v>494</v>
      </c>
      <c r="BU47" s="494"/>
      <c r="BV47" s="494" t="s">
        <v>2079</v>
      </c>
      <c r="BW47" s="494" t="s">
        <v>494</v>
      </c>
      <c r="BX47" s="494"/>
      <c r="BY47" s="494" t="s">
        <v>494</v>
      </c>
      <c r="BZ47" s="494"/>
      <c r="CA47" s="494" t="s">
        <v>2079</v>
      </c>
      <c r="CB47" s="4"/>
      <c r="CC47" s="232" t="s">
        <v>1786</v>
      </c>
      <c r="CD47" s="232"/>
      <c r="CE47" s="232"/>
      <c r="CF47" s="232"/>
      <c r="CG47" s="232" t="s">
        <v>1787</v>
      </c>
      <c r="CH47" s="232"/>
      <c r="CI47" s="232" t="s">
        <v>1788</v>
      </c>
      <c r="CJ47" s="232" t="s">
        <v>1788</v>
      </c>
      <c r="CK47" s="232" t="s">
        <v>1789</v>
      </c>
      <c r="CL47" s="232"/>
      <c r="CM47" s="231"/>
      <c r="CN47" s="231"/>
      <c r="CO47" s="232" t="s">
        <v>1789</v>
      </c>
      <c r="CP47" s="232" t="s">
        <v>1790</v>
      </c>
      <c r="CQ47" s="231"/>
      <c r="CR47" s="232"/>
      <c r="CS47" s="232"/>
      <c r="CT47" s="232"/>
      <c r="CU47" s="232"/>
      <c r="CV47" s="274"/>
      <c r="CW47" s="231"/>
      <c r="CX47" s="231"/>
      <c r="CY47" s="231"/>
      <c r="CZ47" s="231"/>
      <c r="DA47" s="231"/>
      <c r="DB47" s="231"/>
      <c r="DC47" s="231"/>
      <c r="DD47" s="231"/>
      <c r="DE47" s="231"/>
      <c r="DF47" s="231"/>
      <c r="DG47" s="231"/>
      <c r="DH47" s="231"/>
      <c r="DI47" s="231"/>
      <c r="DJ47" s="269"/>
      <c r="DK47" s="252"/>
      <c r="DL47" s="232"/>
      <c r="DM47" s="231"/>
      <c r="DN47" s="231"/>
      <c r="DO47" s="231"/>
      <c r="DP47" s="231"/>
      <c r="DQ47" s="231"/>
      <c r="DR47" s="231"/>
      <c r="DS47" s="231"/>
      <c r="DT47" s="231"/>
      <c r="DU47" s="269"/>
      <c r="DW47"/>
      <c r="DX47"/>
      <c r="DY47"/>
      <c r="DZ47"/>
      <c r="EA47"/>
      <c r="EB47"/>
      <c r="EC47"/>
      <c r="ED47"/>
      <c r="EE47"/>
      <c r="EF47"/>
      <c r="EG47"/>
    </row>
    <row r="48" spans="1:137" x14ac:dyDescent="0.2">
      <c r="B48" s="4"/>
      <c r="C48" s="78"/>
      <c r="D48" s="53"/>
      <c r="E48" s="53"/>
      <c r="F48" s="53"/>
      <c r="G48" s="4"/>
      <c r="H48" s="4"/>
      <c r="I48" s="4"/>
      <c r="J48" s="4"/>
      <c r="K48" s="4"/>
      <c r="L48" s="4"/>
      <c r="M48" s="18"/>
      <c r="N48" s="220"/>
      <c r="O48" s="4"/>
      <c r="P48" s="4"/>
      <c r="Q48" s="6"/>
      <c r="R48" s="4"/>
      <c r="S48" s="4"/>
      <c r="T48" s="4"/>
      <c r="U48" s="4"/>
      <c r="V48" s="4"/>
      <c r="W48" s="95"/>
      <c r="X48" s="95"/>
      <c r="Y48" s="95"/>
      <c r="Z48" s="95"/>
      <c r="AA48" s="95"/>
      <c r="AB48" s="95"/>
      <c r="AC48" s="169"/>
      <c r="AD48" s="169"/>
      <c r="AE48" s="265"/>
      <c r="AF48" s="358"/>
      <c r="AG48" s="265"/>
      <c r="AH48" s="169"/>
      <c r="AI48" s="169"/>
      <c r="AJ48" s="169"/>
      <c r="AK48" s="4"/>
      <c r="AL48" s="4"/>
      <c r="AM48" s="4"/>
      <c r="AN48" s="4"/>
      <c r="AO48" s="18"/>
      <c r="AP48" s="169"/>
      <c r="AQ48" s="4"/>
      <c r="AR48" s="4"/>
      <c r="AS48" s="4"/>
      <c r="AT48" s="4"/>
      <c r="AU48" s="4"/>
      <c r="AV48" s="4"/>
      <c r="AW48" s="95"/>
      <c r="AX48" s="95"/>
      <c r="AY48" s="95"/>
      <c r="AZ48" s="95"/>
      <c r="BA48" s="95"/>
      <c r="BC48" s="95"/>
      <c r="BD48" s="95"/>
      <c r="BE48" s="95"/>
      <c r="BF48" s="95"/>
      <c r="BG48" s="95"/>
      <c r="BI48" s="169"/>
      <c r="BJ48" s="169"/>
      <c r="BK48" s="169"/>
      <c r="BL48" s="495"/>
      <c r="BM48" s="495"/>
      <c r="BN48" s="500"/>
      <c r="BO48" s="494"/>
      <c r="BP48" s="494"/>
      <c r="BQ48" s="495"/>
      <c r="BR48" s="495"/>
      <c r="BS48" s="495"/>
      <c r="BT48" s="495"/>
      <c r="BU48" s="495"/>
      <c r="BV48" s="495"/>
      <c r="BW48" s="495"/>
      <c r="BX48" s="495"/>
      <c r="BY48" s="495"/>
      <c r="BZ48" s="495"/>
      <c r="CA48" s="495"/>
      <c r="CB48" s="169"/>
      <c r="CC48" s="4" t="s">
        <v>1452</v>
      </c>
      <c r="CD48" s="169" t="s">
        <v>1453</v>
      </c>
      <c r="CE48" s="169"/>
      <c r="CF48" s="169"/>
      <c r="CG48" s="169"/>
      <c r="CH48" s="169"/>
      <c r="CI48" s="169"/>
      <c r="CJ48" s="169"/>
      <c r="CK48" s="4"/>
      <c r="CL48" s="169"/>
      <c r="CO48" s="4"/>
      <c r="CP48" s="4"/>
      <c r="CR48" s="169"/>
      <c r="CS48" s="169"/>
      <c r="CT48" s="169"/>
      <c r="CU48" s="169"/>
      <c r="CV48" s="96" t="s">
        <v>11</v>
      </c>
      <c r="CW48" s="4"/>
      <c r="DJ48" s="3"/>
      <c r="DK48" s="17"/>
      <c r="DL48" s="4"/>
      <c r="DU48" s="16"/>
    </row>
    <row r="49" spans="1:127" x14ac:dyDescent="0.2">
      <c r="A49" s="4">
        <v>1</v>
      </c>
      <c r="B49" s="4" t="s">
        <v>1938</v>
      </c>
      <c r="C49" s="78" t="s">
        <v>548</v>
      </c>
      <c r="D49" s="53">
        <v>200</v>
      </c>
      <c r="E49" s="53" t="str">
        <f>VLOOKUP(D49,CompDbase!B:J,3,FALSE)</f>
        <v>Benzeen</v>
      </c>
      <c r="F49" s="53">
        <f>VLOOKUP(D49,CompDbase!B:J,9,FALSE)</f>
        <v>1988.89882593368</v>
      </c>
      <c r="G49" s="4">
        <v>6</v>
      </c>
      <c r="H49" s="4" t="s">
        <v>1549</v>
      </c>
      <c r="I49" s="4">
        <v>78.106666524406961</v>
      </c>
      <c r="J49" s="95">
        <f>LOG(I49)</f>
        <v>1.8926881031628768</v>
      </c>
      <c r="K49" s="95">
        <v>1988.89882593368</v>
      </c>
      <c r="L49" s="95">
        <f>LOG(K49)</f>
        <v>3.2986126913917664</v>
      </c>
      <c r="M49" s="18">
        <v>2.13</v>
      </c>
      <c r="N49" s="220">
        <v>948</v>
      </c>
      <c r="O49" s="4" t="s">
        <v>1044</v>
      </c>
      <c r="P49" s="4"/>
      <c r="Q49" s="17">
        <v>0.12</v>
      </c>
      <c r="T49">
        <v>0.18</v>
      </c>
      <c r="U49">
        <v>0.3</v>
      </c>
      <c r="W49" s="95">
        <f t="shared" ref="W49:W62" si="34">LN(Q49)</f>
        <v>-2.120263536200091</v>
      </c>
      <c r="X49" s="95"/>
      <c r="Y49" s="95"/>
      <c r="Z49" s="95">
        <f t="shared" ref="Z49:AA55" si="35">LN(T49)</f>
        <v>-1.7147984280919266</v>
      </c>
      <c r="AA49" s="95">
        <f t="shared" si="35"/>
        <v>-1.2039728043259361</v>
      </c>
      <c r="AB49" s="95"/>
      <c r="AC49" s="95">
        <f t="shared" ref="AC49:AC55" si="36">INTERCEPT(W49:AA49,W$47:AA$47)</f>
        <v>4.7051727835918467</v>
      </c>
      <c r="AD49" s="95">
        <f t="shared" ref="AD49:AD55" si="37">SLOPE(W49:AA49,W$47:AA$47)</f>
        <v>-2044.868533589399</v>
      </c>
      <c r="AE49" s="253">
        <f t="shared" ref="AE49:AE55" si="38">RSQ(W$47:AA$47,W49:AA49)</f>
        <v>0.97144728524549939</v>
      </c>
      <c r="AF49" s="359">
        <f>(Z49-W49)/(Z$47-W$47)*0.008413</f>
        <v>-13.133580913351587</v>
      </c>
      <c r="AG49" s="253">
        <f t="shared" ref="AG49:AG55" si="39">(AA49-Z49)/(AA$47-Z$47)*0.008413</f>
        <v>-23.806207222212723</v>
      </c>
      <c r="AH49" s="210"/>
      <c r="AI49" s="210"/>
      <c r="AJ49" s="210"/>
      <c r="AK49" s="319">
        <f>LOG(940*Q49/EXP($AC4+Q$47*$AD4))</f>
        <v>2.2628884776986293</v>
      </c>
      <c r="AL49" s="95"/>
      <c r="AM49" s="95"/>
      <c r="AN49" s="319">
        <f>LOG(940*T49/EXP($AC4+T$47*$AD4))</f>
        <v>2.2702511096810265</v>
      </c>
      <c r="AO49" s="319">
        <f>LOG(940*U49/EXP($AC4+U$47*$AD4))</f>
        <v>2.3748260846785172</v>
      </c>
      <c r="AP49" s="210"/>
      <c r="AQ49">
        <v>6.4000000000000002E-12</v>
      </c>
      <c r="AT49">
        <v>1.8399999999999999E-11</v>
      </c>
      <c r="AU49">
        <v>3.3199999999999993E-11</v>
      </c>
      <c r="AW49" s="95">
        <f>LOG(AQ49)</f>
        <v>-11.193820026016112</v>
      </c>
      <c r="AX49" s="95"/>
      <c r="AY49" s="95"/>
      <c r="AZ49" s="95">
        <f t="shared" ref="AZ49:AZ55" si="40">LOG(AT49)</f>
        <v>-10.735182176990463</v>
      </c>
      <c r="BA49" s="95">
        <f t="shared" ref="BA49:BA55" si="41">LOG(AU49)</f>
        <v>-10.478861916295964</v>
      </c>
      <c r="BC49" s="95">
        <f t="shared" ref="BC49:BC62" si="42">LN(AQ49)</f>
        <v>-25.774723125562922</v>
      </c>
      <c r="BD49" s="95"/>
      <c r="BE49" s="95"/>
      <c r="BF49" s="95">
        <f t="shared" ref="BF49:BG55" si="43">LN(AT49)</f>
        <v>-24.71867045131361</v>
      </c>
      <c r="BG49" s="95">
        <f t="shared" si="43"/>
        <v>-24.128471240006107</v>
      </c>
      <c r="BI49" s="95">
        <f>INTERCEPT(BC49:BG49,BC$47:BG$47)</f>
        <v>-13.1269497106338</v>
      </c>
      <c r="BJ49" s="95">
        <f>SLOPE(BC49:BG49,BC$47:BG$47)</f>
        <v>-3762.1991814043631</v>
      </c>
      <c r="BK49" s="210">
        <f t="shared" ref="BK49:BK55" si="44">RSQ(BC$47:BG$47,BC49:BG49)</f>
        <v>0.99658789135145331</v>
      </c>
      <c r="BL49" s="494">
        <f>VLOOKUP(B49,Literatuur!$A:$B,2,FALSE)</f>
        <v>3</v>
      </c>
      <c r="BM49" s="493" t="str">
        <f>VLOOKUP(N2,Literatuur!$A:$B,2,FALSE)</f>
        <v>H</v>
      </c>
      <c r="BN49" s="501" t="str">
        <f>C49</f>
        <v>Benzene</v>
      </c>
      <c r="BO49" s="496">
        <f>I49</f>
        <v>78.106666524406961</v>
      </c>
      <c r="BP49" s="495">
        <f>K49</f>
        <v>1988.89882593368</v>
      </c>
      <c r="BQ49" s="493">
        <f>CE49</f>
        <v>17.001036988262264</v>
      </c>
      <c r="BR49" s="493" t="s">
        <v>1558</v>
      </c>
      <c r="BS49" s="493" t="s">
        <v>2095</v>
      </c>
      <c r="BT49" s="493" t="s">
        <v>2095</v>
      </c>
      <c r="BU49" s="493"/>
      <c r="BV49" s="493">
        <f>CH49</f>
        <v>12.584446768961877</v>
      </c>
      <c r="BW49" s="493" t="str">
        <f>AC3</f>
        <v>273 - 293 K</v>
      </c>
      <c r="BX49" s="493"/>
      <c r="BY49" s="493">
        <f>CK49</f>
        <v>4.416590219300387</v>
      </c>
      <c r="BZ49" s="493" t="s">
        <v>1558</v>
      </c>
      <c r="CA49" s="493">
        <f>CM49</f>
        <v>31.278923994195878</v>
      </c>
      <c r="CB49" s="475"/>
      <c r="CC49" s="210"/>
      <c r="CD49">
        <v>16.7</v>
      </c>
      <c r="CE49" s="183">
        <f>-AD49*8.314/1000</f>
        <v>17.001036988262264</v>
      </c>
      <c r="CF49" s="183"/>
      <c r="CG49" s="183"/>
      <c r="CH49" s="183">
        <f>AE4</f>
        <v>12.584446768961877</v>
      </c>
      <c r="CI49" s="183" t="s">
        <v>1541</v>
      </c>
      <c r="CJ49" s="183">
        <f>CE49-CH49</f>
        <v>4.416590219300387</v>
      </c>
      <c r="CK49" s="183">
        <f>CJ49</f>
        <v>4.416590219300387</v>
      </c>
      <c r="CL49">
        <v>30.9</v>
      </c>
      <c r="CM49" s="183">
        <f>-BJ49*8.314/1000</f>
        <v>31.278923994195878</v>
      </c>
      <c r="CN49" s="211"/>
      <c r="CP49" s="183">
        <f>CM49</f>
        <v>31.278923994195878</v>
      </c>
      <c r="CQ49" s="289">
        <v>47.6</v>
      </c>
      <c r="CS49" s="183"/>
      <c r="CT49" s="183"/>
      <c r="CU49" s="183">
        <f>CJ49+CM49</f>
        <v>35.695514213496267</v>
      </c>
      <c r="CV49" s="183">
        <f>J49*CO$119+CO$121+L49*CJ$119+CJ$121</f>
        <v>47.532333193423113</v>
      </c>
      <c r="CW49" s="125"/>
      <c r="CX49" s="95">
        <v>6</v>
      </c>
      <c r="CY49" s="95">
        <f>POWER(CX49,0.67)</f>
        <v>3.3217071227740216</v>
      </c>
      <c r="CZ49" s="95">
        <f>POWER((1+2*PI()/CY49),CX49/EXP(1))</f>
        <v>10.419432305698242</v>
      </c>
      <c r="DA49" s="95">
        <f>EXP(2*PI()/EXP(1))</f>
        <v>10.089090581018485</v>
      </c>
      <c r="DB49" s="95">
        <f>14*CX49+2</f>
        <v>86</v>
      </c>
      <c r="DC49" s="95">
        <f>LOG(DB49)</f>
        <v>1.9344984512435677</v>
      </c>
      <c r="DD49" s="95">
        <f>105+273</f>
        <v>378</v>
      </c>
      <c r="DE49" s="95">
        <v>8.4130000000000003E-3</v>
      </c>
      <c r="DF49" s="288">
        <f>DA49*POWER(CZ49,0.32)*DD49*DE49</f>
        <v>67.921115251749015</v>
      </c>
      <c r="DG49" s="211">
        <f>EXP(-DF49/(0.008314*DF$45))/EXP(-DF49/(0.008314*DF$46))</f>
        <v>0.2338537566032437</v>
      </c>
      <c r="DH49" s="214">
        <f>POWER((1+2*PI()/CX49),CX49/EXP(1))</f>
        <v>4.8620078661908321</v>
      </c>
      <c r="DI49" s="214">
        <f>POWER(25000/14,0.33)</f>
        <v>11.833084098555808</v>
      </c>
      <c r="DJ49" s="214">
        <f>POWER(1+2*PI()/DI49,DI49/EXP(1))</f>
        <v>6.3856545410714665</v>
      </c>
      <c r="DK49" s="266">
        <f>EXP(DH49-DJ49*0.14*POWER(14*CY49+2,0.67)-DA49*POWER(CZ49,0.32)*373/296)</f>
        <v>1.5555133991680191E-15</v>
      </c>
      <c r="DL49" s="267">
        <f>22+47</f>
        <v>69</v>
      </c>
      <c r="DM49" s="4" t="s">
        <v>1811</v>
      </c>
      <c r="DN49" s="206">
        <f t="shared" ref="DN49:DV49" si="45">EXP(-$DL49/(0.008314*DM$46))/EXP(-$DL49/(0.008314*$DQ$46))</f>
        <v>7.8054166768704761E-2</v>
      </c>
      <c r="DO49" s="206">
        <f t="shared" si="45"/>
        <v>0.15413076922565219</v>
      </c>
      <c r="DP49" s="206">
        <f t="shared" si="45"/>
        <v>0.29542351880652845</v>
      </c>
      <c r="DQ49" s="206">
        <f t="shared" si="45"/>
        <v>0.55067418232829768</v>
      </c>
      <c r="DR49" s="206">
        <f t="shared" si="45"/>
        <v>1</v>
      </c>
      <c r="DS49" s="206">
        <f t="shared" si="45"/>
        <v>1.7719849889902461</v>
      </c>
      <c r="DT49" s="206">
        <f t="shared" si="45"/>
        <v>3.0684401731084878</v>
      </c>
      <c r="DU49" s="206">
        <f t="shared" si="45"/>
        <v>5.1995404015831497</v>
      </c>
      <c r="DV49" s="268">
        <f t="shared" si="45"/>
        <v>8.6327307298078555</v>
      </c>
    </row>
    <row r="50" spans="1:127" x14ac:dyDescent="0.2">
      <c r="A50" s="4">
        <v>2</v>
      </c>
      <c r="B50" s="4" t="s">
        <v>1938</v>
      </c>
      <c r="C50" s="78" t="s">
        <v>492</v>
      </c>
      <c r="D50" s="53">
        <v>204</v>
      </c>
      <c r="E50" s="53" t="str">
        <f>VLOOKUP(D50,CompDbase!B:J,3,FALSE)</f>
        <v>Tolueen</v>
      </c>
      <c r="F50" s="53">
        <f>VLOOKUP(D50,CompDbase!B:J,9,FALSE)</f>
        <v>610.59105234897152</v>
      </c>
      <c r="G50" s="4">
        <v>7</v>
      </c>
      <c r="H50" s="4" t="s">
        <v>1549</v>
      </c>
      <c r="I50" s="4">
        <v>92.14249284505685</v>
      </c>
      <c r="J50" s="95">
        <f t="shared" ref="J50:J62" si="46">LOG(I50)</f>
        <v>1.9644599575824677</v>
      </c>
      <c r="K50" s="95">
        <v>610.59105234897152</v>
      </c>
      <c r="L50" s="95">
        <f t="shared" ref="L50:L62" si="47">LOG(K50)</f>
        <v>2.7857504358225516</v>
      </c>
      <c r="M50" s="18">
        <v>2.73</v>
      </c>
      <c r="N50" s="220">
        <v>948</v>
      </c>
      <c r="O50" s="4" t="s">
        <v>1044</v>
      </c>
      <c r="P50" s="4"/>
      <c r="Q50" s="17">
        <v>0.11</v>
      </c>
      <c r="T50">
        <v>0.17</v>
      </c>
      <c r="U50">
        <v>0.26</v>
      </c>
      <c r="W50" s="95">
        <f t="shared" si="34"/>
        <v>-2.2072749131897207</v>
      </c>
      <c r="X50" s="95"/>
      <c r="Y50" s="95"/>
      <c r="Z50" s="95">
        <f t="shared" si="35"/>
        <v>-1.7719568419318752</v>
      </c>
      <c r="AA50" s="95">
        <f t="shared" si="35"/>
        <v>-1.3470736479666092</v>
      </c>
      <c r="AB50" s="95"/>
      <c r="AC50" s="95">
        <f t="shared" si="36"/>
        <v>4.2645869790512183</v>
      </c>
      <c r="AD50" s="95">
        <f t="shared" si="37"/>
        <v>-1934.4305896751846</v>
      </c>
      <c r="AE50" s="253">
        <f t="shared" si="38"/>
        <v>0.99071725809621491</v>
      </c>
      <c r="AF50" s="359">
        <f t="shared" ref="AF50:AF55" si="48">(Z50-W50)/(Z$47-W$47)*0.008413</f>
        <v>-14.100560066894552</v>
      </c>
      <c r="AG50" s="253">
        <f t="shared" si="39"/>
        <v>-19.800998403726016</v>
      </c>
      <c r="AH50" s="210"/>
      <c r="AI50" s="210"/>
      <c r="AJ50" s="210"/>
      <c r="AK50" s="95">
        <f>LOG(940*Q50/$K50)</f>
        <v>-0.77122989706462797</v>
      </c>
      <c r="AL50" s="95"/>
      <c r="AM50" s="95"/>
      <c r="AN50" s="95">
        <f>LOG(940*T50/$K50)</f>
        <v>-0.582173660844579</v>
      </c>
      <c r="AO50" s="242">
        <f>LOG(940*U50/$K50)</f>
        <v>-0.39764923425203497</v>
      </c>
      <c r="AP50" s="210"/>
      <c r="AQ50">
        <v>6.8000000000000001E-12</v>
      </c>
      <c r="AT50">
        <v>2.3999999999999998E-11</v>
      </c>
      <c r="AU50">
        <v>3.6200000000000002E-11</v>
      </c>
      <c r="AW50" s="95">
        <f t="shared" ref="AW50:AW62" si="49">LOG(AQ50)</f>
        <v>-11.167491087293763</v>
      </c>
      <c r="AX50" s="95"/>
      <c r="AY50" s="95"/>
      <c r="AZ50" s="95">
        <f t="shared" si="40"/>
        <v>-10.619788758288394</v>
      </c>
      <c r="BA50" s="95">
        <f t="shared" si="41"/>
        <v>-10.441291429466835</v>
      </c>
      <c r="BC50" s="95">
        <f t="shared" si="42"/>
        <v>-25.714098503746488</v>
      </c>
      <c r="BD50" s="95"/>
      <c r="BE50" s="95"/>
      <c r="BF50" s="95">
        <f t="shared" si="43"/>
        <v>-24.452967285580602</v>
      </c>
      <c r="BG50" s="95">
        <f t="shared" si="43"/>
        <v>-24.041961997096823</v>
      </c>
      <c r="BI50" s="95">
        <f t="shared" ref="BI50:BI55" si="50">INTERCEPT(BC50:BG50,BC$47:BG$47)</f>
        <v>-12.646021784657679</v>
      </c>
      <c r="BJ50" s="95">
        <f t="shared" ref="BJ50:BJ55" si="51">SLOPE(BC50:BG50,BC$47:BG$47)</f>
        <v>-3872.1524484968254</v>
      </c>
      <c r="BK50" s="210">
        <f t="shared" si="44"/>
        <v>0.96723682385339182</v>
      </c>
      <c r="BL50" s="494">
        <f>VLOOKUP(B50,Literatuur!$A:$B,2,FALSE)</f>
        <v>3</v>
      </c>
      <c r="BM50" s="494">
        <f>VLOOKUP(CH50,Literatuur!$A:$B,2,FALSE)</f>
        <v>40</v>
      </c>
      <c r="BN50" s="501" t="str">
        <f>C50</f>
        <v>Toluene</v>
      </c>
      <c r="BO50" s="496">
        <f>I50</f>
        <v>92.14249284505685</v>
      </c>
      <c r="BP50" s="495">
        <f>K50</f>
        <v>610.59105234897152</v>
      </c>
      <c r="BQ50" s="493">
        <f>CD50</f>
        <v>16.082855922559485</v>
      </c>
      <c r="BR50" s="493" t="s">
        <v>1558</v>
      </c>
      <c r="BS50" s="493" t="s">
        <v>2095</v>
      </c>
      <c r="BT50" s="493">
        <f>CG50</f>
        <v>0.75</v>
      </c>
      <c r="BU50" s="493" t="s">
        <v>1558</v>
      </c>
      <c r="BV50" s="493" t="s">
        <v>2104</v>
      </c>
      <c r="BW50" s="493">
        <f>CJ50</f>
        <v>15.332855922559485</v>
      </c>
      <c r="BX50" s="493" t="s">
        <v>1558</v>
      </c>
      <c r="BY50" s="493">
        <f>CL50</f>
        <v>32.193075456802603</v>
      </c>
      <c r="BZ50" s="493" t="s">
        <v>1558</v>
      </c>
      <c r="CA50" s="493" t="s">
        <v>2095</v>
      </c>
      <c r="CB50" s="210"/>
      <c r="CC50">
        <v>16.2</v>
      </c>
      <c r="CD50" s="183">
        <f t="shared" ref="CD50:CD55" si="52">-AD50*8.314/1000</f>
        <v>16.082855922559485</v>
      </c>
      <c r="CE50" s="183"/>
      <c r="CF50" s="183"/>
      <c r="CG50" s="194">
        <v>0.75</v>
      </c>
      <c r="CH50" s="4" t="s">
        <v>2098</v>
      </c>
      <c r="CI50" s="183">
        <f>CD50-CG50</f>
        <v>15.332855922559485</v>
      </c>
      <c r="CJ50" s="183">
        <f t="shared" ref="CJ50:CJ52" si="53">CI50</f>
        <v>15.332855922559485</v>
      </c>
      <c r="CK50">
        <v>32.299999999999997</v>
      </c>
      <c r="CL50" s="183">
        <f t="shared" ref="CL50:CL55" si="54">-BJ50*8.314/1000</f>
        <v>32.193075456802603</v>
      </c>
      <c r="CM50" s="211"/>
      <c r="CO50" s="183">
        <f t="shared" ref="CO50:CO55" si="55">CL50</f>
        <v>32.193075456802603</v>
      </c>
      <c r="CP50" s="289">
        <v>48.5</v>
      </c>
      <c r="CR50" s="183"/>
      <c r="CS50" s="183"/>
      <c r="CT50" s="183">
        <f t="shared" ref="CT50:CT55" si="56">CI50+CL50</f>
        <v>47.525931379362092</v>
      </c>
      <c r="CU50" s="183">
        <f t="shared" ref="CU50:CU62" si="57">J50*CO$119+CO$121+L50*CJ$119+CJ$121</f>
        <v>47.851833960140993</v>
      </c>
      <c r="CV50" s="125"/>
      <c r="CW50" s="95">
        <v>7</v>
      </c>
      <c r="CX50" s="95">
        <f>POWER(CW50,0.67)</f>
        <v>3.6831184560393226</v>
      </c>
      <c r="CY50" s="95">
        <f>POWER((1+2*PI()/CX50),CW50/EXP(1))</f>
        <v>12.980381148812873</v>
      </c>
      <c r="CZ50" s="95">
        <f>EXP(2*PI()/EXP(1))</f>
        <v>10.089090581018485</v>
      </c>
      <c r="DA50" s="95">
        <f>14*CW50+2</f>
        <v>100</v>
      </c>
      <c r="DB50" s="95">
        <f t="shared" ref="DB50:DB53" si="58">LOG(DA50)</f>
        <v>2</v>
      </c>
      <c r="DC50" s="95">
        <f>105+273</f>
        <v>378</v>
      </c>
      <c r="DD50" s="95">
        <v>8.4130000000000003E-3</v>
      </c>
      <c r="DE50" s="288">
        <f>POWER(CY50,0.32)*CZ50*DC50*DD50</f>
        <v>72.869651475065908</v>
      </c>
      <c r="DF50" s="211">
        <f>EXP(-DE50/(0.008314*DF$45))/EXP(-DE50/(0.008314*DF$46))</f>
        <v>0.21036208146719154</v>
      </c>
      <c r="DG50" s="214">
        <f>POWER((1+2*PI()/CW50),CW50/EXP(1))</f>
        <v>5.2049818206185678</v>
      </c>
      <c r="DH50" s="214">
        <f>POWER(25000/14,0.33)</f>
        <v>11.833084098555808</v>
      </c>
      <c r="DI50" s="214">
        <f>POWER(1+2*PI()/DH50,DH50/EXP(1))</f>
        <v>6.3856545410714665</v>
      </c>
      <c r="DJ50" s="266">
        <f>EXP(DG50-DI50*0.14*POWER(14*CX50+2,0.67)-CZ50*POWER(CY50,0.32)*373/296)</f>
        <v>1.347832360574729E-16</v>
      </c>
      <c r="DK50" s="267">
        <f>60-29</f>
        <v>31</v>
      </c>
      <c r="DL50" s="4" t="s">
        <v>1812</v>
      </c>
      <c r="DM50" s="206">
        <f t="shared" ref="DM50:DU52" si="59">EXP(-$DK50/(0.008314*DM$46))/EXP(-$DK50/(0.008314*$DQ$46))</f>
        <v>0.31796612403723074</v>
      </c>
      <c r="DN50" s="206">
        <f t="shared" si="59"/>
        <v>0.43165690413024393</v>
      </c>
      <c r="DO50" s="206">
        <f t="shared" si="59"/>
        <v>0.57820789253510851</v>
      </c>
      <c r="DP50" s="206">
        <f t="shared" si="59"/>
        <v>0.76487484725113752</v>
      </c>
      <c r="DQ50" s="206">
        <f t="shared" si="59"/>
        <v>1</v>
      </c>
      <c r="DR50" s="206">
        <f t="shared" si="59"/>
        <v>1.2930847022029046</v>
      </c>
      <c r="DS50" s="206">
        <f t="shared" si="59"/>
        <v>1.6548556160071248</v>
      </c>
      <c r="DT50" s="206">
        <f t="shared" si="59"/>
        <v>2.0973234636722706</v>
      </c>
      <c r="DU50" s="268">
        <f t="shared" si="59"/>
        <v>2.6338335130903223</v>
      </c>
    </row>
    <row r="51" spans="1:127" x14ac:dyDescent="0.2">
      <c r="A51" s="4">
        <v>3</v>
      </c>
      <c r="B51" s="4" t="s">
        <v>1938</v>
      </c>
      <c r="C51" s="78" t="s">
        <v>493</v>
      </c>
      <c r="D51" s="53">
        <v>219</v>
      </c>
      <c r="E51" s="53" t="str">
        <f>VLOOKUP(D51,CompDbase!B:J,3,FALSE)</f>
        <v>p-Xyleen</v>
      </c>
      <c r="F51" s="53">
        <f>VLOOKUP(D51,CompDbase!B:J,9,FALSE)</f>
        <v>210.93846155625408</v>
      </c>
      <c r="G51" s="4">
        <v>8</v>
      </c>
      <c r="H51" s="4" t="s">
        <v>1549</v>
      </c>
      <c r="I51" s="4">
        <v>106.18666499232586</v>
      </c>
      <c r="J51" s="95">
        <f t="shared" si="46"/>
        <v>2.0260699811157594</v>
      </c>
      <c r="K51" s="95">
        <v>210.93846155625408</v>
      </c>
      <c r="L51" s="95">
        <f t="shared" si="47"/>
        <v>2.3241557742331853</v>
      </c>
      <c r="M51" s="18">
        <v>3.15</v>
      </c>
      <c r="N51" s="220">
        <v>948</v>
      </c>
      <c r="O51" s="4" t="s">
        <v>1044</v>
      </c>
      <c r="P51" s="4"/>
      <c r="Q51" s="17">
        <v>0.1</v>
      </c>
      <c r="T51">
        <v>0.15</v>
      </c>
      <c r="U51">
        <v>0.22</v>
      </c>
      <c r="W51" s="95">
        <f t="shared" si="34"/>
        <v>-2.3025850929940455</v>
      </c>
      <c r="X51" s="95"/>
      <c r="Y51" s="95"/>
      <c r="Z51" s="95">
        <f t="shared" si="35"/>
        <v>-1.8971199848858813</v>
      </c>
      <c r="AA51" s="95">
        <f t="shared" si="35"/>
        <v>-1.5141277326297755</v>
      </c>
      <c r="AB51" s="95"/>
      <c r="AC51" s="95">
        <f t="shared" si="36"/>
        <v>3.6370830144219237</v>
      </c>
      <c r="AD51" s="95">
        <f t="shared" si="37"/>
        <v>-1774.8316308519563</v>
      </c>
      <c r="AE51" s="253">
        <f t="shared" si="38"/>
        <v>0.99244212648429564</v>
      </c>
      <c r="AF51" s="359">
        <f t="shared" si="48"/>
        <v>-13.13358091335158</v>
      </c>
      <c r="AG51" s="253">
        <f t="shared" si="39"/>
        <v>-17.848738390397575</v>
      </c>
      <c r="AH51" s="210"/>
      <c r="AI51" s="210"/>
      <c r="AJ51" s="210"/>
      <c r="AK51" s="319">
        <f>LOG(940*Q51/EXP($AC8+Q$47*$AD8))</f>
        <v>1.9731278535996986</v>
      </c>
      <c r="AL51" s="95"/>
      <c r="AM51" s="95"/>
      <c r="AN51" s="319">
        <f>LOG(940*T51/EXP($AC8+T$47*$AD8))</f>
        <v>2.1492191126553797</v>
      </c>
      <c r="AO51" s="319">
        <f>LOG(940*U51/EXP($AC8+U$47*$AD8))</f>
        <v>2.3155505344219049</v>
      </c>
      <c r="AP51" s="210"/>
      <c r="AQ51">
        <v>6.4000000000000002E-12</v>
      </c>
      <c r="AT51">
        <v>2.2799999999999998E-11</v>
      </c>
      <c r="AU51">
        <v>3.5999999999999998E-11</v>
      </c>
      <c r="AW51" s="95">
        <f t="shared" si="49"/>
        <v>-11.193820026016112</v>
      </c>
      <c r="AX51" s="95"/>
      <c r="AY51" s="95"/>
      <c r="AZ51" s="95">
        <f t="shared" si="40"/>
        <v>-10.642065152999546</v>
      </c>
      <c r="BA51" s="95">
        <f t="shared" si="41"/>
        <v>-10.443697499232712</v>
      </c>
      <c r="BC51" s="95">
        <f t="shared" si="42"/>
        <v>-25.774723125562922</v>
      </c>
      <c r="BD51" s="95"/>
      <c r="BE51" s="95"/>
      <c r="BF51" s="95">
        <f t="shared" si="43"/>
        <v>-24.504260579968154</v>
      </c>
      <c r="BG51" s="95">
        <f t="shared" si="43"/>
        <v>-24.047502177472438</v>
      </c>
      <c r="BI51" s="95">
        <f t="shared" si="50"/>
        <v>-12.313998298520691</v>
      </c>
      <c r="BJ51" s="95">
        <f t="shared" si="51"/>
        <v>-3991.0285971159255</v>
      </c>
      <c r="BK51" s="210">
        <f t="shared" si="44"/>
        <v>0.97396300049187623</v>
      </c>
      <c r="BL51" s="494">
        <f>VLOOKUP(B51,Literatuur!$A:$B,2,FALSE)</f>
        <v>3</v>
      </c>
      <c r="BM51" s="494">
        <f>VLOOKUP(CH51,Literatuur!$A:$B,2,FALSE)</f>
        <v>41</v>
      </c>
      <c r="BN51" s="501" t="str">
        <f t="shared" ref="BN51:BN52" si="60">C51</f>
        <v>p-Xylene</v>
      </c>
      <c r="BO51" s="496">
        <f t="shared" ref="BO51:BO52" si="61">I51</f>
        <v>106.18666499232586</v>
      </c>
      <c r="BP51" s="495">
        <f t="shared" ref="BP51:BP52" si="62">K51</f>
        <v>210.93846155625408</v>
      </c>
      <c r="BQ51" s="493">
        <f t="shared" ref="BQ51:BQ52" si="63">CD51</f>
        <v>14.755950178903166</v>
      </c>
      <c r="BR51" s="493" t="s">
        <v>1558</v>
      </c>
      <c r="BS51" s="493" t="s">
        <v>2095</v>
      </c>
      <c r="BT51" s="493">
        <f t="shared" ref="BT51:BT52" si="64">CG51</f>
        <v>6.9</v>
      </c>
      <c r="BU51" s="493" t="s">
        <v>1558</v>
      </c>
      <c r="BV51" s="493" t="s">
        <v>2105</v>
      </c>
      <c r="BW51" s="493">
        <f t="shared" ref="BW51:BW52" si="65">CJ51</f>
        <v>7.855950178903166</v>
      </c>
      <c r="BX51" s="493" t="s">
        <v>1558</v>
      </c>
      <c r="BY51" s="493">
        <f t="shared" ref="BY51:BY52" si="66">CL51</f>
        <v>33.181411756421802</v>
      </c>
      <c r="BZ51" s="493" t="s">
        <v>1558</v>
      </c>
      <c r="CA51" s="493" t="s">
        <v>2095</v>
      </c>
      <c r="CB51" s="210"/>
      <c r="CC51">
        <v>15.3</v>
      </c>
      <c r="CD51" s="183">
        <f t="shared" si="52"/>
        <v>14.755950178903166</v>
      </c>
      <c r="CE51" s="183"/>
      <c r="CF51" s="183"/>
      <c r="CG51" s="183">
        <f>AE8</f>
        <v>6.9</v>
      </c>
      <c r="CH51" s="95" t="s">
        <v>2099</v>
      </c>
      <c r="CI51" s="183">
        <f>CD51-CG51</f>
        <v>7.855950178903166</v>
      </c>
      <c r="CJ51" s="183">
        <f t="shared" si="53"/>
        <v>7.855950178903166</v>
      </c>
      <c r="CK51">
        <v>33.1</v>
      </c>
      <c r="CL51" s="183">
        <f t="shared" si="54"/>
        <v>33.181411756421802</v>
      </c>
      <c r="CM51" s="211"/>
      <c r="CO51" s="183">
        <f t="shared" si="55"/>
        <v>33.181411756421802</v>
      </c>
      <c r="CP51" s="289">
        <v>48.4</v>
      </c>
      <c r="CR51" s="183"/>
      <c r="CS51" s="183"/>
      <c r="CT51" s="183">
        <f t="shared" si="56"/>
        <v>41.037361935324967</v>
      </c>
      <c r="CU51" s="183">
        <f t="shared" si="57"/>
        <v>47.957000791515355</v>
      </c>
      <c r="CV51" s="125"/>
      <c r="CW51" s="95">
        <v>8</v>
      </c>
      <c r="CX51" s="95">
        <f>POWER(CW51,0.67)</f>
        <v>4.0278222002268755</v>
      </c>
      <c r="CY51" s="95">
        <f>POWER((1+2*PI()/CX51),CW51/EXP(1))</f>
        <v>15.901488638104532</v>
      </c>
      <c r="CZ51" s="95">
        <f>EXP(2*PI()/EXP(1))</f>
        <v>10.089090581018485</v>
      </c>
      <c r="DA51" s="95">
        <f>14*CW51+2</f>
        <v>114</v>
      </c>
      <c r="DB51" s="95">
        <f t="shared" si="58"/>
        <v>2.0569048513364727</v>
      </c>
      <c r="DC51" s="95">
        <f>105+273</f>
        <v>378</v>
      </c>
      <c r="DD51" s="95">
        <v>8.4130000000000003E-3</v>
      </c>
      <c r="DE51" s="288">
        <f>POWER(CY51,0.32)*CZ51*DC51*DD51</f>
        <v>77.759740141904231</v>
      </c>
      <c r="DF51" s="211">
        <f>EXP(-DE51/(0.008314*DF$45))/EXP(-DE51/(0.008314*DF$46))</f>
        <v>0.18946701139274866</v>
      </c>
      <c r="DG51" s="214">
        <f>POWER((1+2*PI()/CW51),CW51/EXP(1))</f>
        <v>5.506368793860541</v>
      </c>
      <c r="DH51" s="214">
        <f>POWER(25000/14,0.33)</f>
        <v>11.833084098555808</v>
      </c>
      <c r="DI51" s="214">
        <f>POWER(1+2*PI()/DH51,DH51/EXP(1))</f>
        <v>6.3856545410714665</v>
      </c>
      <c r="DJ51" s="266">
        <f>EXP(DG51-DI51*0.14*POWER(14*CX51+2,0.67)-CZ51*POWER(CY51,0.32)*373/296)</f>
        <v>1.2199393286158574E-17</v>
      </c>
      <c r="DK51" s="267">
        <f>10454*0.008314</f>
        <v>86.914556000000005</v>
      </c>
      <c r="DL51" s="4" t="s">
        <v>1464</v>
      </c>
      <c r="DM51" s="206">
        <f t="shared" si="59"/>
        <v>4.0255711672084235E-2</v>
      </c>
      <c r="DN51" s="206">
        <f t="shared" si="59"/>
        <v>9.4850591715467489E-2</v>
      </c>
      <c r="DO51" s="206">
        <f t="shared" si="59"/>
        <v>0.21525639337853283</v>
      </c>
      <c r="DP51" s="206">
        <f t="shared" si="59"/>
        <v>0.47165331115891113</v>
      </c>
      <c r="DQ51" s="206">
        <f t="shared" si="59"/>
        <v>1</v>
      </c>
      <c r="DR51" s="206">
        <f t="shared" si="59"/>
        <v>2.0557392505221408</v>
      </c>
      <c r="DS51" s="206">
        <f t="shared" si="59"/>
        <v>4.1052224856273423</v>
      </c>
      <c r="DT51" s="206">
        <f t="shared" si="59"/>
        <v>7.9772248102599654</v>
      </c>
      <c r="DU51" s="268">
        <f t="shared" si="59"/>
        <v>15.10781010121903</v>
      </c>
    </row>
    <row r="52" spans="1:127" x14ac:dyDescent="0.2">
      <c r="A52" s="4">
        <v>4</v>
      </c>
      <c r="B52" s="4" t="s">
        <v>1938</v>
      </c>
      <c r="C52" s="78" t="s">
        <v>1071</v>
      </c>
      <c r="D52" s="53">
        <v>-1528</v>
      </c>
      <c r="E52" s="53" t="str">
        <f>VLOOKUP(D52,CompDbase!B:J,3,FALSE)</f>
        <v>1,2,3-Trimethylbenzene</v>
      </c>
      <c r="F52" s="53">
        <f>VLOOKUP(D52,CompDbase!B:J,9,FALSE)</f>
        <v>75</v>
      </c>
      <c r="G52" s="4">
        <v>9</v>
      </c>
      <c r="H52" s="4" t="s">
        <v>1549</v>
      </c>
      <c r="I52" s="4">
        <v>120.19</v>
      </c>
      <c r="J52" s="95">
        <f t="shared" si="46"/>
        <v>2.0798683351751732</v>
      </c>
      <c r="K52" s="95">
        <v>75</v>
      </c>
      <c r="L52" s="95">
        <f t="shared" si="47"/>
        <v>1.8750612633917001</v>
      </c>
      <c r="M52" s="18">
        <v>3.6</v>
      </c>
      <c r="N52" s="220">
        <v>948</v>
      </c>
      <c r="O52" s="4" t="s">
        <v>1044</v>
      </c>
      <c r="P52" s="4"/>
      <c r="Q52" s="17">
        <v>0.08</v>
      </c>
      <c r="T52">
        <v>0.12</v>
      </c>
      <c r="U52">
        <v>0.19</v>
      </c>
      <c r="W52" s="95">
        <f t="shared" si="34"/>
        <v>-2.5257286443082556</v>
      </c>
      <c r="X52" s="95"/>
      <c r="Y52" s="95"/>
      <c r="Z52" s="95">
        <f t="shared" si="35"/>
        <v>-2.120263536200091</v>
      </c>
      <c r="AA52" s="95">
        <f t="shared" si="35"/>
        <v>-1.6607312068216509</v>
      </c>
      <c r="AB52" s="95"/>
      <c r="AC52" s="95">
        <f t="shared" si="36"/>
        <v>3.9442921127092831</v>
      </c>
      <c r="AD52" s="95">
        <f t="shared" si="37"/>
        <v>-1936.5159009081681</v>
      </c>
      <c r="AE52" s="253">
        <f t="shared" si="38"/>
        <v>0.98064575683644817</v>
      </c>
      <c r="AF52" s="359">
        <f t="shared" si="48"/>
        <v>-13.133580913351592</v>
      </c>
      <c r="AG52" s="253">
        <f t="shared" si="39"/>
        <v>-21.415765673299017</v>
      </c>
      <c r="AH52" s="210"/>
      <c r="AI52" s="210"/>
      <c r="AJ52" s="210"/>
      <c r="AK52" s="95">
        <f t="shared" ref="AK52:AK62" si="67">LOG(940*Q52/$K52)</f>
        <v>1.1565771999421674E-3</v>
      </c>
      <c r="AL52" s="95"/>
      <c r="AM52" s="95"/>
      <c r="AN52" s="95">
        <f t="shared" ref="AN52:AO55" si="68">LOG(940*T52/$K52)</f>
        <v>0.17724783625562343</v>
      </c>
      <c r="AO52" s="242">
        <f t="shared" si="68"/>
        <v>0.37682019116082754</v>
      </c>
      <c r="AP52" s="210"/>
      <c r="AQ52">
        <v>3.4000000000000001E-12</v>
      </c>
      <c r="AT52">
        <v>1.1699999999999999E-11</v>
      </c>
      <c r="AU52">
        <v>1.8100000000000001E-11</v>
      </c>
      <c r="AW52" s="95">
        <f t="shared" si="49"/>
        <v>-11.468521082957745</v>
      </c>
      <c r="AX52" s="95"/>
      <c r="AY52" s="95"/>
      <c r="AZ52" s="95">
        <f t="shared" si="40"/>
        <v>-10.931814138253838</v>
      </c>
      <c r="BA52" s="95">
        <f t="shared" si="41"/>
        <v>-10.742321425130816</v>
      </c>
      <c r="BC52" s="95">
        <f t="shared" si="42"/>
        <v>-26.407245684306432</v>
      </c>
      <c r="BD52" s="95"/>
      <c r="BE52" s="95"/>
      <c r="BF52" s="95">
        <f t="shared" si="43"/>
        <v>-25.17143227412484</v>
      </c>
      <c r="BG52" s="95">
        <f t="shared" si="43"/>
        <v>-24.735109177656767</v>
      </c>
      <c r="BI52" s="95">
        <f t="shared" si="50"/>
        <v>-13.368914833165558</v>
      </c>
      <c r="BJ52" s="95">
        <f t="shared" si="51"/>
        <v>-3865.3286098819613</v>
      </c>
      <c r="BK52" s="210">
        <f t="shared" si="44"/>
        <v>0.97274902316208489</v>
      </c>
      <c r="BL52" s="494">
        <f>VLOOKUP(B52,Literatuur!$A:$B,2,FALSE)</f>
        <v>3</v>
      </c>
      <c r="BM52" s="493" t="str">
        <f>VLOOKUP(N14,Literatuur!$A:$B,2,FALSE)</f>
        <v>H</v>
      </c>
      <c r="BN52" s="501" t="str">
        <f t="shared" si="60"/>
        <v>1,2,3-Trimethylbenzene</v>
      </c>
      <c r="BO52" s="496">
        <f t="shared" si="61"/>
        <v>120.19</v>
      </c>
      <c r="BP52" s="495">
        <f t="shared" si="62"/>
        <v>75</v>
      </c>
      <c r="BQ52" s="493">
        <f t="shared" si="63"/>
        <v>16.10019320015051</v>
      </c>
      <c r="BR52" s="493" t="s">
        <v>1558</v>
      </c>
      <c r="BS52" s="493" t="s">
        <v>2095</v>
      </c>
      <c r="BT52" s="493">
        <f t="shared" si="64"/>
        <v>6.841027798031595</v>
      </c>
      <c r="BU52" s="493" t="s">
        <v>1558</v>
      </c>
      <c r="BV52" s="493" t="str">
        <f>AC15</f>
        <v>288 - 308 K</v>
      </c>
      <c r="BW52" s="493">
        <f t="shared" si="65"/>
        <v>9.2591654021189207</v>
      </c>
      <c r="BX52" s="493" t="s">
        <v>1558</v>
      </c>
      <c r="BY52" s="493">
        <f t="shared" si="66"/>
        <v>32.136342062558626</v>
      </c>
      <c r="BZ52" s="493" t="s">
        <v>1558</v>
      </c>
      <c r="CA52" s="493" t="s">
        <v>2095</v>
      </c>
      <c r="CB52" s="210"/>
      <c r="CC52">
        <v>15.3</v>
      </c>
      <c r="CD52" s="183">
        <f t="shared" si="52"/>
        <v>16.10019320015051</v>
      </c>
      <c r="CE52" s="183"/>
      <c r="CF52" s="183"/>
      <c r="CG52" s="183">
        <f>AE16</f>
        <v>6.841027798031595</v>
      </c>
      <c r="CH52" s="183"/>
      <c r="CI52" s="183">
        <v>9.2591654021189207</v>
      </c>
      <c r="CJ52" s="183">
        <f t="shared" si="53"/>
        <v>9.2591654021189207</v>
      </c>
      <c r="CK52">
        <v>32.1</v>
      </c>
      <c r="CL52" s="183">
        <f t="shared" si="54"/>
        <v>32.136342062558626</v>
      </c>
      <c r="CM52" s="211"/>
      <c r="CO52" s="183">
        <f t="shared" si="55"/>
        <v>32.136342062558626</v>
      </c>
      <c r="CP52" s="289">
        <v>48.8</v>
      </c>
      <c r="CR52" s="183"/>
      <c r="CS52" s="183"/>
      <c r="CT52" s="183">
        <f t="shared" si="56"/>
        <v>41.39550746467755</v>
      </c>
      <c r="CU52" s="183">
        <f t="shared" si="57"/>
        <v>47.684225694414565</v>
      </c>
      <c r="CV52" s="125"/>
      <c r="CW52" s="95">
        <v>9</v>
      </c>
      <c r="CX52" s="95">
        <f>POWER(CW52,0.67)</f>
        <v>4.3585545048903542</v>
      </c>
      <c r="CY52" s="95">
        <f>POWER((1+2*PI()/CX52),CW52/EXP(1))</f>
        <v>19.210688049673525</v>
      </c>
      <c r="CZ52" s="95">
        <f>EXP(2*PI()/EXP(1))</f>
        <v>10.089090581018485</v>
      </c>
      <c r="DA52" s="95">
        <f>14*CW52+2</f>
        <v>128</v>
      </c>
      <c r="DB52" s="95">
        <f t="shared" si="58"/>
        <v>2.1072099696478683</v>
      </c>
      <c r="DC52" s="95">
        <f>105+273</f>
        <v>378</v>
      </c>
      <c r="DD52" s="95">
        <v>8.4130000000000003E-3</v>
      </c>
      <c r="DE52" s="288">
        <f>POWER(CY52,0.32)*CZ52*DC52*DD52</f>
        <v>82.609205304136623</v>
      </c>
      <c r="DF52" s="211">
        <f>EXP(-DE52/(0.008314*DF$45))/EXP(-DE52/(0.008314*DF$46))</f>
        <v>0.17079579863496594</v>
      </c>
      <c r="DG52" s="214">
        <f>POWER((1+2*PI()/CW52),CW52/EXP(1))</f>
        <v>5.7731873324405383</v>
      </c>
      <c r="DH52" s="214">
        <f>POWER(25000/14,0.33)</f>
        <v>11.833084098555808</v>
      </c>
      <c r="DI52" s="214">
        <f>POWER(1+2*PI()/DH52,DH52/EXP(1))</f>
        <v>6.3856545410714665</v>
      </c>
      <c r="DJ52" s="266">
        <f>EXP(DG52-DI52*0.14*POWER(14*CX52+2,0.67)-CZ52*POWER(CY52,0.32)*373/296)</f>
        <v>1.1400863006630699E-18</v>
      </c>
      <c r="DK52" s="267">
        <f>(10454+1577)*0.008314</f>
        <v>100.025734</v>
      </c>
      <c r="DL52" s="4" t="s">
        <v>1463</v>
      </c>
      <c r="DM52" s="206">
        <f t="shared" si="59"/>
        <v>2.4794985393777811E-2</v>
      </c>
      <c r="DN52" s="206">
        <f t="shared" si="59"/>
        <v>6.6485226941103592E-2</v>
      </c>
      <c r="DO52" s="206">
        <f t="shared" si="59"/>
        <v>0.17073854702028757</v>
      </c>
      <c r="DP52" s="206">
        <f t="shared" si="59"/>
        <v>0.42110312087652146</v>
      </c>
      <c r="DQ52" s="206">
        <f t="shared" si="59"/>
        <v>1</v>
      </c>
      <c r="DR52" s="206">
        <f t="shared" si="59"/>
        <v>2.2918156310510969</v>
      </c>
      <c r="DS52" s="206">
        <f t="shared" si="59"/>
        <v>5.0799491764435594</v>
      </c>
      <c r="DT52" s="206">
        <f t="shared" si="59"/>
        <v>10.911825103793698</v>
      </c>
      <c r="DU52" s="268">
        <f t="shared" si="59"/>
        <v>22.755461963775655</v>
      </c>
    </row>
    <row r="53" spans="1:127" x14ac:dyDescent="0.2">
      <c r="A53" s="4">
        <v>5</v>
      </c>
      <c r="B53" s="4" t="s">
        <v>1938</v>
      </c>
      <c r="C53" s="78" t="s">
        <v>502</v>
      </c>
      <c r="D53" s="53">
        <v>-1529</v>
      </c>
      <c r="E53" s="53" t="str">
        <f>VLOOKUP(D53,CompDbase!B:J,3,FALSE)</f>
        <v>Methoxybenzene</v>
      </c>
      <c r="F53" s="53">
        <f>VLOOKUP(D53,CompDbase!B:J,9,FALSE)</f>
        <v>1741</v>
      </c>
      <c r="G53" s="4">
        <v>7</v>
      </c>
      <c r="H53" s="4" t="s">
        <v>1893</v>
      </c>
      <c r="I53" s="4">
        <v>108.14</v>
      </c>
      <c r="J53" s="95">
        <f t="shared" si="46"/>
        <v>2.0339863652396057</v>
      </c>
      <c r="K53" s="95">
        <v>1741</v>
      </c>
      <c r="L53" s="95">
        <f t="shared" si="47"/>
        <v>3.2407987711173312</v>
      </c>
      <c r="M53" s="18">
        <v>2.11</v>
      </c>
      <c r="N53" s="220">
        <v>948</v>
      </c>
      <c r="O53" s="4" t="s">
        <v>1044</v>
      </c>
      <c r="P53" s="4"/>
      <c r="Q53" s="17">
        <v>0.06</v>
      </c>
      <c r="T53">
        <v>0.08</v>
      </c>
      <c r="U53">
        <v>0.12</v>
      </c>
      <c r="W53" s="95">
        <f t="shared" si="34"/>
        <v>-2.8134107167600364</v>
      </c>
      <c r="X53" s="95"/>
      <c r="Y53" s="95"/>
      <c r="Z53" s="95">
        <f t="shared" si="35"/>
        <v>-2.5257286443082556</v>
      </c>
      <c r="AA53" s="95">
        <f t="shared" si="35"/>
        <v>-2.120263536200091</v>
      </c>
      <c r="AB53" s="95"/>
      <c r="AC53" s="95">
        <f t="shared" si="36"/>
        <v>2.3274619426385641</v>
      </c>
      <c r="AD53" s="95">
        <f t="shared" si="37"/>
        <v>-1541.7514127737668</v>
      </c>
      <c r="AE53" s="253">
        <f t="shared" si="38"/>
        <v>0.96002522689000946</v>
      </c>
      <c r="AF53" s="359">
        <f t="shared" si="48"/>
        <v>-9.3184239539008988</v>
      </c>
      <c r="AG53" s="253">
        <f t="shared" si="39"/>
        <v>-18.896049720132492</v>
      </c>
      <c r="AH53" s="210"/>
      <c r="AI53" s="210"/>
      <c r="AJ53" s="210"/>
      <c r="AK53" s="95">
        <f t="shared" si="67"/>
        <v>-1.489519667133989</v>
      </c>
      <c r="AL53" s="95"/>
      <c r="AM53" s="95"/>
      <c r="AN53" s="95">
        <f t="shared" si="68"/>
        <v>-1.3645809305256889</v>
      </c>
      <c r="AO53" s="242">
        <f t="shared" si="68"/>
        <v>-1.1884896714700077</v>
      </c>
      <c r="AP53" s="210"/>
      <c r="AQ53">
        <v>2.0999999999999999E-12</v>
      </c>
      <c r="AT53">
        <v>9.3999999999999995E-12</v>
      </c>
      <c r="AU53">
        <v>1.68E-11</v>
      </c>
      <c r="AW53" s="95">
        <f t="shared" si="49"/>
        <v>-11.67778070526608</v>
      </c>
      <c r="AX53" s="95"/>
      <c r="AY53" s="95"/>
      <c r="AZ53" s="95">
        <f t="shared" si="40"/>
        <v>-11.026872146400301</v>
      </c>
      <c r="BA53" s="95">
        <f t="shared" si="41"/>
        <v>-10.774690718274137</v>
      </c>
      <c r="BC53" s="95">
        <f t="shared" si="42"/>
        <v>-26.889083771199171</v>
      </c>
      <c r="BD53" s="95"/>
      <c r="BE53" s="95"/>
      <c r="BF53" s="95">
        <f t="shared" si="43"/>
        <v>-25.390311426652591</v>
      </c>
      <c r="BG53" s="95">
        <f t="shared" si="43"/>
        <v>-24.809642229519334</v>
      </c>
      <c r="BI53" s="95">
        <f t="shared" si="50"/>
        <v>-10.719551785194588</v>
      </c>
      <c r="BJ53" s="95">
        <f t="shared" si="51"/>
        <v>-4796.5997393969146</v>
      </c>
      <c r="BK53" s="210">
        <f t="shared" si="44"/>
        <v>0.97880832834187215</v>
      </c>
      <c r="BL53" s="494">
        <f>VLOOKUP(B53,Literatuur!$A:$B,2,FALSE)</f>
        <v>3</v>
      </c>
      <c r="BM53" s="493"/>
      <c r="BN53" s="501" t="str">
        <f t="shared" ref="BN53:BN55" si="69">C53</f>
        <v>Methoxybenzene</v>
      </c>
      <c r="BO53" s="496">
        <f t="shared" ref="BO53:BO55" si="70">I53</f>
        <v>108.14</v>
      </c>
      <c r="BP53" s="495">
        <f t="shared" ref="BP53:BP55" si="71">K53</f>
        <v>1741</v>
      </c>
      <c r="BQ53" s="493">
        <f t="shared" ref="BQ53:BQ55" si="72">CD53</f>
        <v>12.818121245801098</v>
      </c>
      <c r="BR53" s="493" t="s">
        <v>1558</v>
      </c>
      <c r="BS53" s="493" t="s">
        <v>2095</v>
      </c>
      <c r="BT53" s="493"/>
      <c r="BU53" s="493"/>
      <c r="BV53" s="493"/>
      <c r="BW53" s="493"/>
      <c r="BX53" s="493"/>
      <c r="BY53" s="493">
        <f t="shared" ref="BY53:BY55" si="73">CL53</f>
        <v>39.878930233345947</v>
      </c>
      <c r="BZ53" s="493" t="s">
        <v>1558</v>
      </c>
      <c r="CA53" s="493" t="s">
        <v>2095</v>
      </c>
      <c r="CB53" s="210"/>
      <c r="CC53">
        <v>15.3</v>
      </c>
      <c r="CD53" s="183">
        <f t="shared" si="52"/>
        <v>12.818121245801098</v>
      </c>
      <c r="CE53" s="183"/>
      <c r="CF53" s="183"/>
      <c r="CG53" s="183"/>
      <c r="CH53" s="183"/>
      <c r="CI53" s="183"/>
      <c r="CJ53" s="183"/>
      <c r="CK53">
        <v>40.200000000000003</v>
      </c>
      <c r="CL53" s="183">
        <f t="shared" si="54"/>
        <v>39.878930233345947</v>
      </c>
      <c r="CM53" s="211"/>
      <c r="CO53" s="183">
        <f t="shared" si="55"/>
        <v>39.878930233345947</v>
      </c>
      <c r="CP53" s="289">
        <v>53.4</v>
      </c>
      <c r="CR53" s="183"/>
      <c r="CS53" s="183"/>
      <c r="CT53" s="183">
        <f t="shared" si="56"/>
        <v>39.878930233345947</v>
      </c>
      <c r="CU53" s="183">
        <f t="shared" si="57"/>
        <v>55.701727807798932</v>
      </c>
      <c r="CV53" s="125"/>
      <c r="CW53" s="95">
        <v>10</v>
      </c>
      <c r="CX53" s="95">
        <f>POWER(CW53,0.67)</f>
        <v>4.6773514128719835</v>
      </c>
      <c r="CY53" s="95">
        <f>POWER((1+2*PI()/CX53),CW53/EXP(1))</f>
        <v>22.936927284225543</v>
      </c>
      <c r="CZ53" s="95">
        <f>EXP(2*PI()/EXP(1))</f>
        <v>10.089090581018485</v>
      </c>
      <c r="DA53" s="95">
        <f>14*CW53+2</f>
        <v>142</v>
      </c>
      <c r="DB53" s="95">
        <f t="shared" si="58"/>
        <v>2.1522883443830563</v>
      </c>
      <c r="DC53" s="95">
        <f>105+273</f>
        <v>378</v>
      </c>
      <c r="DD53" s="95">
        <v>8.4130000000000003E-3</v>
      </c>
      <c r="DE53" s="288">
        <f>POWER(CY53,0.32)*CZ53*DC53*DD53</f>
        <v>87.431108778982818</v>
      </c>
      <c r="DF53" s="211">
        <f>EXP(-DE53/(0.008314*DF$45))/EXP(-DE53/(0.008314*DF$46))</f>
        <v>0.15405536876946122</v>
      </c>
      <c r="DG53" s="214">
        <f>POWER((1+2*PI()/CW53),CW53/EXP(1))</f>
        <v>6.0109843020591143</v>
      </c>
      <c r="DH53" s="214">
        <f>POWER(25000/14,0.33)</f>
        <v>11.833084098555808</v>
      </c>
      <c r="DI53" s="214">
        <f>POWER(1+2*PI()/DH53,DH53/EXP(1))</f>
        <v>6.3856545410714665</v>
      </c>
      <c r="DJ53" s="266">
        <f>EXP(DG53-DI53*0.14*POWER(14*CX53+2,0.67)-CZ53*POWER(CY53,0.32)*373/296)</f>
        <v>1.0913158618384347E-19</v>
      </c>
      <c r="DK53" s="267"/>
      <c r="DL53" s="4"/>
      <c r="DM53" s="206"/>
      <c r="DN53" s="206"/>
      <c r="DO53" s="206"/>
      <c r="DP53" s="206"/>
      <c r="DQ53" s="206"/>
      <c r="DR53" s="206"/>
      <c r="DS53" s="206"/>
      <c r="DT53" s="206"/>
      <c r="DU53" s="268"/>
    </row>
    <row r="54" spans="1:127" x14ac:dyDescent="0.2">
      <c r="A54" s="4">
        <v>6</v>
      </c>
      <c r="B54" s="4" t="s">
        <v>1938</v>
      </c>
      <c r="C54" s="78" t="s">
        <v>503</v>
      </c>
      <c r="D54" s="53">
        <v>-1530</v>
      </c>
      <c r="E54" s="53" t="str">
        <f>VLOOKUP(D54,CompDbase!B:J,3,FALSE)</f>
        <v>Chlorobenzene</v>
      </c>
      <c r="F54" s="53">
        <f>VLOOKUP(D54,CompDbase!B:J,9,FALSE)</f>
        <v>498</v>
      </c>
      <c r="G54" s="4"/>
      <c r="H54" s="4" t="s">
        <v>1892</v>
      </c>
      <c r="I54" s="4">
        <v>112.56</v>
      </c>
      <c r="J54" s="95">
        <f t="shared" si="46"/>
        <v>2.0513840844266893</v>
      </c>
      <c r="K54" s="95">
        <v>498</v>
      </c>
      <c r="L54" s="95">
        <f t="shared" si="47"/>
        <v>2.6972293427597176</v>
      </c>
      <c r="M54" s="18">
        <v>2.84</v>
      </c>
      <c r="N54" s="220">
        <v>948</v>
      </c>
      <c r="O54" s="4" t="s">
        <v>1044</v>
      </c>
      <c r="P54" s="4"/>
      <c r="Q54" s="17">
        <v>0.12</v>
      </c>
      <c r="T54">
        <v>0.16</v>
      </c>
      <c r="U54">
        <v>0.27</v>
      </c>
      <c r="W54" s="95">
        <f t="shared" si="34"/>
        <v>-2.120263536200091</v>
      </c>
      <c r="X54" s="95"/>
      <c r="Y54" s="95"/>
      <c r="Z54" s="95">
        <f t="shared" si="35"/>
        <v>-1.8325814637483102</v>
      </c>
      <c r="AA54" s="95">
        <f t="shared" si="35"/>
        <v>-1.3093333199837622</v>
      </c>
      <c r="AB54" s="95"/>
      <c r="AC54" s="95">
        <f t="shared" si="36"/>
        <v>3.8367377108224545</v>
      </c>
      <c r="AD54" s="95">
        <f t="shared" si="37"/>
        <v>-1790.5578532829577</v>
      </c>
      <c r="AE54" s="253">
        <f t="shared" si="38"/>
        <v>0.92902518714015248</v>
      </c>
      <c r="AF54" s="359">
        <f t="shared" si="48"/>
        <v>-9.3184239539008988</v>
      </c>
      <c r="AG54" s="253">
        <f t="shared" si="39"/>
        <v>-24.385138801892477</v>
      </c>
      <c r="AH54" s="210"/>
      <c r="AI54" s="210"/>
      <c r="AJ54" s="210"/>
      <c r="AK54" s="95">
        <f t="shared" si="67"/>
        <v>-0.64492024311239404</v>
      </c>
      <c r="AL54" s="95"/>
      <c r="AM54" s="95"/>
      <c r="AN54" s="95">
        <f t="shared" si="68"/>
        <v>-0.51998150650409403</v>
      </c>
      <c r="AO54" s="242">
        <f t="shared" si="68"/>
        <v>-0.29273772500103151</v>
      </c>
      <c r="AP54" s="210"/>
      <c r="AQ54">
        <v>5.4000000000000004E-12</v>
      </c>
      <c r="AT54">
        <v>1.5900000000000001E-11</v>
      </c>
      <c r="AU54">
        <v>3.0700000000000001E-11</v>
      </c>
      <c r="AW54" s="95">
        <f t="shared" si="49"/>
        <v>-11.267606240177031</v>
      </c>
      <c r="AX54" s="95"/>
      <c r="AY54" s="95"/>
      <c r="AZ54" s="95">
        <f t="shared" si="40"/>
        <v>-10.798602875679549</v>
      </c>
      <c r="BA54" s="95">
        <f t="shared" si="41"/>
        <v>-10.512861624522813</v>
      </c>
      <c r="BC54" s="95">
        <f t="shared" si="42"/>
        <v>-25.944622162358318</v>
      </c>
      <c r="BD54" s="95"/>
      <c r="BE54" s="95"/>
      <c r="BF54" s="95">
        <f t="shared" si="43"/>
        <v>-24.864702006702363</v>
      </c>
      <c r="BG54" s="95">
        <f t="shared" si="43"/>
        <v>-24.206758461335397</v>
      </c>
      <c r="BI54" s="95">
        <f t="shared" si="50"/>
        <v>-12.634020871062463</v>
      </c>
      <c r="BJ54" s="95">
        <f t="shared" si="51"/>
        <v>-3962.1541267573157</v>
      </c>
      <c r="BK54" s="210">
        <f t="shared" si="44"/>
        <v>0.99872030509649445</v>
      </c>
      <c r="BL54" s="494">
        <f>VLOOKUP(B54,Literatuur!$A:$B,2,FALSE)</f>
        <v>3</v>
      </c>
      <c r="BM54" s="493"/>
      <c r="BN54" s="501" t="str">
        <f t="shared" si="69"/>
        <v>Chlorobenzene</v>
      </c>
      <c r="BO54" s="496">
        <f t="shared" si="70"/>
        <v>112.56</v>
      </c>
      <c r="BP54" s="495">
        <f t="shared" si="71"/>
        <v>498</v>
      </c>
      <c r="BQ54" s="493">
        <f t="shared" si="72"/>
        <v>14.886697992194511</v>
      </c>
      <c r="BR54" s="493" t="s">
        <v>1558</v>
      </c>
      <c r="BS54" s="493" t="s">
        <v>2095</v>
      </c>
      <c r="BT54" s="493"/>
      <c r="BU54" s="493"/>
      <c r="BV54" s="493"/>
      <c r="BW54" s="493"/>
      <c r="BX54" s="493"/>
      <c r="BY54" s="493">
        <f t="shared" si="73"/>
        <v>32.941349409860329</v>
      </c>
      <c r="BZ54" s="493" t="s">
        <v>1558</v>
      </c>
      <c r="CA54" s="493" t="s">
        <v>2095</v>
      </c>
      <c r="CB54" s="210"/>
      <c r="CC54">
        <v>15.4</v>
      </c>
      <c r="CD54" s="183">
        <f t="shared" si="52"/>
        <v>14.886697992194511</v>
      </c>
      <c r="CE54" s="183"/>
      <c r="CF54" s="183"/>
      <c r="CG54" s="183"/>
      <c r="CH54" s="183"/>
      <c r="CI54" s="183"/>
      <c r="CJ54" s="183"/>
      <c r="CK54">
        <v>33.1</v>
      </c>
      <c r="CL54" s="183">
        <f t="shared" si="54"/>
        <v>32.941349409860329</v>
      </c>
      <c r="CM54" s="211"/>
      <c r="CO54" s="183">
        <f t="shared" si="55"/>
        <v>32.941349409860329</v>
      </c>
      <c r="CP54" s="289">
        <v>48.5</v>
      </c>
      <c r="CR54" s="183"/>
      <c r="CS54" s="183"/>
      <c r="CT54" s="183">
        <f t="shared" si="56"/>
        <v>32.941349409860329</v>
      </c>
      <c r="CU54" s="183">
        <f t="shared" si="57"/>
        <v>52.458003621698637</v>
      </c>
      <c r="CV54" s="125"/>
      <c r="CW54" s="95"/>
      <c r="CX54" s="95"/>
      <c r="CY54" s="95"/>
      <c r="CZ54" s="95"/>
      <c r="DA54" s="95"/>
      <c r="DB54" s="95"/>
      <c r="DC54" s="95"/>
      <c r="DD54" s="95"/>
      <c r="DE54" s="95"/>
      <c r="DJ54" s="3"/>
      <c r="DK54" s="267"/>
      <c r="DL54" s="4"/>
      <c r="DM54" s="206"/>
      <c r="DN54" s="206"/>
      <c r="DO54" s="206"/>
      <c r="DP54" s="206"/>
      <c r="DQ54" s="206"/>
      <c r="DR54" s="206"/>
      <c r="DS54" s="206"/>
      <c r="DT54" s="206"/>
      <c r="DU54" s="268"/>
    </row>
    <row r="55" spans="1:127" x14ac:dyDescent="0.2">
      <c r="A55" s="4">
        <v>7</v>
      </c>
      <c r="B55" s="4" t="s">
        <v>1938</v>
      </c>
      <c r="C55" s="78" t="s">
        <v>1073</v>
      </c>
      <c r="D55" s="53">
        <v>-1531</v>
      </c>
      <c r="E55" s="53" t="str">
        <f>VLOOKUP(D55,CompDbase!B:J,3,FALSE)</f>
        <v>1-Chloronaphthalene</v>
      </c>
      <c r="F55" s="53">
        <f>VLOOKUP(D55,CompDbase!B:J,9,FALSE)</f>
        <v>17.399999999999999</v>
      </c>
      <c r="G55" s="4"/>
      <c r="H55" s="4" t="s">
        <v>1892</v>
      </c>
      <c r="I55" s="4">
        <v>162.62</v>
      </c>
      <c r="J55" s="95">
        <f t="shared" si="46"/>
        <v>2.2111739567284943</v>
      </c>
      <c r="K55" s="95">
        <v>17.399999999999999</v>
      </c>
      <c r="L55" s="95">
        <f t="shared" si="47"/>
        <v>1.2405492482825997</v>
      </c>
      <c r="M55" s="18">
        <v>4</v>
      </c>
      <c r="N55" s="220">
        <v>948</v>
      </c>
      <c r="O55" s="4" t="s">
        <v>1044</v>
      </c>
      <c r="P55" s="4"/>
      <c r="Q55" s="17">
        <v>0.06</v>
      </c>
      <c r="T55">
        <v>0.09</v>
      </c>
      <c r="U55">
        <v>0.13</v>
      </c>
      <c r="W55" s="95">
        <f t="shared" si="34"/>
        <v>-2.8134107167600364</v>
      </c>
      <c r="X55" s="95"/>
      <c r="Y55" s="95"/>
      <c r="Z55" s="95">
        <f t="shared" si="35"/>
        <v>-2.4079456086518722</v>
      </c>
      <c r="AA55" s="95">
        <f t="shared" si="35"/>
        <v>-2.0402208285265546</v>
      </c>
      <c r="AB55" s="95"/>
      <c r="AC55" s="95">
        <f t="shared" si="36"/>
        <v>3.0204677886368518</v>
      </c>
      <c r="AD55" s="95">
        <f t="shared" si="37"/>
        <v>-1742.5804210298841</v>
      </c>
      <c r="AE55" s="253">
        <f t="shared" si="38"/>
        <v>0.99433663587629728</v>
      </c>
      <c r="AF55" s="359">
        <f t="shared" si="48"/>
        <v>-13.13358091335158</v>
      </c>
      <c r="AG55" s="253">
        <f t="shared" si="39"/>
        <v>-17.137222388860028</v>
      </c>
      <c r="AH55" s="210"/>
      <c r="AI55" s="210"/>
      <c r="AJ55" s="210"/>
      <c r="AK55" s="95">
        <f t="shared" si="67"/>
        <v>0.51072985570074259</v>
      </c>
      <c r="AL55" s="95"/>
      <c r="AM55" s="95"/>
      <c r="AN55" s="95">
        <f t="shared" si="68"/>
        <v>0.68682111475642382</v>
      </c>
      <c r="AO55" s="242">
        <f t="shared" si="68"/>
        <v>0.84652195762393578</v>
      </c>
      <c r="AP55" s="210"/>
      <c r="AQ55">
        <v>7.0000000000000005E-13</v>
      </c>
      <c r="AT55">
        <v>4.2999999999999999E-12</v>
      </c>
      <c r="AU55">
        <v>8.9999999999999996E-12</v>
      </c>
      <c r="AW55" s="95">
        <f t="shared" si="49"/>
        <v>-12.154901959985743</v>
      </c>
      <c r="AX55" s="95"/>
      <c r="AY55" s="95"/>
      <c r="AZ55" s="95">
        <f t="shared" si="40"/>
        <v>-11.366531544420413</v>
      </c>
      <c r="BA55" s="95">
        <f t="shared" si="41"/>
        <v>-11.045757490560675</v>
      </c>
      <c r="BC55" s="95">
        <f t="shared" si="42"/>
        <v>-27.987696059867279</v>
      </c>
      <c r="BD55" s="95"/>
      <c r="BE55" s="95"/>
      <c r="BF55" s="95">
        <f t="shared" si="43"/>
        <v>-26.172406093229032</v>
      </c>
      <c r="BG55" s="95">
        <f t="shared" si="43"/>
        <v>-25.433796538592329</v>
      </c>
      <c r="BI55" s="95">
        <f t="shared" si="50"/>
        <v>-8.1587284725194706</v>
      </c>
      <c r="BJ55" s="95">
        <f t="shared" si="51"/>
        <v>-5884.1611608029207</v>
      </c>
      <c r="BK55" s="210">
        <f t="shared" si="44"/>
        <v>0.98181656015985663</v>
      </c>
      <c r="BL55" s="494">
        <f>VLOOKUP(B55,Literatuur!$A:$B,2,FALSE)</f>
        <v>3</v>
      </c>
      <c r="BM55" s="493"/>
      <c r="BN55" s="501" t="str">
        <f t="shared" si="69"/>
        <v>1-Chloronaphthalene</v>
      </c>
      <c r="BO55" s="496">
        <f t="shared" si="70"/>
        <v>162.62</v>
      </c>
      <c r="BP55" s="495">
        <f t="shared" si="71"/>
        <v>17.399999999999999</v>
      </c>
      <c r="BQ55" s="493">
        <f t="shared" si="72"/>
        <v>14.487813620442456</v>
      </c>
      <c r="BR55" s="493" t="s">
        <v>1558</v>
      </c>
      <c r="BS55" s="493" t="s">
        <v>2095</v>
      </c>
      <c r="BT55" s="493"/>
      <c r="BU55" s="493"/>
      <c r="BV55" s="493"/>
      <c r="BW55" s="493"/>
      <c r="BX55" s="493"/>
      <c r="BY55" s="493">
        <f t="shared" si="73"/>
        <v>48.920915890915481</v>
      </c>
      <c r="BZ55" s="493" t="s">
        <v>1558</v>
      </c>
      <c r="CA55" s="493" t="s">
        <v>2095</v>
      </c>
      <c r="CB55" s="210"/>
      <c r="CC55">
        <v>13.4</v>
      </c>
      <c r="CD55" s="183">
        <f t="shared" si="52"/>
        <v>14.487813620442456</v>
      </c>
      <c r="CE55" s="183"/>
      <c r="CF55" s="183"/>
      <c r="CG55" s="183"/>
      <c r="CH55" s="183"/>
      <c r="CI55" s="183"/>
      <c r="CJ55" s="183"/>
      <c r="CK55">
        <v>48</v>
      </c>
      <c r="CL55" s="183">
        <f t="shared" si="54"/>
        <v>48.920915890915481</v>
      </c>
      <c r="CM55" s="211"/>
      <c r="CO55" s="183">
        <f t="shared" si="55"/>
        <v>48.920915890915481</v>
      </c>
      <c r="CP55" s="289">
        <v>61.3</v>
      </c>
      <c r="CR55" s="183"/>
      <c r="CS55" s="183"/>
      <c r="CT55" s="183">
        <f t="shared" si="56"/>
        <v>48.920915890915481</v>
      </c>
      <c r="CU55" s="183">
        <f t="shared" si="57"/>
        <v>50.675062235733961</v>
      </c>
      <c r="CV55" s="125"/>
      <c r="CW55" s="95"/>
      <c r="CX55" s="95"/>
      <c r="CY55" s="95"/>
      <c r="CZ55" s="95"/>
      <c r="DA55" s="95"/>
      <c r="DB55" s="95"/>
      <c r="DC55" s="95"/>
      <c r="DD55" s="95"/>
      <c r="DE55" s="95"/>
      <c r="DJ55" s="3"/>
      <c r="DK55" s="267"/>
      <c r="DL55" s="4"/>
      <c r="DM55" s="206"/>
      <c r="DN55" s="206"/>
      <c r="DO55" s="206"/>
      <c r="DP55" s="206"/>
      <c r="DQ55" s="206"/>
      <c r="DR55" s="206"/>
      <c r="DS55" s="206"/>
      <c r="DT55" s="206"/>
      <c r="DU55" s="268"/>
    </row>
    <row r="56" spans="1:127" x14ac:dyDescent="0.2">
      <c r="A56" s="4">
        <v>8</v>
      </c>
      <c r="B56" s="4" t="s">
        <v>1938</v>
      </c>
      <c r="C56" s="78" t="s">
        <v>537</v>
      </c>
      <c r="D56" s="53">
        <v>-1532</v>
      </c>
      <c r="E56" s="53" t="str">
        <f>VLOOKUP(D56,CompDbase!B:J,3,FALSE)</f>
        <v>Methyl iso-Buthyl Ketone</v>
      </c>
      <c r="F56" s="53">
        <f>VLOOKUP(D56,CompDbase!B:J,9,FALSE)</f>
        <v>19000</v>
      </c>
      <c r="G56" s="4"/>
      <c r="H56" s="4" t="s">
        <v>1891</v>
      </c>
      <c r="I56" s="4">
        <v>84.93</v>
      </c>
      <c r="J56" s="95">
        <f t="shared" si="46"/>
        <v>1.9290611240847655</v>
      </c>
      <c r="K56" s="95">
        <v>19000</v>
      </c>
      <c r="L56" s="95">
        <f t="shared" si="47"/>
        <v>4.2787536009528289</v>
      </c>
      <c r="M56" s="18">
        <v>1.25</v>
      </c>
      <c r="N56" s="220">
        <v>948</v>
      </c>
      <c r="O56" s="4" t="s">
        <v>1044</v>
      </c>
      <c r="P56" s="4"/>
      <c r="Q56" s="17">
        <v>0.12</v>
      </c>
      <c r="W56" s="95">
        <f t="shared" si="34"/>
        <v>-2.120263536200091</v>
      </c>
      <c r="X56" s="95"/>
      <c r="Y56" s="95"/>
      <c r="Z56" s="95"/>
      <c r="AA56" s="95"/>
      <c r="AB56" s="95"/>
      <c r="AC56" s="95"/>
      <c r="AD56" s="95"/>
      <c r="AE56" s="242"/>
      <c r="AF56" s="357"/>
      <c r="AG56" s="242"/>
      <c r="AH56" s="95"/>
      <c r="AI56" s="95"/>
      <c r="AJ56" s="95"/>
      <c r="AK56" s="95">
        <f t="shared" si="67"/>
        <v>-2.2264445013055054</v>
      </c>
      <c r="AL56" s="95"/>
      <c r="AM56" s="95"/>
      <c r="AN56" s="95"/>
      <c r="AO56" s="242"/>
      <c r="AP56" s="95"/>
      <c r="AQ56">
        <v>8.1999999999999998E-12</v>
      </c>
      <c r="AW56" s="95">
        <f t="shared" si="49"/>
        <v>-11.086186147616283</v>
      </c>
      <c r="AX56" s="95"/>
      <c r="AY56" s="95"/>
      <c r="AZ56" s="95"/>
      <c r="BA56" s="95"/>
      <c r="BC56" s="95">
        <f t="shared" si="42"/>
        <v>-25.526886961658342</v>
      </c>
      <c r="BD56" s="95"/>
      <c r="BE56" s="95"/>
      <c r="BF56" s="95"/>
      <c r="BG56" s="95"/>
      <c r="BI56" s="95"/>
      <c r="BJ56" s="95"/>
      <c r="BK56" s="95"/>
      <c r="BL56" s="494"/>
      <c r="BM56" s="494"/>
      <c r="BN56" s="499"/>
      <c r="BO56" s="497"/>
      <c r="BP56" s="494"/>
      <c r="BQ56" s="494"/>
      <c r="BR56" s="494"/>
      <c r="BS56" s="494"/>
      <c r="BT56" s="494"/>
      <c r="BU56" s="494"/>
      <c r="BV56" s="494"/>
      <c r="BW56" s="494"/>
      <c r="BX56" s="494"/>
      <c r="BY56" s="494"/>
      <c r="BZ56" s="494"/>
      <c r="CA56" s="494"/>
      <c r="CB56" s="95"/>
      <c r="CD56" s="183"/>
      <c r="CE56" s="183"/>
      <c r="CF56" s="183"/>
      <c r="CG56" s="183"/>
      <c r="CH56" s="183"/>
      <c r="CI56" s="183"/>
      <c r="CJ56" s="183"/>
      <c r="CK56" s="4"/>
      <c r="CL56" s="183"/>
      <c r="CM56" s="95"/>
      <c r="CO56" s="95"/>
      <c r="CP56" s="289"/>
      <c r="CR56" s="183"/>
      <c r="CS56" s="183"/>
      <c r="CT56" s="183"/>
      <c r="CU56" s="183">
        <f t="shared" si="57"/>
        <v>57.517574763035256</v>
      </c>
      <c r="CV56" s="125"/>
      <c r="CW56" s="95"/>
      <c r="CX56" s="95"/>
      <c r="CY56" s="95"/>
      <c r="CZ56" s="95"/>
      <c r="DA56" s="95"/>
      <c r="DB56" s="95"/>
      <c r="DC56" s="95"/>
      <c r="DD56" s="95"/>
      <c r="DE56" s="95"/>
      <c r="DJ56" s="3"/>
      <c r="DK56" s="267"/>
      <c r="DL56" s="4"/>
      <c r="DM56" s="206"/>
      <c r="DN56" s="206"/>
      <c r="DO56" s="206"/>
      <c r="DP56" s="206"/>
      <c r="DQ56" s="206"/>
      <c r="DR56" s="206"/>
      <c r="DS56" s="206"/>
      <c r="DT56" s="206"/>
      <c r="DU56" s="268"/>
    </row>
    <row r="57" spans="1:127" x14ac:dyDescent="0.2">
      <c r="A57" s="4">
        <v>9</v>
      </c>
      <c r="B57" s="4" t="s">
        <v>1938</v>
      </c>
      <c r="C57" s="78" t="s">
        <v>907</v>
      </c>
      <c r="D57" s="53">
        <v>-1533</v>
      </c>
      <c r="E57" s="53" t="str">
        <f>VLOOKUP(D57,CompDbase!B:J,3,FALSE)</f>
        <v>Butyraldehyde</v>
      </c>
      <c r="F57" s="53">
        <f>VLOOKUP(D57,CompDbase!B:J,9,FALSE)</f>
        <v>71000</v>
      </c>
      <c r="G57" s="4"/>
      <c r="H57" s="4" t="s">
        <v>1891</v>
      </c>
      <c r="I57" s="4">
        <v>98.973331537275584</v>
      </c>
      <c r="J57" s="95">
        <f t="shared" si="46"/>
        <v>1.9955181892798926</v>
      </c>
      <c r="K57" s="95">
        <v>71000</v>
      </c>
      <c r="L57" s="95">
        <f t="shared" si="47"/>
        <v>4.8512583487190755</v>
      </c>
      <c r="M57" s="18">
        <v>1.47</v>
      </c>
      <c r="N57" s="220">
        <v>948</v>
      </c>
      <c r="O57" s="4" t="s">
        <v>1044</v>
      </c>
      <c r="P57" s="4"/>
      <c r="Q57" s="17">
        <v>0.06</v>
      </c>
      <c r="T57">
        <v>0.09</v>
      </c>
      <c r="U57">
        <v>0.15</v>
      </c>
      <c r="W57" s="95">
        <f t="shared" si="34"/>
        <v>-2.8134107167600364</v>
      </c>
      <c r="X57" s="95"/>
      <c r="Y57" s="95"/>
      <c r="Z57" s="95">
        <f>LN(T57)</f>
        <v>-2.4079456086518722</v>
      </c>
      <c r="AA57" s="95">
        <f>LN(U57)</f>
        <v>-1.8971199848858813</v>
      </c>
      <c r="AB57" s="95"/>
      <c r="AC57" s="95">
        <f>INTERCEPT(W57:AA57,W$47:AA$47)</f>
        <v>4.0120256030319013</v>
      </c>
      <c r="AD57" s="95">
        <f>SLOPE(W57:AA57,W$47:AA$47)</f>
        <v>-2044.8685335893995</v>
      </c>
      <c r="AE57" s="253">
        <f>RSQ(W$47:AA$47,W57:AA57)</f>
        <v>0.97144728524549917</v>
      </c>
      <c r="AF57" s="359">
        <f>(Z57-W57)/(Z$47-W$47)*0.008413</f>
        <v>-13.13358091335158</v>
      </c>
      <c r="AG57" s="253">
        <f>(AA57-Z57)/(AA$47-Z$47)*0.008413</f>
        <v>-23.806207222212741</v>
      </c>
      <c r="AH57" s="210"/>
      <c r="AI57" s="210"/>
      <c r="AJ57" s="210"/>
      <c r="AK57" s="95">
        <f t="shared" si="67"/>
        <v>-3.0999792447357328</v>
      </c>
      <c r="AL57" s="95"/>
      <c r="AM57" s="95"/>
      <c r="AN57" s="95">
        <f>LOG(940*T57/$K57)</f>
        <v>-2.9238879856800519</v>
      </c>
      <c r="AO57" s="242">
        <f>LOG(940*U57/$K57)</f>
        <v>-2.7020392360636953</v>
      </c>
      <c r="AP57" s="210"/>
      <c r="AQ57">
        <v>4.1999999999999999E-12</v>
      </c>
      <c r="AT57">
        <v>1.4899999999999998E-11</v>
      </c>
      <c r="AU57">
        <v>2.35E-11</v>
      </c>
      <c r="AW57" s="95">
        <f t="shared" si="49"/>
        <v>-11.376750709602099</v>
      </c>
      <c r="AX57" s="95"/>
      <c r="AY57" s="95"/>
      <c r="AZ57" s="95">
        <f t="shared" ref="AZ57:BA57" si="74">LOG(AT57)</f>
        <v>-10.826813731587727</v>
      </c>
      <c r="BA57" s="95">
        <f t="shared" si="74"/>
        <v>-10.628932137728263</v>
      </c>
      <c r="BC57" s="95">
        <f t="shared" si="42"/>
        <v>-26.195936590639224</v>
      </c>
      <c r="BD57" s="95"/>
      <c r="BE57" s="95"/>
      <c r="BF57" s="95">
        <f>LN(AT57)</f>
        <v>-24.929659902977136</v>
      </c>
      <c r="BG57" s="95">
        <f>LN(AU57)</f>
        <v>-24.474020694778435</v>
      </c>
      <c r="BI57" s="95">
        <f>INTERCEPT(BC57:BG57,BC$47:BG$47)</f>
        <v>-12.776888878322113</v>
      </c>
      <c r="BJ57" s="95">
        <f>SLOPE(BC57:BG57,BC$47:BG$47)</f>
        <v>-3978.6939320157921</v>
      </c>
      <c r="BK57" s="210">
        <f>RSQ(BC$47:BG$47,BC57:BG57)</f>
        <v>0.97401939354942946</v>
      </c>
      <c r="BL57" s="494">
        <f>VLOOKUP(B57,Literatuur!$A:$B,2,FALSE)</f>
        <v>3</v>
      </c>
      <c r="BM57" s="493" t="str">
        <f>VLOOKUP(N18,Literatuur!$A:$B,2,FALSE)</f>
        <v>H</v>
      </c>
      <c r="BN57" s="501" t="str">
        <f t="shared" ref="BN57" si="75">C57</f>
        <v>1,2-Dichloroethane</v>
      </c>
      <c r="BO57" s="496">
        <f t="shared" ref="BO57" si="76">I57</f>
        <v>98.973331537275584</v>
      </c>
      <c r="BP57" s="495">
        <f t="shared" ref="BP57" si="77">K57</f>
        <v>71000</v>
      </c>
      <c r="BQ57" s="493">
        <f t="shared" ref="BQ57" si="78">CD57</f>
        <v>17.001036988262268</v>
      </c>
      <c r="BR57" s="493" t="s">
        <v>1558</v>
      </c>
      <c r="BS57" s="493" t="s">
        <v>2095</v>
      </c>
      <c r="BT57" s="493">
        <f t="shared" ref="BT57" si="79">CG57</f>
        <v>-2.018500532250977</v>
      </c>
      <c r="BU57" s="493" t="s">
        <v>1558</v>
      </c>
      <c r="BV57" s="493" t="str">
        <f>AC19</f>
        <v>273 - 298 K</v>
      </c>
      <c r="BW57" s="493">
        <f t="shared" ref="BW57" si="80">CJ57</f>
        <v>9.2591654021189207</v>
      </c>
      <c r="BX57" s="493" t="s">
        <v>1558</v>
      </c>
      <c r="BY57" s="493">
        <f t="shared" ref="BY57" si="81">CL57</f>
        <v>33.078861350779299</v>
      </c>
      <c r="BZ57" s="493" t="s">
        <v>1558</v>
      </c>
      <c r="CA57" s="493" t="s">
        <v>2095</v>
      </c>
      <c r="CB57" s="210"/>
      <c r="CC57">
        <v>16.7</v>
      </c>
      <c r="CD57" s="183">
        <f>-AD57*8.314/1000</f>
        <v>17.001036988262268</v>
      </c>
      <c r="CE57" s="183"/>
      <c r="CF57" s="183"/>
      <c r="CG57" s="183">
        <f>AE20</f>
        <v>-2.018500532250977</v>
      </c>
      <c r="CH57" s="183"/>
      <c r="CI57" s="183">
        <v>9.2591654021189207</v>
      </c>
      <c r="CJ57" s="183">
        <f>CI57</f>
        <v>9.2591654021189207</v>
      </c>
      <c r="CK57">
        <v>33</v>
      </c>
      <c r="CL57" s="183">
        <f>-BJ57*8.314/1000</f>
        <v>33.078861350779299</v>
      </c>
      <c r="CM57" s="211"/>
      <c r="CO57" s="183">
        <f>CL57</f>
        <v>33.078861350779299</v>
      </c>
      <c r="CP57" s="289">
        <v>49.2</v>
      </c>
      <c r="CR57" s="183"/>
      <c r="CS57" s="183"/>
      <c r="CT57" s="183">
        <f>CI57+CL57</f>
        <v>42.338026752898216</v>
      </c>
      <c r="CU57" s="183">
        <f t="shared" si="57"/>
        <v>66.11051515092224</v>
      </c>
      <c r="CV57" s="125"/>
      <c r="CW57" s="95"/>
      <c r="CX57" s="95"/>
      <c r="CY57" s="95"/>
      <c r="CZ57" s="95"/>
      <c r="DA57" s="95"/>
      <c r="DB57" s="95"/>
      <c r="DC57" s="95"/>
      <c r="DD57" s="95"/>
      <c r="DE57" s="95"/>
      <c r="DJ57" s="3"/>
      <c r="DK57" s="17"/>
      <c r="DU57" s="3"/>
    </row>
    <row r="58" spans="1:127" x14ac:dyDescent="0.2">
      <c r="A58" s="4">
        <v>10</v>
      </c>
      <c r="B58" s="4" t="s">
        <v>1938</v>
      </c>
      <c r="C58" s="78" t="s">
        <v>448</v>
      </c>
      <c r="D58" s="53">
        <v>-1507</v>
      </c>
      <c r="E58" s="53" t="str">
        <f>VLOOKUP(D58,CompDbase!B:J,3,FALSE)</f>
        <v>Acetone</v>
      </c>
      <c r="F58" s="53">
        <f>VLOOKUP(D58,CompDbase!B:J,9,FALSE)</f>
        <v>790000</v>
      </c>
      <c r="G58" s="4"/>
      <c r="H58" s="4" t="s">
        <v>1893</v>
      </c>
      <c r="I58" s="4">
        <v>58.08</v>
      </c>
      <c r="J58" s="95">
        <f t="shared" si="46"/>
        <v>1.7640266076920372</v>
      </c>
      <c r="K58" s="95">
        <v>790000</v>
      </c>
      <c r="L58" s="95">
        <f t="shared" si="47"/>
        <v>5.8976270912904418</v>
      </c>
      <c r="M58" s="18">
        <v>-0.24</v>
      </c>
      <c r="N58" s="220">
        <v>948</v>
      </c>
      <c r="O58" s="4" t="s">
        <v>1044</v>
      </c>
      <c r="P58" s="4"/>
      <c r="Q58" s="17">
        <v>0.02</v>
      </c>
      <c r="W58" s="95">
        <f t="shared" si="34"/>
        <v>-3.912023005428146</v>
      </c>
      <c r="X58" s="95"/>
      <c r="Y58" s="95"/>
      <c r="Z58" s="95"/>
      <c r="AA58" s="95"/>
      <c r="AB58" s="95"/>
      <c r="AC58" s="95"/>
      <c r="AD58" s="95"/>
      <c r="AE58" s="242"/>
      <c r="AF58" s="357"/>
      <c r="AG58" s="242"/>
      <c r="AH58" s="95"/>
      <c r="AI58" s="95"/>
      <c r="AJ58" s="95"/>
      <c r="AK58" s="95">
        <f t="shared" si="67"/>
        <v>-4.6234692420267613</v>
      </c>
      <c r="AL58" s="95"/>
      <c r="AM58" s="95"/>
      <c r="AN58" s="95"/>
      <c r="AO58" s="242"/>
      <c r="AP58" s="95"/>
      <c r="AQ58">
        <v>1.7E-12</v>
      </c>
      <c r="AW58" s="95">
        <f t="shared" si="49"/>
        <v>-11.769551078621726</v>
      </c>
      <c r="AX58" s="95"/>
      <c r="AY58" s="95"/>
      <c r="AZ58" s="95"/>
      <c r="BA58" s="95"/>
      <c r="BC58" s="95">
        <f t="shared" si="42"/>
        <v>-27.100392864866379</v>
      </c>
      <c r="BD58" s="95"/>
      <c r="BE58" s="95"/>
      <c r="BF58" s="95"/>
      <c r="BG58" s="95"/>
      <c r="BI58" s="95"/>
      <c r="BJ58" s="95"/>
      <c r="BK58" s="95"/>
      <c r="BL58" s="494"/>
      <c r="BM58" s="494"/>
      <c r="BN58" s="499"/>
      <c r="BO58" s="497"/>
      <c r="BP58" s="494"/>
      <c r="BQ58" s="494"/>
      <c r="BR58" s="494"/>
      <c r="BS58" s="494"/>
      <c r="BT58" s="494"/>
      <c r="BU58" s="494"/>
      <c r="BV58" s="494"/>
      <c r="BW58" s="494"/>
      <c r="BX58" s="494"/>
      <c r="BY58" s="494"/>
      <c r="BZ58" s="494"/>
      <c r="CA58" s="494"/>
      <c r="CB58" s="95"/>
      <c r="CD58" s="183"/>
      <c r="CE58" s="183"/>
      <c r="CF58" s="183"/>
      <c r="CG58" s="183"/>
      <c r="CH58" s="183"/>
      <c r="CI58" s="183"/>
      <c r="CJ58" s="183"/>
      <c r="CK58" s="4"/>
      <c r="CL58" s="183"/>
      <c r="CM58" s="95"/>
      <c r="CO58" s="95"/>
      <c r="CP58" s="289"/>
      <c r="CR58" s="183"/>
      <c r="CS58" s="183"/>
      <c r="CT58" s="183"/>
      <c r="CU58" s="183">
        <f t="shared" si="57"/>
        <v>60.265136152745569</v>
      </c>
      <c r="CV58" s="96" t="s">
        <v>12</v>
      </c>
      <c r="CW58" s="95"/>
      <c r="CX58" s="95"/>
      <c r="CY58" s="95"/>
      <c r="CZ58" s="95"/>
      <c r="DA58" s="95"/>
      <c r="DB58" s="95"/>
      <c r="DC58" s="95"/>
      <c r="DD58" s="95"/>
      <c r="DE58" s="95"/>
      <c r="DJ58" s="212"/>
      <c r="DK58" s="17"/>
      <c r="DO58" s="293"/>
      <c r="DU58" s="3"/>
    </row>
    <row r="59" spans="1:127" x14ac:dyDescent="0.2">
      <c r="A59" s="4">
        <v>11</v>
      </c>
      <c r="B59" s="4" t="s">
        <v>1938</v>
      </c>
      <c r="C59" s="78" t="s">
        <v>1354</v>
      </c>
      <c r="D59" s="53">
        <v>1093</v>
      </c>
      <c r="E59" s="53" t="str">
        <f>VLOOKUP(D59,CompDbase!B:J,3,FALSE)</f>
        <v>Methylethylketon {Butanone}</v>
      </c>
      <c r="F59" s="53">
        <f>VLOOKUP(D59,CompDbase!B:J,9,FALSE)</f>
        <v>352800</v>
      </c>
      <c r="G59" s="4"/>
      <c r="H59" s="4" t="s">
        <v>1893</v>
      </c>
      <c r="I59" s="4">
        <v>72</v>
      </c>
      <c r="J59" s="95">
        <f t="shared" si="46"/>
        <v>1.8573324964312685</v>
      </c>
      <c r="K59" s="95">
        <v>352800</v>
      </c>
      <c r="L59" s="95">
        <f t="shared" si="47"/>
        <v>5.5475285764597819</v>
      </c>
      <c r="M59" s="18">
        <v>0.27549999999999997</v>
      </c>
      <c r="N59" s="220">
        <v>948</v>
      </c>
      <c r="O59" s="4" t="s">
        <v>1044</v>
      </c>
      <c r="P59" s="4"/>
      <c r="Q59" s="17">
        <v>0.03</v>
      </c>
      <c r="T59">
        <v>0.04</v>
      </c>
      <c r="U59">
        <v>0.06</v>
      </c>
      <c r="W59" s="95">
        <f t="shared" si="34"/>
        <v>-3.5065578973199818</v>
      </c>
      <c r="X59" s="95"/>
      <c r="Y59" s="95"/>
      <c r="Z59" s="95">
        <f t="shared" ref="Z59:AA62" si="82">LN(T59)</f>
        <v>-3.2188758248682006</v>
      </c>
      <c r="AA59" s="95">
        <f t="shared" si="82"/>
        <v>-2.8134107167600364</v>
      </c>
      <c r="AB59" s="95"/>
      <c r="AC59" s="95">
        <f>INTERCEPT(W59:AA59,W$47:AA$47)</f>
        <v>1.6343147620786191</v>
      </c>
      <c r="AD59" s="95">
        <f>SLOPE(W59:AA59,W$47:AA$47)</f>
        <v>-1541.7514127737668</v>
      </c>
      <c r="AE59" s="253">
        <f>RSQ(W$47:AA$47,W59:AA59)</f>
        <v>0.96002522689000946</v>
      </c>
      <c r="AF59" s="359">
        <f>(Z59-W59)/(Z$47-W$47)*0.008413</f>
        <v>-9.3184239539009113</v>
      </c>
      <c r="AG59" s="253">
        <f>(AA59-Z59)/(AA$47-Z$47)*0.008413</f>
        <v>-18.896049720132471</v>
      </c>
      <c r="AH59" s="210"/>
      <c r="AI59" s="210"/>
      <c r="AJ59" s="210"/>
      <c r="AK59" s="95">
        <f t="shared" si="67"/>
        <v>-4.097279468140421</v>
      </c>
      <c r="AL59" s="95"/>
      <c r="AM59" s="95"/>
      <c r="AN59" s="95">
        <f t="shared" ref="AN59:AO62" si="83">LOG(940*T59/$K59)</f>
        <v>-3.9723407315321211</v>
      </c>
      <c r="AO59" s="242">
        <f t="shared" si="83"/>
        <v>-3.7962494724764397</v>
      </c>
      <c r="AP59" s="210"/>
      <c r="AQ59">
        <v>1.9E-12</v>
      </c>
      <c r="AT59">
        <v>7.3E-12</v>
      </c>
      <c r="AU59">
        <v>1.5E-11</v>
      </c>
      <c r="AW59" s="95">
        <f t="shared" si="49"/>
        <v>-11.721246399047171</v>
      </c>
      <c r="AX59" s="95"/>
      <c r="AY59" s="95"/>
      <c r="AZ59" s="95">
        <f t="shared" ref="AZ59:AZ62" si="84">LOG(AT59)</f>
        <v>-11.136677139879543</v>
      </c>
      <c r="BA59" s="95">
        <f t="shared" ref="BA59:BA62" si="85">LOG(AU59)</f>
        <v>-10.823908740944319</v>
      </c>
      <c r="BC59" s="95">
        <f t="shared" si="42"/>
        <v>-26.989167229756152</v>
      </c>
      <c r="BD59" s="95"/>
      <c r="BE59" s="95"/>
      <c r="BF59" s="95">
        <f t="shared" ref="BF59:BG62" si="86">LN(AT59)</f>
        <v>-25.643146767774201</v>
      </c>
      <c r="BG59" s="95">
        <f t="shared" si="86"/>
        <v>-24.922970914826337</v>
      </c>
      <c r="BI59" s="95">
        <f>INTERCEPT(BC59:BG59,BC$47:BG$47)</f>
        <v>-11.090880575061083</v>
      </c>
      <c r="BJ59" s="95">
        <f>SLOPE(BC59:BG59,BC$47:BG$47)</f>
        <v>-4727.4495558936414</v>
      </c>
      <c r="BK59" s="210">
        <f>RSQ(BC$47:BG$47,BC59:BG59)</f>
        <v>0.99515995106703947</v>
      </c>
      <c r="BL59" s="494">
        <f>VLOOKUP(B59,Literatuur!$A:$B,2,FALSE)</f>
        <v>3</v>
      </c>
      <c r="BM59" s="493" t="str">
        <f>VLOOKUP(N10,Literatuur!$A:$B,2,FALSE)</f>
        <v>H</v>
      </c>
      <c r="BN59" s="501" t="str">
        <f t="shared" ref="BN59:BN60" si="87">C59</f>
        <v>2-Butanone</v>
      </c>
      <c r="BO59" s="496">
        <f t="shared" ref="BO59:BO60" si="88">I59</f>
        <v>72</v>
      </c>
      <c r="BP59" s="495">
        <f t="shared" ref="BP59:BP60" si="89">K59</f>
        <v>352800</v>
      </c>
      <c r="BQ59" s="493">
        <f t="shared" ref="BQ59:BQ60" si="90">CD59</f>
        <v>12.818121245801098</v>
      </c>
      <c r="BR59" s="493" t="s">
        <v>1558</v>
      </c>
      <c r="BS59" s="493" t="s">
        <v>2095</v>
      </c>
      <c r="BT59" s="493">
        <f t="shared" ref="BT59" si="91">CG59</f>
        <v>-9.009891540571676</v>
      </c>
      <c r="BU59" s="493" t="s">
        <v>1558</v>
      </c>
      <c r="BV59" s="493" t="str">
        <f>AC11</f>
        <v>299 - 323K</v>
      </c>
      <c r="BW59" s="493">
        <f t="shared" ref="BW59" si="92">CJ59</f>
        <v>21.828012786372774</v>
      </c>
      <c r="BX59" s="493" t="s">
        <v>1558</v>
      </c>
      <c r="BY59" s="493">
        <f t="shared" ref="BY59:BY60" si="93">CL59</f>
        <v>39.304015607699739</v>
      </c>
      <c r="BZ59" s="493" t="s">
        <v>1558</v>
      </c>
      <c r="CA59" s="493" t="s">
        <v>2095</v>
      </c>
      <c r="CB59" s="210"/>
      <c r="CC59">
        <v>13.2</v>
      </c>
      <c r="CD59" s="183">
        <f>-AD59*8.314/1000</f>
        <v>12.818121245801098</v>
      </c>
      <c r="CE59" s="183"/>
      <c r="CF59" s="183"/>
      <c r="CG59" s="183">
        <f>AE12</f>
        <v>-9.009891540571676</v>
      </c>
      <c r="CH59" s="183"/>
      <c r="CI59" s="183">
        <f>CD59-CG59</f>
        <v>21.828012786372774</v>
      </c>
      <c r="CJ59" s="183">
        <f>CI59</f>
        <v>21.828012786372774</v>
      </c>
      <c r="CK59">
        <v>39.6</v>
      </c>
      <c r="CL59" s="183">
        <f>-BJ59*8.314/1000</f>
        <v>39.304015607699739</v>
      </c>
      <c r="CM59" s="211"/>
      <c r="CO59" s="183">
        <f t="shared" ref="CO59:CO62" si="94">CL59</f>
        <v>39.304015607699739</v>
      </c>
      <c r="CP59" s="289">
        <v>52.7</v>
      </c>
      <c r="CR59" s="183"/>
      <c r="CS59" s="183"/>
      <c r="CT59" s="183">
        <f>CI59+CL59</f>
        <v>61.132028394072513</v>
      </c>
      <c r="CU59" s="183">
        <f t="shared" si="57"/>
        <v>63.1888256261593</v>
      </c>
      <c r="CV59" s="125"/>
      <c r="CW59" s="95">
        <v>6</v>
      </c>
      <c r="CX59" s="95">
        <f>POWER(CW59,0.67)</f>
        <v>3.3217071227740216</v>
      </c>
      <c r="CY59" s="95">
        <f>POWER((1+2*PI()/CX59),CW59/EXP(1))</f>
        <v>10.419432305698242</v>
      </c>
      <c r="CZ59" s="95">
        <f>EXP(2*PI()/EXP(1))</f>
        <v>10.089090581018485</v>
      </c>
      <c r="DA59" s="95">
        <f>14*CW59+2</f>
        <v>86</v>
      </c>
      <c r="DB59" s="95">
        <f t="shared" ref="DB59:DB63" si="95">LOG(DA59)</f>
        <v>1.9344984512435677</v>
      </c>
      <c r="DC59" s="95">
        <f>135+273</f>
        <v>408</v>
      </c>
      <c r="DD59" s="95">
        <v>8.4130000000000003E-3</v>
      </c>
      <c r="DE59" s="288">
        <f>POWER(CY59,0.32)*CZ59*DC59*DD59</f>
        <v>73.311679954268769</v>
      </c>
      <c r="DF59" s="211">
        <f>EXP(-DE59/(0.008314*DF$45))/EXP(-DE59/(0.008314*DF$46))</f>
        <v>0.20838217614594243</v>
      </c>
      <c r="DG59" s="211"/>
      <c r="DH59" s="211"/>
      <c r="DI59" s="211"/>
      <c r="DJ59" s="212"/>
      <c r="DK59" s="6"/>
      <c r="DU59" s="3"/>
    </row>
    <row r="60" spans="1:127" x14ac:dyDescent="0.2">
      <c r="A60" s="4">
        <v>12</v>
      </c>
      <c r="B60" s="4" t="s">
        <v>1938</v>
      </c>
      <c r="C60" s="78" t="s">
        <v>1372</v>
      </c>
      <c r="D60" s="53">
        <v>-1532</v>
      </c>
      <c r="E60" s="53" t="str">
        <f>VLOOKUP(D60,CompDbase!B:J,3,FALSE)</f>
        <v>Methyl iso-Buthyl Ketone</v>
      </c>
      <c r="F60" s="53">
        <f>VLOOKUP(D60,CompDbase!B:J,9,FALSE)</f>
        <v>19000</v>
      </c>
      <c r="G60" s="4"/>
      <c r="H60" s="4" t="s">
        <v>1893</v>
      </c>
      <c r="I60" s="4">
        <v>100.16</v>
      </c>
      <c r="J60" s="95">
        <f t="shared" si="46"/>
        <v>2.0006943158663546</v>
      </c>
      <c r="K60" s="95">
        <v>19000</v>
      </c>
      <c r="L60" s="95">
        <f t="shared" si="47"/>
        <v>4.2787536009528289</v>
      </c>
      <c r="M60" s="18">
        <v>1.31</v>
      </c>
      <c r="N60" s="220">
        <v>948</v>
      </c>
      <c r="O60" s="4" t="s">
        <v>1044</v>
      </c>
      <c r="P60" s="4"/>
      <c r="Q60" s="17">
        <v>0.03</v>
      </c>
      <c r="T60">
        <v>0.04</v>
      </c>
      <c r="U60">
        <v>0.06</v>
      </c>
      <c r="W60" s="95">
        <f t="shared" si="34"/>
        <v>-3.5065578973199818</v>
      </c>
      <c r="X60" s="95"/>
      <c r="Y60" s="95"/>
      <c r="Z60" s="95">
        <f t="shared" si="82"/>
        <v>-3.2188758248682006</v>
      </c>
      <c r="AA60" s="95">
        <f t="shared" si="82"/>
        <v>-2.8134107167600364</v>
      </c>
      <c r="AB60" s="95"/>
      <c r="AC60" s="95">
        <f>INTERCEPT(W60:AA60,W$47:AA$47)</f>
        <v>1.6343147620786191</v>
      </c>
      <c r="AD60" s="95">
        <f>SLOPE(W60:AA60,W$47:AA$47)</f>
        <v>-1541.7514127737668</v>
      </c>
      <c r="AE60" s="253">
        <f>RSQ(W$47:AA$47,W60:AA60)</f>
        <v>0.96002522689000946</v>
      </c>
      <c r="AF60" s="359">
        <f>(Z60-W60)/(Z$47-W$47)*0.008413</f>
        <v>-9.3184239539009113</v>
      </c>
      <c r="AG60" s="253">
        <f>(AA60-Z60)/(AA$47-Z$47)*0.008413</f>
        <v>-18.896049720132471</v>
      </c>
      <c r="AH60" s="210"/>
      <c r="AI60" s="210"/>
      <c r="AJ60" s="210"/>
      <c r="AK60" s="95">
        <f t="shared" si="67"/>
        <v>-2.8285044926334679</v>
      </c>
      <c r="AL60" s="95"/>
      <c r="AM60" s="95"/>
      <c r="AN60" s="95">
        <f t="shared" si="83"/>
        <v>-2.703565756025168</v>
      </c>
      <c r="AO60" s="242">
        <f t="shared" si="83"/>
        <v>-2.5274744969694867</v>
      </c>
      <c r="AP60" s="210"/>
      <c r="AQ60">
        <v>7.0000000000000005E-13</v>
      </c>
      <c r="AT60">
        <v>3.7E-12</v>
      </c>
      <c r="AU60">
        <v>1.0299999999999999E-11</v>
      </c>
      <c r="AW60" s="95">
        <f t="shared" si="49"/>
        <v>-12.154901959985743</v>
      </c>
      <c r="AX60" s="95"/>
      <c r="AY60" s="95"/>
      <c r="AZ60" s="95">
        <f t="shared" si="84"/>
        <v>-11.431798275933005</v>
      </c>
      <c r="BA60" s="95">
        <f t="shared" si="85"/>
        <v>-10.987162775294827</v>
      </c>
      <c r="BC60" s="95">
        <f t="shared" si="42"/>
        <v>-27.987696059867279</v>
      </c>
      <c r="BD60" s="95"/>
      <c r="BE60" s="95"/>
      <c r="BF60" s="95">
        <f t="shared" si="86"/>
        <v>-26.322688296278368</v>
      </c>
      <c r="BG60" s="95">
        <f t="shared" si="86"/>
        <v>-25.298877220692958</v>
      </c>
      <c r="BI60" s="95">
        <f>INTERCEPT(BC60:BG60,BC$47:BG$47)</f>
        <v>-7.4004275540254589</v>
      </c>
      <c r="BJ60" s="95">
        <f>SLOPE(BC60:BG60,BC$47:BG$47)</f>
        <v>-6128.6613646394508</v>
      </c>
      <c r="BK60" s="210">
        <f>RSQ(BC$47:BG$47,BC60:BG60)</f>
        <v>0.99889025320999381</v>
      </c>
      <c r="BL60" s="494">
        <f>VLOOKUP(B60,Literatuur!$A:$B,2,FALSE)</f>
        <v>3</v>
      </c>
      <c r="BM60" s="493"/>
      <c r="BN60" s="501" t="str">
        <f t="shared" si="87"/>
        <v>Methyl isobutyl ketone (MIBK)</v>
      </c>
      <c r="BO60" s="496">
        <f t="shared" si="88"/>
        <v>100.16</v>
      </c>
      <c r="BP60" s="495">
        <f t="shared" si="89"/>
        <v>19000</v>
      </c>
      <c r="BQ60" s="493">
        <f t="shared" si="90"/>
        <v>12.818121245801098</v>
      </c>
      <c r="BR60" s="493" t="s">
        <v>1558</v>
      </c>
      <c r="BS60" s="493" t="s">
        <v>2095</v>
      </c>
      <c r="BT60" s="493"/>
      <c r="BU60" s="493"/>
      <c r="BV60" s="493"/>
      <c r="BW60" s="493"/>
      <c r="BX60" s="493"/>
      <c r="BY60" s="493">
        <f t="shared" si="93"/>
        <v>50.953690585612392</v>
      </c>
      <c r="BZ60" s="493" t="s">
        <v>1558</v>
      </c>
      <c r="CA60" s="493" t="s">
        <v>2095</v>
      </c>
      <c r="CB60" s="210"/>
      <c r="CC60">
        <v>14.7</v>
      </c>
      <c r="CD60" s="183">
        <f>-AD60*8.314/1000</f>
        <v>12.818121245801098</v>
      </c>
      <c r="CE60" s="183"/>
      <c r="CF60" s="183"/>
      <c r="CG60" s="183"/>
      <c r="CH60" s="183"/>
      <c r="CI60" s="183"/>
      <c r="CJ60" s="183"/>
      <c r="CK60">
        <v>51</v>
      </c>
      <c r="CL60" s="183">
        <f>-BJ60*8.314/1000</f>
        <v>50.953690585612392</v>
      </c>
      <c r="CM60" s="211"/>
      <c r="CO60" s="183">
        <f t="shared" si="94"/>
        <v>50.953690585612392</v>
      </c>
      <c r="CP60" s="289">
        <v>65.7</v>
      </c>
      <c r="CR60" s="183"/>
      <c r="CS60" s="183"/>
      <c r="CT60" s="183"/>
      <c r="CU60" s="183">
        <f t="shared" si="57"/>
        <v>61.891348988410257</v>
      </c>
      <c r="CV60" s="125"/>
      <c r="CW60" s="95">
        <v>7</v>
      </c>
      <c r="CX60" s="95">
        <f>POWER(CW60,0.67)</f>
        <v>3.6831184560393226</v>
      </c>
      <c r="CY60" s="95">
        <f>POWER((1+2*PI()/CX60),CW60/EXP(1))</f>
        <v>12.980381148812873</v>
      </c>
      <c r="CZ60" s="95">
        <f>EXP(2*PI()/EXP(1))</f>
        <v>10.089090581018485</v>
      </c>
      <c r="DA60" s="95">
        <f>14*CW60+2</f>
        <v>100</v>
      </c>
      <c r="DB60" s="95">
        <f t="shared" si="95"/>
        <v>2</v>
      </c>
      <c r="DC60" s="95">
        <f>135+273</f>
        <v>408</v>
      </c>
      <c r="DD60" s="95">
        <v>8.4130000000000003E-3</v>
      </c>
      <c r="DE60" s="288">
        <f>POWER(CY60,0.32)*CZ60*DC60*DD60</f>
        <v>78.652957147690188</v>
      </c>
      <c r="DF60" s="211">
        <f>EXP(-DE60/(0.008314*DF$45))/EXP(-DE60/(0.008314*DF$46))</f>
        <v>0.18588087922802807</v>
      </c>
      <c r="DG60" s="211"/>
      <c r="DH60" s="211"/>
      <c r="DI60" s="211"/>
      <c r="DJ60" s="212"/>
      <c r="DK60" s="267"/>
      <c r="DL60" s="4"/>
      <c r="DM60" s="206"/>
      <c r="DN60" s="206"/>
      <c r="DO60" s="206"/>
      <c r="DP60" s="206"/>
      <c r="DQ60" s="206"/>
      <c r="DR60" s="206"/>
      <c r="DS60" s="206"/>
      <c r="DT60" s="206"/>
      <c r="DU60" s="268"/>
      <c r="DW60" s="373">
        <f>DP49/DO52</f>
        <v>1.7302684365202283</v>
      </c>
    </row>
    <row r="61" spans="1:127" x14ac:dyDescent="0.2">
      <c r="A61" s="4">
        <v>13</v>
      </c>
      <c r="B61" s="4" t="s">
        <v>1938</v>
      </c>
      <c r="C61" s="78" t="s">
        <v>859</v>
      </c>
      <c r="D61" s="53">
        <v>-1302</v>
      </c>
      <c r="E61" s="53" t="str">
        <f>VLOOKUP(D61,CompDbase!B:J,3,FALSE)</f>
        <v>Cyclohexaan</v>
      </c>
      <c r="F61" s="53">
        <f>VLOOKUP(D61,CompDbase!B:J,9,FALSE)</f>
        <v>49</v>
      </c>
      <c r="G61" s="4"/>
      <c r="H61" s="4" t="s">
        <v>1890</v>
      </c>
      <c r="I61" s="4">
        <v>84.16</v>
      </c>
      <c r="J61" s="95">
        <f t="shared" si="46"/>
        <v>1.9251057268096639</v>
      </c>
      <c r="K61" s="95">
        <v>49</v>
      </c>
      <c r="L61" s="95">
        <f t="shared" si="47"/>
        <v>1.6901960800285136</v>
      </c>
      <c r="M61" s="18">
        <v>3.48</v>
      </c>
      <c r="N61" s="220">
        <v>948</v>
      </c>
      <c r="O61" s="4" t="s">
        <v>1044</v>
      </c>
      <c r="P61" s="4"/>
      <c r="Q61" s="17">
        <v>0.01</v>
      </c>
      <c r="T61">
        <v>0.05</v>
      </c>
      <c r="U61">
        <v>7.0000000000000007E-2</v>
      </c>
      <c r="W61" s="95">
        <f t="shared" si="34"/>
        <v>-4.6051701859880909</v>
      </c>
      <c r="X61" s="95"/>
      <c r="Y61" s="95"/>
      <c r="Z61" s="95">
        <f t="shared" si="82"/>
        <v>-2.9957322735539909</v>
      </c>
      <c r="AA61" s="95">
        <f t="shared" si="82"/>
        <v>-2.6592600369327779</v>
      </c>
      <c r="AB61" s="95"/>
      <c r="AC61" s="95">
        <f>INTERCEPT(W61:AA61,W$47:AA$47)</f>
        <v>10.76913238673089</v>
      </c>
      <c r="AD61" s="95">
        <f>SLOPE(W61:AA61,W$47:AA$47)</f>
        <v>-4544.3536453731258</v>
      </c>
      <c r="AE61" s="253">
        <f>RSQ(W$47:AA$47,W61:AA61)</f>
        <v>0.93508477261320389</v>
      </c>
      <c r="AF61" s="359">
        <f>(Z61-W61)/(Z$47-W$47)*0.008413</f>
        <v>-52.131940887821351</v>
      </c>
      <c r="AG61" s="253">
        <f>(AA61-Z61)/(AA$47-Z$47)*0.008413</f>
        <v>-15.680747826376525</v>
      </c>
      <c r="AH61" s="210"/>
      <c r="AI61" s="210"/>
      <c r="AJ61" s="210"/>
      <c r="AK61" s="95">
        <f t="shared" si="67"/>
        <v>-0.71706822642881496</v>
      </c>
      <c r="AL61" s="95"/>
      <c r="AM61" s="95"/>
      <c r="AN61" s="95">
        <f t="shared" si="83"/>
        <v>-1.8098222092796219E-2</v>
      </c>
      <c r="AO61" s="242">
        <f t="shared" si="83"/>
        <v>0.12802981358544194</v>
      </c>
      <c r="AP61" s="210"/>
      <c r="AQ61">
        <v>1.7E-12</v>
      </c>
      <c r="AT61">
        <v>2.8999999999999998E-12</v>
      </c>
      <c r="AU61">
        <v>5.9999999999999995E-12</v>
      </c>
      <c r="AW61" s="95">
        <f t="shared" si="49"/>
        <v>-11.769551078621726</v>
      </c>
      <c r="AX61" s="95"/>
      <c r="AY61" s="95"/>
      <c r="AZ61" s="95">
        <f t="shared" si="84"/>
        <v>-11.537602002101044</v>
      </c>
      <c r="BA61" s="95">
        <f t="shared" si="85"/>
        <v>-11.221848749616356</v>
      </c>
      <c r="BC61" s="95">
        <f t="shared" si="42"/>
        <v>-27.100392864866379</v>
      </c>
      <c r="BD61" s="95"/>
      <c r="BE61" s="95"/>
      <c r="BF61" s="95">
        <f t="shared" si="86"/>
        <v>-26.566310378936119</v>
      </c>
      <c r="BG61" s="95">
        <f t="shared" si="86"/>
        <v>-25.839261646700493</v>
      </c>
      <c r="BI61" s="95">
        <f>INTERCEPT(BC61:BG61,BC$47:BG$47)</f>
        <v>-17.734415300510648</v>
      </c>
      <c r="BJ61" s="95">
        <f>SLOPE(BC61:BG61,BC$47:BG$47)</f>
        <v>-2807.9800177606189</v>
      </c>
      <c r="BK61" s="210">
        <f>RSQ(BC$47:BG$47,BC61:BG61)</f>
        <v>0.96373193320596606</v>
      </c>
      <c r="BL61" s="494">
        <f>VLOOKUP(B61,Literatuur!$A:$B,2,FALSE)</f>
        <v>3</v>
      </c>
      <c r="BM61" s="493" t="str">
        <f>VLOOKUP(N26,Literatuur!$A:$B,2,FALSE)</f>
        <v>H</v>
      </c>
      <c r="BN61" s="501" t="str">
        <f t="shared" ref="BN61:BN62" si="96">C61</f>
        <v>Cyclohexane</v>
      </c>
      <c r="BO61" s="496">
        <f t="shared" ref="BO61:BO62" si="97">I61</f>
        <v>84.16</v>
      </c>
      <c r="BP61" s="495">
        <f t="shared" ref="BP61:BP62" si="98">K61</f>
        <v>49</v>
      </c>
      <c r="BQ61" s="493">
        <f t="shared" ref="BQ61:BQ62" si="99">CD61</f>
        <v>37.781756207632171</v>
      </c>
      <c r="BR61" s="493" t="s">
        <v>1558</v>
      </c>
      <c r="BS61" s="493" t="s">
        <v>2095</v>
      </c>
      <c r="BT61" s="493">
        <f t="shared" ref="BT61" si="100">CG61</f>
        <v>-11.864879555464361</v>
      </c>
      <c r="BU61" s="493" t="s">
        <v>1558</v>
      </c>
      <c r="BV61" s="493" t="str">
        <f>AC27</f>
        <v>273 - 298 K</v>
      </c>
      <c r="BW61" s="493">
        <f t="shared" ref="BW61" si="101">CJ61</f>
        <v>0</v>
      </c>
      <c r="BX61" s="493" t="s">
        <v>1558</v>
      </c>
      <c r="BY61" s="493">
        <f t="shared" ref="BY61:BY62" si="102">CL61</f>
        <v>23.345545867661784</v>
      </c>
      <c r="BZ61" s="493" t="s">
        <v>1558</v>
      </c>
      <c r="CA61" s="493" t="s">
        <v>2095</v>
      </c>
      <c r="CB61" s="210"/>
      <c r="CC61">
        <v>32.4</v>
      </c>
      <c r="CD61" s="183">
        <f>-AD61*8.314/1000</f>
        <v>37.781756207632171</v>
      </c>
      <c r="CE61" s="183"/>
      <c r="CF61" s="183"/>
      <c r="CG61" s="183">
        <f>AE28</f>
        <v>-11.864879555464361</v>
      </c>
      <c r="CH61" s="183"/>
      <c r="CI61" s="183">
        <f>CD61-CG61</f>
        <v>49.646635763096533</v>
      </c>
      <c r="CJ61" s="194"/>
      <c r="CK61">
        <v>24.9</v>
      </c>
      <c r="CL61" s="183">
        <f>-BJ61*8.314/1000</f>
        <v>23.345545867661784</v>
      </c>
      <c r="CM61" s="211"/>
      <c r="CO61" s="183">
        <f t="shared" si="94"/>
        <v>23.345545867661784</v>
      </c>
      <c r="CP61" s="289">
        <v>57.2</v>
      </c>
      <c r="CR61" s="183"/>
      <c r="CS61" s="183"/>
      <c r="CT61" s="183">
        <f>CI61+CL61</f>
        <v>72.992181630758324</v>
      </c>
      <c r="CU61" s="183">
        <f t="shared" si="57"/>
        <v>36.770295427862429</v>
      </c>
      <c r="CV61" s="125"/>
      <c r="CW61" s="95">
        <v>8</v>
      </c>
      <c r="CX61" s="95">
        <f>POWER(CW61,0.67)</f>
        <v>4.0278222002268755</v>
      </c>
      <c r="CY61" s="95">
        <f>POWER((1+2*PI()/CX61),CW61/EXP(1))</f>
        <v>15.901488638104532</v>
      </c>
      <c r="CZ61" s="95">
        <f>EXP(2*PI()/EXP(1))</f>
        <v>10.089090581018485</v>
      </c>
      <c r="DA61" s="95">
        <f>14*CW61+2</f>
        <v>114</v>
      </c>
      <c r="DB61" s="95">
        <f t="shared" si="95"/>
        <v>2.0569048513364727</v>
      </c>
      <c r="DC61" s="95">
        <f>135+273</f>
        <v>408</v>
      </c>
      <c r="DD61" s="95">
        <v>8.4130000000000003E-3</v>
      </c>
      <c r="DE61" s="288">
        <f>POWER(CY61,0.32)*CZ61*DC61*DD61</f>
        <v>83.931148089674409</v>
      </c>
      <c r="DF61" s="211">
        <f>EXP(-DE61/(0.008314*DF$45))/EXP(-DE61/(0.008314*DF$46))</f>
        <v>0.16603322433840881</v>
      </c>
      <c r="DG61" s="211"/>
      <c r="DH61" s="211"/>
      <c r="DI61" s="211"/>
      <c r="DJ61" s="212"/>
      <c r="DK61" s="267"/>
      <c r="DL61" s="4"/>
      <c r="DM61" s="206"/>
      <c r="DN61" s="206"/>
      <c r="DO61" s="206"/>
      <c r="DP61" s="206"/>
      <c r="DQ61" s="206"/>
      <c r="DR61" s="206"/>
      <c r="DS61" s="206"/>
      <c r="DT61" s="206"/>
      <c r="DU61" s="268"/>
      <c r="DW61" s="373">
        <f>DO50/DO52</f>
        <v>3.3865105603036696</v>
      </c>
    </row>
    <row r="62" spans="1:127" x14ac:dyDescent="0.2">
      <c r="A62" s="4">
        <v>14</v>
      </c>
      <c r="B62" s="4" t="s">
        <v>1938</v>
      </c>
      <c r="C62" s="78" t="s">
        <v>510</v>
      </c>
      <c r="D62" s="53">
        <v>-1533</v>
      </c>
      <c r="E62" s="53" t="str">
        <f>VLOOKUP(D62,CompDbase!B:J,3,FALSE)</f>
        <v>Butyraldehyde</v>
      </c>
      <c r="F62" s="53">
        <f>VLOOKUP(D62,CompDbase!B:J,9,FALSE)</f>
        <v>71000</v>
      </c>
      <c r="G62" s="4"/>
      <c r="H62" s="4" t="s">
        <v>1893</v>
      </c>
      <c r="I62" s="4">
        <v>72.11</v>
      </c>
      <c r="J62" s="95">
        <f t="shared" si="46"/>
        <v>1.8579954955609239</v>
      </c>
      <c r="K62" s="95">
        <v>71000</v>
      </c>
      <c r="L62" s="95">
        <f t="shared" si="47"/>
        <v>4.8512583487190755</v>
      </c>
      <c r="M62" s="18">
        <v>0.88</v>
      </c>
      <c r="N62" s="220">
        <v>948</v>
      </c>
      <c r="O62" s="4" t="s">
        <v>1044</v>
      </c>
      <c r="P62" s="4"/>
      <c r="Q62" s="17">
        <v>0.02</v>
      </c>
      <c r="T62">
        <v>0.04</v>
      </c>
      <c r="U62">
        <v>0.06</v>
      </c>
      <c r="W62" s="95">
        <f t="shared" si="34"/>
        <v>-3.912023005428146</v>
      </c>
      <c r="X62" s="95"/>
      <c r="Y62" s="95"/>
      <c r="Z62" s="95">
        <f t="shared" si="82"/>
        <v>-3.2188758248682006</v>
      </c>
      <c r="AA62" s="95">
        <f t="shared" si="82"/>
        <v>-2.8134107167600364</v>
      </c>
      <c r="AB62" s="95"/>
      <c r="AC62" s="95">
        <f>INTERCEPT(W62:AA62,W$47:AA$47)</f>
        <v>4.5147321447839257</v>
      </c>
      <c r="AD62" s="95">
        <f>SLOPE(W62:AA62,W$47:AA$47)</f>
        <v>-2507.5451503892241</v>
      </c>
      <c r="AE62" s="253">
        <f>RSQ(W$47:AA$47,W62:AA62)</f>
        <v>0.99783483980515963</v>
      </c>
      <c r="AF62" s="359">
        <f>(Z62-W62)/(Z$47-W$47)*0.008413</f>
        <v>-22.452004867252494</v>
      </c>
      <c r="AG62" s="253">
        <f>(AA62-Z62)/(AA$47-Z$47)*0.008413</f>
        <v>-18.896049720132471</v>
      </c>
      <c r="AH62" s="210"/>
      <c r="AI62" s="210"/>
      <c r="AJ62" s="210"/>
      <c r="AK62" s="95">
        <f t="shared" si="67"/>
        <v>-3.5771004994553954</v>
      </c>
      <c r="AL62" s="95"/>
      <c r="AM62" s="95"/>
      <c r="AN62" s="95">
        <f t="shared" si="83"/>
        <v>-3.2760705037914142</v>
      </c>
      <c r="AO62" s="242">
        <f t="shared" si="83"/>
        <v>-3.0999792447357328</v>
      </c>
      <c r="AP62" s="210"/>
      <c r="AQ62">
        <v>3.4000000000000001E-12</v>
      </c>
      <c r="AT62">
        <v>1.1399999999999999E-11</v>
      </c>
      <c r="AU62">
        <v>1.7199999999999999E-11</v>
      </c>
      <c r="AW62" s="95">
        <f t="shared" si="49"/>
        <v>-11.468521082957745</v>
      </c>
      <c r="AX62" s="95"/>
      <c r="AY62" s="95"/>
      <c r="AZ62" s="95">
        <f t="shared" si="84"/>
        <v>-10.943095148663527</v>
      </c>
      <c r="BA62" s="95">
        <f t="shared" si="85"/>
        <v>-10.76447155309245</v>
      </c>
      <c r="BC62" s="95">
        <f t="shared" si="42"/>
        <v>-26.407245684306432</v>
      </c>
      <c r="BD62" s="95"/>
      <c r="BE62" s="95"/>
      <c r="BF62" s="95">
        <f t="shared" si="86"/>
        <v>-25.197407760528097</v>
      </c>
      <c r="BG62" s="95">
        <f t="shared" si="86"/>
        <v>-24.786111732109141</v>
      </c>
      <c r="BI62" s="95">
        <f>INTERCEPT(BC62:BG62,BC$47:BG$47)</f>
        <v>-13.752834408090722</v>
      </c>
      <c r="BJ62" s="95">
        <f>SLOPE(BC62:BG62,BC$47:BG$47)</f>
        <v>-3750.5890392243587</v>
      </c>
      <c r="BK62" s="210">
        <f>RSQ(BC$47:BG$47,BC62:BG62)</f>
        <v>0.97017240302492946</v>
      </c>
      <c r="BL62" s="494">
        <f>VLOOKUP(B62,Literatuur!$A:$B,2,FALSE)</f>
        <v>3</v>
      </c>
      <c r="BM62" s="493"/>
      <c r="BN62" s="501" t="str">
        <f t="shared" si="96"/>
        <v>Butyraldehyde</v>
      </c>
      <c r="BO62" s="496">
        <f t="shared" si="97"/>
        <v>72.11</v>
      </c>
      <c r="BP62" s="495">
        <f t="shared" si="98"/>
        <v>71000</v>
      </c>
      <c r="BQ62" s="493">
        <f t="shared" si="99"/>
        <v>20.847730380336007</v>
      </c>
      <c r="BR62" s="493" t="s">
        <v>1558</v>
      </c>
      <c r="BS62" s="493" t="s">
        <v>2095</v>
      </c>
      <c r="BT62" s="493"/>
      <c r="BU62" s="493"/>
      <c r="BV62" s="493"/>
      <c r="BW62" s="493"/>
      <c r="BX62" s="493"/>
      <c r="BY62" s="493">
        <f t="shared" si="102"/>
        <v>31.182397272111317</v>
      </c>
      <c r="BZ62" s="493" t="s">
        <v>1558</v>
      </c>
      <c r="CA62" s="493" t="s">
        <v>2095</v>
      </c>
      <c r="CB62" s="210"/>
      <c r="CC62">
        <v>19.5</v>
      </c>
      <c r="CD62" s="183">
        <f>-AD62*8.314/1000</f>
        <v>20.847730380336007</v>
      </c>
      <c r="CE62" s="183"/>
      <c r="CF62" s="183"/>
      <c r="CG62" s="183"/>
      <c r="CH62" s="183"/>
      <c r="CI62" s="183"/>
      <c r="CJ62" s="183"/>
      <c r="CK62">
        <v>31.3</v>
      </c>
      <c r="CL62" s="183">
        <f>-BJ62*8.314/1000</f>
        <v>31.182397272111317</v>
      </c>
      <c r="CM62" s="211"/>
      <c r="CO62" s="183">
        <f t="shared" si="94"/>
        <v>31.182397272111317</v>
      </c>
      <c r="CP62" s="289">
        <v>49.7</v>
      </c>
      <c r="CR62" s="183"/>
      <c r="CS62" s="183"/>
      <c r="CT62" s="183"/>
      <c r="CU62" s="183">
        <f t="shared" si="57"/>
        <v>57.713664497860051</v>
      </c>
      <c r="CV62" s="125"/>
      <c r="CW62" s="95">
        <v>9</v>
      </c>
      <c r="CX62" s="95">
        <f>POWER(CW62,0.67)</f>
        <v>4.3585545048903542</v>
      </c>
      <c r="CY62" s="95">
        <f>POWER((1+2*PI()/CX62),CW62/EXP(1))</f>
        <v>19.210688049673525</v>
      </c>
      <c r="CZ62" s="95">
        <f>EXP(2*PI()/EXP(1))</f>
        <v>10.089090581018485</v>
      </c>
      <c r="DA62" s="95">
        <f>14*CW62+2</f>
        <v>128</v>
      </c>
      <c r="DB62" s="95">
        <f t="shared" si="95"/>
        <v>2.1072099696478683</v>
      </c>
      <c r="DC62" s="95">
        <f>135+273</f>
        <v>408</v>
      </c>
      <c r="DD62" s="95">
        <v>8.4130000000000003E-3</v>
      </c>
      <c r="DE62" s="288">
        <f>POWER(CY62,0.32)*CZ62*DC62*DD62</f>
        <v>89.165491439385562</v>
      </c>
      <c r="DF62" s="211">
        <f>EXP(-DE62/(0.008314*DF$45))/EXP(-DE62/(0.008314*DF$46))</f>
        <v>0.14844400878682687</v>
      </c>
      <c r="DG62" s="211"/>
      <c r="DH62" s="211"/>
      <c r="DI62" s="211"/>
      <c r="DJ62" s="212"/>
      <c r="DK62" s="17"/>
      <c r="DU62" s="3"/>
    </row>
    <row r="63" spans="1:127" x14ac:dyDescent="0.2">
      <c r="C63" s="62"/>
      <c r="D63" s="65"/>
      <c r="E63" s="65"/>
      <c r="F63" s="65"/>
      <c r="J63" s="95"/>
      <c r="K63" s="95"/>
      <c r="M63" s="3"/>
      <c r="N63" s="68"/>
      <c r="P63" s="4"/>
      <c r="Q63" s="17"/>
      <c r="W63" s="95"/>
      <c r="X63" s="95"/>
      <c r="Y63" s="95"/>
      <c r="Z63" s="95"/>
      <c r="AA63" s="95"/>
      <c r="AB63" s="95"/>
      <c r="AC63" s="95"/>
      <c r="AD63" s="95"/>
      <c r="AE63" s="242"/>
      <c r="AF63" s="360">
        <f>AVERAGE(AF49:AF62)</f>
        <v>-15.968842183694163</v>
      </c>
      <c r="AG63" s="361">
        <f>AVERAGE(AG49:AG62)</f>
        <v>-19.955435400792254</v>
      </c>
      <c r="AH63" s="277"/>
      <c r="AI63" s="277"/>
      <c r="AJ63" s="277"/>
      <c r="AK63" s="95"/>
      <c r="AL63" s="95"/>
      <c r="AM63" s="95"/>
      <c r="AN63" s="95"/>
      <c r="AO63" s="242"/>
      <c r="AP63" s="95"/>
      <c r="AW63" s="95"/>
      <c r="AX63" s="95"/>
      <c r="AY63" s="95"/>
      <c r="AZ63" s="95"/>
      <c r="BA63" s="95"/>
      <c r="BC63" s="95"/>
      <c r="BD63" s="95"/>
      <c r="BE63" s="95"/>
      <c r="BF63" s="95"/>
      <c r="BG63" s="95"/>
      <c r="BI63" s="95"/>
      <c r="BJ63" s="95"/>
      <c r="BK63" s="95"/>
      <c r="BL63" s="494"/>
      <c r="BM63" s="494"/>
      <c r="BN63" s="499"/>
      <c r="BO63" s="497"/>
      <c r="BP63" s="494"/>
      <c r="BQ63" s="494"/>
      <c r="BR63" s="494"/>
      <c r="BS63" s="494"/>
      <c r="BT63" s="494"/>
      <c r="BU63" s="494"/>
      <c r="BV63" s="494"/>
      <c r="BW63" s="494"/>
      <c r="BX63" s="494"/>
      <c r="BY63" s="494"/>
      <c r="BZ63" s="494"/>
      <c r="CA63" s="494"/>
      <c r="CB63" s="95"/>
      <c r="CD63" s="95"/>
      <c r="CE63" s="95"/>
      <c r="CF63" s="95"/>
      <c r="CG63" s="95"/>
      <c r="CH63" s="95"/>
      <c r="CI63" s="95"/>
      <c r="CJ63" s="95"/>
      <c r="CL63" s="95"/>
      <c r="CM63" s="95"/>
      <c r="CO63" s="95"/>
      <c r="CP63" s="289"/>
      <c r="CR63" s="95"/>
      <c r="CS63" s="95"/>
      <c r="CT63" s="95"/>
      <c r="CU63" s="95"/>
      <c r="CV63" s="125"/>
      <c r="CW63" s="95">
        <v>10</v>
      </c>
      <c r="CX63" s="95">
        <f>POWER(CW63,0.67)</f>
        <v>4.6773514128719835</v>
      </c>
      <c r="CY63" s="95">
        <f>POWER((1+2*PI()/CX63),CW63/EXP(1))</f>
        <v>22.936927284225543</v>
      </c>
      <c r="CZ63" s="95">
        <f>EXP(2*PI()/EXP(1))</f>
        <v>10.089090581018485</v>
      </c>
      <c r="DA63" s="95">
        <f>14*CW63+2</f>
        <v>142</v>
      </c>
      <c r="DB63" s="95">
        <f t="shared" si="95"/>
        <v>2.1522883443830563</v>
      </c>
      <c r="DC63" s="95">
        <f>135+273</f>
        <v>408</v>
      </c>
      <c r="DD63" s="95">
        <v>8.4130000000000003E-3</v>
      </c>
      <c r="DE63" s="288">
        <f>POWER(CY63,0.32)*CZ63*DC63*DD63</f>
        <v>94.370085666203678</v>
      </c>
      <c r="DF63" s="211">
        <f>EXP(-DE63/(0.008314*DF$45))/EXP(-DE63/(0.008314*DF$46))</f>
        <v>0.13280265136597208</v>
      </c>
      <c r="DG63" s="211"/>
      <c r="DH63" s="211"/>
      <c r="DI63" s="211"/>
      <c r="DJ63" s="212"/>
      <c r="DK63" s="17"/>
      <c r="DN63" s="4"/>
      <c r="DU63" s="3"/>
    </row>
    <row r="64" spans="1:127" x14ac:dyDescent="0.2">
      <c r="A64" s="4">
        <v>360</v>
      </c>
      <c r="B64" s="4" t="s">
        <v>1936</v>
      </c>
      <c r="C64" s="78" t="s">
        <v>907</v>
      </c>
      <c r="D64" s="53">
        <v>400</v>
      </c>
      <c r="E64" s="53" t="str">
        <f>VLOOKUP(D64,CompDbase!B:J,3,FALSE)</f>
        <v>1,2-Dichloorethaan</v>
      </c>
      <c r="F64" s="53">
        <f>VLOOKUP(D64,CompDbase!B:J,9,FALSE)</f>
        <v>10188.832473485421</v>
      </c>
      <c r="G64" s="4"/>
      <c r="H64" s="4" t="s">
        <v>1891</v>
      </c>
      <c r="I64" s="4">
        <v>98.973331537275584</v>
      </c>
      <c r="J64" s="95">
        <f t="shared" ref="J64:J69" si="103">LOG(I64)</f>
        <v>1.9955181892798926</v>
      </c>
      <c r="K64" s="95">
        <v>10188.832473485421</v>
      </c>
      <c r="L64" s="95">
        <f t="shared" ref="L64:L69" si="104">LOG(K64)</f>
        <v>4.0081244215557099</v>
      </c>
      <c r="M64" s="18">
        <v>1.47</v>
      </c>
      <c r="N64" s="220">
        <v>950</v>
      </c>
      <c r="O64" s="4" t="s">
        <v>1044</v>
      </c>
      <c r="P64" s="4"/>
      <c r="Q64" s="17">
        <v>3.88421052631579E-2</v>
      </c>
      <c r="R64">
        <v>4.8631578947368415E-2</v>
      </c>
      <c r="S64">
        <v>0.06</v>
      </c>
      <c r="W64" s="95">
        <f t="shared" ref="W64:Y69" si="105">LN(Q64)</f>
        <v>-3.2482504335481051</v>
      </c>
      <c r="X64" s="95">
        <f t="shared" si="105"/>
        <v>-3.0234821865068935</v>
      </c>
      <c r="Y64" s="95">
        <f t="shared" si="105"/>
        <v>-2.8134107167600364</v>
      </c>
      <c r="Z64" s="95"/>
      <c r="AA64" s="95"/>
      <c r="AB64" s="95"/>
      <c r="AC64" s="95">
        <f t="shared" ref="AC64:AC69" si="106">INTERCEPT(W64:AA64,W$47:AA$47)</f>
        <v>3.6658938638597092</v>
      </c>
      <c r="AD64" s="95">
        <f t="shared" ref="AD64:AD69" si="107">SLOPE(W64:AA64,W$47:AA$47)</f>
        <v>-2060.3872060599879</v>
      </c>
      <c r="AE64" s="253">
        <f t="shared" ref="AE64:AE69" si="108">RSQ(W$47:AA$47,W64:AA64)</f>
        <v>0.99999941025224459</v>
      </c>
      <c r="AF64" s="359">
        <f t="shared" ref="AF64:AG69" si="109">(X64-W64)/(X$47-W$47)*0.008413</f>
        <v>-17.356127348024081</v>
      </c>
      <c r="AG64" s="253">
        <f t="shared" si="109"/>
        <v>-17.309949439667129</v>
      </c>
      <c r="AH64" s="210"/>
      <c r="AI64" s="210"/>
      <c r="AJ64" s="210"/>
      <c r="AK64" s="95">
        <f t="shared" ref="AK64:AM69" si="110">LOG(940*Q64/$K64)</f>
        <v>-2.4456938070857985</v>
      </c>
      <c r="AL64" s="95">
        <f t="shared" si="110"/>
        <v>-2.3480781976887335</v>
      </c>
      <c r="AM64" s="95">
        <f t="shared" si="110"/>
        <v>-2.2568453175723677</v>
      </c>
      <c r="AO64" s="3"/>
      <c r="AP64" s="210"/>
      <c r="AQ64">
        <v>3.8E-12</v>
      </c>
      <c r="AR64">
        <v>7.6999999999999999E-12</v>
      </c>
      <c r="AS64">
        <v>1.3300000000000002E-11</v>
      </c>
      <c r="AW64" s="95">
        <f t="shared" ref="AW64:AW69" si="111">LOG(AQ64)</f>
        <v>-11.42021640338319</v>
      </c>
      <c r="AX64" s="95">
        <f t="shared" ref="AX64:AX69" si="112">LOG(AR64)</f>
        <v>-11.113509274827518</v>
      </c>
      <c r="AY64" s="95">
        <f t="shared" ref="AY64:AY69" si="113">LOG(AS64)</f>
        <v>-10.876148359032914</v>
      </c>
      <c r="AZ64" s="95"/>
      <c r="BA64" s="95"/>
      <c r="BC64" s="95">
        <f t="shared" ref="BC64:BE69" si="114">LN(AQ64)</f>
        <v>-26.296020049196208</v>
      </c>
      <c r="BD64" s="95">
        <f t="shared" si="114"/>
        <v>-25.58980078706891</v>
      </c>
      <c r="BE64" s="95">
        <f t="shared" si="114"/>
        <v>-25.04325708070084</v>
      </c>
      <c r="BF64" s="95"/>
      <c r="BG64" s="95"/>
      <c r="BI64" s="95">
        <f t="shared" ref="BI64:BI69" si="115">INTERCEPT(BC64:BG64,BC$47:BG$47)</f>
        <v>-6.3374356390054452</v>
      </c>
      <c r="BJ64" s="95">
        <f t="shared" ref="BJ64:BJ69" si="116">SLOPE(BC64:BG64,BC$47:BG$47)</f>
        <v>-5941.9416546267785</v>
      </c>
      <c r="BK64" s="210">
        <f t="shared" ref="BK64:BK69" si="117">RSQ(BC$47:BG$47,BC64:BG64)</f>
        <v>0.99700947611137547</v>
      </c>
      <c r="BL64" s="494">
        <f>VLOOKUP(B64,Literatuur!$A:$B,2,FALSE)</f>
        <v>7</v>
      </c>
      <c r="BM64" s="493" t="str">
        <f>VLOOKUP(N18,Literatuur!$A:$B,2,FALSE)</f>
        <v>H</v>
      </c>
      <c r="BN64" s="501" t="str">
        <f t="shared" ref="BN64:BN66" si="118">C64</f>
        <v>1,2-Dichloroethane</v>
      </c>
      <c r="BO64" s="496">
        <f t="shared" ref="BO64:BO66" si="119">I64</f>
        <v>98.973331537275584</v>
      </c>
      <c r="BP64" s="495">
        <f t="shared" ref="BP64:BP66" si="120">K64</f>
        <v>10188.832473485421</v>
      </c>
      <c r="BQ64" s="493">
        <f t="shared" ref="BQ64:BQ66" si="121">CD64</f>
        <v>17.130059231182738</v>
      </c>
      <c r="BR64" s="493" t="s">
        <v>1558</v>
      </c>
      <c r="BS64" s="493" t="s">
        <v>2108</v>
      </c>
      <c r="BT64" s="493">
        <f t="shared" ref="BT64:BT65" si="122">CG64</f>
        <v>-2.018500532250977</v>
      </c>
      <c r="BU64" s="493" t="s">
        <v>1558</v>
      </c>
      <c r="BV64" s="493" t="str">
        <f>AC19</f>
        <v>273 - 298 K</v>
      </c>
      <c r="BW64" s="493">
        <f t="shared" ref="BW64:BW65" si="123">CJ64</f>
        <v>9.2591654021189207</v>
      </c>
      <c r="BX64" s="493" t="s">
        <v>1558</v>
      </c>
      <c r="BY64" s="493">
        <f t="shared" ref="BY64:BY66" si="124">CL64</f>
        <v>49.40130291656704</v>
      </c>
      <c r="BZ64" s="493" t="s">
        <v>1558</v>
      </c>
      <c r="CA64" s="493" t="s">
        <v>2108</v>
      </c>
      <c r="CB64" s="210"/>
      <c r="CC64">
        <v>17.170000000000002</v>
      </c>
      <c r="CD64" s="183">
        <f t="shared" ref="CD64:CD69" si="125">-AD64*8.314/1000</f>
        <v>17.130059231182738</v>
      </c>
      <c r="CE64" s="183"/>
      <c r="CF64" s="183"/>
      <c r="CG64" s="183">
        <f>AE20</f>
        <v>-2.018500532250977</v>
      </c>
      <c r="CH64" s="183"/>
      <c r="CI64" s="183">
        <v>9.2591654021189207</v>
      </c>
      <c r="CJ64" s="183">
        <f t="shared" ref="CJ64:CJ65" si="126">CI64</f>
        <v>9.2591654021189207</v>
      </c>
      <c r="CK64">
        <v>49.4</v>
      </c>
      <c r="CL64" s="183">
        <f t="shared" ref="CL64:CL69" si="127">-BJ64*8.314/1000</f>
        <v>49.40130291656704</v>
      </c>
      <c r="CM64" s="211"/>
      <c r="CO64" s="183">
        <f t="shared" ref="CO64:CO69" si="128">CL64</f>
        <v>49.40130291656704</v>
      </c>
      <c r="CP64" s="289">
        <v>66.569999999999993</v>
      </c>
      <c r="CR64" s="183"/>
      <c r="CS64" s="183"/>
      <c r="CT64" s="183">
        <f t="shared" ref="CT64:CT65" si="129">CI64+CL64</f>
        <v>58.660468318685957</v>
      </c>
      <c r="CU64" s="183">
        <f t="shared" ref="CU64:CU69" si="130">J64*CO$119+CO$121+L64*CJ$119+CJ$121</f>
        <v>59.431462793676488</v>
      </c>
      <c r="CV64" s="126"/>
      <c r="DJ64" s="3"/>
      <c r="DK64" s="12"/>
      <c r="DL64" s="13"/>
      <c r="DM64" s="13"/>
      <c r="DN64" s="13"/>
      <c r="DO64" s="13"/>
      <c r="DP64" s="13"/>
      <c r="DQ64" s="13"/>
      <c r="DR64" s="13"/>
      <c r="DS64" s="13"/>
      <c r="DT64" s="13"/>
      <c r="DU64" s="15"/>
    </row>
    <row r="65" spans="1:146" x14ac:dyDescent="0.2">
      <c r="A65" s="4">
        <v>363</v>
      </c>
      <c r="B65" s="4" t="s">
        <v>1936</v>
      </c>
      <c r="C65" s="78" t="s">
        <v>539</v>
      </c>
      <c r="D65" s="53">
        <v>-1534</v>
      </c>
      <c r="E65" s="53" t="str">
        <f>VLOOKUP(D65,CompDbase!B:J,3,FALSE)</f>
        <v>Chloroform</v>
      </c>
      <c r="F65" s="53">
        <f>VLOOKUP(D65,CompDbase!B:J,9,FALSE)</f>
        <v>7950</v>
      </c>
      <c r="G65" s="170" t="s">
        <v>932</v>
      </c>
      <c r="H65" s="4" t="s">
        <v>1891</v>
      </c>
      <c r="I65" s="4">
        <v>119.38</v>
      </c>
      <c r="J65" s="95">
        <f t="shared" si="103"/>
        <v>2.0769315745556556</v>
      </c>
      <c r="K65" s="95">
        <v>7950</v>
      </c>
      <c r="L65" s="95">
        <f t="shared" si="104"/>
        <v>3.9003671286564705</v>
      </c>
      <c r="M65" s="18">
        <v>1.97</v>
      </c>
      <c r="N65" s="220">
        <v>950</v>
      </c>
      <c r="O65" s="4" t="s">
        <v>1044</v>
      </c>
      <c r="P65" s="4"/>
      <c r="Q65" s="17">
        <v>9.6000000000000002E-2</v>
      </c>
      <c r="R65">
        <v>0.1168421052631579</v>
      </c>
      <c r="S65">
        <v>0.13789473684210526</v>
      </c>
      <c r="W65" s="95">
        <f t="shared" si="105"/>
        <v>-2.3434070875143007</v>
      </c>
      <c r="X65" s="95">
        <f t="shared" si="105"/>
        <v>-2.1469317832822523</v>
      </c>
      <c r="Y65" s="95">
        <f t="shared" si="105"/>
        <v>-1.981264661393435</v>
      </c>
      <c r="Z65" s="95"/>
      <c r="AA65" s="95"/>
      <c r="AB65" s="95"/>
      <c r="AC65" s="95">
        <f t="shared" si="106"/>
        <v>3.4210053610787807</v>
      </c>
      <c r="AD65" s="95">
        <f t="shared" si="107"/>
        <v>-1716.879785430762</v>
      </c>
      <c r="AE65" s="253">
        <f t="shared" si="108"/>
        <v>0.9990801329219281</v>
      </c>
      <c r="AF65" s="359">
        <f t="shared" si="109"/>
        <v>-15.171406307973603</v>
      </c>
      <c r="AG65" s="253">
        <f t="shared" si="109"/>
        <v>-13.651018423235945</v>
      </c>
      <c r="AH65" s="210"/>
      <c r="AI65" s="210"/>
      <c r="AJ65" s="210"/>
      <c r="AK65" s="95">
        <f>LOG(940*Q65/$K65)</f>
        <v>-1.9449680420172033</v>
      </c>
      <c r="AL65" s="95">
        <f t="shared" si="110"/>
        <v>-1.859639901558962</v>
      </c>
      <c r="AM65" s="95">
        <f t="shared" si="110"/>
        <v>-1.7876915846898551</v>
      </c>
      <c r="AO65" s="3"/>
      <c r="AP65" s="210"/>
      <c r="AQ65">
        <v>6.6000000000000001E-12</v>
      </c>
      <c r="AR65">
        <v>1.4900000000000002E-11</v>
      </c>
      <c r="AS65">
        <v>2.31E-11</v>
      </c>
      <c r="AW65" s="95">
        <f t="shared" si="111"/>
        <v>-11.180456064458131</v>
      </c>
      <c r="AX65" s="95">
        <f t="shared" si="112"/>
        <v>-10.826813731587725</v>
      </c>
      <c r="AY65" s="95">
        <f t="shared" si="113"/>
        <v>-10.636388020107855</v>
      </c>
      <c r="AZ65" s="95"/>
      <c r="BA65" s="95"/>
      <c r="BC65" s="95">
        <f t="shared" si="114"/>
        <v>-25.743951466896167</v>
      </c>
      <c r="BD65" s="95">
        <f t="shared" si="114"/>
        <v>-24.929659902977136</v>
      </c>
      <c r="BE65" s="95">
        <f t="shared" si="114"/>
        <v>-24.491188498400799</v>
      </c>
      <c r="BF65" s="95"/>
      <c r="BG65" s="95"/>
      <c r="BI65" s="95">
        <f t="shared" si="115"/>
        <v>-5.7133441629312856</v>
      </c>
      <c r="BJ65" s="95">
        <f t="shared" si="116"/>
        <v>-5953.0214882397831</v>
      </c>
      <c r="BK65" s="210">
        <f t="shared" si="117"/>
        <v>0.97684632703038221</v>
      </c>
      <c r="BL65" s="494">
        <f>VLOOKUP(B65,Literatuur!$A:$B,2,FALSE)</f>
        <v>7</v>
      </c>
      <c r="BM65" s="493" t="str">
        <f>VLOOKUP(N22,Literatuur!$A:$B,2,FALSE)</f>
        <v>H</v>
      </c>
      <c r="BN65" s="501" t="str">
        <f t="shared" si="118"/>
        <v>Chloroform</v>
      </c>
      <c r="BO65" s="496">
        <f t="shared" si="119"/>
        <v>119.38</v>
      </c>
      <c r="BP65" s="495">
        <f t="shared" si="120"/>
        <v>7950</v>
      </c>
      <c r="BQ65" s="493">
        <f t="shared" si="121"/>
        <v>14.274138536071355</v>
      </c>
      <c r="BR65" s="493" t="s">
        <v>1558</v>
      </c>
      <c r="BS65" s="493" t="s">
        <v>2108</v>
      </c>
      <c r="BT65" s="493">
        <f t="shared" si="122"/>
        <v>-5.868549740603088</v>
      </c>
      <c r="BU65" s="493" t="s">
        <v>1558</v>
      </c>
      <c r="BV65" s="493" t="str">
        <f>AC23</f>
        <v>273 - 298 K</v>
      </c>
      <c r="BW65" s="493">
        <f t="shared" si="123"/>
        <v>9.2591654021189207</v>
      </c>
      <c r="BX65" s="493" t="s">
        <v>1558</v>
      </c>
      <c r="BY65" s="493">
        <f t="shared" si="124"/>
        <v>49.493420653225556</v>
      </c>
      <c r="BZ65" s="493" t="s">
        <v>1558</v>
      </c>
      <c r="CA65" s="493" t="s">
        <v>2108</v>
      </c>
      <c r="CB65" s="210"/>
      <c r="CC65">
        <v>14.28</v>
      </c>
      <c r="CD65" s="183">
        <f t="shared" si="125"/>
        <v>14.274138536071355</v>
      </c>
      <c r="CE65" s="183"/>
      <c r="CF65" s="183"/>
      <c r="CG65" s="183">
        <f>AE24</f>
        <v>-5.868549740603088</v>
      </c>
      <c r="CH65" s="183"/>
      <c r="CI65" s="183">
        <v>9.2591654021189207</v>
      </c>
      <c r="CJ65" s="183">
        <f t="shared" si="126"/>
        <v>9.2591654021189207</v>
      </c>
      <c r="CK65">
        <v>41.88</v>
      </c>
      <c r="CL65" s="183">
        <f t="shared" si="127"/>
        <v>49.493420653225556</v>
      </c>
      <c r="CM65" s="211"/>
      <c r="CO65" s="183">
        <f t="shared" si="128"/>
        <v>49.493420653225556</v>
      </c>
      <c r="CP65" s="289">
        <v>58.17</v>
      </c>
      <c r="CR65" s="183"/>
      <c r="CS65" s="183"/>
      <c r="CT65" s="183">
        <f t="shared" si="129"/>
        <v>58.75258605534448</v>
      </c>
      <c r="CU65" s="183">
        <f t="shared" si="130"/>
        <v>63.548774630400601</v>
      </c>
      <c r="CV65" s="107" t="s">
        <v>1454</v>
      </c>
      <c r="CW65" s="108"/>
      <c r="CX65" s="108"/>
      <c r="CY65" s="110"/>
      <c r="CZ65" s="110"/>
      <c r="DA65" s="110"/>
      <c r="DB65" s="110"/>
      <c r="DC65" s="110"/>
      <c r="DD65" s="110"/>
      <c r="DE65" s="110"/>
      <c r="DF65" s="110"/>
      <c r="DG65" s="110"/>
      <c r="DH65" s="110"/>
      <c r="DI65" s="110"/>
      <c r="DJ65" s="111"/>
    </row>
    <row r="66" spans="1:146" ht="15.75" x14ac:dyDescent="0.3">
      <c r="A66" s="4">
        <v>366</v>
      </c>
      <c r="B66" s="4" t="s">
        <v>1936</v>
      </c>
      <c r="C66" s="78" t="s">
        <v>540</v>
      </c>
      <c r="D66" s="53">
        <v>405</v>
      </c>
      <c r="E66" s="53" t="str">
        <f>VLOOKUP(D66,CompDbase!B:J,3,FALSE)</f>
        <v>Trichlooretheen</v>
      </c>
      <c r="F66" s="53">
        <f>VLOOKUP(D66,CompDbase!B:J,9,FALSE)</f>
        <v>1164.8441611748488</v>
      </c>
      <c r="G66" s="4"/>
      <c r="H66" s="4" t="s">
        <v>1891</v>
      </c>
      <c r="I66" s="4">
        <v>131.4</v>
      </c>
      <c r="J66" s="95">
        <f t="shared" si="103"/>
        <v>2.1185953652237619</v>
      </c>
      <c r="K66" s="95">
        <v>1164.8441611748488</v>
      </c>
      <c r="L66" s="95">
        <f t="shared" si="104"/>
        <v>3.0662678271054604</v>
      </c>
      <c r="M66" s="18">
        <v>2.61</v>
      </c>
      <c r="N66" s="220">
        <v>950</v>
      </c>
      <c r="O66" s="4" t="s">
        <v>1044</v>
      </c>
      <c r="P66" s="4"/>
      <c r="Q66" s="17">
        <v>0.11810526315789473</v>
      </c>
      <c r="R66">
        <v>0.14684210526315788</v>
      </c>
      <c r="S66">
        <v>0.17578947368421052</v>
      </c>
      <c r="W66" s="95">
        <f t="shared" si="105"/>
        <v>-2.1361789915059908</v>
      </c>
      <c r="X66" s="95">
        <f t="shared" si="105"/>
        <v>-1.9183973833331662</v>
      </c>
      <c r="Y66" s="95">
        <f t="shared" si="105"/>
        <v>-1.7384681721778315</v>
      </c>
      <c r="Z66" s="95"/>
      <c r="AA66" s="95"/>
      <c r="AB66" s="95"/>
      <c r="AC66" s="95">
        <f t="shared" si="106"/>
        <v>4.1957333517571787</v>
      </c>
      <c r="AD66" s="95">
        <f t="shared" si="107"/>
        <v>-1885.7118437190188</v>
      </c>
      <c r="AE66" s="253">
        <f t="shared" si="108"/>
        <v>0.99869363442850811</v>
      </c>
      <c r="AF66" s="359">
        <f t="shared" si="109"/>
        <v>-16.816633911870944</v>
      </c>
      <c r="AG66" s="253">
        <f t="shared" si="109"/>
        <v>-14.826218674869022</v>
      </c>
      <c r="AH66" s="210"/>
      <c r="AI66" s="210"/>
      <c r="AJ66" s="210"/>
      <c r="AK66" s="95">
        <f t="shared" si="110"/>
        <v>-1.020870721874467</v>
      </c>
      <c r="AL66" s="95">
        <f t="shared" si="110"/>
        <v>-0.92628937118499333</v>
      </c>
      <c r="AM66" s="95">
        <f t="shared" si="110"/>
        <v>-0.84814710764702639</v>
      </c>
      <c r="AO66" s="3"/>
      <c r="AP66" s="210"/>
      <c r="AQ66">
        <v>1.0200000000000001E-11</v>
      </c>
      <c r="AR66">
        <v>2.3300000000000003E-11</v>
      </c>
      <c r="AS66">
        <v>3.1299999999999998E-11</v>
      </c>
      <c r="AW66" s="95">
        <f t="shared" si="111"/>
        <v>-10.991399828238082</v>
      </c>
      <c r="AX66" s="95">
        <f t="shared" si="112"/>
        <v>-10.63264407897398</v>
      </c>
      <c r="AY66" s="95">
        <f t="shared" si="113"/>
        <v>-10.504455662453552</v>
      </c>
      <c r="AZ66" s="95"/>
      <c r="BA66" s="95"/>
      <c r="BC66" s="95">
        <f t="shared" si="114"/>
        <v>-25.308633395638324</v>
      </c>
      <c r="BD66" s="95">
        <f t="shared" si="114"/>
        <v>-24.482567755356893</v>
      </c>
      <c r="BE66" s="95">
        <f t="shared" si="114"/>
        <v>-24.18740301838244</v>
      </c>
      <c r="BF66" s="95"/>
      <c r="BG66" s="95"/>
      <c r="BI66" s="95">
        <f t="shared" si="115"/>
        <v>-7.3162958559079847</v>
      </c>
      <c r="BJ66" s="95">
        <f t="shared" si="116"/>
        <v>-5337.9623037696902</v>
      </c>
      <c r="BK66" s="210">
        <f t="shared" si="117"/>
        <v>0.93969358505980138</v>
      </c>
      <c r="BL66" s="494">
        <f>VLOOKUP(B66,Literatuur!$A:$B,2,FALSE)</f>
        <v>7</v>
      </c>
      <c r="BM66" s="493"/>
      <c r="BN66" s="501" t="str">
        <f t="shared" si="118"/>
        <v>Trichloroethylene</v>
      </c>
      <c r="BO66" s="496">
        <f t="shared" si="119"/>
        <v>131.4</v>
      </c>
      <c r="BP66" s="495">
        <f t="shared" si="120"/>
        <v>1164.8441611748488</v>
      </c>
      <c r="BQ66" s="493">
        <f t="shared" si="121"/>
        <v>15.677808268679923</v>
      </c>
      <c r="BR66" s="493" t="s">
        <v>1558</v>
      </c>
      <c r="BS66" s="493" t="s">
        <v>2108</v>
      </c>
      <c r="BT66" s="493"/>
      <c r="BU66" s="493"/>
      <c r="BV66" s="493"/>
      <c r="BW66" s="493"/>
      <c r="BX66" s="493"/>
      <c r="BY66" s="493">
        <f t="shared" si="124"/>
        <v>44.379818593541202</v>
      </c>
      <c r="BZ66" s="493" t="s">
        <v>1558</v>
      </c>
      <c r="CA66" s="493" t="s">
        <v>2108</v>
      </c>
      <c r="CB66" s="210"/>
      <c r="CC66">
        <v>15.69</v>
      </c>
      <c r="CD66" s="183">
        <f t="shared" si="125"/>
        <v>15.677808268679923</v>
      </c>
      <c r="CE66" s="183"/>
      <c r="CF66" s="183"/>
      <c r="CG66" s="183"/>
      <c r="CH66" s="183"/>
      <c r="CI66" s="183"/>
      <c r="CJ66" s="183"/>
      <c r="CK66">
        <v>44.38</v>
      </c>
      <c r="CL66" s="183">
        <f t="shared" si="127"/>
        <v>44.379818593541202</v>
      </c>
      <c r="CM66" s="211"/>
      <c r="CO66" s="183">
        <f t="shared" si="128"/>
        <v>44.379818593541202</v>
      </c>
      <c r="CP66" s="289">
        <v>60.07</v>
      </c>
      <c r="CR66" s="183"/>
      <c r="CS66" s="183"/>
      <c r="CT66" s="183"/>
      <c r="CU66" s="183">
        <f t="shared" si="130"/>
        <v>59.485196556004425</v>
      </c>
      <c r="CV66" s="394"/>
      <c r="CW66" s="395"/>
      <c r="CX66" s="395"/>
      <c r="CY66" s="395"/>
      <c r="CZ66" s="395"/>
      <c r="DA66" s="395" t="s">
        <v>1948</v>
      </c>
      <c r="DB66" s="395"/>
      <c r="DC66" s="395"/>
      <c r="DD66" s="395"/>
      <c r="DE66" s="395" t="s">
        <v>1949</v>
      </c>
      <c r="DF66" s="395"/>
      <c r="DG66" s="395"/>
      <c r="DH66" s="395"/>
      <c r="DI66" s="395"/>
      <c r="DJ66" s="396"/>
    </row>
    <row r="67" spans="1:146" x14ac:dyDescent="0.2">
      <c r="A67" s="4">
        <v>369</v>
      </c>
      <c r="B67" s="4" t="s">
        <v>1936</v>
      </c>
      <c r="C67" s="78" t="s">
        <v>907</v>
      </c>
      <c r="D67" s="53">
        <v>400</v>
      </c>
      <c r="E67" s="53" t="str">
        <f>VLOOKUP(D67,CompDbase!B:J,3,FALSE)</f>
        <v>1,2-Dichloorethaan</v>
      </c>
      <c r="F67" s="53">
        <f>VLOOKUP(D67,CompDbase!B:J,9,FALSE)</f>
        <v>10188.832473485421</v>
      </c>
      <c r="G67" s="4"/>
      <c r="H67" s="4" t="s">
        <v>1891</v>
      </c>
      <c r="I67" s="4">
        <v>98.973331537275584</v>
      </c>
      <c r="J67" s="95">
        <f t="shared" si="103"/>
        <v>1.9955181892798926</v>
      </c>
      <c r="K67" s="95">
        <v>10188.832473485421</v>
      </c>
      <c r="L67" s="95">
        <f t="shared" si="104"/>
        <v>4.0081244215557099</v>
      </c>
      <c r="M67" s="18">
        <v>1.47</v>
      </c>
      <c r="N67" s="220">
        <v>950</v>
      </c>
      <c r="O67" s="4" t="s">
        <v>1082</v>
      </c>
      <c r="P67" s="4"/>
      <c r="Q67" s="17">
        <v>1.905263157894737E-2</v>
      </c>
      <c r="R67">
        <v>2.8210526315789474E-2</v>
      </c>
      <c r="S67">
        <v>3.3052631578947368E-2</v>
      </c>
      <c r="W67" s="95">
        <f t="shared" si="105"/>
        <v>-3.9605500463228065</v>
      </c>
      <c r="X67" s="95">
        <f t="shared" si="105"/>
        <v>-3.5680600970777756</v>
      </c>
      <c r="Y67" s="95">
        <f t="shared" si="105"/>
        <v>-3.409654091680379</v>
      </c>
      <c r="Z67" s="95"/>
      <c r="AA67" s="95"/>
      <c r="AB67" s="95"/>
      <c r="AC67" s="95">
        <f t="shared" si="106"/>
        <v>4.8707362227046023</v>
      </c>
      <c r="AD67" s="95">
        <f t="shared" si="107"/>
        <v>-2621.3377682785158</v>
      </c>
      <c r="AE67" s="253">
        <f t="shared" si="108"/>
        <v>0.95159303641934523</v>
      </c>
      <c r="AF67" s="359">
        <f t="shared" si="109"/>
        <v>-30.307241488017009</v>
      </c>
      <c r="AG67" s="253">
        <f t="shared" si="109"/>
        <v>-13.052700338950224</v>
      </c>
      <c r="AH67" s="210"/>
      <c r="AI67" s="210"/>
      <c r="AJ67" s="210"/>
      <c r="AK67" s="95">
        <f t="shared" si="110"/>
        <v>-2.7550415983756742</v>
      </c>
      <c r="AL67" s="95">
        <f t="shared" si="110"/>
        <v>-2.5845853792160702</v>
      </c>
      <c r="AM67" s="95">
        <f t="shared" si="110"/>
        <v>-2.5157905251716439</v>
      </c>
      <c r="AO67" s="3"/>
      <c r="AP67" s="210"/>
      <c r="AQ67">
        <v>4.4999999999999998E-12</v>
      </c>
      <c r="AR67">
        <v>6.9999999999999993E-12</v>
      </c>
      <c r="AS67">
        <v>1.43E-11</v>
      </c>
      <c r="AW67" s="95">
        <f t="shared" si="111"/>
        <v>-11.346787486224656</v>
      </c>
      <c r="AX67" s="95">
        <f t="shared" si="112"/>
        <v>-11.154901959985743</v>
      </c>
      <c r="AY67" s="95">
        <f t="shared" si="113"/>
        <v>-10.844663962534938</v>
      </c>
      <c r="AZ67" s="95"/>
      <c r="BA67" s="95"/>
      <c r="BC67" s="95">
        <f t="shared" si="114"/>
        <v>-26.126943719152273</v>
      </c>
      <c r="BD67" s="95">
        <f t="shared" si="114"/>
        <v>-25.685110966873236</v>
      </c>
      <c r="BE67" s="95">
        <f t="shared" si="114"/>
        <v>-24.970761578662685</v>
      </c>
      <c r="BF67" s="95"/>
      <c r="BG67" s="95"/>
      <c r="BI67" s="95">
        <f t="shared" si="115"/>
        <v>-7.8469630547625115</v>
      </c>
      <c r="BJ67" s="95">
        <f t="shared" si="116"/>
        <v>-5462.3284231565376</v>
      </c>
      <c r="BK67" s="210">
        <f t="shared" si="117"/>
        <v>0.97647215536815979</v>
      </c>
      <c r="BL67" s="494">
        <f>VLOOKUP(B67,Literatuur!$A:$B,2,FALSE)</f>
        <v>7</v>
      </c>
      <c r="BM67" s="493" t="str">
        <f>VLOOKUP(N18,Literatuur!$A:$B,2,FALSE)</f>
        <v>H</v>
      </c>
      <c r="BN67" s="501" t="str">
        <f t="shared" ref="BN67:BN69" si="131">C67</f>
        <v>1,2-Dichloroethane</v>
      </c>
      <c r="BO67" s="496">
        <f t="shared" ref="BO67:BO69" si="132">I67</f>
        <v>98.973331537275584</v>
      </c>
      <c r="BP67" s="495">
        <f t="shared" ref="BP67:BP69" si="133">K67</f>
        <v>10188.832473485421</v>
      </c>
      <c r="BQ67" s="493">
        <f t="shared" ref="BQ67:BQ69" si="134">CD67</f>
        <v>21.793802205467582</v>
      </c>
      <c r="BR67" s="493" t="s">
        <v>1558</v>
      </c>
      <c r="BS67" s="493" t="s">
        <v>2108</v>
      </c>
      <c r="BT67" s="493">
        <f t="shared" ref="BT67:BT68" si="135">CG67</f>
        <v>-2.018500532250977</v>
      </c>
      <c r="BU67" s="493" t="s">
        <v>1558</v>
      </c>
      <c r="BV67" s="493" t="str">
        <f>AC19</f>
        <v>273 - 298 K</v>
      </c>
      <c r="BW67" s="493">
        <f t="shared" ref="BW67:BW68" si="136">CJ67</f>
        <v>9.2591654021189207</v>
      </c>
      <c r="BX67" s="493" t="s">
        <v>1558</v>
      </c>
      <c r="BY67" s="493">
        <f t="shared" ref="BY67:BY69" si="137">CL67</f>
        <v>45.413798510123449</v>
      </c>
      <c r="BZ67" s="493" t="s">
        <v>1558</v>
      </c>
      <c r="CA67" s="493" t="s">
        <v>2108</v>
      </c>
      <c r="CB67" s="210"/>
      <c r="CC67">
        <v>20.260000000000002</v>
      </c>
      <c r="CD67" s="183">
        <f t="shared" si="125"/>
        <v>21.793802205467582</v>
      </c>
      <c r="CE67" s="183"/>
      <c r="CF67" s="183"/>
      <c r="CG67" s="183">
        <f>AE20</f>
        <v>-2.018500532250977</v>
      </c>
      <c r="CH67" s="183"/>
      <c r="CI67" s="183">
        <v>9.2591654021189207</v>
      </c>
      <c r="CJ67" s="183">
        <f t="shared" ref="CJ67:CJ68" si="138">CI67</f>
        <v>9.2591654021189207</v>
      </c>
      <c r="CK67">
        <v>45.41</v>
      </c>
      <c r="CL67" s="183">
        <f t="shared" si="127"/>
        <v>45.413798510123449</v>
      </c>
      <c r="CM67" s="211"/>
      <c r="CO67" s="183">
        <f t="shared" si="128"/>
        <v>45.413798510123449</v>
      </c>
      <c r="CP67" s="289">
        <v>67.430000000000007</v>
      </c>
      <c r="CR67" s="183"/>
      <c r="CS67" s="183"/>
      <c r="CT67" s="183">
        <f t="shared" ref="CT67:CT68" si="139">CI67+CL67</f>
        <v>54.672963912242366</v>
      </c>
      <c r="CU67" s="183">
        <f t="shared" si="130"/>
        <v>59.431462793676488</v>
      </c>
      <c r="CV67" s="397" t="s">
        <v>11</v>
      </c>
      <c r="CW67" s="398"/>
      <c r="CX67" s="393"/>
      <c r="CY67" s="393"/>
      <c r="CZ67" s="393"/>
      <c r="DA67" s="393">
        <v>1</v>
      </c>
      <c r="DB67" s="393">
        <f t="shared" ref="DB67:DB70" si="140">LOG(DA67)</f>
        <v>0</v>
      </c>
      <c r="DC67" s="393"/>
      <c r="DD67" s="393"/>
      <c r="DE67" s="399">
        <f>10454*0.008314</f>
        <v>86.914556000000005</v>
      </c>
      <c r="DF67" s="393"/>
      <c r="DG67" s="393"/>
      <c r="DH67" s="393"/>
      <c r="DI67" s="393"/>
      <c r="DJ67" s="400"/>
    </row>
    <row r="68" spans="1:146" x14ac:dyDescent="0.2">
      <c r="A68" s="4">
        <v>372</v>
      </c>
      <c r="B68" s="4" t="s">
        <v>1936</v>
      </c>
      <c r="C68" s="78" t="s">
        <v>539</v>
      </c>
      <c r="D68" s="53">
        <v>-1534</v>
      </c>
      <c r="E68" s="53" t="str">
        <f>VLOOKUP(D68,CompDbase!B:J,3,FALSE)</f>
        <v>Chloroform</v>
      </c>
      <c r="F68" s="53">
        <f>VLOOKUP(D68,CompDbase!B:J,9,FALSE)</f>
        <v>7950</v>
      </c>
      <c r="G68" s="170" t="s">
        <v>932</v>
      </c>
      <c r="H68" s="4" t="s">
        <v>1891</v>
      </c>
      <c r="I68" s="4">
        <v>119.38</v>
      </c>
      <c r="J68" s="95">
        <f t="shared" si="103"/>
        <v>2.0769315745556556</v>
      </c>
      <c r="K68" s="95">
        <v>7950</v>
      </c>
      <c r="L68" s="95">
        <f t="shared" si="104"/>
        <v>3.9003671286564705</v>
      </c>
      <c r="M68" s="18">
        <v>1.97</v>
      </c>
      <c r="N68" s="220">
        <v>950</v>
      </c>
      <c r="O68" s="4" t="s">
        <v>1082</v>
      </c>
      <c r="P68" s="4"/>
      <c r="Q68" s="17">
        <v>0.14147368421052633</v>
      </c>
      <c r="R68">
        <v>0.17789473684210527</v>
      </c>
      <c r="S68">
        <v>0.25105263157894736</v>
      </c>
      <c r="W68" s="95">
        <f t="shared" si="105"/>
        <v>-1.9556415565055372</v>
      </c>
      <c r="X68" s="95">
        <f t="shared" si="105"/>
        <v>-1.726563269671513</v>
      </c>
      <c r="Y68" s="95">
        <f t="shared" si="105"/>
        <v>-1.3820926742661905</v>
      </c>
      <c r="Z68" s="95"/>
      <c r="AA68" s="95"/>
      <c r="AB68" s="95"/>
      <c r="AC68" s="95">
        <f t="shared" si="106"/>
        <v>7.1191300203701564</v>
      </c>
      <c r="AD68" s="95">
        <f t="shared" si="107"/>
        <v>-2710.7195929080162</v>
      </c>
      <c r="AE68" s="253">
        <f t="shared" si="108"/>
        <v>0.98204996616356255</v>
      </c>
      <c r="AF68" s="359">
        <f t="shared" si="109"/>
        <v>-17.688939480092682</v>
      </c>
      <c r="AG68" s="253">
        <f t="shared" si="109"/>
        <v>-28.384475993353558</v>
      </c>
      <c r="AH68" s="210"/>
      <c r="AI68" s="210"/>
      <c r="AJ68" s="210"/>
      <c r="AK68" s="95">
        <f t="shared" si="110"/>
        <v>-1.776563611627813</v>
      </c>
      <c r="AL68" s="95">
        <f t="shared" si="110"/>
        <v>-1.6770761757319459</v>
      </c>
      <c r="AM68" s="95">
        <f t="shared" si="110"/>
        <v>-1.5274744969694867</v>
      </c>
      <c r="AO68" s="3"/>
      <c r="AP68" s="210"/>
      <c r="AQ68">
        <v>3.9999999999999999E-12</v>
      </c>
      <c r="AR68">
        <v>7.9000000000000015E-12</v>
      </c>
      <c r="AS68">
        <v>1.66E-11</v>
      </c>
      <c r="AW68" s="95">
        <f t="shared" si="111"/>
        <v>-11.397940008672037</v>
      </c>
      <c r="AX68" s="95">
        <f t="shared" si="112"/>
        <v>-11.102372908709558</v>
      </c>
      <c r="AY68" s="95">
        <f t="shared" si="113"/>
        <v>-10.779891911959945</v>
      </c>
      <c r="AZ68" s="95"/>
      <c r="BA68" s="95"/>
      <c r="BC68" s="95">
        <f t="shared" si="114"/>
        <v>-26.244726754808656</v>
      </c>
      <c r="BD68" s="95">
        <f t="shared" si="114"/>
        <v>-25.564158356455572</v>
      </c>
      <c r="BE68" s="95">
        <f t="shared" si="114"/>
        <v>-24.82161842056605</v>
      </c>
      <c r="BF68" s="95"/>
      <c r="BG68" s="95"/>
      <c r="BI68" s="95">
        <f t="shared" si="115"/>
        <v>-3.6533503589858043</v>
      </c>
      <c r="BJ68" s="95">
        <f t="shared" si="116"/>
        <v>-6737.4266586812309</v>
      </c>
      <c r="BK68" s="210">
        <f t="shared" si="117"/>
        <v>0.99807584306697028</v>
      </c>
      <c r="BL68" s="494">
        <f>VLOOKUP(B68,Literatuur!$A:$B,2,FALSE)</f>
        <v>7</v>
      </c>
      <c r="BM68" s="493" t="str">
        <f>VLOOKUP(N22,Literatuur!$A:$B,2,FALSE)</f>
        <v>H</v>
      </c>
      <c r="BN68" s="501" t="str">
        <f t="shared" si="131"/>
        <v>Chloroform</v>
      </c>
      <c r="BO68" s="496">
        <f t="shared" si="132"/>
        <v>119.38</v>
      </c>
      <c r="BP68" s="495">
        <f t="shared" si="133"/>
        <v>7950</v>
      </c>
      <c r="BQ68" s="493">
        <f t="shared" si="134"/>
        <v>22.536922695437248</v>
      </c>
      <c r="BR68" s="493" t="s">
        <v>1558</v>
      </c>
      <c r="BS68" s="493" t="s">
        <v>2108</v>
      </c>
      <c r="BT68" s="493">
        <f t="shared" si="135"/>
        <v>-5.868549740603088</v>
      </c>
      <c r="BU68" s="493" t="s">
        <v>1558</v>
      </c>
      <c r="BV68" s="493" t="str">
        <f>AC23</f>
        <v>273 - 298 K</v>
      </c>
      <c r="BW68" s="493">
        <f t="shared" si="136"/>
        <v>9.2591654021189207</v>
      </c>
      <c r="BX68" s="493" t="s">
        <v>1558</v>
      </c>
      <c r="BY68" s="493">
        <f t="shared" si="137"/>
        <v>56.014965240275757</v>
      </c>
      <c r="BZ68" s="493" t="s">
        <v>1558</v>
      </c>
      <c r="CA68" s="493" t="s">
        <v>2108</v>
      </c>
      <c r="CB68" s="210"/>
      <c r="CC68">
        <v>22.53</v>
      </c>
      <c r="CD68" s="183">
        <f t="shared" si="125"/>
        <v>22.536922695437248</v>
      </c>
      <c r="CE68" s="183"/>
      <c r="CF68" s="183"/>
      <c r="CG68" s="183">
        <f>AE24</f>
        <v>-5.868549740603088</v>
      </c>
      <c r="CH68" s="183"/>
      <c r="CI68" s="183">
        <v>9.2591654021189207</v>
      </c>
      <c r="CJ68" s="183">
        <f t="shared" si="138"/>
        <v>9.2591654021189207</v>
      </c>
      <c r="CK68">
        <v>56.55</v>
      </c>
      <c r="CL68" s="183">
        <f t="shared" si="127"/>
        <v>56.014965240275757</v>
      </c>
      <c r="CM68" s="211"/>
      <c r="CO68" s="183">
        <f t="shared" si="128"/>
        <v>56.014965240275757</v>
      </c>
      <c r="CP68" s="289">
        <v>78.55</v>
      </c>
      <c r="CR68" s="183"/>
      <c r="CS68" s="183"/>
      <c r="CT68" s="183">
        <f t="shared" si="139"/>
        <v>65.274130642394681</v>
      </c>
      <c r="CU68" s="183">
        <f t="shared" si="130"/>
        <v>63.548774630400601</v>
      </c>
      <c r="CV68" s="397" t="s">
        <v>11</v>
      </c>
      <c r="CW68" s="401"/>
      <c r="CX68" s="289"/>
      <c r="CY68" s="289"/>
      <c r="CZ68" s="289"/>
      <c r="DA68" s="289">
        <v>1000</v>
      </c>
      <c r="DB68" s="289">
        <f t="shared" si="140"/>
        <v>3</v>
      </c>
      <c r="DC68" s="289"/>
      <c r="DD68" s="289"/>
      <c r="DE68" s="402">
        <f>10454*0.008314</f>
        <v>86.914556000000005</v>
      </c>
      <c r="DF68" s="289"/>
      <c r="DG68" s="289"/>
      <c r="DH68" s="289"/>
      <c r="DI68" s="289"/>
      <c r="DJ68" s="290"/>
    </row>
    <row r="69" spans="1:146" x14ac:dyDescent="0.2">
      <c r="A69" s="4">
        <v>375</v>
      </c>
      <c r="B69" s="4" t="s">
        <v>1936</v>
      </c>
      <c r="C69" s="78" t="s">
        <v>540</v>
      </c>
      <c r="D69" s="53">
        <v>405</v>
      </c>
      <c r="E69" s="53" t="str">
        <f>VLOOKUP(D69,CompDbase!B:J,3,FALSE)</f>
        <v>Trichlooretheen</v>
      </c>
      <c r="F69" s="53">
        <f>VLOOKUP(D69,CompDbase!B:J,9,FALSE)</f>
        <v>1164.8441611748488</v>
      </c>
      <c r="G69" s="4"/>
      <c r="H69" s="4" t="s">
        <v>1891</v>
      </c>
      <c r="I69" s="4">
        <v>131.4</v>
      </c>
      <c r="J69" s="95">
        <f t="shared" si="103"/>
        <v>2.1185953652237619</v>
      </c>
      <c r="K69" s="95">
        <v>1164.8441611748488</v>
      </c>
      <c r="L69" s="95">
        <f t="shared" si="104"/>
        <v>3.0662678271054604</v>
      </c>
      <c r="M69" s="18">
        <v>2.61</v>
      </c>
      <c r="N69" s="220">
        <v>950</v>
      </c>
      <c r="O69" s="4" t="s">
        <v>1082</v>
      </c>
      <c r="P69" s="4"/>
      <c r="Q69" s="17">
        <v>0.16126315789473683</v>
      </c>
      <c r="R69">
        <v>0.20484210526315788</v>
      </c>
      <c r="S69">
        <v>0.22305263157894736</v>
      </c>
      <c r="W69" s="95">
        <f t="shared" si="105"/>
        <v>-1.8247177272880957</v>
      </c>
      <c r="X69" s="95">
        <f t="shared" si="105"/>
        <v>-1.585515814842682</v>
      </c>
      <c r="Y69" s="95">
        <f t="shared" si="105"/>
        <v>-1.5003475193203331</v>
      </c>
      <c r="Z69" s="95"/>
      <c r="AA69" s="95"/>
      <c r="AB69" s="95"/>
      <c r="AC69" s="95">
        <f t="shared" si="106"/>
        <v>3.380585816256179</v>
      </c>
      <c r="AD69" s="95">
        <f t="shared" si="107"/>
        <v>-1544.2870113303575</v>
      </c>
      <c r="AE69" s="253">
        <f t="shared" si="108"/>
        <v>0.93934244587359661</v>
      </c>
      <c r="AF69" s="359">
        <f t="shared" si="109"/>
        <v>-18.470664379618977</v>
      </c>
      <c r="AG69" s="253">
        <f t="shared" si="109"/>
        <v>-7.0178920113760253</v>
      </c>
      <c r="AH69" s="210"/>
      <c r="AI69" s="210"/>
      <c r="AJ69" s="210"/>
      <c r="AK69" s="95">
        <f t="shared" si="110"/>
        <v>-0.88560481349802467</v>
      </c>
      <c r="AL69" s="95">
        <f t="shared" si="110"/>
        <v>-0.78172074286227666</v>
      </c>
      <c r="AM69" s="95">
        <f t="shared" si="110"/>
        <v>-0.74473262208381508</v>
      </c>
      <c r="AO69" s="3"/>
      <c r="AP69" s="210"/>
      <c r="AQ69">
        <v>8.9000000000000013E-12</v>
      </c>
      <c r="AR69">
        <v>1.37E-11</v>
      </c>
      <c r="AS69">
        <v>2.29E-11</v>
      </c>
      <c r="AW69" s="95">
        <f t="shared" si="111"/>
        <v>-11.050609993355087</v>
      </c>
      <c r="AX69" s="95">
        <f t="shared" si="112"/>
        <v>-10.863279432843592</v>
      </c>
      <c r="AY69" s="95">
        <f t="shared" si="113"/>
        <v>-10.640164517660113</v>
      </c>
      <c r="AZ69" s="95"/>
      <c r="BA69" s="95"/>
      <c r="BC69" s="95">
        <f t="shared" si="114"/>
        <v>-25.444969839190453</v>
      </c>
      <c r="BD69" s="95">
        <f t="shared" si="114"/>
        <v>-25.01362528309447</v>
      </c>
      <c r="BE69" s="95">
        <f t="shared" si="114"/>
        <v>-24.499884205368353</v>
      </c>
      <c r="BF69" s="95"/>
      <c r="BG69" s="95"/>
      <c r="BI69" s="95">
        <f t="shared" si="115"/>
        <v>-10.455788727958653</v>
      </c>
      <c r="BJ69" s="95">
        <f t="shared" si="116"/>
        <v>-4472.2080752876318</v>
      </c>
      <c r="BK69" s="210">
        <f t="shared" si="117"/>
        <v>0.99524155479831622</v>
      </c>
      <c r="BL69" s="494">
        <f>VLOOKUP(B69,Literatuur!$A:$B,2,FALSE)</f>
        <v>7</v>
      </c>
      <c r="BM69" s="493"/>
      <c r="BN69" s="501" t="str">
        <f t="shared" si="131"/>
        <v>Trichloroethylene</v>
      </c>
      <c r="BO69" s="496">
        <f t="shared" si="132"/>
        <v>131.4</v>
      </c>
      <c r="BP69" s="495">
        <f t="shared" si="133"/>
        <v>1164.8441611748488</v>
      </c>
      <c r="BQ69" s="493">
        <f t="shared" si="134"/>
        <v>12.839202212200593</v>
      </c>
      <c r="BR69" s="493" t="s">
        <v>1558</v>
      </c>
      <c r="BS69" s="493" t="s">
        <v>2108</v>
      </c>
      <c r="BT69" s="493"/>
      <c r="BU69" s="493"/>
      <c r="BV69" s="493"/>
      <c r="BW69" s="493"/>
      <c r="BX69" s="493"/>
      <c r="BY69" s="493">
        <f t="shared" si="137"/>
        <v>37.18193793794137</v>
      </c>
      <c r="BZ69" s="493" t="s">
        <v>1558</v>
      </c>
      <c r="CA69" s="493" t="s">
        <v>2108</v>
      </c>
      <c r="CB69" s="210"/>
      <c r="CC69">
        <v>9.6</v>
      </c>
      <c r="CD69" s="183">
        <f t="shared" si="125"/>
        <v>12.839202212200593</v>
      </c>
      <c r="CE69" s="183"/>
      <c r="CF69" s="183"/>
      <c r="CG69" s="183"/>
      <c r="CH69" s="183"/>
      <c r="CI69" s="183"/>
      <c r="CJ69" s="183"/>
      <c r="CK69">
        <v>37.39</v>
      </c>
      <c r="CL69" s="183">
        <f t="shared" si="127"/>
        <v>37.18193793794137</v>
      </c>
      <c r="CM69" s="211"/>
      <c r="CO69" s="183">
        <f t="shared" si="128"/>
        <v>37.18193793794137</v>
      </c>
      <c r="CP69" s="289">
        <v>46.77</v>
      </c>
      <c r="CR69" s="183"/>
      <c r="CS69" s="183"/>
      <c r="CT69" s="183"/>
      <c r="CU69" s="183">
        <f t="shared" si="130"/>
        <v>59.485196556004425</v>
      </c>
      <c r="CV69" s="397" t="s">
        <v>12</v>
      </c>
      <c r="CW69" s="401"/>
      <c r="CX69" s="289"/>
      <c r="CY69" s="289"/>
      <c r="CZ69" s="289"/>
      <c r="DA69" s="289">
        <v>1</v>
      </c>
      <c r="DB69" s="289">
        <f t="shared" si="140"/>
        <v>0</v>
      </c>
      <c r="DC69" s="289"/>
      <c r="DD69" s="289"/>
      <c r="DE69" s="402">
        <f>(10454+1577)*0.008314</f>
        <v>100.025734</v>
      </c>
      <c r="DF69" s="289"/>
      <c r="DG69" s="289"/>
      <c r="DH69" s="289"/>
      <c r="DI69" s="289"/>
      <c r="DJ69" s="290"/>
    </row>
    <row r="70" spans="1:146" x14ac:dyDescent="0.2">
      <c r="A70" s="4"/>
      <c r="B70" s="4"/>
      <c r="C70" s="115"/>
      <c r="D70" s="57"/>
      <c r="E70" s="57"/>
      <c r="F70" s="57"/>
      <c r="G70" s="14"/>
      <c r="H70" s="14"/>
      <c r="I70" s="14"/>
      <c r="J70" s="14"/>
      <c r="K70" s="182"/>
      <c r="L70" s="14"/>
      <c r="M70" s="20"/>
      <c r="N70" s="221"/>
      <c r="O70" s="4"/>
      <c r="P70" s="4"/>
      <c r="Q70" s="12"/>
      <c r="R70" s="13"/>
      <c r="S70" s="13"/>
      <c r="T70" s="13"/>
      <c r="U70" s="13"/>
      <c r="V70" s="13"/>
      <c r="W70" s="182"/>
      <c r="X70" s="182"/>
      <c r="Y70" s="182"/>
      <c r="Z70" s="182"/>
      <c r="AA70" s="182"/>
      <c r="AB70" s="182"/>
      <c r="AC70" s="182"/>
      <c r="AD70" s="182"/>
      <c r="AE70" s="255"/>
      <c r="AF70" s="362">
        <f>AVERAGE(AF56:AF69)</f>
        <v>-19.844519139626559</v>
      </c>
      <c r="AG70" s="363">
        <f>AVERAGE(AG56:AG69)</f>
        <v>-17.531066207602567</v>
      </c>
      <c r="AH70" s="277"/>
      <c r="AI70" s="277"/>
      <c r="AJ70" s="277"/>
      <c r="AK70" s="13"/>
      <c r="AL70" s="13"/>
      <c r="AM70" s="13"/>
      <c r="AN70" s="13"/>
      <c r="AO70" s="15"/>
      <c r="AP70" s="210"/>
      <c r="AW70" s="95"/>
      <c r="AX70" s="95"/>
      <c r="AY70" s="95"/>
      <c r="AZ70" s="95"/>
      <c r="BA70" s="95"/>
      <c r="BB70" s="95"/>
      <c r="BC70" s="95"/>
      <c r="BD70" s="95"/>
      <c r="BE70" s="95"/>
      <c r="BF70" s="95"/>
      <c r="BG70" s="95"/>
      <c r="BH70" s="95"/>
      <c r="BI70" s="95"/>
      <c r="BJ70" s="210"/>
      <c r="CD70" s="183"/>
      <c r="CE70" s="183"/>
      <c r="CF70" s="183"/>
      <c r="CG70" s="183"/>
      <c r="CH70" s="183"/>
      <c r="CI70" s="183"/>
      <c r="CJ70" s="183"/>
      <c r="CL70" s="183"/>
      <c r="CM70" s="211"/>
      <c r="CR70" s="183"/>
      <c r="CS70" s="183"/>
      <c r="CT70" s="183"/>
      <c r="CU70" s="183"/>
      <c r="CV70" s="403" t="s">
        <v>12</v>
      </c>
      <c r="CW70" s="404"/>
      <c r="CX70" s="405"/>
      <c r="CY70" s="405"/>
      <c r="CZ70" s="405"/>
      <c r="DA70" s="405">
        <v>1000</v>
      </c>
      <c r="DB70" s="405">
        <f t="shared" si="140"/>
        <v>3</v>
      </c>
      <c r="DC70" s="405"/>
      <c r="DD70" s="405"/>
      <c r="DE70" s="406">
        <f>(10454+1577)*0.008314</f>
        <v>100.025734</v>
      </c>
      <c r="DF70" s="405"/>
      <c r="DG70" s="405"/>
      <c r="DH70" s="405"/>
      <c r="DI70" s="405"/>
      <c r="DJ70" s="407"/>
    </row>
    <row r="71" spans="1:146" x14ac:dyDescent="0.2">
      <c r="A71" s="107" t="s">
        <v>1039</v>
      </c>
      <c r="B71" s="108"/>
      <c r="C71" s="107" t="s">
        <v>613</v>
      </c>
      <c r="D71" s="108"/>
      <c r="E71" s="108"/>
      <c r="F71" s="108"/>
      <c r="G71" s="108"/>
      <c r="H71" s="108"/>
      <c r="I71" s="108"/>
      <c r="J71" s="108"/>
      <c r="K71" s="205"/>
      <c r="L71" s="108"/>
      <c r="M71" s="109"/>
      <c r="N71" s="108"/>
      <c r="O71" s="108"/>
      <c r="P71" s="108"/>
      <c r="Q71" s="107" t="s">
        <v>396</v>
      </c>
      <c r="R71" s="108"/>
      <c r="S71" s="108"/>
      <c r="T71" s="108"/>
      <c r="U71" s="108"/>
      <c r="V71" s="108"/>
      <c r="W71" s="108"/>
      <c r="X71" s="108"/>
      <c r="Y71" s="108"/>
      <c r="Z71" s="108"/>
      <c r="AA71" s="108"/>
      <c r="AB71" s="108"/>
      <c r="AC71" s="108"/>
      <c r="AD71" s="108"/>
      <c r="AE71" s="109"/>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10"/>
      <c r="BK71" s="110"/>
      <c r="CC71" s="108" t="s">
        <v>1441</v>
      </c>
      <c r="CD71" s="108"/>
      <c r="CE71" s="108"/>
      <c r="CF71" s="108"/>
      <c r="CG71" s="108"/>
      <c r="CH71" s="108"/>
      <c r="CI71" s="108"/>
      <c r="CJ71" s="108"/>
      <c r="CK71" s="110"/>
      <c r="CL71" s="110"/>
      <c r="CM71" s="110"/>
      <c r="CN71" s="110"/>
      <c r="CO71" s="110"/>
      <c r="CP71" s="110"/>
      <c r="CQ71" s="110"/>
      <c r="CR71" s="110"/>
      <c r="CS71" s="110"/>
      <c r="CT71" s="110"/>
      <c r="CU71" s="110"/>
      <c r="CY71" s="215"/>
      <c r="CZ71" s="215"/>
      <c r="DC71" s="218"/>
    </row>
    <row r="72" spans="1:146" ht="15.75" x14ac:dyDescent="0.3">
      <c r="A72" s="53" t="s">
        <v>13</v>
      </c>
      <c r="B72" s="53" t="s">
        <v>1039</v>
      </c>
      <c r="C72" s="78"/>
      <c r="D72" s="53"/>
      <c r="E72" s="53"/>
      <c r="F72" s="53"/>
      <c r="G72" s="51"/>
      <c r="H72" s="51"/>
      <c r="I72" s="51"/>
      <c r="J72" s="51"/>
      <c r="K72" s="463"/>
      <c r="L72" s="51"/>
      <c r="M72" s="52"/>
      <c r="N72" s="51"/>
      <c r="O72" s="51"/>
      <c r="P72" s="51"/>
      <c r="Q72" s="61" t="s">
        <v>366</v>
      </c>
      <c r="R72" s="51"/>
      <c r="S72" s="51"/>
      <c r="T72" s="51"/>
      <c r="U72" s="51"/>
      <c r="V72" s="51"/>
      <c r="W72" s="213" t="s">
        <v>1501</v>
      </c>
      <c r="X72" s="213"/>
      <c r="Y72" s="213"/>
      <c r="Z72" s="213"/>
      <c r="AA72" s="213"/>
      <c r="AB72" s="213"/>
      <c r="AC72" s="53" t="s">
        <v>9</v>
      </c>
      <c r="AD72" s="53" t="s">
        <v>10</v>
      </c>
      <c r="AE72" s="67" t="s">
        <v>1450</v>
      </c>
      <c r="AF72" s="53"/>
      <c r="AG72" s="53"/>
      <c r="AH72" s="53"/>
      <c r="AI72" s="53"/>
      <c r="AJ72" s="53"/>
      <c r="AK72" s="53"/>
      <c r="AL72" s="53"/>
      <c r="AM72" s="53"/>
      <c r="AN72" s="53"/>
      <c r="AO72" s="53"/>
      <c r="AP72" s="53"/>
      <c r="AQ72" s="213" t="s">
        <v>398</v>
      </c>
      <c r="AR72" s="213"/>
      <c r="AS72" s="213"/>
      <c r="AT72" s="213"/>
      <c r="AU72" s="213"/>
      <c r="AV72" s="213"/>
      <c r="AW72" s="213" t="s">
        <v>1559</v>
      </c>
      <c r="AX72" s="213"/>
      <c r="AY72" s="213"/>
      <c r="AZ72" s="213"/>
      <c r="BA72" s="213"/>
      <c r="BB72" s="213"/>
      <c r="BC72" s="213" t="s">
        <v>1423</v>
      </c>
      <c r="BD72" s="213"/>
      <c r="BE72" s="213"/>
      <c r="BF72" s="213"/>
      <c r="BG72" s="213"/>
      <c r="BH72" s="213"/>
      <c r="BI72" s="53" t="s">
        <v>9</v>
      </c>
      <c r="BJ72" s="53" t="s">
        <v>10</v>
      </c>
      <c r="BK72" s="53" t="s">
        <v>1450</v>
      </c>
      <c r="BL72" s="5"/>
      <c r="BM72" s="5"/>
      <c r="BN72" s="21"/>
      <c r="BO72" s="5"/>
      <c r="BP72" s="5"/>
      <c r="BQ72" s="5"/>
      <c r="BR72" s="5"/>
      <c r="BS72" s="5"/>
      <c r="BT72" s="5"/>
      <c r="BU72" s="5"/>
      <c r="BV72" s="5"/>
      <c r="BW72" s="5"/>
      <c r="BX72" s="5"/>
      <c r="BY72" s="5"/>
      <c r="BZ72" s="5"/>
      <c r="CA72" s="5"/>
      <c r="CB72" s="4"/>
      <c r="CC72" s="98" t="s">
        <v>498</v>
      </c>
      <c r="CD72" s="216"/>
      <c r="CE72" s="216"/>
      <c r="CF72" s="216"/>
      <c r="CG72" s="216"/>
      <c r="CH72" s="216"/>
      <c r="CI72" s="216"/>
      <c r="CJ72" s="216"/>
      <c r="CK72" s="65"/>
      <c r="CL72" s="53" t="s">
        <v>1062</v>
      </c>
      <c r="CM72" s="53"/>
      <c r="CN72" s="53"/>
      <c r="CO72" s="53"/>
      <c r="CP72" s="51" t="s">
        <v>1527</v>
      </c>
      <c r="CQ72" s="216"/>
      <c r="CR72" s="216"/>
      <c r="CS72" s="216"/>
      <c r="CT72" s="216"/>
      <c r="CU72" s="216"/>
    </row>
    <row r="73" spans="1:146" s="9" customFormat="1" x14ac:dyDescent="0.2">
      <c r="A73" s="246" t="s">
        <v>770</v>
      </c>
      <c r="B73" s="247" t="s">
        <v>771</v>
      </c>
      <c r="C73" s="246"/>
      <c r="D73" s="247"/>
      <c r="E73" s="247"/>
      <c r="F73" s="247"/>
      <c r="G73" s="247"/>
      <c r="H73" s="247"/>
      <c r="I73" s="247"/>
      <c r="J73" s="247"/>
      <c r="K73" s="250"/>
      <c r="L73" s="247"/>
      <c r="M73" s="248"/>
      <c r="N73" s="247"/>
      <c r="O73" s="247"/>
      <c r="P73" s="247"/>
      <c r="Q73" s="256">
        <f t="shared" ref="Q73:AB73" si="141">Q74-273</f>
        <v>5</v>
      </c>
      <c r="R73" s="250">
        <f t="shared" si="141"/>
        <v>23</v>
      </c>
      <c r="S73" s="250">
        <f t="shared" si="141"/>
        <v>40</v>
      </c>
      <c r="T73" s="250">
        <f t="shared" si="141"/>
        <v>60</v>
      </c>
      <c r="U73" s="250">
        <f t="shared" si="141"/>
        <v>80</v>
      </c>
      <c r="V73" s="250">
        <f t="shared" si="141"/>
        <v>100</v>
      </c>
      <c r="W73" s="250">
        <f t="shared" si="141"/>
        <v>5</v>
      </c>
      <c r="X73" s="250">
        <f t="shared" si="141"/>
        <v>23</v>
      </c>
      <c r="Y73" s="250">
        <f t="shared" si="141"/>
        <v>40</v>
      </c>
      <c r="Z73" s="250">
        <f t="shared" si="141"/>
        <v>60</v>
      </c>
      <c r="AA73" s="250">
        <f t="shared" si="141"/>
        <v>80</v>
      </c>
      <c r="AB73" s="250">
        <f t="shared" si="141"/>
        <v>100</v>
      </c>
      <c r="AC73" s="257" t="s">
        <v>1484</v>
      </c>
      <c r="AD73" s="249"/>
      <c r="AE73" s="251"/>
      <c r="AF73" s="249"/>
      <c r="AG73" s="249"/>
      <c r="AH73" s="249"/>
      <c r="AI73" s="249"/>
      <c r="AJ73" s="249"/>
      <c r="AK73" s="250"/>
      <c r="AL73" s="250"/>
      <c r="AM73" s="250"/>
      <c r="AN73" s="250"/>
      <c r="AO73" s="250"/>
      <c r="AP73" s="249"/>
      <c r="AQ73" s="250">
        <f t="shared" ref="AQ73:BH73" si="142">AQ74-273</f>
        <v>5</v>
      </c>
      <c r="AR73" s="250">
        <f t="shared" si="142"/>
        <v>23</v>
      </c>
      <c r="AS73" s="250">
        <f t="shared" si="142"/>
        <v>40</v>
      </c>
      <c r="AT73" s="250">
        <f t="shared" si="142"/>
        <v>60</v>
      </c>
      <c r="AU73" s="250">
        <f t="shared" si="142"/>
        <v>80</v>
      </c>
      <c r="AV73" s="250">
        <f t="shared" si="142"/>
        <v>100</v>
      </c>
      <c r="AW73" s="250">
        <f t="shared" si="142"/>
        <v>5</v>
      </c>
      <c r="AX73" s="250">
        <f t="shared" si="142"/>
        <v>23</v>
      </c>
      <c r="AY73" s="250">
        <f t="shared" si="142"/>
        <v>40</v>
      </c>
      <c r="AZ73" s="250">
        <f t="shared" si="142"/>
        <v>60</v>
      </c>
      <c r="BA73" s="250">
        <f t="shared" si="142"/>
        <v>80</v>
      </c>
      <c r="BB73" s="250">
        <f t="shared" si="142"/>
        <v>100</v>
      </c>
      <c r="BC73" s="250">
        <f t="shared" si="142"/>
        <v>5</v>
      </c>
      <c r="BD73" s="250">
        <f t="shared" si="142"/>
        <v>23</v>
      </c>
      <c r="BE73" s="250">
        <f t="shared" si="142"/>
        <v>40</v>
      </c>
      <c r="BF73" s="250">
        <f t="shared" si="142"/>
        <v>60</v>
      </c>
      <c r="BG73" s="250">
        <f t="shared" si="142"/>
        <v>80</v>
      </c>
      <c r="BH73" s="250">
        <f t="shared" si="142"/>
        <v>100</v>
      </c>
      <c r="BI73" s="257" t="s">
        <v>1484</v>
      </c>
      <c r="BJ73" s="249"/>
      <c r="BK73" s="249"/>
      <c r="BL73" s="2"/>
      <c r="BM73" s="2"/>
      <c r="BN73" s="162"/>
      <c r="BO73" s="2"/>
      <c r="BP73" s="2"/>
      <c r="BQ73" s="2"/>
      <c r="BR73" s="2"/>
      <c r="BS73" s="2"/>
      <c r="BT73" s="2"/>
      <c r="BU73" s="2"/>
      <c r="BV73" s="2"/>
      <c r="BW73" s="2"/>
      <c r="BX73" s="2"/>
      <c r="BY73" s="2"/>
      <c r="BZ73" s="2"/>
      <c r="CA73" s="2"/>
      <c r="CB73"/>
      <c r="CC73" s="249"/>
      <c r="CD73" s="281"/>
      <c r="CE73" s="281"/>
      <c r="CF73" s="281"/>
      <c r="CG73" s="281"/>
      <c r="CH73" s="281"/>
      <c r="CI73" s="281"/>
      <c r="CJ73" s="281"/>
      <c r="CK73" s="249"/>
      <c r="CL73" s="281"/>
      <c r="CM73" s="282"/>
      <c r="CN73" s="249"/>
      <c r="CO73" s="249"/>
      <c r="CP73" s="249"/>
      <c r="CQ73" s="249"/>
      <c r="CR73" s="281"/>
      <c r="CS73" s="281"/>
      <c r="CT73" s="281"/>
      <c r="CU73" s="281"/>
      <c r="CV73"/>
      <c r="CW73"/>
      <c r="CX73"/>
      <c r="CY73"/>
      <c r="CZ73"/>
      <c r="DA73"/>
      <c r="DB73"/>
      <c r="DC73"/>
      <c r="DD73"/>
      <c r="DE73"/>
      <c r="DF73"/>
      <c r="DG73"/>
      <c r="DH73"/>
      <c r="DI73"/>
      <c r="DJ73"/>
      <c r="DK73"/>
      <c r="DL73"/>
      <c r="DM73"/>
      <c r="DN73"/>
      <c r="DO73"/>
      <c r="DP73"/>
      <c r="DQ73"/>
      <c r="DR73"/>
      <c r="DS73"/>
      <c r="DW73"/>
      <c r="DX73"/>
      <c r="DY73"/>
      <c r="DZ73"/>
      <c r="EA73"/>
      <c r="EB73"/>
      <c r="EC73"/>
      <c r="ED73"/>
      <c r="EE73"/>
      <c r="EF73"/>
      <c r="EG73"/>
      <c r="EH73"/>
      <c r="EI73"/>
      <c r="EJ73"/>
      <c r="EK73"/>
      <c r="EL73"/>
      <c r="EM73"/>
      <c r="EN73"/>
      <c r="EO73"/>
      <c r="EP73"/>
    </row>
    <row r="74" spans="1:146" x14ac:dyDescent="0.2">
      <c r="A74" s="237"/>
      <c r="B74" s="225" t="s">
        <v>1425</v>
      </c>
      <c r="C74" s="226"/>
      <c r="D74" s="225"/>
      <c r="E74" s="225"/>
      <c r="F74" s="225"/>
      <c r="G74" s="225"/>
      <c r="H74" s="225"/>
      <c r="I74" s="225"/>
      <c r="J74" s="225"/>
      <c r="K74" s="229"/>
      <c r="L74" s="225"/>
      <c r="M74" s="227"/>
      <c r="N74" s="225"/>
      <c r="O74" s="225"/>
      <c r="P74" s="225"/>
      <c r="Q74" s="241">
        <v>278</v>
      </c>
      <c r="R74" s="239">
        <v>296</v>
      </c>
      <c r="S74" s="239">
        <v>313</v>
      </c>
      <c r="T74" s="239">
        <v>333</v>
      </c>
      <c r="U74" s="239">
        <v>353</v>
      </c>
      <c r="V74" s="239">
        <v>373</v>
      </c>
      <c r="W74" s="239">
        <v>278</v>
      </c>
      <c r="X74" s="239">
        <v>296</v>
      </c>
      <c r="Y74" s="239">
        <v>313</v>
      </c>
      <c r="Z74" s="239">
        <v>333</v>
      </c>
      <c r="AA74" s="239">
        <v>353</v>
      </c>
      <c r="AB74" s="239">
        <v>373</v>
      </c>
      <c r="AC74" s="238" t="s">
        <v>1481</v>
      </c>
      <c r="AD74" s="229"/>
      <c r="AE74" s="240"/>
      <c r="AF74" s="229"/>
      <c r="AG74" s="229"/>
      <c r="AH74" s="229"/>
      <c r="AI74" s="229"/>
      <c r="AJ74" s="229"/>
      <c r="AK74" s="239"/>
      <c r="AL74" s="239"/>
      <c r="AM74" s="239"/>
      <c r="AN74" s="239"/>
      <c r="AO74" s="239"/>
      <c r="AP74" s="229"/>
      <c r="AQ74" s="239">
        <v>278</v>
      </c>
      <c r="AR74" s="239">
        <v>296</v>
      </c>
      <c r="AS74" s="239">
        <v>313</v>
      </c>
      <c r="AT74" s="239">
        <v>333</v>
      </c>
      <c r="AU74" s="239">
        <v>353</v>
      </c>
      <c r="AV74" s="239">
        <v>373</v>
      </c>
      <c r="AW74" s="239">
        <v>278</v>
      </c>
      <c r="AX74" s="239">
        <v>296</v>
      </c>
      <c r="AY74" s="239">
        <v>313</v>
      </c>
      <c r="AZ74" s="239">
        <v>333</v>
      </c>
      <c r="BA74" s="239">
        <v>353</v>
      </c>
      <c r="BB74" s="239">
        <v>373</v>
      </c>
      <c r="BC74" s="239">
        <v>278</v>
      </c>
      <c r="BD74" s="239">
        <v>296</v>
      </c>
      <c r="BE74" s="239">
        <v>313</v>
      </c>
      <c r="BF74" s="239">
        <v>333</v>
      </c>
      <c r="BG74" s="239">
        <v>353</v>
      </c>
      <c r="BH74" s="239">
        <v>373</v>
      </c>
      <c r="BI74" s="238" t="s">
        <v>1481</v>
      </c>
      <c r="BJ74" s="229"/>
      <c r="BK74" s="229"/>
      <c r="BL74" s="498"/>
      <c r="BM74" s="498"/>
      <c r="BN74" s="502"/>
      <c r="BO74" s="498"/>
      <c r="BP74" s="498"/>
      <c r="BQ74" s="498"/>
      <c r="BR74" s="498"/>
      <c r="BS74" s="498"/>
      <c r="BT74" s="498"/>
      <c r="BU74" s="498"/>
      <c r="BV74" s="498"/>
      <c r="BW74" s="498"/>
      <c r="BX74" s="498"/>
      <c r="BY74" s="498"/>
      <c r="BZ74" s="498"/>
      <c r="CA74" s="498"/>
      <c r="CB74" s="95"/>
      <c r="CC74" s="230"/>
      <c r="CD74" s="238" t="s">
        <v>1481</v>
      </c>
      <c r="CE74" s="229" t="s">
        <v>1482</v>
      </c>
      <c r="CF74" s="229" t="s">
        <v>1483</v>
      </c>
      <c r="CG74" s="275"/>
      <c r="CH74" s="276"/>
      <c r="CI74" s="276"/>
      <c r="CJ74" s="276"/>
      <c r="CK74" s="230"/>
      <c r="CL74" s="238" t="s">
        <v>1481</v>
      </c>
      <c r="CM74" s="229" t="s">
        <v>1482</v>
      </c>
      <c r="CN74" s="229" t="s">
        <v>1483</v>
      </c>
      <c r="CO74" s="229"/>
      <c r="CP74" s="238" t="s">
        <v>1481</v>
      </c>
      <c r="CQ74" s="229" t="s">
        <v>1482</v>
      </c>
      <c r="CR74" s="229" t="s">
        <v>1483</v>
      </c>
      <c r="CS74" s="229"/>
      <c r="CT74" s="229"/>
      <c r="CU74" s="229"/>
    </row>
    <row r="75" spans="1:146" s="13" customFormat="1" x14ac:dyDescent="0.2">
      <c r="A75" s="252"/>
      <c r="B75" s="232" t="s">
        <v>1426</v>
      </c>
      <c r="C75" s="233"/>
      <c r="D75" s="232"/>
      <c r="E75" s="232"/>
      <c r="F75" s="232"/>
      <c r="G75" s="232"/>
      <c r="H75" s="232"/>
      <c r="I75" s="232"/>
      <c r="J75" s="232"/>
      <c r="K75" s="236"/>
      <c r="L75" s="232"/>
      <c r="M75" s="234"/>
      <c r="N75" s="232"/>
      <c r="O75" s="232"/>
      <c r="P75" s="232"/>
      <c r="Q75" s="259">
        <v>3.5971223021582736E-3</v>
      </c>
      <c r="R75" s="236">
        <v>3.3783783783783786E-3</v>
      </c>
      <c r="S75" s="236">
        <v>3.1948881789137379E-3</v>
      </c>
      <c r="T75" s="236">
        <v>3.003003003003003E-3</v>
      </c>
      <c r="U75" s="236">
        <v>2.8328611898016999E-3</v>
      </c>
      <c r="V75" s="236">
        <v>2.6809651474530832E-3</v>
      </c>
      <c r="W75" s="236">
        <v>3.5971223021582736E-3</v>
      </c>
      <c r="X75" s="236">
        <v>3.3783783783783786E-3</v>
      </c>
      <c r="Y75" s="236">
        <v>3.1948881789137379E-3</v>
      </c>
      <c r="Z75" s="236">
        <v>3.003003003003003E-3</v>
      </c>
      <c r="AA75" s="236">
        <v>2.8328611898016999E-3</v>
      </c>
      <c r="AB75" s="236">
        <v>2.6809651474530832E-3</v>
      </c>
      <c r="AC75" s="260"/>
      <c r="AD75" s="231"/>
      <c r="AE75" s="269"/>
      <c r="AF75" s="232"/>
      <c r="AG75" s="232"/>
      <c r="AH75" s="232"/>
      <c r="AI75" s="232"/>
      <c r="AJ75" s="232"/>
      <c r="AK75" s="236"/>
      <c r="AL75" s="236"/>
      <c r="AM75" s="236"/>
      <c r="AN75" s="236"/>
      <c r="AO75" s="236"/>
      <c r="AP75" s="232"/>
      <c r="AQ75" s="236">
        <v>3.5971223021582736E-3</v>
      </c>
      <c r="AR75" s="236">
        <v>3.3783783783783786E-3</v>
      </c>
      <c r="AS75" s="236">
        <v>3.1948881789137379E-3</v>
      </c>
      <c r="AT75" s="236">
        <v>3.003003003003003E-3</v>
      </c>
      <c r="AU75" s="236">
        <v>2.8328611898016999E-3</v>
      </c>
      <c r="AV75" s="236">
        <v>2.6809651474530832E-3</v>
      </c>
      <c r="AW75" s="236">
        <v>3.5971223021582736E-3</v>
      </c>
      <c r="AX75" s="236">
        <v>3.3783783783783786E-3</v>
      </c>
      <c r="AY75" s="236">
        <v>3.1948881789137379E-3</v>
      </c>
      <c r="AZ75" s="236">
        <v>3.003003003003003E-3</v>
      </c>
      <c r="BA75" s="236">
        <v>2.8328611898016999E-3</v>
      </c>
      <c r="BB75" s="236">
        <v>2.6809651474530832E-3</v>
      </c>
      <c r="BC75" s="236">
        <v>3.5971223021582736E-3</v>
      </c>
      <c r="BD75" s="236">
        <v>3.3783783783783786E-3</v>
      </c>
      <c r="BE75" s="236">
        <v>3.1948881789137379E-3</v>
      </c>
      <c r="BF75" s="236">
        <v>3.003003003003003E-3</v>
      </c>
      <c r="BG75" s="236">
        <v>2.8328611898016999E-3</v>
      </c>
      <c r="BH75" s="236">
        <v>2.6809651474530832E-3</v>
      </c>
      <c r="BI75" s="260"/>
      <c r="BJ75" s="231"/>
      <c r="BK75" s="231"/>
      <c r="BL75" s="2"/>
      <c r="BM75" s="2"/>
      <c r="BN75" s="162"/>
      <c r="BO75" s="2"/>
      <c r="BP75" s="2"/>
      <c r="BQ75" s="2"/>
      <c r="BR75" s="2"/>
      <c r="BS75" s="2"/>
      <c r="BT75" s="2"/>
      <c r="BU75" s="2"/>
      <c r="BV75" s="2"/>
      <c r="BW75" s="2"/>
      <c r="BX75" s="2"/>
      <c r="BY75" s="2"/>
      <c r="BZ75" s="2"/>
      <c r="CA75" s="2"/>
      <c r="CB75"/>
      <c r="CC75" s="232" t="s">
        <v>784</v>
      </c>
      <c r="CD75" s="283">
        <f>AVERAGE(CD77:CD86)</f>
        <v>32.623563418242696</v>
      </c>
      <c r="CE75" s="283">
        <f>AVERAGE(CE77:CE86)</f>
        <v>29.679796599057369</v>
      </c>
      <c r="CF75" s="283">
        <f>AVERAGE(CF77:CF86)</f>
        <v>43.766202794181218</v>
      </c>
      <c r="CG75" s="283"/>
      <c r="CH75" s="284"/>
      <c r="CI75" s="284"/>
      <c r="CJ75" s="284"/>
      <c r="CK75" s="232" t="s">
        <v>784</v>
      </c>
      <c r="CL75" s="283">
        <f t="shared" ref="CL75:CR75" si="143">AVERAGE(CL77:CL86)</f>
        <v>72.32922664026168</v>
      </c>
      <c r="CM75" s="283">
        <f t="shared" si="143"/>
        <v>82.003033117926094</v>
      </c>
      <c r="CN75" s="283">
        <f t="shared" si="143"/>
        <v>53.558761878686099</v>
      </c>
      <c r="CO75" s="283"/>
      <c r="CP75" s="283">
        <f t="shared" si="143"/>
        <v>104.95279005850439</v>
      </c>
      <c r="CQ75" s="283">
        <f t="shared" si="143"/>
        <v>111.68282971698345</v>
      </c>
      <c r="CR75" s="283">
        <f t="shared" si="143"/>
        <v>97.324964672867324</v>
      </c>
      <c r="CS75" s="283"/>
      <c r="CT75" s="283"/>
      <c r="CU75" s="283"/>
      <c r="CV75"/>
      <c r="CW75"/>
      <c r="CX75"/>
      <c r="CY75"/>
      <c r="CZ75"/>
      <c r="DA75"/>
      <c r="DB75"/>
      <c r="DC75"/>
      <c r="DD75"/>
      <c r="DE75"/>
      <c r="DF75"/>
      <c r="DG75"/>
      <c r="DH75"/>
      <c r="DI75"/>
      <c r="DJ75"/>
      <c r="DK75"/>
      <c r="DL75"/>
      <c r="DM75"/>
      <c r="DN75"/>
      <c r="DO75"/>
      <c r="DP75"/>
      <c r="DQ75"/>
      <c r="DR75"/>
      <c r="DS75"/>
      <c r="DW75"/>
      <c r="DX75"/>
      <c r="DY75"/>
      <c r="DZ75"/>
      <c r="EA75"/>
      <c r="EB75"/>
      <c r="EC75"/>
      <c r="ED75"/>
      <c r="EE75"/>
      <c r="EF75"/>
      <c r="EG75"/>
      <c r="EH75"/>
      <c r="EI75"/>
      <c r="EJ75"/>
      <c r="EK75"/>
      <c r="EL75"/>
      <c r="EM75"/>
      <c r="EN75"/>
      <c r="EO75"/>
      <c r="EP75"/>
    </row>
    <row r="76" spans="1:146" x14ac:dyDescent="0.2">
      <c r="A76" s="6"/>
      <c r="B76" s="4"/>
      <c r="C76" s="78"/>
      <c r="D76" s="53"/>
      <c r="E76" s="53"/>
      <c r="F76" s="53"/>
      <c r="G76" s="4"/>
      <c r="H76" s="4"/>
      <c r="I76" s="4"/>
      <c r="J76" s="4"/>
      <c r="K76" s="95"/>
      <c r="L76" s="4"/>
      <c r="M76" s="18"/>
      <c r="N76" s="4"/>
      <c r="O76" s="4"/>
      <c r="P76" s="4"/>
      <c r="Q76" s="17"/>
      <c r="W76" s="95"/>
      <c r="X76" s="95"/>
      <c r="Y76" s="95"/>
      <c r="Z76" s="95"/>
      <c r="AA76" s="95"/>
      <c r="AB76" s="95"/>
      <c r="AC76" s="210"/>
      <c r="AE76" s="3"/>
      <c r="AF76" s="210"/>
      <c r="AG76" s="210"/>
      <c r="AH76" s="210"/>
      <c r="AI76" s="210"/>
      <c r="AJ76" s="210"/>
      <c r="AP76" s="210"/>
      <c r="AV76" s="95"/>
      <c r="AW76" s="95"/>
      <c r="AX76" s="95"/>
      <c r="AY76" s="95"/>
      <c r="AZ76" s="95"/>
      <c r="BA76" s="95"/>
      <c r="BB76" s="95"/>
      <c r="BC76" s="95"/>
      <c r="BD76" s="95"/>
      <c r="BE76" s="95"/>
      <c r="BF76" s="95"/>
      <c r="BG76" s="95"/>
      <c r="BH76" s="95"/>
      <c r="BI76" s="210"/>
      <c r="CG76" s="183"/>
      <c r="CH76" s="211"/>
      <c r="CI76" s="211"/>
      <c r="CJ76" s="211"/>
      <c r="CL76" s="183"/>
      <c r="CM76" s="211"/>
      <c r="CR76" s="183"/>
      <c r="CS76" s="183"/>
      <c r="CT76" s="183"/>
      <c r="CU76" s="183"/>
    </row>
    <row r="77" spans="1:146" x14ac:dyDescent="0.2">
      <c r="A77" s="6"/>
      <c r="B77" s="192" t="s">
        <v>1744</v>
      </c>
      <c r="C77" s="222" t="s">
        <v>1465</v>
      </c>
      <c r="D77" s="462"/>
      <c r="E77" s="462"/>
      <c r="F77" s="462"/>
      <c r="G77" s="192"/>
      <c r="H77" s="192"/>
      <c r="I77" s="192">
        <v>214</v>
      </c>
      <c r="J77" s="4">
        <f t="shared" ref="J77:J86" si="144">LOG(I77)</f>
        <v>2.330413773349191</v>
      </c>
      <c r="K77" s="95"/>
      <c r="L77" s="4"/>
      <c r="M77" s="18"/>
      <c r="N77" s="4"/>
      <c r="O77" s="4"/>
      <c r="P77" s="4"/>
      <c r="Q77" s="243">
        <v>7.9999999999999996E-6</v>
      </c>
      <c r="R77" s="192">
        <v>3.0000000000000001E-5</v>
      </c>
      <c r="S77" s="192">
        <v>1.7999999999999998E-4</v>
      </c>
      <c r="T77" s="192">
        <v>7.5999999999999993E-4</v>
      </c>
      <c r="U77" s="192">
        <v>2.7000000000000001E-3</v>
      </c>
      <c r="V77" s="192">
        <v>7.3000000000000001E-3</v>
      </c>
      <c r="W77" s="95">
        <f t="shared" ref="W77:W86" si="145">LN(Q77)</f>
        <v>-11.736069016284437</v>
      </c>
      <c r="X77" s="95">
        <f t="shared" ref="X77:X86" si="146">LN(R77)</f>
        <v>-10.41431317630212</v>
      </c>
      <c r="Y77" s="95">
        <f t="shared" ref="Y77:Y86" si="147">LN(S77)</f>
        <v>-8.6225537070740632</v>
      </c>
      <c r="Z77" s="95">
        <f t="shared" ref="Z77:Z86" si="148">LN(T77)</f>
        <v>-7.1821921246838976</v>
      </c>
      <c r="AA77" s="95">
        <f t="shared" ref="AA77:AA86" si="149">LN(U77)</f>
        <v>-5.9145035059718536</v>
      </c>
      <c r="AB77" s="95">
        <f t="shared" ref="AB77:AB86" si="150">LN(V77)</f>
        <v>-4.9198809308277918</v>
      </c>
      <c r="AC77" s="95">
        <f t="shared" ref="AC77:AC86" si="151">INTERCEPT(W77:AB77,W$75:AB$75)</f>
        <v>15.696532401355034</v>
      </c>
      <c r="AD77" s="95">
        <f t="shared" ref="AD77:AD86" si="152">SLOPE(W77:AB77,W$75:AB$75)</f>
        <v>-7650.6147325612628</v>
      </c>
      <c r="AE77" s="253">
        <f t="shared" ref="AE77:AE86" si="153">RSQ(W77:AB77,W$75:AB$75)</f>
        <v>0.99661685700944735</v>
      </c>
      <c r="AF77" s="210"/>
      <c r="AG77" s="210"/>
      <c r="AH77" s="210"/>
      <c r="AI77" s="210"/>
      <c r="AJ77" s="210"/>
      <c r="AK77" s="192"/>
      <c r="AL77" s="192"/>
      <c r="AM77" s="192"/>
      <c r="AN77" s="192"/>
      <c r="AO77" s="192"/>
      <c r="AP77" s="210"/>
      <c r="AQ77" s="192">
        <v>2.4400000000000002E-15</v>
      </c>
      <c r="AR77" s="192">
        <v>2.7100000000000003E-14</v>
      </c>
      <c r="AS77" s="192">
        <v>1.4499999999999999E-13</v>
      </c>
      <c r="AT77" s="192">
        <v>9.0800000000000007E-13</v>
      </c>
      <c r="AU77" s="192">
        <v>2.2699999999999998E-12</v>
      </c>
      <c r="AV77" s="192">
        <v>6.2000000000000002E-12</v>
      </c>
      <c r="AW77" s="95">
        <f t="shared" ref="AW77:AW86" si="154">LOG(AQ77)</f>
        <v>-14.61261017366127</v>
      </c>
      <c r="AX77" s="95">
        <f t="shared" ref="AX77:AX86" si="155">LOG(AR77)</f>
        <v>-13.567030709125595</v>
      </c>
      <c r="AY77" s="95">
        <f t="shared" ref="AY77:AY86" si="156">LOG(AS77)</f>
        <v>-12.838631997765026</v>
      </c>
      <c r="AZ77" s="95">
        <f t="shared" ref="AZ77:AZ86" si="157">LOG(AT77)</f>
        <v>-12.041914151478915</v>
      </c>
      <c r="BA77" s="95">
        <f t="shared" ref="BA77:BA86" si="158">LOG(AU77)</f>
        <v>-11.643974142806877</v>
      </c>
      <c r="BB77" s="95">
        <f t="shared" ref="BB77:BB86" si="159">LOG(AV77)</f>
        <v>-11.207608310501746</v>
      </c>
      <c r="BC77" s="95">
        <f t="shared" ref="BC77:BC86" si="160">LN(AQ77)</f>
        <v>-33.646778355605576</v>
      </c>
      <c r="BD77" s="95">
        <f t="shared" ref="BD77:BD86" si="161">LN(AR77)</f>
        <v>-31.239242667025032</v>
      </c>
      <c r="BE77" s="95">
        <f t="shared" ref="BE77:BE86" si="162">LN(AS77)</f>
        <v>-29.56204265249011</v>
      </c>
      <c r="BF77" s="95">
        <f t="shared" ref="BF77:BF86" si="163">LN(AT77)</f>
        <v>-27.727532016309393</v>
      </c>
      <c r="BG77" s="95">
        <f t="shared" ref="BG77:BG86" si="164">LN(AU77)</f>
        <v>-26.811241284435237</v>
      </c>
      <c r="BH77" s="95">
        <f t="shared" ref="BH77:BH86" si="165">LN(AV77)</f>
        <v>-25.806471823877501</v>
      </c>
      <c r="BI77" s="95">
        <f t="shared" ref="BI77:BI86" si="166">INTERCEPT(BC77:BH77,BC$75:BH$75)</f>
        <v>-2.5668347314738575</v>
      </c>
      <c r="BJ77" s="95">
        <f t="shared" ref="BJ77:BJ86" si="167">SLOPE(BC77:BH77,BC$75:BH$75)</f>
        <v>-8529.4824894477224</v>
      </c>
      <c r="BK77" s="210">
        <f t="shared" ref="BK77:BK86" si="168">RSQ(BC77:BH77,BC$75:BH$75)</f>
        <v>0.98628899699592032</v>
      </c>
      <c r="BL77" s="494">
        <f>VLOOKUP(B77,Literatuur!$A:$B,2,FALSE)</f>
        <v>1</v>
      </c>
      <c r="BM77" s="493"/>
      <c r="BN77" s="501" t="str">
        <f t="shared" ref="BN77:BN86" si="169">C77</f>
        <v>UV1</v>
      </c>
      <c r="BO77" s="496">
        <f t="shared" ref="BO77:BO86" si="170">I77</f>
        <v>214</v>
      </c>
      <c r="BP77" s="495"/>
      <c r="BQ77" s="493">
        <f>CE77</f>
        <v>65.927226256109435</v>
      </c>
      <c r="BR77" s="493" t="s">
        <v>1558</v>
      </c>
      <c r="BS77" s="493" t="s">
        <v>2115</v>
      </c>
      <c r="BT77" s="493"/>
      <c r="BU77" s="493"/>
      <c r="BV77" s="493"/>
      <c r="BW77" s="493"/>
      <c r="BX77" s="493"/>
      <c r="BY77" s="493">
        <f t="shared" ref="BY77:BY86" si="171">CL77</f>
        <v>70.914117417268372</v>
      </c>
      <c r="BZ77" s="493" t="s">
        <v>1558</v>
      </c>
      <c r="CA77" s="493" t="s">
        <v>2115</v>
      </c>
      <c r="CB77" s="210"/>
      <c r="CD77" s="183">
        <f t="shared" ref="CD77:CD86" si="172">-AD77*8.314/1000</f>
        <v>63.607210886514338</v>
      </c>
      <c r="CE77" s="183">
        <f t="shared" ref="CE77:CE86" si="173">-SLOPE(W77:Z77,W$75:Z$75)*0.008413</f>
        <v>65.927226256109435</v>
      </c>
      <c r="CF77" s="183">
        <f t="shared" ref="CF77:CF86" si="174">-SLOPE(Z77:AB77,Z$75:AB$75)*0.008413</f>
        <v>59.172609859242826</v>
      </c>
      <c r="CG77" s="183"/>
      <c r="CH77" s="211"/>
      <c r="CI77" s="211"/>
      <c r="CJ77" s="211"/>
      <c r="CL77" s="183">
        <f t="shared" ref="CL77:CL86" si="175">-BJ77*8.314/1000</f>
        <v>70.914117417268372</v>
      </c>
      <c r="CM77" s="183">
        <f t="shared" ref="CM77:CM86" si="176">-SLOPE(BC77:BF77,BC$75:BF$75)*0.008413</f>
        <v>83.306382577714444</v>
      </c>
      <c r="CN77" s="183">
        <f t="shared" ref="CN77:CN86" si="177">-SLOPE(BF77:BH77,BF$75:BH$75)*0.008413</f>
        <v>50.089022738410179</v>
      </c>
      <c r="CO77" s="183">
        <f>CM77</f>
        <v>83.306382577714444</v>
      </c>
      <c r="CP77" s="183">
        <f t="shared" ref="CP77:CP86" si="178">CD77+CL77</f>
        <v>134.5213283037827</v>
      </c>
      <c r="CQ77" s="183">
        <f t="shared" ref="CQ77:CQ86" si="179">CE77+CM77</f>
        <v>149.23360883382389</v>
      </c>
      <c r="CR77" s="183">
        <f t="shared" ref="CR77:CR86" si="180">CF77+CN77</f>
        <v>109.261632597653</v>
      </c>
      <c r="CS77" s="183"/>
      <c r="CT77" s="183"/>
      <c r="CU77" s="183"/>
    </row>
    <row r="78" spans="1:146" x14ac:dyDescent="0.2">
      <c r="A78" s="6"/>
      <c r="B78" s="192" t="s">
        <v>1744</v>
      </c>
      <c r="C78" s="222" t="s">
        <v>1466</v>
      </c>
      <c r="D78" s="462"/>
      <c r="E78" s="462"/>
      <c r="F78" s="462"/>
      <c r="G78" s="192"/>
      <c r="H78" s="192"/>
      <c r="I78" s="192">
        <v>258</v>
      </c>
      <c r="J78" s="4">
        <f t="shared" si="144"/>
        <v>2.4116197059632301</v>
      </c>
      <c r="K78" s="95"/>
      <c r="L78" s="4"/>
      <c r="M78" s="18"/>
      <c r="N78" s="4"/>
      <c r="O78" s="4"/>
      <c r="P78" s="4"/>
      <c r="Q78" s="243">
        <v>2.0999999999999999E-5</v>
      </c>
      <c r="R78" s="192">
        <v>1.7999999999999998E-4</v>
      </c>
      <c r="S78" s="192">
        <v>4.2000000000000002E-4</v>
      </c>
      <c r="T78" s="192">
        <v>2.1999999999999998E-4</v>
      </c>
      <c r="U78" s="192">
        <v>4.9199999999999999E-3</v>
      </c>
      <c r="V78" s="192">
        <v>1.43E-2</v>
      </c>
      <c r="W78" s="95">
        <f t="shared" si="145"/>
        <v>-10.770988120240851</v>
      </c>
      <c r="X78" s="95">
        <f t="shared" si="146"/>
        <v>-8.6225537070740632</v>
      </c>
      <c r="Y78" s="95">
        <f t="shared" si="147"/>
        <v>-7.7752558466868598</v>
      </c>
      <c r="Z78" s="95">
        <f t="shared" si="148"/>
        <v>-8.4218830116119126</v>
      </c>
      <c r="AA78" s="95">
        <f t="shared" si="149"/>
        <v>-5.3144467484779208</v>
      </c>
      <c r="AB78" s="95">
        <f t="shared" si="150"/>
        <v>-4.2474957417162758</v>
      </c>
      <c r="AC78" s="95">
        <f t="shared" si="151"/>
        <v>12.682632629787474</v>
      </c>
      <c r="AD78" s="95">
        <f t="shared" si="152"/>
        <v>-6488.307551116739</v>
      </c>
      <c r="AE78" s="253">
        <f t="shared" si="153"/>
        <v>0.87772860807976905</v>
      </c>
      <c r="AF78" s="210"/>
      <c r="AG78" s="210"/>
      <c r="AH78" s="210"/>
      <c r="AI78" s="210"/>
      <c r="AJ78" s="210"/>
      <c r="AK78" s="192"/>
      <c r="AL78" s="192"/>
      <c r="AM78" s="192"/>
      <c r="AN78" s="192"/>
      <c r="AO78" s="192"/>
      <c r="AP78" s="210"/>
      <c r="AQ78" s="192">
        <v>2.43E-15</v>
      </c>
      <c r="AR78" s="192">
        <v>2.38E-14</v>
      </c>
      <c r="AS78" s="192">
        <v>1.3300000000000001E-13</v>
      </c>
      <c r="AT78" s="192">
        <v>8.4800000000000002E-13</v>
      </c>
      <c r="AU78" s="192">
        <v>2.3499999999999999E-12</v>
      </c>
      <c r="AV78" s="192">
        <v>5.5000000000000004E-12</v>
      </c>
      <c r="AW78" s="95">
        <f t="shared" si="154"/>
        <v>-14.614393726401687</v>
      </c>
      <c r="AX78" s="95">
        <f t="shared" si="155"/>
        <v>-13.623423042943488</v>
      </c>
      <c r="AY78" s="95">
        <f t="shared" si="156"/>
        <v>-12.876148359032914</v>
      </c>
      <c r="AZ78" s="95">
        <f t="shared" si="157"/>
        <v>-12.071604147743287</v>
      </c>
      <c r="BA78" s="95">
        <f t="shared" si="158"/>
        <v>-11.628932137728263</v>
      </c>
      <c r="BB78" s="95">
        <f t="shared" si="159"/>
        <v>-11.259637310505756</v>
      </c>
      <c r="BC78" s="95">
        <f t="shared" si="160"/>
        <v>-33.650885137558227</v>
      </c>
      <c r="BD78" s="95">
        <f t="shared" si="161"/>
        <v>-31.369090814233257</v>
      </c>
      <c r="BE78" s="95">
        <f t="shared" si="162"/>
        <v>-29.64842726668893</v>
      </c>
      <c r="BF78" s="95">
        <f t="shared" si="163"/>
        <v>-27.795895759118782</v>
      </c>
      <c r="BG78" s="95">
        <f t="shared" si="164"/>
        <v>-26.776605787772482</v>
      </c>
      <c r="BH78" s="95">
        <f t="shared" si="165"/>
        <v>-25.926273023690122</v>
      </c>
      <c r="BI78" s="95">
        <f t="shared" si="166"/>
        <v>-2.6642147459430205</v>
      </c>
      <c r="BJ78" s="95">
        <f t="shared" si="167"/>
        <v>-8518.2228629347028</v>
      </c>
      <c r="BK78" s="210">
        <f t="shared" si="168"/>
        <v>0.98705852225954538</v>
      </c>
      <c r="BL78" s="494">
        <f>VLOOKUP(B78,Literatuur!$A:$B,2,FALSE)</f>
        <v>1</v>
      </c>
      <c r="BM78" s="493"/>
      <c r="BN78" s="501" t="str">
        <f t="shared" si="169"/>
        <v>UV2</v>
      </c>
      <c r="BO78" s="496">
        <f t="shared" si="170"/>
        <v>258</v>
      </c>
      <c r="BP78" s="495"/>
      <c r="BQ78" s="493">
        <f t="shared" ref="BQ78:BQ86" si="181">CE78</f>
        <v>34.535177011781542</v>
      </c>
      <c r="BR78" s="493" t="s">
        <v>1558</v>
      </c>
      <c r="BS78" s="493" t="s">
        <v>2115</v>
      </c>
      <c r="BT78" s="493"/>
      <c r="BU78" s="493"/>
      <c r="BV78" s="493"/>
      <c r="BW78" s="493"/>
      <c r="BX78" s="493"/>
      <c r="BY78" s="493">
        <f t="shared" si="171"/>
        <v>70.82050488243911</v>
      </c>
      <c r="BZ78" s="493" t="s">
        <v>1558</v>
      </c>
      <c r="CA78" s="493" t="s">
        <v>2115</v>
      </c>
      <c r="CB78" s="210"/>
      <c r="CD78" s="183">
        <f t="shared" si="172"/>
        <v>53.943788979984568</v>
      </c>
      <c r="CE78" s="183">
        <f t="shared" si="173"/>
        <v>34.535177011781542</v>
      </c>
      <c r="CF78" s="183">
        <f t="shared" si="174"/>
        <v>109.94185683265182</v>
      </c>
      <c r="CG78" s="183"/>
      <c r="CH78" s="211"/>
      <c r="CI78" s="211"/>
      <c r="CJ78" s="211"/>
      <c r="CL78" s="183">
        <f t="shared" si="175"/>
        <v>70.82050488243911</v>
      </c>
      <c r="CM78" s="183">
        <f t="shared" si="176"/>
        <v>82.607881485513062</v>
      </c>
      <c r="CN78" s="183">
        <f t="shared" si="177"/>
        <v>48.87357060118817</v>
      </c>
      <c r="CO78" s="183">
        <f t="shared" ref="CO78:CO86" si="182">CM78</f>
        <v>82.607881485513062</v>
      </c>
      <c r="CP78" s="183">
        <f t="shared" si="178"/>
        <v>124.76429386242367</v>
      </c>
      <c r="CQ78" s="183">
        <f t="shared" si="179"/>
        <v>117.1430584972946</v>
      </c>
      <c r="CR78" s="183">
        <f t="shared" si="180"/>
        <v>158.81542743384</v>
      </c>
      <c r="CS78" s="183"/>
      <c r="CT78" s="183"/>
      <c r="CU78" s="183"/>
    </row>
    <row r="79" spans="1:146" x14ac:dyDescent="0.2">
      <c r="A79" s="6"/>
      <c r="B79" s="192" t="s">
        <v>1744</v>
      </c>
      <c r="C79" s="222" t="s">
        <v>1469</v>
      </c>
      <c r="D79" s="462"/>
      <c r="E79" s="462"/>
      <c r="F79" s="462"/>
      <c r="G79" s="192"/>
      <c r="H79" s="192"/>
      <c r="I79" s="192">
        <v>326</v>
      </c>
      <c r="J79" s="4">
        <f t="shared" si="144"/>
        <v>2.5132176000679389</v>
      </c>
      <c r="K79" s="95"/>
      <c r="L79" s="4"/>
      <c r="M79" s="18"/>
      <c r="N79" s="4"/>
      <c r="O79" s="4"/>
      <c r="P79" s="4"/>
      <c r="Q79" s="243">
        <v>7.000000000000001E-4</v>
      </c>
      <c r="R79" s="192">
        <v>2.97E-3</v>
      </c>
      <c r="S79" s="192">
        <v>1.03E-2</v>
      </c>
      <c r="T79" s="192">
        <v>2.3599999999999997E-3</v>
      </c>
      <c r="U79" s="192">
        <v>3.4430000000000002E-2</v>
      </c>
      <c r="V79" s="192">
        <v>4.8000000000000001E-2</v>
      </c>
      <c r="W79" s="95">
        <f t="shared" si="145"/>
        <v>-7.2644302229208693</v>
      </c>
      <c r="X79" s="95">
        <f t="shared" si="146"/>
        <v>-5.8191933261675288</v>
      </c>
      <c r="Y79" s="95">
        <f t="shared" si="147"/>
        <v>-4.5756113837465469</v>
      </c>
      <c r="Z79" s="95">
        <f t="shared" si="148"/>
        <v>-6.0490936599446181</v>
      </c>
      <c r="AA79" s="95">
        <f t="shared" si="149"/>
        <v>-3.3688270016317046</v>
      </c>
      <c r="AB79" s="95">
        <f t="shared" si="150"/>
        <v>-3.0365542680742461</v>
      </c>
      <c r="AC79" s="95">
        <f t="shared" si="151"/>
        <v>8.0405651088324852</v>
      </c>
      <c r="AD79" s="95">
        <f t="shared" si="152"/>
        <v>-4193.085331272262</v>
      </c>
      <c r="AE79" s="253">
        <f t="shared" si="153"/>
        <v>0.76148136570445202</v>
      </c>
      <c r="AF79" s="210"/>
      <c r="AG79" s="210"/>
      <c r="AH79" s="210"/>
      <c r="AI79" s="210"/>
      <c r="AJ79" s="210"/>
      <c r="AK79" s="192"/>
      <c r="AL79" s="192"/>
      <c r="AM79" s="192"/>
      <c r="AN79" s="192"/>
      <c r="AO79" s="192"/>
      <c r="AP79" s="210"/>
      <c r="AQ79" s="192">
        <v>6.0299999999999998E-15</v>
      </c>
      <c r="AR79" s="192">
        <v>5.0800000000000002E-14</v>
      </c>
      <c r="AS79" s="192">
        <v>3.5099999999999997E-13</v>
      </c>
      <c r="AT79" s="192">
        <v>1.8300000000000001E-12</v>
      </c>
      <c r="AU79" s="192">
        <v>4.5200000000000001E-12</v>
      </c>
      <c r="AV79" s="192">
        <v>9.5900000000000009E-12</v>
      </c>
      <c r="AW79" s="95">
        <f t="shared" si="154"/>
        <v>-14.219682687859848</v>
      </c>
      <c r="AX79" s="95">
        <f t="shared" si="155"/>
        <v>-13.29413628771608</v>
      </c>
      <c r="AY79" s="95">
        <f t="shared" si="156"/>
        <v>-12.454692883534175</v>
      </c>
      <c r="AZ79" s="95">
        <f t="shared" si="157"/>
        <v>-11.73754891026957</v>
      </c>
      <c r="BA79" s="95">
        <f t="shared" si="158"/>
        <v>-11.344861565188618</v>
      </c>
      <c r="BB79" s="95">
        <f t="shared" si="159"/>
        <v>-11.018181392829336</v>
      </c>
      <c r="BC79" s="95">
        <f t="shared" si="160"/>
        <v>-32.742029384171595</v>
      </c>
      <c r="BD79" s="95">
        <f t="shared" si="161"/>
        <v>-30.610880040326251</v>
      </c>
      <c r="BE79" s="95">
        <f t="shared" si="162"/>
        <v>-28.677990171444819</v>
      </c>
      <c r="BF79" s="95">
        <f t="shared" si="163"/>
        <v>-27.026705149075219</v>
      </c>
      <c r="BG79" s="95">
        <f t="shared" si="164"/>
        <v>-26.122509122084409</v>
      </c>
      <c r="BH79" s="95">
        <f t="shared" si="165"/>
        <v>-25.370300227033201</v>
      </c>
      <c r="BI79" s="95">
        <f t="shared" si="166"/>
        <v>-2.9821186329140552</v>
      </c>
      <c r="BJ79" s="95">
        <f t="shared" si="167"/>
        <v>-8169.0972227763168</v>
      </c>
      <c r="BK79" s="210">
        <f t="shared" si="168"/>
        <v>0.98056276067082437</v>
      </c>
      <c r="BL79" s="494">
        <f>VLOOKUP(B79,Literatuur!$A:$B,2,FALSE)</f>
        <v>1</v>
      </c>
      <c r="BM79" s="493"/>
      <c r="BN79" s="501" t="str">
        <f t="shared" si="169"/>
        <v>UV3</v>
      </c>
      <c r="BO79" s="496">
        <f t="shared" si="170"/>
        <v>326</v>
      </c>
      <c r="BP79" s="495"/>
      <c r="BQ79" s="493">
        <f t="shared" si="181"/>
        <v>21.508985527158963</v>
      </c>
      <c r="BR79" s="493" t="s">
        <v>1558</v>
      </c>
      <c r="BS79" s="493" t="s">
        <v>2115</v>
      </c>
      <c r="BT79" s="493"/>
      <c r="BU79" s="493"/>
      <c r="BV79" s="493"/>
      <c r="BW79" s="493"/>
      <c r="BX79" s="493"/>
      <c r="BY79" s="493">
        <f t="shared" si="171"/>
        <v>67.91787431016229</v>
      </c>
      <c r="BZ79" s="493" t="s">
        <v>1558</v>
      </c>
      <c r="CA79" s="493" t="s">
        <v>2115</v>
      </c>
      <c r="CB79" s="210"/>
      <c r="CD79" s="183">
        <f t="shared" si="172"/>
        <v>34.861311444197582</v>
      </c>
      <c r="CE79" s="183">
        <f t="shared" si="173"/>
        <v>21.508985527158963</v>
      </c>
      <c r="CF79" s="183">
        <f t="shared" si="174"/>
        <v>79.773441203980994</v>
      </c>
      <c r="CG79" s="183"/>
      <c r="CH79" s="211"/>
      <c r="CI79" s="211"/>
      <c r="CJ79" s="211"/>
      <c r="CL79" s="183">
        <f t="shared" si="175"/>
        <v>67.91787431016229</v>
      </c>
      <c r="CM79" s="183">
        <f t="shared" si="176"/>
        <v>81.665365354650319</v>
      </c>
      <c r="CN79" s="183">
        <f t="shared" si="177"/>
        <v>43.301003545519784</v>
      </c>
      <c r="CO79" s="183">
        <f t="shared" si="182"/>
        <v>81.665365354650319</v>
      </c>
      <c r="CP79" s="183">
        <f t="shared" si="178"/>
        <v>102.77918575435987</v>
      </c>
      <c r="CQ79" s="183">
        <f t="shared" si="179"/>
        <v>103.17435088180929</v>
      </c>
      <c r="CR79" s="183">
        <f t="shared" si="180"/>
        <v>123.07444474950077</v>
      </c>
      <c r="CS79" s="183"/>
      <c r="CT79" s="183"/>
      <c r="CU79" s="183"/>
    </row>
    <row r="80" spans="1:146" x14ac:dyDescent="0.2">
      <c r="A80" s="6"/>
      <c r="B80" s="192" t="s">
        <v>1744</v>
      </c>
      <c r="C80" s="222" t="s">
        <v>1470</v>
      </c>
      <c r="D80" s="462"/>
      <c r="E80" s="462"/>
      <c r="F80" s="462"/>
      <c r="G80" s="192"/>
      <c r="H80" s="192"/>
      <c r="I80" s="192">
        <v>332</v>
      </c>
      <c r="J80" s="4">
        <f t="shared" si="144"/>
        <v>2.5211380837040362</v>
      </c>
      <c r="K80" s="95"/>
      <c r="L80" s="4"/>
      <c r="M80" s="18"/>
      <c r="N80" s="4"/>
      <c r="O80" s="4"/>
      <c r="P80" s="4"/>
      <c r="Q80" s="243">
        <v>8.5000000000000006E-5</v>
      </c>
      <c r="R80" s="192">
        <v>3.8999999999999999E-4</v>
      </c>
      <c r="S80" s="192">
        <v>1.1999999999999999E-3</v>
      </c>
      <c r="T80" s="192">
        <v>6.0000000000000001E-3</v>
      </c>
      <c r="U80" s="192">
        <v>8.8999999999999999E-3</v>
      </c>
      <c r="V80" s="192">
        <v>1.4199999999999999E-2</v>
      </c>
      <c r="W80" s="95">
        <f t="shared" si="145"/>
        <v>-9.372859301473957</v>
      </c>
      <c r="X80" s="95">
        <f t="shared" si="146"/>
        <v>-7.8493638188405823</v>
      </c>
      <c r="Y80" s="95">
        <f t="shared" si="147"/>
        <v>-6.7254337221881828</v>
      </c>
      <c r="Z80" s="95">
        <f t="shared" si="148"/>
        <v>-5.1159958097540823</v>
      </c>
      <c r="AA80" s="95">
        <f t="shared" si="149"/>
        <v>-4.7217040022440431</v>
      </c>
      <c r="AB80" s="95">
        <f t="shared" si="150"/>
        <v>-4.2545133143749219</v>
      </c>
      <c r="AC80" s="95">
        <f t="shared" si="151"/>
        <v>11.590936896878524</v>
      </c>
      <c r="AD80" s="95">
        <f t="shared" si="152"/>
        <v>-5757.1699650741475</v>
      </c>
      <c r="AE80" s="253">
        <f t="shared" si="153"/>
        <v>0.97122754923140941</v>
      </c>
      <c r="AF80" s="210"/>
      <c r="AG80" s="210"/>
      <c r="AH80" s="210"/>
      <c r="AI80" s="210"/>
      <c r="AJ80" s="210"/>
      <c r="AK80" s="192"/>
      <c r="AL80" s="192"/>
      <c r="AM80" s="192"/>
      <c r="AN80" s="192"/>
      <c r="AO80" s="192"/>
      <c r="AP80" s="210"/>
      <c r="AQ80" s="192">
        <v>6.0299999999999998E-15</v>
      </c>
      <c r="AR80" s="192">
        <v>7.0000000000000009E-15</v>
      </c>
      <c r="AS80" s="192">
        <v>5.6999999999999997E-14</v>
      </c>
      <c r="AT80" s="192">
        <v>3.9300000000000004E-13</v>
      </c>
      <c r="AU80" s="192">
        <v>1.32E-12</v>
      </c>
      <c r="AV80" s="192">
        <v>2.8500000000000002E-12</v>
      </c>
      <c r="AW80" s="95">
        <f t="shared" si="154"/>
        <v>-14.219682687859848</v>
      </c>
      <c r="AX80" s="95">
        <f t="shared" si="155"/>
        <v>-14.154901959985743</v>
      </c>
      <c r="AY80" s="95">
        <f t="shared" si="156"/>
        <v>-13.244125144327509</v>
      </c>
      <c r="AZ80" s="95">
        <f t="shared" si="157"/>
        <v>-12.405607449624574</v>
      </c>
      <c r="BA80" s="95">
        <f t="shared" si="158"/>
        <v>-11.87942606879415</v>
      </c>
      <c r="BB80" s="95">
        <f t="shared" si="159"/>
        <v>-11.54515513999149</v>
      </c>
      <c r="BC80" s="95">
        <f t="shared" si="160"/>
        <v>-32.742029384171595</v>
      </c>
      <c r="BD80" s="95">
        <f t="shared" si="161"/>
        <v>-32.592866245855369</v>
      </c>
      <c r="BE80" s="95">
        <f t="shared" si="162"/>
        <v>-30.495725127076135</v>
      </c>
      <c r="BF80" s="95">
        <f t="shared" si="163"/>
        <v>-28.564966783041424</v>
      </c>
      <c r="BG80" s="95">
        <f t="shared" si="164"/>
        <v>-27.35338937933027</v>
      </c>
      <c r="BH80" s="95">
        <f t="shared" si="165"/>
        <v>-26.583702121647988</v>
      </c>
      <c r="BI80" s="95">
        <f t="shared" si="166"/>
        <v>-6.2650592176033868</v>
      </c>
      <c r="BJ80" s="95">
        <f t="shared" si="167"/>
        <v>-7531.4753769879089</v>
      </c>
      <c r="BK80" s="210">
        <f t="shared" si="168"/>
        <v>0.96073364098288305</v>
      </c>
      <c r="BL80" s="494">
        <f>VLOOKUP(B80,Literatuur!$A:$B,2,FALSE)</f>
        <v>1</v>
      </c>
      <c r="BM80" s="493"/>
      <c r="BN80" s="501" t="str">
        <f t="shared" si="169"/>
        <v>UV4</v>
      </c>
      <c r="BO80" s="496">
        <f t="shared" si="170"/>
        <v>332</v>
      </c>
      <c r="BP80" s="495"/>
      <c r="BQ80" s="493">
        <f t="shared" si="181"/>
        <v>59.436881115975154</v>
      </c>
      <c r="BR80" s="493" t="s">
        <v>1558</v>
      </c>
      <c r="BS80" s="493" t="s">
        <v>2115</v>
      </c>
      <c r="BT80" s="493"/>
      <c r="BU80" s="493"/>
      <c r="BV80" s="493"/>
      <c r="BW80" s="493"/>
      <c r="BX80" s="493"/>
      <c r="BY80" s="493">
        <f t="shared" si="171"/>
        <v>62.616686284277471</v>
      </c>
      <c r="BZ80" s="493" t="s">
        <v>1558</v>
      </c>
      <c r="CA80" s="493" t="s">
        <v>2115</v>
      </c>
      <c r="CB80" s="210"/>
      <c r="CD80" s="183">
        <f t="shared" si="172"/>
        <v>47.865111089626467</v>
      </c>
      <c r="CE80" s="183">
        <f t="shared" si="173"/>
        <v>59.436881115975154</v>
      </c>
      <c r="CF80" s="183">
        <f t="shared" si="174"/>
        <v>22.445607244347141</v>
      </c>
      <c r="CG80" s="183"/>
      <c r="CH80" s="211"/>
      <c r="CI80" s="211"/>
      <c r="CJ80" s="211"/>
      <c r="CL80" s="183">
        <f t="shared" si="175"/>
        <v>62.616686284277471</v>
      </c>
      <c r="CM80" s="183">
        <f t="shared" si="176"/>
        <v>61.793170985143334</v>
      </c>
      <c r="CN80" s="183">
        <f t="shared" si="177"/>
        <v>51.921530266853658</v>
      </c>
      <c r="CO80" s="183">
        <f t="shared" si="182"/>
        <v>61.793170985143334</v>
      </c>
      <c r="CP80" s="183">
        <f t="shared" si="178"/>
        <v>110.48179737390393</v>
      </c>
      <c r="CQ80" s="183">
        <f t="shared" si="179"/>
        <v>121.23005210111849</v>
      </c>
      <c r="CR80" s="183">
        <f t="shared" si="180"/>
        <v>74.367137511200795</v>
      </c>
      <c r="CS80" s="183"/>
      <c r="CT80" s="183"/>
      <c r="CU80" s="183"/>
    </row>
    <row r="81" spans="1:99" x14ac:dyDescent="0.2">
      <c r="A81" s="6"/>
      <c r="B81" s="192" t="s">
        <v>1744</v>
      </c>
      <c r="C81" s="222" t="s">
        <v>1471</v>
      </c>
      <c r="D81" s="462"/>
      <c r="E81" s="462"/>
      <c r="F81" s="462"/>
      <c r="G81" s="192"/>
      <c r="H81" s="192"/>
      <c r="I81" s="192">
        <v>346</v>
      </c>
      <c r="J81" s="4">
        <f t="shared" si="144"/>
        <v>2.5390760987927767</v>
      </c>
      <c r="K81" s="95"/>
      <c r="L81" s="4"/>
      <c r="M81" s="18"/>
      <c r="N81" s="4"/>
      <c r="O81" s="4"/>
      <c r="P81" s="4"/>
      <c r="Q81" s="243">
        <v>1.1999999999999999E-3</v>
      </c>
      <c r="R81" s="192">
        <v>2.8199999999999996E-3</v>
      </c>
      <c r="S81" s="192">
        <v>4.0400000000000002E-3</v>
      </c>
      <c r="T81" s="192">
        <v>7.4599999999999996E-3</v>
      </c>
      <c r="U81" s="192">
        <v>1.0800000000000001E-2</v>
      </c>
      <c r="V81" s="192">
        <v>1.8000000000000002E-2</v>
      </c>
      <c r="W81" s="95">
        <f t="shared" si="145"/>
        <v>-6.7254337221881828</v>
      </c>
      <c r="X81" s="95">
        <f t="shared" si="146"/>
        <v>-5.8710183940321148</v>
      </c>
      <c r="Y81" s="95">
        <f t="shared" si="147"/>
        <v>-5.5115105870090781</v>
      </c>
      <c r="Z81" s="95">
        <f t="shared" si="148"/>
        <v>-4.8981998647664673</v>
      </c>
      <c r="AA81" s="95">
        <f t="shared" si="149"/>
        <v>-4.5282091448519628</v>
      </c>
      <c r="AB81" s="95">
        <f t="shared" si="150"/>
        <v>-4.0173835210859723</v>
      </c>
      <c r="AC81" s="95">
        <f t="shared" si="151"/>
        <v>3.5966531584068591</v>
      </c>
      <c r="AD81" s="95">
        <f t="shared" si="152"/>
        <v>-2843.2093860393111</v>
      </c>
      <c r="AE81" s="253">
        <f t="shared" si="153"/>
        <v>0.99260461635206354</v>
      </c>
      <c r="AF81" s="210"/>
      <c r="AG81" s="210"/>
      <c r="AH81" s="210"/>
      <c r="AI81" s="210"/>
      <c r="AJ81" s="210"/>
      <c r="AK81" s="192"/>
      <c r="AL81" s="192"/>
      <c r="AM81" s="192"/>
      <c r="AN81" s="192"/>
      <c r="AO81" s="192"/>
      <c r="AP81" s="210"/>
      <c r="AQ81" s="192">
        <v>1.02E-15</v>
      </c>
      <c r="AR81" s="192">
        <v>8.7000000000000002E-15</v>
      </c>
      <c r="AS81" s="192">
        <v>6.1000000000000005E-14</v>
      </c>
      <c r="AT81" s="192">
        <v>5.0499999999999997E-13</v>
      </c>
      <c r="AU81" s="192">
        <v>1.5000000000000001E-12</v>
      </c>
      <c r="AV81" s="192">
        <v>3.3899999999999999E-12</v>
      </c>
      <c r="AW81" s="95">
        <f t="shared" si="154"/>
        <v>-14.991399828238082</v>
      </c>
      <c r="AX81" s="95">
        <f t="shared" si="155"/>
        <v>-14.060480747381382</v>
      </c>
      <c r="AY81" s="95">
        <f t="shared" si="156"/>
        <v>-13.214670164989233</v>
      </c>
      <c r="AZ81" s="95">
        <f t="shared" si="157"/>
        <v>-12.296708621881338</v>
      </c>
      <c r="BA81" s="95">
        <f t="shared" si="158"/>
        <v>-11.823908740944319</v>
      </c>
      <c r="BB81" s="95">
        <f t="shared" si="159"/>
        <v>-11.469800301796917</v>
      </c>
      <c r="BC81" s="95">
        <f t="shared" si="160"/>
        <v>-34.518973767614504</v>
      </c>
      <c r="BD81" s="95">
        <f t="shared" si="161"/>
        <v>-32.375453369250145</v>
      </c>
      <c r="BE81" s="95">
        <f t="shared" si="162"/>
        <v>-30.427902530737374</v>
      </c>
      <c r="BF81" s="95">
        <f t="shared" si="163"/>
        <v>-28.314217965635326</v>
      </c>
      <c r="BG81" s="95">
        <f t="shared" si="164"/>
        <v>-27.225556007820384</v>
      </c>
      <c r="BH81" s="95">
        <f t="shared" si="165"/>
        <v>-26.410191194536189</v>
      </c>
      <c r="BI81" s="95">
        <f t="shared" si="166"/>
        <v>-1.480920692459037</v>
      </c>
      <c r="BJ81" s="95">
        <f t="shared" si="167"/>
        <v>-9117.8242186683765</v>
      </c>
      <c r="BK81" s="210">
        <f t="shared" si="168"/>
        <v>0.98706123044162242</v>
      </c>
      <c r="BL81" s="494">
        <f>VLOOKUP(B81,Literatuur!$A:$B,2,FALSE)</f>
        <v>1</v>
      </c>
      <c r="BM81" s="493"/>
      <c r="BN81" s="501" t="str">
        <f t="shared" si="169"/>
        <v>UV5</v>
      </c>
      <c r="BO81" s="496">
        <f t="shared" si="170"/>
        <v>346</v>
      </c>
      <c r="BP81" s="495"/>
      <c r="BQ81" s="493">
        <f t="shared" si="181"/>
        <v>25.103735103714321</v>
      </c>
      <c r="BR81" s="493" t="s">
        <v>1558</v>
      </c>
      <c r="BS81" s="493" t="s">
        <v>2115</v>
      </c>
      <c r="BT81" s="493"/>
      <c r="BU81" s="493"/>
      <c r="BV81" s="493"/>
      <c r="BW81" s="493"/>
      <c r="BX81" s="493"/>
      <c r="BY81" s="493">
        <f t="shared" si="171"/>
        <v>75.805590554008887</v>
      </c>
      <c r="BZ81" s="493" t="s">
        <v>1558</v>
      </c>
      <c r="CA81" s="493" t="s">
        <v>2115</v>
      </c>
      <c r="CB81" s="210"/>
      <c r="CD81" s="183">
        <f t="shared" si="172"/>
        <v>23.638442835530835</v>
      </c>
      <c r="CE81" s="183">
        <f t="shared" si="173"/>
        <v>25.103735103714321</v>
      </c>
      <c r="CF81" s="183">
        <f t="shared" si="174"/>
        <v>22.916667641099643</v>
      </c>
      <c r="CG81" s="183"/>
      <c r="CH81" s="211"/>
      <c r="CI81" s="211"/>
      <c r="CJ81" s="211"/>
      <c r="CL81" s="183">
        <f t="shared" si="175"/>
        <v>75.805590554008887</v>
      </c>
      <c r="CM81" s="183">
        <f t="shared" si="176"/>
        <v>87.913637767770695</v>
      </c>
      <c r="CN81" s="183">
        <f t="shared" si="177"/>
        <v>49.822813618077433</v>
      </c>
      <c r="CO81" s="183">
        <f t="shared" si="182"/>
        <v>87.913637767770695</v>
      </c>
      <c r="CP81" s="183">
        <f t="shared" si="178"/>
        <v>99.444033389539726</v>
      </c>
      <c r="CQ81" s="183">
        <f t="shared" si="179"/>
        <v>113.01737287148501</v>
      </c>
      <c r="CR81" s="183">
        <f t="shared" si="180"/>
        <v>72.739481259177069</v>
      </c>
      <c r="CS81" s="183"/>
      <c r="CT81" s="183"/>
      <c r="CU81" s="183"/>
    </row>
    <row r="82" spans="1:99" x14ac:dyDescent="0.2">
      <c r="A82" s="6"/>
      <c r="B82" s="192" t="s">
        <v>1744</v>
      </c>
      <c r="C82" s="222" t="s">
        <v>1472</v>
      </c>
      <c r="D82" s="462"/>
      <c r="E82" s="462"/>
      <c r="F82" s="462"/>
      <c r="G82" s="192"/>
      <c r="H82" s="192"/>
      <c r="I82" s="192">
        <v>388</v>
      </c>
      <c r="J82" s="4">
        <f t="shared" si="144"/>
        <v>2.5888317255942073</v>
      </c>
      <c r="K82" s="95"/>
      <c r="L82" s="4"/>
      <c r="M82" s="18"/>
      <c r="N82" s="4"/>
      <c r="O82" s="4"/>
      <c r="P82" s="4"/>
      <c r="Q82" s="243">
        <v>7.3999999999999999E-4</v>
      </c>
      <c r="R82" s="192">
        <v>1.5199999999999999E-3</v>
      </c>
      <c r="S82" s="192">
        <v>2.4499999999999999E-3</v>
      </c>
      <c r="T82" s="192">
        <v>4.4000000000000003E-3</v>
      </c>
      <c r="U82" s="192">
        <v>6.13E-3</v>
      </c>
      <c r="V82" s="192">
        <v>8.199999999999999E-3</v>
      </c>
      <c r="W82" s="95">
        <f t="shared" si="145"/>
        <v>-7.2088603717660584</v>
      </c>
      <c r="X82" s="95">
        <f t="shared" si="146"/>
        <v>-6.4890449441239522</v>
      </c>
      <c r="Y82" s="95">
        <f t="shared" si="147"/>
        <v>-6.0116672544255012</v>
      </c>
      <c r="Z82" s="95">
        <f t="shared" si="148"/>
        <v>-5.4261507380579213</v>
      </c>
      <c r="AA82" s="95">
        <f t="shared" si="149"/>
        <v>-5.094560529034017</v>
      </c>
      <c r="AB82" s="95">
        <f t="shared" si="150"/>
        <v>-4.8036211247119294</v>
      </c>
      <c r="AC82" s="95">
        <f t="shared" si="151"/>
        <v>2.3668728279296767</v>
      </c>
      <c r="AD82" s="95">
        <f t="shared" si="152"/>
        <v>-2634.6961545333857</v>
      </c>
      <c r="AE82" s="253">
        <f t="shared" si="153"/>
        <v>0.99058506019392456</v>
      </c>
      <c r="AF82" s="210"/>
      <c r="AG82" s="210"/>
      <c r="AH82" s="210"/>
      <c r="AI82" s="210"/>
      <c r="AJ82" s="210"/>
      <c r="AK82" s="192"/>
      <c r="AL82" s="192"/>
      <c r="AM82" s="192"/>
      <c r="AN82" s="192"/>
      <c r="AO82" s="192"/>
      <c r="AP82" s="210"/>
      <c r="AQ82" s="192">
        <v>2.2000000000000002E-16</v>
      </c>
      <c r="AR82" s="192">
        <v>2.1000000000000002E-15</v>
      </c>
      <c r="AS82" s="192">
        <v>1.7999999999999999E-14</v>
      </c>
      <c r="AT82" s="192">
        <v>1.42E-13</v>
      </c>
      <c r="AU82" s="192">
        <v>5.4800000000000009E-13</v>
      </c>
      <c r="AV82" s="192">
        <v>1.3600000000000001E-12</v>
      </c>
      <c r="AW82" s="95">
        <f t="shared" si="154"/>
        <v>-15.657577319177793</v>
      </c>
      <c r="AX82" s="95">
        <f t="shared" si="155"/>
        <v>-14.67778070526608</v>
      </c>
      <c r="AY82" s="95">
        <f t="shared" si="156"/>
        <v>-13.744727494896694</v>
      </c>
      <c r="AZ82" s="95">
        <f t="shared" si="157"/>
        <v>-12.847711655616944</v>
      </c>
      <c r="BA82" s="95">
        <f t="shared" si="158"/>
        <v>-12.26121944151563</v>
      </c>
      <c r="BB82" s="95">
        <f t="shared" si="159"/>
        <v>-11.866461091629782</v>
      </c>
      <c r="BC82" s="95">
        <f t="shared" si="160"/>
        <v>-36.052904127540458</v>
      </c>
      <c r="BD82" s="95">
        <f t="shared" si="161"/>
        <v>-33.796839050181305</v>
      </c>
      <c r="BE82" s="95">
        <f t="shared" si="162"/>
        <v>-31.648404637014522</v>
      </c>
      <c r="BF82" s="95">
        <f t="shared" si="163"/>
        <v>-29.582949337309426</v>
      </c>
      <c r="BG82" s="95">
        <f t="shared" si="164"/>
        <v>-28.232501107962669</v>
      </c>
      <c r="BH82" s="95">
        <f t="shared" si="165"/>
        <v>-27.323536416180588</v>
      </c>
      <c r="BI82" s="95">
        <f t="shared" si="166"/>
        <v>-0.63349314512282007</v>
      </c>
      <c r="BJ82" s="95">
        <f t="shared" si="167"/>
        <v>-9784.0231676808489</v>
      </c>
      <c r="BK82" s="210">
        <f t="shared" si="168"/>
        <v>0.99061958420956631</v>
      </c>
      <c r="BL82" s="494">
        <f>VLOOKUP(B82,Literatuur!$A:$B,2,FALSE)</f>
        <v>1</v>
      </c>
      <c r="BM82" s="493"/>
      <c r="BN82" s="501" t="str">
        <f t="shared" si="169"/>
        <v>UV6</v>
      </c>
      <c r="BO82" s="496">
        <f t="shared" si="170"/>
        <v>388</v>
      </c>
      <c r="BP82" s="495"/>
      <c r="BQ82" s="493">
        <f t="shared" si="181"/>
        <v>24.967671649660154</v>
      </c>
      <c r="BR82" s="493" t="s">
        <v>1558</v>
      </c>
      <c r="BS82" s="493" t="s">
        <v>2115</v>
      </c>
      <c r="BT82" s="493"/>
      <c r="BU82" s="493"/>
      <c r="BV82" s="493"/>
      <c r="BW82" s="493"/>
      <c r="BX82" s="493"/>
      <c r="BY82" s="493">
        <f t="shared" si="171"/>
        <v>81.344368616098578</v>
      </c>
      <c r="BZ82" s="493" t="s">
        <v>1558</v>
      </c>
      <c r="CA82" s="493" t="s">
        <v>2115</v>
      </c>
      <c r="CB82" s="210"/>
      <c r="CD82" s="183">
        <f t="shared" si="172"/>
        <v>21.904863828790567</v>
      </c>
      <c r="CE82" s="183">
        <f t="shared" si="173"/>
        <v>24.967671649660154</v>
      </c>
      <c r="CF82" s="183">
        <f t="shared" si="174"/>
        <v>16.265775713086143</v>
      </c>
      <c r="CG82" s="183"/>
      <c r="CH82" s="211"/>
      <c r="CI82" s="211"/>
      <c r="CJ82" s="211"/>
      <c r="CL82" s="183">
        <f t="shared" si="175"/>
        <v>81.344368616098578</v>
      </c>
      <c r="CM82" s="183">
        <f t="shared" si="176"/>
        <v>92.186996025204266</v>
      </c>
      <c r="CN82" s="183">
        <f t="shared" si="177"/>
        <v>59.179979894403061</v>
      </c>
      <c r="CO82" s="183">
        <f t="shared" si="182"/>
        <v>92.186996025204266</v>
      </c>
      <c r="CP82" s="183">
        <f t="shared" si="178"/>
        <v>103.24923244488915</v>
      </c>
      <c r="CQ82" s="183">
        <f t="shared" si="179"/>
        <v>117.15466767486441</v>
      </c>
      <c r="CR82" s="183">
        <f t="shared" si="180"/>
        <v>75.445755607489204</v>
      </c>
      <c r="CS82" s="183"/>
      <c r="CT82" s="183"/>
      <c r="CU82" s="183"/>
    </row>
    <row r="83" spans="1:99" x14ac:dyDescent="0.2">
      <c r="A83" s="6"/>
      <c r="B83" s="192" t="s">
        <v>1744</v>
      </c>
      <c r="C83" s="222" t="s">
        <v>1473</v>
      </c>
      <c r="D83" s="462"/>
      <c r="E83" s="462"/>
      <c r="F83" s="462"/>
      <c r="G83" s="192"/>
      <c r="H83" s="192"/>
      <c r="I83" s="192">
        <v>388</v>
      </c>
      <c r="J83" s="4">
        <f t="shared" si="144"/>
        <v>2.5888317255942073</v>
      </c>
      <c r="K83" s="95"/>
      <c r="L83" s="4"/>
      <c r="M83" s="18"/>
      <c r="N83" s="4"/>
      <c r="O83" s="4"/>
      <c r="P83" s="4"/>
      <c r="Q83" s="243">
        <v>4.8000000000000001E-4</v>
      </c>
      <c r="R83" s="192">
        <v>1.1200000000000001E-3</v>
      </c>
      <c r="S83" s="192">
        <v>2.0499999999999997E-3</v>
      </c>
      <c r="T83" s="192">
        <v>3.8E-3</v>
      </c>
      <c r="U83" s="192">
        <v>5.3200000000000001E-3</v>
      </c>
      <c r="V83" s="192">
        <v>7.8000000000000005E-3</v>
      </c>
      <c r="W83" s="95">
        <f t="shared" si="145"/>
        <v>-7.641724454062337</v>
      </c>
      <c r="X83" s="95">
        <f t="shared" si="146"/>
        <v>-6.7944265936751336</v>
      </c>
      <c r="Y83" s="95">
        <f t="shared" si="147"/>
        <v>-6.1899154858318202</v>
      </c>
      <c r="Z83" s="95">
        <f t="shared" si="148"/>
        <v>-5.5727542122497971</v>
      </c>
      <c r="AA83" s="95">
        <f t="shared" si="149"/>
        <v>-5.2362819756285841</v>
      </c>
      <c r="AB83" s="95">
        <f t="shared" si="150"/>
        <v>-4.853631545286591</v>
      </c>
      <c r="AC83" s="95">
        <f t="shared" si="151"/>
        <v>3.3524784651899475</v>
      </c>
      <c r="AD83" s="95">
        <f t="shared" si="152"/>
        <v>-3018.2986282439169</v>
      </c>
      <c r="AE83" s="253">
        <f t="shared" si="153"/>
        <v>0.98799456442571876</v>
      </c>
      <c r="AF83" s="210"/>
      <c r="AG83" s="210"/>
      <c r="AH83" s="210"/>
      <c r="AI83" s="210"/>
      <c r="AJ83" s="210"/>
      <c r="AK83" s="192"/>
      <c r="AL83" s="192"/>
      <c r="AM83" s="192"/>
      <c r="AN83" s="192"/>
      <c r="AO83" s="192"/>
      <c r="AP83" s="210"/>
      <c r="AQ83" s="192">
        <v>6.0000000000000001E-17</v>
      </c>
      <c r="AR83" s="192">
        <v>9.0000000000000003E-16</v>
      </c>
      <c r="AS83" s="192">
        <v>7.0000000000000009E-15</v>
      </c>
      <c r="AT83" s="192">
        <v>5.6999999999999997E-14</v>
      </c>
      <c r="AU83" s="192">
        <v>2.9400000000000001E-13</v>
      </c>
      <c r="AV83" s="192">
        <v>7.8700000000000008E-13</v>
      </c>
      <c r="AW83" s="95">
        <f t="shared" si="154"/>
        <v>-16.221848749616356</v>
      </c>
      <c r="AX83" s="95">
        <f t="shared" si="155"/>
        <v>-15.045757490560675</v>
      </c>
      <c r="AY83" s="95">
        <f t="shared" si="156"/>
        <v>-14.154901959985743</v>
      </c>
      <c r="AZ83" s="95">
        <f t="shared" si="157"/>
        <v>-13.244125144327509</v>
      </c>
      <c r="BA83" s="95">
        <f t="shared" si="158"/>
        <v>-12.531652669587842</v>
      </c>
      <c r="BB83" s="95">
        <f t="shared" si="159"/>
        <v>-12.104025267640935</v>
      </c>
      <c r="BC83" s="95">
        <f t="shared" si="160"/>
        <v>-37.352187111670723</v>
      </c>
      <c r="BD83" s="95">
        <f t="shared" si="161"/>
        <v>-34.644136910568513</v>
      </c>
      <c r="BE83" s="95">
        <f t="shared" si="162"/>
        <v>-32.592866245855369</v>
      </c>
      <c r="BF83" s="95">
        <f t="shared" si="163"/>
        <v>-30.495725127076135</v>
      </c>
      <c r="BG83" s="95">
        <f t="shared" si="164"/>
        <v>-28.855196627572003</v>
      </c>
      <c r="BH83" s="95">
        <f t="shared" si="165"/>
        <v>-27.870548146493281</v>
      </c>
      <c r="BI83" s="95">
        <f t="shared" si="166"/>
        <v>0.68432404267241864</v>
      </c>
      <c r="BJ83" s="95">
        <f t="shared" si="167"/>
        <v>-10483.989769452684</v>
      </c>
      <c r="BK83" s="210">
        <f t="shared" si="168"/>
        <v>0.99265226484776203</v>
      </c>
      <c r="BL83" s="494">
        <f>VLOOKUP(B83,Literatuur!$A:$B,2,FALSE)</f>
        <v>1</v>
      </c>
      <c r="BM83" s="493"/>
      <c r="BN83" s="501" t="str">
        <f t="shared" si="169"/>
        <v>UV7</v>
      </c>
      <c r="BO83" s="496">
        <f t="shared" si="170"/>
        <v>388</v>
      </c>
      <c r="BP83" s="495"/>
      <c r="BQ83" s="493">
        <f t="shared" si="181"/>
        <v>29.199914143849075</v>
      </c>
      <c r="BR83" s="493" t="s">
        <v>1558</v>
      </c>
      <c r="BS83" s="493" t="s">
        <v>2115</v>
      </c>
      <c r="BT83" s="493"/>
      <c r="BU83" s="493"/>
      <c r="BV83" s="493"/>
      <c r="BW83" s="493"/>
      <c r="BX83" s="493"/>
      <c r="BY83" s="493">
        <f t="shared" si="171"/>
        <v>87.163890943229617</v>
      </c>
      <c r="BZ83" s="493" t="s">
        <v>1558</v>
      </c>
      <c r="CA83" s="493" t="s">
        <v>2115</v>
      </c>
      <c r="CB83" s="210"/>
      <c r="CD83" s="183">
        <f t="shared" si="172"/>
        <v>25.094134795219926</v>
      </c>
      <c r="CE83" s="183">
        <f t="shared" si="173"/>
        <v>29.199914143849075</v>
      </c>
      <c r="CF83" s="183">
        <f t="shared" si="174"/>
        <v>18.743706797578337</v>
      </c>
      <c r="CG83" s="183"/>
      <c r="CH83" s="211"/>
      <c r="CI83" s="211"/>
      <c r="CJ83" s="211"/>
      <c r="CL83" s="183">
        <f t="shared" si="175"/>
        <v>87.163890943229617</v>
      </c>
      <c r="CM83" s="183">
        <f t="shared" si="176"/>
        <v>96.913996815942241</v>
      </c>
      <c r="CN83" s="183">
        <f t="shared" si="177"/>
        <v>68.830746144445456</v>
      </c>
      <c r="CO83" s="183">
        <f t="shared" si="182"/>
        <v>96.913996815942241</v>
      </c>
      <c r="CP83" s="183">
        <f t="shared" si="178"/>
        <v>112.25802573844955</v>
      </c>
      <c r="CQ83" s="183">
        <f t="shared" si="179"/>
        <v>126.11391095979131</v>
      </c>
      <c r="CR83" s="183">
        <f t="shared" si="180"/>
        <v>87.574452942023797</v>
      </c>
      <c r="CS83" s="183"/>
      <c r="CT83" s="183"/>
      <c r="CU83" s="183"/>
    </row>
    <row r="84" spans="1:99" x14ac:dyDescent="0.2">
      <c r="A84" s="6"/>
      <c r="B84" s="192" t="s">
        <v>1744</v>
      </c>
      <c r="C84" s="222" t="s">
        <v>1474</v>
      </c>
      <c r="D84" s="462"/>
      <c r="E84" s="462"/>
      <c r="F84" s="462"/>
      <c r="G84" s="192"/>
      <c r="H84" s="192"/>
      <c r="I84" s="192">
        <v>445</v>
      </c>
      <c r="J84" s="4">
        <f t="shared" si="144"/>
        <v>2.6483600109809315</v>
      </c>
      <c r="K84" s="95"/>
      <c r="L84" s="4"/>
      <c r="M84" s="18"/>
      <c r="N84" s="4"/>
      <c r="O84" s="4"/>
      <c r="P84" s="4"/>
      <c r="Q84" s="243">
        <v>2.7000000000000001E-3</v>
      </c>
      <c r="R84" s="192">
        <v>4.3499999999999997E-3</v>
      </c>
      <c r="S84" s="192">
        <v>6.7000000000000002E-3</v>
      </c>
      <c r="T84" s="192">
        <v>1.085E-2</v>
      </c>
      <c r="U84" s="192">
        <v>1.485E-2</v>
      </c>
      <c r="V84" s="192">
        <v>1.925E-2</v>
      </c>
      <c r="W84" s="95">
        <f t="shared" si="145"/>
        <v>-5.9145035059718536</v>
      </c>
      <c r="X84" s="95">
        <f t="shared" si="146"/>
        <v>-5.4375794338815444</v>
      </c>
      <c r="Y84" s="95">
        <f t="shared" si="147"/>
        <v>-5.005647752585217</v>
      </c>
      <c r="Z84" s="95">
        <f t="shared" si="148"/>
        <v>-4.5235901989956684</v>
      </c>
      <c r="AA84" s="95">
        <f t="shared" si="149"/>
        <v>-4.2097554137334283</v>
      </c>
      <c r="AB84" s="95">
        <f t="shared" si="150"/>
        <v>-3.9502442182483439</v>
      </c>
      <c r="AC84" s="95">
        <f t="shared" si="151"/>
        <v>1.9742714448294345</v>
      </c>
      <c r="AD84" s="95">
        <f t="shared" si="152"/>
        <v>-2187.963385210066</v>
      </c>
      <c r="AE84" s="253">
        <f t="shared" si="153"/>
        <v>0.99654807421187408</v>
      </c>
      <c r="AF84" s="210"/>
      <c r="AG84" s="210"/>
      <c r="AH84" s="210"/>
      <c r="AI84" s="210"/>
      <c r="AJ84" s="210"/>
      <c r="AK84" s="192"/>
      <c r="AL84" s="192"/>
      <c r="AM84" s="192"/>
      <c r="AN84" s="192"/>
      <c r="AO84" s="192"/>
      <c r="AP84" s="210"/>
      <c r="AQ84" s="192">
        <v>5.6000000000000003E-16</v>
      </c>
      <c r="AR84" s="192">
        <v>5.3000000000000001E-15</v>
      </c>
      <c r="AS84" s="192">
        <v>3.4000000000000007E-14</v>
      </c>
      <c r="AT84" s="192">
        <v>9.1000000000000004E-14</v>
      </c>
      <c r="AU84" s="192">
        <v>4.8499999999999995E-13</v>
      </c>
      <c r="AV84" s="192">
        <v>1.0699999999999999E-12</v>
      </c>
      <c r="AW84" s="95">
        <f t="shared" si="154"/>
        <v>-15.251811972993799</v>
      </c>
      <c r="AX84" s="95">
        <f t="shared" si="155"/>
        <v>-14.275724130399212</v>
      </c>
      <c r="AY84" s="95">
        <f t="shared" si="156"/>
        <v>-13.468521082957745</v>
      </c>
      <c r="AZ84" s="95">
        <f t="shared" si="157"/>
        <v>-13.040958607678906</v>
      </c>
      <c r="BA84" s="95">
        <f t="shared" si="158"/>
        <v>-12.314258261397736</v>
      </c>
      <c r="BB84" s="95">
        <f t="shared" si="159"/>
        <v>-11.97061622231479</v>
      </c>
      <c r="BC84" s="95">
        <f t="shared" si="160"/>
        <v>-35.118594890163628</v>
      </c>
      <c r="BD84" s="95">
        <f t="shared" si="161"/>
        <v>-32.87106957435261</v>
      </c>
      <c r="BE84" s="95">
        <f t="shared" si="162"/>
        <v>-31.012415870294525</v>
      </c>
      <c r="BF84" s="95">
        <f t="shared" si="163"/>
        <v>-30.027916888393836</v>
      </c>
      <c r="BG84" s="95">
        <f t="shared" si="164"/>
        <v>-28.354627503973202</v>
      </c>
      <c r="BH84" s="95">
        <f t="shared" si="165"/>
        <v>-27.563362467454734</v>
      </c>
      <c r="BI84" s="95">
        <f t="shared" si="166"/>
        <v>-5.2944812650971826</v>
      </c>
      <c r="BJ84" s="95">
        <f t="shared" si="167"/>
        <v>-8197.1055278008971</v>
      </c>
      <c r="BK84" s="210">
        <f t="shared" si="168"/>
        <v>0.9881331701043421</v>
      </c>
      <c r="BL84" s="494">
        <f>VLOOKUP(B84,Literatuur!$A:$B,2,FALSE)</f>
        <v>1</v>
      </c>
      <c r="BM84" s="493"/>
      <c r="BN84" s="501" t="str">
        <f t="shared" si="169"/>
        <v>UV8</v>
      </c>
      <c r="BO84" s="496">
        <f t="shared" si="170"/>
        <v>445</v>
      </c>
      <c r="BP84" s="495"/>
      <c r="BQ84" s="493">
        <f t="shared" si="181"/>
        <v>19.685509953405795</v>
      </c>
      <c r="BR84" s="493" t="s">
        <v>1558</v>
      </c>
      <c r="BS84" s="493" t="s">
        <v>2115</v>
      </c>
      <c r="BT84" s="493"/>
      <c r="BU84" s="493"/>
      <c r="BV84" s="493"/>
      <c r="BW84" s="493"/>
      <c r="BX84" s="493"/>
      <c r="BY84" s="493">
        <f t="shared" si="171"/>
        <v>68.150735358136657</v>
      </c>
      <c r="BZ84" s="493" t="s">
        <v>1558</v>
      </c>
      <c r="CA84" s="493" t="s">
        <v>2115</v>
      </c>
      <c r="CB84" s="210"/>
      <c r="CD84" s="183">
        <f t="shared" si="172"/>
        <v>18.190727584636491</v>
      </c>
      <c r="CE84" s="183">
        <f t="shared" si="173"/>
        <v>19.685509953405795</v>
      </c>
      <c r="CF84" s="183">
        <f t="shared" si="174"/>
        <v>14.989001798611467</v>
      </c>
      <c r="CG84" s="183"/>
      <c r="CH84" s="211"/>
      <c r="CI84" s="211"/>
      <c r="CJ84" s="211"/>
      <c r="CL84" s="183">
        <f t="shared" si="175"/>
        <v>68.150735358136657</v>
      </c>
      <c r="CM84" s="183">
        <f t="shared" si="176"/>
        <v>73.530369162196109</v>
      </c>
      <c r="CN84" s="183">
        <f t="shared" si="177"/>
        <v>64.750541022247717</v>
      </c>
      <c r="CO84" s="183">
        <f t="shared" si="182"/>
        <v>73.530369162196109</v>
      </c>
      <c r="CP84" s="183">
        <f t="shared" si="178"/>
        <v>86.341462942773148</v>
      </c>
      <c r="CQ84" s="183">
        <f t="shared" si="179"/>
        <v>93.215879115601908</v>
      </c>
      <c r="CR84" s="183">
        <f t="shared" si="180"/>
        <v>79.739542820859185</v>
      </c>
      <c r="CS84" s="183"/>
      <c r="CT84" s="183"/>
      <c r="CU84" s="183"/>
    </row>
    <row r="85" spans="1:99" x14ac:dyDescent="0.2">
      <c r="A85" s="6"/>
      <c r="B85" s="192" t="s">
        <v>1744</v>
      </c>
      <c r="C85" s="222" t="s">
        <v>1475</v>
      </c>
      <c r="D85" s="462"/>
      <c r="E85" s="462"/>
      <c r="F85" s="462"/>
      <c r="G85" s="192"/>
      <c r="H85" s="192"/>
      <c r="I85" s="192">
        <v>551</v>
      </c>
      <c r="J85" s="4">
        <f t="shared" si="144"/>
        <v>2.7411515988517849</v>
      </c>
      <c r="K85" s="95"/>
      <c r="L85" s="4"/>
      <c r="M85" s="18"/>
      <c r="N85" s="4"/>
      <c r="O85" s="4"/>
      <c r="P85" s="4"/>
      <c r="Q85" s="243">
        <v>2.3499999999999997E-3</v>
      </c>
      <c r="R85" s="192">
        <v>4.0500000000000006E-3</v>
      </c>
      <c r="S85" s="192">
        <v>7.2499999999999995E-3</v>
      </c>
      <c r="T85" s="192">
        <v>1.03E-2</v>
      </c>
      <c r="U85" s="192">
        <v>1.6299999999999999E-2</v>
      </c>
      <c r="V85" s="192">
        <v>2.0750000000000001E-2</v>
      </c>
      <c r="W85" s="95">
        <f t="shared" si="145"/>
        <v>-6.0533399508260697</v>
      </c>
      <c r="X85" s="95">
        <f t="shared" si="146"/>
        <v>-5.509038397863689</v>
      </c>
      <c r="Y85" s="95">
        <f t="shared" si="147"/>
        <v>-4.9267538101155539</v>
      </c>
      <c r="Z85" s="95">
        <f t="shared" si="148"/>
        <v>-4.5756113837465469</v>
      </c>
      <c r="AA85" s="95">
        <f t="shared" si="149"/>
        <v>-4.1165901711694204</v>
      </c>
      <c r="AB85" s="95">
        <f t="shared" si="150"/>
        <v>-3.8752090323054298</v>
      </c>
      <c r="AC85" s="95">
        <f t="shared" si="151"/>
        <v>2.6726417163886929</v>
      </c>
      <c r="AD85" s="95">
        <f t="shared" si="152"/>
        <v>-2413.0072524685902</v>
      </c>
      <c r="AE85" s="253">
        <f t="shared" si="153"/>
        <v>0.99321079364801423</v>
      </c>
      <c r="AF85" s="210"/>
      <c r="AG85" s="210"/>
      <c r="AH85" s="210"/>
      <c r="AI85" s="210"/>
      <c r="AJ85" s="210"/>
      <c r="AK85" s="192"/>
      <c r="AL85" s="192"/>
      <c r="AM85" s="192"/>
      <c r="AN85" s="192"/>
      <c r="AO85" s="192"/>
      <c r="AP85" s="210"/>
      <c r="AQ85" s="192">
        <v>3.5000000000000002E-16</v>
      </c>
      <c r="AR85" s="192">
        <v>3.0999999999999999E-15</v>
      </c>
      <c r="AS85" s="192">
        <v>1.7999999999999999E-14</v>
      </c>
      <c r="AT85" s="192">
        <v>9.4999999999999999E-14</v>
      </c>
      <c r="AU85" s="192">
        <v>2.9700000000000005E-13</v>
      </c>
      <c r="AV85" s="192">
        <v>6.7000000000000007E-13</v>
      </c>
      <c r="AW85" s="95">
        <f t="shared" si="154"/>
        <v>-15.455931955649724</v>
      </c>
      <c r="AX85" s="95">
        <f t="shared" si="155"/>
        <v>-14.508638306165727</v>
      </c>
      <c r="AY85" s="95">
        <f t="shared" si="156"/>
        <v>-13.744727494896694</v>
      </c>
      <c r="AZ85" s="95">
        <f t="shared" si="157"/>
        <v>-13.022276394711152</v>
      </c>
      <c r="BA85" s="95">
        <f t="shared" si="158"/>
        <v>-12.527243550682787</v>
      </c>
      <c r="BB85" s="95">
        <f t="shared" si="159"/>
        <v>-12.173925197299173</v>
      </c>
      <c r="BC85" s="95">
        <f t="shared" si="160"/>
        <v>-35.588598519409366</v>
      </c>
      <c r="BD85" s="95">
        <f t="shared" si="161"/>
        <v>-33.407374283419585</v>
      </c>
      <c r="BE85" s="95">
        <f t="shared" si="162"/>
        <v>-31.648404637014522</v>
      </c>
      <c r="BF85" s="95">
        <f t="shared" si="163"/>
        <v>-29.984899503310146</v>
      </c>
      <c r="BG85" s="95">
        <f t="shared" si="164"/>
        <v>-28.845044256107986</v>
      </c>
      <c r="BH85" s="95">
        <f t="shared" si="165"/>
        <v>-28.031498682525672</v>
      </c>
      <c r="BI85" s="95">
        <f t="shared" si="166"/>
        <v>-5.2811130898887377</v>
      </c>
      <c r="BJ85" s="95">
        <f t="shared" si="167"/>
        <v>-8338.2737696554614</v>
      </c>
      <c r="BK85" s="210">
        <f t="shared" si="168"/>
        <v>0.98918677650083631</v>
      </c>
      <c r="BL85" s="494">
        <f>VLOOKUP(B85,Literatuur!$A:$B,2,FALSE)</f>
        <v>1</v>
      </c>
      <c r="BM85" s="493"/>
      <c r="BN85" s="501" t="str">
        <f t="shared" si="169"/>
        <v>UV9</v>
      </c>
      <c r="BO85" s="496">
        <f t="shared" si="170"/>
        <v>551</v>
      </c>
      <c r="BP85" s="495"/>
      <c r="BQ85" s="493">
        <f t="shared" si="181"/>
        <v>21.464377988608614</v>
      </c>
      <c r="BR85" s="493" t="s">
        <v>1558</v>
      </c>
      <c r="BS85" s="493" t="s">
        <v>2115</v>
      </c>
      <c r="BT85" s="493"/>
      <c r="BU85" s="493"/>
      <c r="BV85" s="493"/>
      <c r="BW85" s="493"/>
      <c r="BX85" s="493"/>
      <c r="BY85" s="493">
        <f t="shared" si="171"/>
        <v>69.324408120915507</v>
      </c>
      <c r="BZ85" s="493" t="s">
        <v>1558</v>
      </c>
      <c r="CA85" s="493" t="s">
        <v>2115</v>
      </c>
      <c r="CB85" s="210"/>
      <c r="CD85" s="183">
        <f t="shared" si="172"/>
        <v>20.061742297023859</v>
      </c>
      <c r="CE85" s="183">
        <f t="shared" si="173"/>
        <v>21.464377988608614</v>
      </c>
      <c r="CF85" s="183">
        <f t="shared" si="174"/>
        <v>18.385197651289953</v>
      </c>
      <c r="CG85" s="183"/>
      <c r="CH85" s="211"/>
      <c r="CI85" s="211"/>
      <c r="CJ85" s="211"/>
      <c r="CL85" s="183">
        <f t="shared" si="175"/>
        <v>69.324408120915507</v>
      </c>
      <c r="CM85" s="183">
        <f t="shared" si="176"/>
        <v>79.541002493861967</v>
      </c>
      <c r="CN85" s="183">
        <f t="shared" si="177"/>
        <v>51.137422485676034</v>
      </c>
      <c r="CO85" s="183">
        <f t="shared" si="182"/>
        <v>79.541002493861967</v>
      </c>
      <c r="CP85" s="183">
        <f t="shared" si="178"/>
        <v>89.386150417939362</v>
      </c>
      <c r="CQ85" s="183">
        <f t="shared" si="179"/>
        <v>101.00538048247058</v>
      </c>
      <c r="CR85" s="183">
        <f t="shared" si="180"/>
        <v>69.522620136965983</v>
      </c>
      <c r="CS85" s="183"/>
      <c r="CT85" s="183"/>
      <c r="CU85" s="183"/>
    </row>
    <row r="86" spans="1:99" x14ac:dyDescent="0.2">
      <c r="A86" s="6"/>
      <c r="B86" s="192" t="s">
        <v>1744</v>
      </c>
      <c r="C86" s="222" t="s">
        <v>1476</v>
      </c>
      <c r="D86" s="462"/>
      <c r="E86" s="462"/>
      <c r="F86" s="462"/>
      <c r="G86" s="192"/>
      <c r="H86" s="192"/>
      <c r="I86" s="192">
        <v>585</v>
      </c>
      <c r="J86" s="4">
        <f t="shared" si="144"/>
        <v>2.7671558660821804</v>
      </c>
      <c r="K86" s="95"/>
      <c r="L86" s="4"/>
      <c r="M86" s="18"/>
      <c r="N86" s="4"/>
      <c r="O86" s="4"/>
      <c r="P86" s="4"/>
      <c r="Q86" s="243">
        <v>2.2500000000000003E-3</v>
      </c>
      <c r="R86" s="192">
        <v>4.0999999999999995E-3</v>
      </c>
      <c r="S86" s="192">
        <v>6.6E-3</v>
      </c>
      <c r="T86" s="192">
        <v>1.25E-3</v>
      </c>
      <c r="U86" s="192">
        <v>1.5600000000000001E-2</v>
      </c>
      <c r="V86" s="192">
        <v>2.1250000000000002E-2</v>
      </c>
      <c r="W86" s="95">
        <f t="shared" si="145"/>
        <v>-6.0968250627658085</v>
      </c>
      <c r="X86" s="95">
        <f t="shared" si="146"/>
        <v>-5.4967683052718748</v>
      </c>
      <c r="Y86" s="95">
        <f t="shared" si="147"/>
        <v>-5.0206856299497575</v>
      </c>
      <c r="Z86" s="95">
        <f t="shared" si="148"/>
        <v>-6.6846117276679271</v>
      </c>
      <c r="AA86" s="95">
        <f t="shared" si="149"/>
        <v>-4.1604843647266456</v>
      </c>
      <c r="AB86" s="95">
        <f t="shared" si="150"/>
        <v>-3.8513983836117109</v>
      </c>
      <c r="AC86" s="95">
        <f t="shared" si="151"/>
        <v>1.1755529623633585</v>
      </c>
      <c r="AD86" s="95">
        <f t="shared" si="152"/>
        <v>-2052.9589175971078</v>
      </c>
      <c r="AE86" s="253">
        <f t="shared" si="153"/>
        <v>0.41176733570681306</v>
      </c>
      <c r="AF86" s="210"/>
      <c r="AG86" s="210"/>
      <c r="AH86" s="210"/>
      <c r="AI86" s="210"/>
      <c r="AJ86" s="210"/>
      <c r="AK86" s="192"/>
      <c r="AL86" s="192"/>
      <c r="AM86" s="192"/>
      <c r="AN86" s="192"/>
      <c r="AO86" s="192"/>
      <c r="AP86" s="210"/>
      <c r="AQ86" s="192">
        <v>2.2000000000000002E-16</v>
      </c>
      <c r="AR86" s="192">
        <v>2.0000000000000002E-15</v>
      </c>
      <c r="AS86" s="192">
        <v>1.1999999999999999E-14</v>
      </c>
      <c r="AT86" s="192">
        <v>6.4000000000000005E-14</v>
      </c>
      <c r="AU86" s="192">
        <v>2.0499999999999998E-13</v>
      </c>
      <c r="AV86" s="192">
        <v>3.9399999999999999E-13</v>
      </c>
      <c r="AW86" s="95">
        <f t="shared" si="154"/>
        <v>-15.657577319177793</v>
      </c>
      <c r="AX86" s="95">
        <f t="shared" si="155"/>
        <v>-14.698970004336019</v>
      </c>
      <c r="AY86" s="95">
        <f t="shared" si="156"/>
        <v>-13.920818753952375</v>
      </c>
      <c r="AZ86" s="95">
        <f t="shared" si="157"/>
        <v>-13.193820026016112</v>
      </c>
      <c r="BA86" s="95">
        <f t="shared" si="158"/>
        <v>-12.688246138944246</v>
      </c>
      <c r="BB86" s="95">
        <f t="shared" si="159"/>
        <v>-12.404503778174426</v>
      </c>
      <c r="BC86" s="95">
        <f t="shared" si="160"/>
        <v>-36.052904127540458</v>
      </c>
      <c r="BD86" s="95">
        <f t="shared" si="161"/>
        <v>-33.845629214350737</v>
      </c>
      <c r="BE86" s="95">
        <f t="shared" si="162"/>
        <v>-32.053869745122682</v>
      </c>
      <c r="BF86" s="95">
        <f t="shared" si="163"/>
        <v>-30.379893311551012</v>
      </c>
      <c r="BG86" s="95">
        <f t="shared" si="164"/>
        <v>-29.215766415772276</v>
      </c>
      <c r="BH86" s="95">
        <f t="shared" si="165"/>
        <v>-28.562425485612753</v>
      </c>
      <c r="BI86" s="95">
        <f t="shared" si="166"/>
        <v>-5.7490589087838373</v>
      </c>
      <c r="BJ86" s="95">
        <f t="shared" si="167"/>
        <v>-8327.4103820159271</v>
      </c>
      <c r="BK86" s="210">
        <f t="shared" si="168"/>
        <v>0.98531570532838819</v>
      </c>
      <c r="BL86" s="494">
        <f>VLOOKUP(B86,Literatuur!$A:$B,2,FALSE)</f>
        <v>1</v>
      </c>
      <c r="BM86" s="493"/>
      <c r="BN86" s="501" t="str">
        <f t="shared" si="169"/>
        <v>UV10</v>
      </c>
      <c r="BO86" s="496">
        <f t="shared" si="170"/>
        <v>585</v>
      </c>
      <c r="BP86" s="495"/>
      <c r="BQ86" s="493">
        <f t="shared" si="181"/>
        <v>-5.0315127596893392</v>
      </c>
      <c r="BR86" s="493" t="s">
        <v>1558</v>
      </c>
      <c r="BS86" s="493" t="s">
        <v>2115</v>
      </c>
      <c r="BT86" s="493"/>
      <c r="BU86" s="493"/>
      <c r="BV86" s="493"/>
      <c r="BW86" s="493"/>
      <c r="BX86" s="493"/>
      <c r="BY86" s="493">
        <f t="shared" si="171"/>
        <v>69.234089916080421</v>
      </c>
      <c r="BZ86" s="493" t="s">
        <v>1558</v>
      </c>
      <c r="CA86" s="493" t="s">
        <v>2115</v>
      </c>
      <c r="CB86" s="210"/>
      <c r="CD86" s="183">
        <f t="shared" si="172"/>
        <v>17.068300440902352</v>
      </c>
      <c r="CE86" s="183">
        <f t="shared" si="173"/>
        <v>-5.0315127596893392</v>
      </c>
      <c r="CF86" s="183">
        <f t="shared" si="174"/>
        <v>75.028163199923881</v>
      </c>
      <c r="CG86" s="183"/>
      <c r="CH86" s="211"/>
      <c r="CI86" s="211"/>
      <c r="CJ86" s="211"/>
      <c r="CL86" s="183">
        <f t="shared" si="175"/>
        <v>69.234089916080421</v>
      </c>
      <c r="CM86" s="183">
        <f t="shared" si="176"/>
        <v>80.571528511264461</v>
      </c>
      <c r="CN86" s="183">
        <f t="shared" si="177"/>
        <v>47.680988470039431</v>
      </c>
      <c r="CO86" s="183">
        <f t="shared" si="182"/>
        <v>80.571528511264461</v>
      </c>
      <c r="CP86" s="183">
        <f t="shared" si="178"/>
        <v>86.30239035698277</v>
      </c>
      <c r="CQ86" s="183">
        <f t="shared" si="179"/>
        <v>75.540015751575126</v>
      </c>
      <c r="CR86" s="183">
        <f t="shared" si="180"/>
        <v>122.70915166996332</v>
      </c>
      <c r="CS86" s="183"/>
      <c r="CT86" s="183"/>
      <c r="CU86" s="183"/>
    </row>
    <row r="87" spans="1:99" x14ac:dyDescent="0.2">
      <c r="A87" s="6"/>
      <c r="B87" s="192"/>
      <c r="C87" s="222"/>
      <c r="D87" s="462"/>
      <c r="E87" s="462"/>
      <c r="F87" s="462"/>
      <c r="G87" s="192"/>
      <c r="H87" s="192"/>
      <c r="I87" s="192"/>
      <c r="J87" s="192"/>
      <c r="K87" s="95"/>
      <c r="L87" s="4"/>
      <c r="M87" s="18"/>
      <c r="N87" s="4"/>
      <c r="O87" s="4"/>
      <c r="P87" s="4"/>
      <c r="Q87" s="17"/>
      <c r="AD87" s="95"/>
      <c r="AE87" s="253"/>
      <c r="AF87" s="210"/>
      <c r="AG87" s="210"/>
      <c r="AH87" s="210"/>
      <c r="AI87" s="210"/>
      <c r="AJ87" s="210"/>
      <c r="AP87" s="210"/>
      <c r="AQ87" s="192"/>
      <c r="AR87" s="192"/>
      <c r="AS87" s="192"/>
      <c r="AT87" s="192"/>
      <c r="AU87" s="192"/>
      <c r="AV87" s="192"/>
      <c r="AW87" s="192"/>
      <c r="AX87" s="95"/>
      <c r="AY87" s="95"/>
      <c r="AZ87" s="95"/>
      <c r="BA87" s="95"/>
      <c r="BB87" s="95"/>
      <c r="BC87" s="192"/>
      <c r="BD87" s="95"/>
      <c r="BE87" s="95"/>
      <c r="BF87" s="95"/>
      <c r="BG87" s="95"/>
      <c r="BH87" s="95"/>
      <c r="BI87" s="95"/>
      <c r="BJ87" s="95"/>
      <c r="BK87" s="95"/>
      <c r="BL87" s="494"/>
      <c r="BM87" s="493"/>
      <c r="BN87" s="501"/>
      <c r="BO87" s="496"/>
      <c r="BP87" s="495"/>
      <c r="BQ87" s="493"/>
      <c r="BR87" s="493"/>
      <c r="BS87" s="493"/>
      <c r="BT87" s="493"/>
      <c r="BU87" s="493"/>
      <c r="BV87" s="493"/>
      <c r="BW87" s="493"/>
      <c r="BX87" s="493"/>
      <c r="BY87" s="493"/>
      <c r="BZ87" s="493"/>
      <c r="CA87" s="493"/>
      <c r="CB87" s="95"/>
      <c r="CD87" s="183"/>
      <c r="CE87" s="183"/>
      <c r="CF87" s="183"/>
      <c r="CG87" s="183"/>
      <c r="CH87" s="183"/>
      <c r="CI87" s="183"/>
      <c r="CJ87" s="183"/>
      <c r="CK87" s="215" t="s">
        <v>1057</v>
      </c>
      <c r="CL87" s="217" t="s">
        <v>1492</v>
      </c>
      <c r="CM87" s="183"/>
      <c r="CN87" s="183"/>
      <c r="CO87" s="183"/>
      <c r="CR87" s="183"/>
      <c r="CS87" s="183"/>
      <c r="CT87" s="183"/>
      <c r="CU87" s="183"/>
    </row>
    <row r="88" spans="1:99" x14ac:dyDescent="0.2">
      <c r="A88" s="6"/>
      <c r="B88" s="215" t="s">
        <v>2113</v>
      </c>
      <c r="C88" s="223" t="s">
        <v>1465</v>
      </c>
      <c r="D88" s="367"/>
      <c r="E88" s="367"/>
      <c r="F88" s="367"/>
      <c r="G88" s="215"/>
      <c r="H88" s="215"/>
      <c r="I88" s="215">
        <v>214</v>
      </c>
      <c r="J88" s="4">
        <f t="shared" ref="J88:J102" si="183">LOG(I88)</f>
        <v>2.330413773349191</v>
      </c>
      <c r="K88" s="95"/>
      <c r="L88" s="4"/>
      <c r="M88" s="18"/>
      <c r="N88" s="4"/>
      <c r="O88" s="4"/>
      <c r="P88" s="4"/>
      <c r="Q88" s="17"/>
      <c r="AD88" s="95"/>
      <c r="AE88" s="253"/>
      <c r="AF88" s="210"/>
      <c r="AG88" s="210"/>
      <c r="AH88" s="210"/>
      <c r="AI88" s="210"/>
      <c r="AJ88" s="210"/>
      <c r="AP88" s="210"/>
      <c r="AQ88" s="192"/>
      <c r="AR88" s="192"/>
      <c r="AS88" s="192"/>
      <c r="AT88" s="192"/>
      <c r="AU88" s="192"/>
      <c r="AV88" s="192"/>
      <c r="AW88" s="192"/>
      <c r="AX88" s="95"/>
      <c r="AY88" s="95"/>
      <c r="AZ88" s="95"/>
      <c r="BA88" s="95"/>
      <c r="BB88" s="95"/>
      <c r="BC88" s="192"/>
      <c r="BD88" s="95"/>
      <c r="BE88" s="95"/>
      <c r="BF88" s="95"/>
      <c r="BG88" s="95"/>
      <c r="BH88" s="95"/>
      <c r="BL88" s="494">
        <f>VLOOKUP(B88,Literatuur!$A:$B,2,FALSE)</f>
        <v>42</v>
      </c>
      <c r="BM88" s="493"/>
      <c r="BN88" s="501" t="str">
        <f t="shared" ref="BN88:BN93" si="184">C88</f>
        <v>UV1</v>
      </c>
      <c r="BO88" s="496">
        <f t="shared" ref="BO88:BO93" si="185">I88</f>
        <v>214</v>
      </c>
      <c r="BP88" s="495"/>
      <c r="BQ88" s="493"/>
      <c r="BR88" s="493"/>
      <c r="BS88" s="493"/>
      <c r="BT88" s="493"/>
      <c r="BU88" s="493"/>
      <c r="BV88" s="493"/>
      <c r="BW88" s="493"/>
      <c r="BX88" s="493"/>
      <c r="BY88" s="493">
        <f t="shared" ref="BY88:BY93" si="186">CL88</f>
        <v>70.39</v>
      </c>
      <c r="BZ88" s="493" t="s">
        <v>2117</v>
      </c>
      <c r="CA88" s="493" t="str">
        <f>CK88</f>
        <v>313-348</v>
      </c>
      <c r="CK88" s="215" t="s">
        <v>1490</v>
      </c>
      <c r="CL88" s="217">
        <v>70.39</v>
      </c>
      <c r="CM88" s="183"/>
      <c r="CN88" s="183"/>
      <c r="CO88" s="139">
        <f t="shared" ref="CO88:CO99" si="187">CL88</f>
        <v>70.39</v>
      </c>
      <c r="CR88" s="183"/>
      <c r="CS88" s="183"/>
      <c r="CT88" s="183"/>
      <c r="CU88" s="183"/>
    </row>
    <row r="89" spans="1:99" x14ac:dyDescent="0.2">
      <c r="A89" s="6"/>
      <c r="B89" s="215" t="s">
        <v>2113</v>
      </c>
      <c r="C89" s="223" t="s">
        <v>1469</v>
      </c>
      <c r="D89" s="367"/>
      <c r="E89" s="367"/>
      <c r="F89" s="367"/>
      <c r="G89" s="215"/>
      <c r="H89" s="215"/>
      <c r="I89" s="215">
        <v>326</v>
      </c>
      <c r="J89" s="4">
        <f t="shared" si="183"/>
        <v>2.5132176000679389</v>
      </c>
      <c r="K89" s="95"/>
      <c r="L89" s="4"/>
      <c r="M89" s="18"/>
      <c r="N89" s="4"/>
      <c r="O89" s="4"/>
      <c r="P89" s="4"/>
      <c r="Q89" s="17"/>
      <c r="AD89" s="95"/>
      <c r="AE89" s="253"/>
      <c r="AF89" s="210"/>
      <c r="AG89" s="210"/>
      <c r="AH89" s="210"/>
      <c r="AI89" s="210"/>
      <c r="AJ89" s="210"/>
      <c r="AP89" s="210"/>
      <c r="AQ89" s="192"/>
      <c r="AR89" s="192"/>
      <c r="AS89" s="192"/>
      <c r="AT89" s="192"/>
      <c r="AU89" s="192"/>
      <c r="AV89" s="192"/>
      <c r="AW89" s="192"/>
      <c r="AX89" s="95"/>
      <c r="AY89" s="95"/>
      <c r="AZ89" s="95"/>
      <c r="BA89" s="95"/>
      <c r="BB89" s="95"/>
      <c r="BC89" s="192"/>
      <c r="BD89" s="95"/>
      <c r="BE89" s="95"/>
      <c r="BF89" s="95"/>
      <c r="BG89" s="95"/>
      <c r="BH89" s="95"/>
      <c r="BL89" s="494">
        <f>VLOOKUP(B89,Literatuur!$A:$B,2,FALSE)</f>
        <v>42</v>
      </c>
      <c r="BM89" s="493"/>
      <c r="BN89" s="501" t="str">
        <f t="shared" si="184"/>
        <v>UV3</v>
      </c>
      <c r="BO89" s="496">
        <f t="shared" si="185"/>
        <v>326</v>
      </c>
      <c r="BP89" s="495"/>
      <c r="BQ89" s="493"/>
      <c r="BR89" s="493"/>
      <c r="BS89" s="493"/>
      <c r="BT89" s="493"/>
      <c r="BU89" s="493"/>
      <c r="BV89" s="493"/>
      <c r="BW89" s="493"/>
      <c r="BX89" s="493"/>
      <c r="BY89" s="493">
        <f t="shared" si="186"/>
        <v>76.680000000000007</v>
      </c>
      <c r="BZ89" s="493" t="s">
        <v>2117</v>
      </c>
      <c r="CA89" s="493" t="str">
        <f t="shared" ref="CA89:CA92" si="188">CK89</f>
        <v>313-348</v>
      </c>
      <c r="CD89" s="183"/>
      <c r="CE89" s="183"/>
      <c r="CF89" s="183"/>
      <c r="CG89" s="183"/>
      <c r="CH89" s="183"/>
      <c r="CI89" s="183"/>
      <c r="CJ89" s="183"/>
      <c r="CK89" s="215" t="s">
        <v>1490</v>
      </c>
      <c r="CL89" s="217">
        <v>76.680000000000007</v>
      </c>
      <c r="CM89" s="183"/>
      <c r="CN89" s="183"/>
      <c r="CO89" s="139">
        <f t="shared" si="187"/>
        <v>76.680000000000007</v>
      </c>
      <c r="CR89" s="183"/>
      <c r="CS89" s="183"/>
      <c r="CT89" s="183"/>
      <c r="CU89" s="183"/>
    </row>
    <row r="90" spans="1:99" x14ac:dyDescent="0.2">
      <c r="A90" s="6"/>
      <c r="B90" s="215" t="s">
        <v>2114</v>
      </c>
      <c r="C90" s="223" t="s">
        <v>1465</v>
      </c>
      <c r="D90" s="367"/>
      <c r="E90" s="367"/>
      <c r="F90" s="367"/>
      <c r="G90" s="215"/>
      <c r="H90" s="215"/>
      <c r="I90" s="215">
        <v>214</v>
      </c>
      <c r="J90" s="4">
        <f t="shared" si="183"/>
        <v>2.330413773349191</v>
      </c>
      <c r="K90" s="95"/>
      <c r="L90" s="4"/>
      <c r="M90" s="18"/>
      <c r="N90" s="4"/>
      <c r="O90" s="4"/>
      <c r="P90" s="4"/>
      <c r="Q90" s="17"/>
      <c r="AD90" s="95"/>
      <c r="AE90" s="253"/>
      <c r="AF90" s="210"/>
      <c r="AG90" s="210"/>
      <c r="AH90" s="210"/>
      <c r="AI90" s="210"/>
      <c r="AJ90" s="210"/>
      <c r="AP90" s="210"/>
      <c r="AQ90" s="192"/>
      <c r="AR90" s="192"/>
      <c r="AS90" s="192"/>
      <c r="AT90" s="192"/>
      <c r="AU90" s="192"/>
      <c r="AV90" s="192"/>
      <c r="AW90" s="192"/>
      <c r="AX90" s="95"/>
      <c r="AY90" s="95"/>
      <c r="AZ90" s="95"/>
      <c r="BA90" s="95"/>
      <c r="BB90" s="95"/>
      <c r="BC90" s="192"/>
      <c r="BD90" s="95"/>
      <c r="BE90" s="95"/>
      <c r="BF90" s="95"/>
      <c r="BG90" s="95"/>
      <c r="BH90" s="95"/>
      <c r="BL90" s="494">
        <f>VLOOKUP(B90,Literatuur!$A:$B,2,FALSE)</f>
        <v>43</v>
      </c>
      <c r="BM90" s="493"/>
      <c r="BN90" s="501" t="str">
        <f t="shared" si="184"/>
        <v>UV1</v>
      </c>
      <c r="BO90" s="496">
        <f t="shared" si="185"/>
        <v>214</v>
      </c>
      <c r="BP90" s="495"/>
      <c r="BQ90" s="493"/>
      <c r="BR90" s="493"/>
      <c r="BS90" s="493"/>
      <c r="BT90" s="493"/>
      <c r="BU90" s="493"/>
      <c r="BV90" s="493"/>
      <c r="BW90" s="493"/>
      <c r="BX90" s="493"/>
      <c r="BY90" s="493">
        <f t="shared" si="186"/>
        <v>56.67</v>
      </c>
      <c r="BZ90" s="493" t="s">
        <v>2117</v>
      </c>
      <c r="CA90" s="493" t="str">
        <f t="shared" si="188"/>
        <v>343-363</v>
      </c>
      <c r="CD90" s="183"/>
      <c r="CE90" s="183"/>
      <c r="CF90" s="183"/>
      <c r="CG90" s="183"/>
      <c r="CH90" s="183"/>
      <c r="CI90" s="183"/>
      <c r="CJ90" s="183"/>
      <c r="CK90" s="215" t="s">
        <v>1491</v>
      </c>
      <c r="CL90" s="217">
        <v>56.67</v>
      </c>
      <c r="CM90" s="183"/>
      <c r="CN90" s="183"/>
      <c r="CO90" s="139">
        <f t="shared" si="187"/>
        <v>56.67</v>
      </c>
      <c r="CR90" s="183"/>
      <c r="CS90" s="183"/>
      <c r="CT90" s="183"/>
      <c r="CU90" s="183"/>
    </row>
    <row r="91" spans="1:99" x14ac:dyDescent="0.2">
      <c r="A91" s="6"/>
      <c r="B91" s="215" t="s">
        <v>2114</v>
      </c>
      <c r="C91" s="223" t="s">
        <v>1469</v>
      </c>
      <c r="D91" s="367"/>
      <c r="E91" s="367"/>
      <c r="F91" s="367"/>
      <c r="G91" s="215"/>
      <c r="H91" s="215"/>
      <c r="I91" s="215">
        <v>326</v>
      </c>
      <c r="J91" s="4">
        <f t="shared" si="183"/>
        <v>2.5132176000679389</v>
      </c>
      <c r="K91" s="95"/>
      <c r="L91" s="4"/>
      <c r="M91" s="18"/>
      <c r="N91" s="4"/>
      <c r="O91" s="4"/>
      <c r="P91" s="4"/>
      <c r="Q91" s="17"/>
      <c r="AD91" s="95"/>
      <c r="AE91" s="253"/>
      <c r="AF91" s="210"/>
      <c r="AG91" s="210"/>
      <c r="AH91" s="210"/>
      <c r="AI91" s="210"/>
      <c r="AJ91" s="210"/>
      <c r="AP91" s="210"/>
      <c r="AQ91" s="192"/>
      <c r="AR91" s="192"/>
      <c r="AS91" s="192"/>
      <c r="AT91" s="192"/>
      <c r="AU91" s="192"/>
      <c r="AV91" s="192"/>
      <c r="AW91" s="192"/>
      <c r="AX91" s="95"/>
      <c r="AY91" s="95"/>
      <c r="AZ91" s="95"/>
      <c r="BA91" s="95"/>
      <c r="BB91" s="95"/>
      <c r="BC91" s="192"/>
      <c r="BD91" s="95"/>
      <c r="BE91" s="95"/>
      <c r="BF91" s="95"/>
      <c r="BG91" s="95"/>
      <c r="BH91" s="95"/>
      <c r="BL91" s="494">
        <f>VLOOKUP(B91,Literatuur!$A:$B,2,FALSE)</f>
        <v>43</v>
      </c>
      <c r="BM91" s="493"/>
      <c r="BN91" s="501" t="str">
        <f t="shared" si="184"/>
        <v>UV3</v>
      </c>
      <c r="BO91" s="496">
        <f t="shared" si="185"/>
        <v>326</v>
      </c>
      <c r="BP91" s="495"/>
      <c r="BQ91" s="493"/>
      <c r="BR91" s="493"/>
      <c r="BS91" s="493"/>
      <c r="BT91" s="493"/>
      <c r="BU91" s="493"/>
      <c r="BV91" s="493"/>
      <c r="BW91" s="493"/>
      <c r="BX91" s="493"/>
      <c r="BY91" s="493">
        <f t="shared" si="186"/>
        <v>74.16</v>
      </c>
      <c r="BZ91" s="493" t="s">
        <v>2117</v>
      </c>
      <c r="CA91" s="493" t="str">
        <f t="shared" si="188"/>
        <v>343-363</v>
      </c>
      <c r="CD91" s="183"/>
      <c r="CE91" s="183"/>
      <c r="CF91" s="183"/>
      <c r="CG91" s="183"/>
      <c r="CH91" s="183"/>
      <c r="CI91" s="183"/>
      <c r="CJ91" s="183"/>
      <c r="CK91" s="215" t="s">
        <v>1491</v>
      </c>
      <c r="CL91" s="217">
        <v>74.16</v>
      </c>
      <c r="CM91" s="183"/>
      <c r="CN91" s="183"/>
      <c r="CO91" s="139">
        <f t="shared" si="187"/>
        <v>74.16</v>
      </c>
      <c r="CR91" s="183"/>
      <c r="CS91" s="183"/>
      <c r="CT91" s="183"/>
      <c r="CU91" s="183"/>
    </row>
    <row r="92" spans="1:99" x14ac:dyDescent="0.2">
      <c r="A92" s="6"/>
      <c r="B92" s="215" t="s">
        <v>2112</v>
      </c>
      <c r="C92" s="223" t="s">
        <v>1465</v>
      </c>
      <c r="D92" s="367"/>
      <c r="E92" s="367"/>
      <c r="F92" s="367"/>
      <c r="G92" s="215"/>
      <c r="H92" s="215"/>
      <c r="I92" s="215">
        <v>214</v>
      </c>
      <c r="J92" s="4">
        <f t="shared" si="183"/>
        <v>2.330413773349191</v>
      </c>
      <c r="K92" s="95"/>
      <c r="L92" s="4"/>
      <c r="M92" s="18"/>
      <c r="N92" s="4"/>
      <c r="O92" s="4"/>
      <c r="P92" s="4"/>
      <c r="Q92" s="17"/>
      <c r="AD92" s="95"/>
      <c r="AE92" s="253"/>
      <c r="AF92" s="210"/>
      <c r="AG92" s="210"/>
      <c r="AH92" s="210"/>
      <c r="AI92" s="210"/>
      <c r="AJ92" s="210"/>
      <c r="AP92" s="210"/>
      <c r="AQ92" s="192"/>
      <c r="AR92" s="192"/>
      <c r="AS92" s="192"/>
      <c r="AT92" s="192"/>
      <c r="AU92" s="192"/>
      <c r="AV92" s="192"/>
      <c r="AW92" s="192"/>
      <c r="AX92" s="95"/>
      <c r="AY92" s="95"/>
      <c r="AZ92" s="95"/>
      <c r="BA92" s="95"/>
      <c r="BB92" s="95"/>
      <c r="BC92" s="192"/>
      <c r="BD92" s="95"/>
      <c r="BE92" s="95"/>
      <c r="BF92" s="95"/>
      <c r="BG92" s="95"/>
      <c r="BH92" s="95"/>
      <c r="BL92" s="494">
        <f>VLOOKUP(B92,Literatuur!$A:$B,2,FALSE)</f>
        <v>44</v>
      </c>
      <c r="BM92" s="493"/>
      <c r="BN92" s="501" t="str">
        <f t="shared" si="184"/>
        <v>UV1</v>
      </c>
      <c r="BO92" s="496">
        <f t="shared" si="185"/>
        <v>214</v>
      </c>
      <c r="BP92" s="495"/>
      <c r="BQ92" s="493"/>
      <c r="BR92" s="493"/>
      <c r="BS92" s="493"/>
      <c r="BT92" s="493"/>
      <c r="BU92" s="493"/>
      <c r="BV92" s="493"/>
      <c r="BW92" s="493"/>
      <c r="BX92" s="493"/>
      <c r="BY92" s="493">
        <f t="shared" si="186"/>
        <v>84.8</v>
      </c>
      <c r="BZ92" s="493" t="s">
        <v>2117</v>
      </c>
      <c r="CA92" s="494">
        <f t="shared" si="188"/>
        <v>323</v>
      </c>
      <c r="CD92" s="183"/>
      <c r="CE92" s="183"/>
      <c r="CF92" s="183"/>
      <c r="CG92" s="183"/>
      <c r="CH92" s="183"/>
      <c r="CI92" s="183"/>
      <c r="CJ92" s="183"/>
      <c r="CK92" s="215">
        <v>323</v>
      </c>
      <c r="CL92" s="215">
        <v>84.8</v>
      </c>
      <c r="CM92" s="183"/>
      <c r="CN92" s="183"/>
      <c r="CO92" s="139">
        <f t="shared" si="187"/>
        <v>84.8</v>
      </c>
      <c r="CR92" s="183"/>
      <c r="CS92" s="183"/>
      <c r="CT92" s="183"/>
      <c r="CU92" s="183"/>
    </row>
    <row r="93" spans="1:99" x14ac:dyDescent="0.2">
      <c r="A93" s="6"/>
      <c r="B93" s="215" t="s">
        <v>1493</v>
      </c>
      <c r="C93" s="223" t="s">
        <v>1494</v>
      </c>
      <c r="D93" s="367"/>
      <c r="E93" s="367"/>
      <c r="F93" s="367"/>
      <c r="G93" s="215"/>
      <c r="H93" s="215"/>
      <c r="I93" s="215">
        <v>92.141999999999996</v>
      </c>
      <c r="J93" s="4">
        <f t="shared" si="183"/>
        <v>1.9644576346535514</v>
      </c>
      <c r="K93" s="95"/>
      <c r="L93" s="4"/>
      <c r="M93" s="18"/>
      <c r="N93" s="4"/>
      <c r="O93" s="4"/>
      <c r="P93" s="4"/>
      <c r="Q93" s="17"/>
      <c r="AD93" s="95"/>
      <c r="AE93" s="253"/>
      <c r="AF93" s="210"/>
      <c r="AG93" s="210"/>
      <c r="AH93" s="210"/>
      <c r="AI93" s="210"/>
      <c r="AJ93" s="210"/>
      <c r="AP93" s="210"/>
      <c r="AQ93" s="192"/>
      <c r="AR93" s="192"/>
      <c r="AS93" s="192"/>
      <c r="AT93" s="192"/>
      <c r="AU93" s="192"/>
      <c r="AV93" s="192"/>
      <c r="AW93" s="192"/>
      <c r="AX93" s="95"/>
      <c r="AY93" s="95"/>
      <c r="AZ93" s="95"/>
      <c r="BA93" s="95"/>
      <c r="BB93" s="95"/>
      <c r="BC93" s="192"/>
      <c r="BD93" s="95"/>
      <c r="BE93" s="95"/>
      <c r="BF93" s="95"/>
      <c r="BG93" s="95"/>
      <c r="BH93" s="95"/>
      <c r="BL93" s="494">
        <f>VLOOKUP(B93,Literatuur!$A:$B,2,FALSE)</f>
        <v>45</v>
      </c>
      <c r="BM93" s="493"/>
      <c r="BN93" s="501" t="str">
        <f t="shared" si="184"/>
        <v>toluene</v>
      </c>
      <c r="BO93" s="496">
        <f t="shared" si="185"/>
        <v>92.141999999999996</v>
      </c>
      <c r="BP93" s="495"/>
      <c r="BQ93" s="493"/>
      <c r="BR93" s="493"/>
      <c r="BS93" s="493"/>
      <c r="BT93" s="493"/>
      <c r="BU93" s="493"/>
      <c r="BV93" s="493"/>
      <c r="BW93" s="493"/>
      <c r="BX93" s="493"/>
      <c r="BY93" s="493">
        <f t="shared" si="186"/>
        <v>87</v>
      </c>
      <c r="BZ93" s="493" t="s">
        <v>2117</v>
      </c>
      <c r="CA93" s="493"/>
      <c r="CD93" s="183"/>
      <c r="CE93" s="183"/>
      <c r="CF93" s="183"/>
      <c r="CG93" s="183"/>
      <c r="CH93" s="183"/>
      <c r="CI93" s="183"/>
      <c r="CJ93" s="183"/>
      <c r="CK93" s="215"/>
      <c r="CL93" s="215">
        <v>87</v>
      </c>
      <c r="CM93" s="183"/>
      <c r="CN93" s="183"/>
      <c r="CO93" s="336"/>
      <c r="CR93" s="183"/>
      <c r="CS93" s="183"/>
      <c r="CT93" s="183"/>
      <c r="CU93" s="183"/>
    </row>
    <row r="94" spans="1:99" x14ac:dyDescent="0.2">
      <c r="A94" s="6"/>
      <c r="B94" s="215" t="s">
        <v>1493</v>
      </c>
      <c r="C94" s="223" t="s">
        <v>802</v>
      </c>
      <c r="D94" s="367"/>
      <c r="E94" s="367"/>
      <c r="F94" s="367"/>
      <c r="G94" s="215"/>
      <c r="H94" s="215"/>
      <c r="I94" s="215">
        <v>86.18</v>
      </c>
      <c r="J94" s="4">
        <f t="shared" si="183"/>
        <v>1.9354064897523491</v>
      </c>
      <c r="K94" s="95"/>
      <c r="L94" s="192"/>
      <c r="M94" s="18"/>
      <c r="N94" s="4"/>
      <c r="O94" s="4"/>
      <c r="P94" s="4"/>
      <c r="Q94" s="17"/>
      <c r="AD94" s="95"/>
      <c r="AE94" s="253"/>
      <c r="AF94" s="210"/>
      <c r="AG94" s="210"/>
      <c r="AH94" s="210"/>
      <c r="AI94" s="210"/>
      <c r="AJ94" s="210"/>
      <c r="AP94" s="210"/>
      <c r="AQ94" s="192"/>
      <c r="AR94" s="192"/>
      <c r="AS94" s="192"/>
      <c r="AT94" s="192"/>
      <c r="AU94" s="192"/>
      <c r="AV94" s="192"/>
      <c r="AW94" s="192"/>
      <c r="AX94" s="95"/>
      <c r="AY94" s="95"/>
      <c r="AZ94" s="95"/>
      <c r="BA94" s="95"/>
      <c r="BB94" s="95"/>
      <c r="BC94" s="192"/>
      <c r="BD94" s="95"/>
      <c r="BE94" s="95"/>
      <c r="BF94" s="95"/>
      <c r="BG94" s="95"/>
      <c r="BH94" s="95"/>
      <c r="BL94" s="494">
        <f>VLOOKUP(B94,Literatuur!$A:$B,2,FALSE)</f>
        <v>45</v>
      </c>
      <c r="BM94" s="493"/>
      <c r="BN94" s="501" t="str">
        <f t="shared" ref="BN94:BN109" si="189">C94</f>
        <v>n-hexane</v>
      </c>
      <c r="BO94" s="496">
        <f t="shared" ref="BO94:BO109" si="190">I94</f>
        <v>86.18</v>
      </c>
      <c r="BP94" s="495"/>
      <c r="BQ94" s="493"/>
      <c r="BR94" s="493"/>
      <c r="BS94" s="493"/>
      <c r="BT94" s="493"/>
      <c r="BU94" s="493"/>
      <c r="BV94" s="493"/>
      <c r="BW94" s="493"/>
      <c r="BX94" s="493"/>
      <c r="BY94" s="493">
        <f t="shared" ref="BY94:BY99" si="191">CL94</f>
        <v>65.400000000000006</v>
      </c>
      <c r="BZ94" s="493" t="s">
        <v>2117</v>
      </c>
      <c r="CD94" s="183"/>
      <c r="CE94" s="183"/>
      <c r="CF94" s="183"/>
      <c r="CG94" s="183"/>
      <c r="CH94" s="183"/>
      <c r="CI94" s="183"/>
      <c r="CJ94" s="183"/>
      <c r="CK94" s="215"/>
      <c r="CL94" s="215">
        <v>65.400000000000006</v>
      </c>
      <c r="CM94" s="183"/>
      <c r="CN94" s="183"/>
      <c r="CO94" s="139">
        <f t="shared" si="187"/>
        <v>65.400000000000006</v>
      </c>
      <c r="CR94" s="183"/>
      <c r="CS94" s="183"/>
      <c r="CT94" s="183"/>
      <c r="CU94" s="183"/>
    </row>
    <row r="95" spans="1:99" x14ac:dyDescent="0.2">
      <c r="A95" s="6"/>
      <c r="B95" s="215" t="s">
        <v>1984</v>
      </c>
      <c r="C95" s="367" t="s">
        <v>548</v>
      </c>
      <c r="D95" s="53">
        <v>200</v>
      </c>
      <c r="E95" s="53" t="str">
        <f>VLOOKUP(D95,CompDbase!B:J,3,FALSE)</f>
        <v>Benzeen</v>
      </c>
      <c r="F95" s="53">
        <f>VLOOKUP(D95,CompDbase!B:J,9,FALSE)</f>
        <v>1988.89882593368</v>
      </c>
      <c r="G95" s="215"/>
      <c r="H95" s="369"/>
      <c r="I95" s="368">
        <v>78.106666524406961</v>
      </c>
      <c r="J95" s="4">
        <f t="shared" si="183"/>
        <v>1.8926881031628768</v>
      </c>
      <c r="K95" s="95">
        <v>1988.89882593368</v>
      </c>
      <c r="L95" s="95">
        <f t="shared" ref="L95:L110" si="192">LOG(K95)</f>
        <v>3.2986126913917664</v>
      </c>
      <c r="M95" s="18"/>
      <c r="N95" s="4"/>
      <c r="O95" s="4"/>
      <c r="P95" s="4"/>
      <c r="Q95" s="17"/>
      <c r="AD95" s="95"/>
      <c r="AE95" s="253"/>
      <c r="AF95" s="210"/>
      <c r="AG95" s="210"/>
      <c r="AH95" s="210"/>
      <c r="AI95" s="210"/>
      <c r="AJ95" s="210"/>
      <c r="AP95" s="210"/>
      <c r="AQ95" s="192"/>
      <c r="AR95" s="192"/>
      <c r="AS95" s="192"/>
      <c r="AT95" s="192"/>
      <c r="AU95" s="192"/>
      <c r="AV95" s="192"/>
      <c r="AW95" s="192"/>
      <c r="AX95" s="95"/>
      <c r="AY95" s="95"/>
      <c r="AZ95" s="95"/>
      <c r="BA95" s="95"/>
      <c r="BB95" s="95"/>
      <c r="BC95" s="192"/>
      <c r="BD95" s="95"/>
      <c r="BE95" s="95"/>
      <c r="BF95" s="95"/>
      <c r="BG95" s="95"/>
      <c r="BH95" s="95"/>
      <c r="BL95" s="494">
        <f>VLOOKUP(B95,Literatuur!$A:$B,2,FALSE)</f>
        <v>22</v>
      </c>
      <c r="BM95" s="493"/>
      <c r="BN95" s="501" t="str">
        <f t="shared" si="189"/>
        <v>Benzene</v>
      </c>
      <c r="BO95" s="496">
        <f t="shared" si="190"/>
        <v>78.106666524406961</v>
      </c>
      <c r="BP95" s="495">
        <f t="shared" ref="BP95:BP110" si="193">K95</f>
        <v>1988.89882593368</v>
      </c>
      <c r="BQ95" s="493"/>
      <c r="BR95" s="493"/>
      <c r="BS95" s="493"/>
      <c r="BT95" s="493"/>
      <c r="BU95" s="493"/>
      <c r="BV95" s="493"/>
      <c r="BW95" s="493">
        <f t="shared" ref="BW95:BW108" si="194">CJ95</f>
        <v>21.846855227699592</v>
      </c>
      <c r="BX95" s="493" t="s">
        <v>2117</v>
      </c>
      <c r="BY95" s="493">
        <f t="shared" si="191"/>
        <v>46.985159916133782</v>
      </c>
      <c r="BZ95" s="493" t="s">
        <v>2117</v>
      </c>
      <c r="CD95" s="183"/>
      <c r="CE95" s="183"/>
      <c r="CF95" s="183"/>
      <c r="CG95" s="183"/>
      <c r="CH95" s="183"/>
      <c r="CI95" s="370">
        <f>Rowe2011!O11</f>
        <v>21.846855227699592</v>
      </c>
      <c r="CJ95" s="183">
        <f t="shared" ref="CJ95:CJ108" si="195">CI95</f>
        <v>21.846855227699592</v>
      </c>
      <c r="CK95" s="368"/>
      <c r="CL95" s="371">
        <f>Rowe2011!X11</f>
        <v>46.985159916133782</v>
      </c>
      <c r="CM95" s="183"/>
      <c r="CN95" s="183"/>
      <c r="CO95" s="139">
        <f t="shared" si="187"/>
        <v>46.985159916133782</v>
      </c>
      <c r="CR95" s="183"/>
      <c r="CS95" s="183"/>
      <c r="CT95" s="183">
        <f t="shared" ref="CT95:CT99" si="196">CI95+CL95</f>
        <v>68.832015143833374</v>
      </c>
      <c r="CU95" s="183">
        <f t="shared" ref="CU95:CU110" si="197">J95*CO$119+CO$121+L95*CJ$119+CJ$121</f>
        <v>47.532333193423113</v>
      </c>
    </row>
    <row r="96" spans="1:99" x14ac:dyDescent="0.2">
      <c r="A96" s="6"/>
      <c r="B96" s="215" t="s">
        <v>1984</v>
      </c>
      <c r="C96" s="367" t="s">
        <v>1777</v>
      </c>
      <c r="D96" s="53">
        <v>204</v>
      </c>
      <c r="E96" s="53" t="str">
        <f>VLOOKUP(D96,CompDbase!B:J,3,FALSE)</f>
        <v>Tolueen</v>
      </c>
      <c r="F96" s="53">
        <f>VLOOKUP(D96,CompDbase!B:J,9,FALSE)</f>
        <v>610.59105234897152</v>
      </c>
      <c r="G96" s="215"/>
      <c r="H96" s="215"/>
      <c r="I96" s="368">
        <v>92.14249284505685</v>
      </c>
      <c r="J96" s="4">
        <f t="shared" si="183"/>
        <v>1.9644599575824677</v>
      </c>
      <c r="K96" s="95">
        <v>610.59105234897152</v>
      </c>
      <c r="L96" s="95">
        <f t="shared" si="192"/>
        <v>2.7857504358225516</v>
      </c>
      <c r="M96" s="18"/>
      <c r="N96" s="4"/>
      <c r="O96" s="4"/>
      <c r="P96" s="4"/>
      <c r="Q96" s="17"/>
      <c r="AD96" s="95"/>
      <c r="AE96" s="253"/>
      <c r="AF96" s="210"/>
      <c r="AG96" s="210"/>
      <c r="AH96" s="210"/>
      <c r="AI96" s="210"/>
      <c r="AJ96" s="210"/>
      <c r="AP96" s="210"/>
      <c r="AQ96" s="192"/>
      <c r="AR96" s="192"/>
      <c r="AS96" s="192"/>
      <c r="AT96" s="192"/>
      <c r="AU96" s="192"/>
      <c r="AV96" s="192"/>
      <c r="AW96" s="192"/>
      <c r="AX96" s="95"/>
      <c r="AY96" s="95"/>
      <c r="AZ96" s="95"/>
      <c r="BA96" s="95"/>
      <c r="BB96" s="95"/>
      <c r="BC96" s="192"/>
      <c r="BD96" s="95"/>
      <c r="BE96" s="95"/>
      <c r="BF96" s="95"/>
      <c r="BG96" s="95"/>
      <c r="BH96" s="95"/>
      <c r="BL96" s="494">
        <f>VLOOKUP(B96,Literatuur!$A:$B,2,FALSE)</f>
        <v>22</v>
      </c>
      <c r="BM96" s="493"/>
      <c r="BN96" s="501" t="str">
        <f t="shared" si="189"/>
        <v>Tuluene</v>
      </c>
      <c r="BO96" s="496">
        <f t="shared" si="190"/>
        <v>92.14249284505685</v>
      </c>
      <c r="BP96" s="495">
        <f t="shared" si="193"/>
        <v>610.59105234897152</v>
      </c>
      <c r="BQ96" s="493"/>
      <c r="BR96" s="493"/>
      <c r="BS96" s="493"/>
      <c r="BT96" s="493"/>
      <c r="BU96" s="493"/>
      <c r="BV96" s="493"/>
      <c r="BW96" s="493">
        <f t="shared" si="194"/>
        <v>18.790717148074833</v>
      </c>
      <c r="BX96" s="493" t="s">
        <v>2117</v>
      </c>
      <c r="BY96" s="493">
        <f t="shared" si="191"/>
        <v>54.045247036547721</v>
      </c>
      <c r="BZ96" s="493" t="s">
        <v>2117</v>
      </c>
      <c r="CD96" s="183"/>
      <c r="CE96" s="183"/>
      <c r="CF96" s="183"/>
      <c r="CG96" s="183"/>
      <c r="CH96" s="183"/>
      <c r="CI96" s="370">
        <f>Rowe2011!O12</f>
        <v>18.790717148074833</v>
      </c>
      <c r="CJ96" s="183">
        <f t="shared" si="195"/>
        <v>18.790717148074833</v>
      </c>
      <c r="CK96" s="368"/>
      <c r="CL96" s="371">
        <f>Rowe2011!X12</f>
        <v>54.045247036547721</v>
      </c>
      <c r="CM96" s="183"/>
      <c r="CN96" s="183"/>
      <c r="CO96" s="139">
        <f t="shared" si="187"/>
        <v>54.045247036547721</v>
      </c>
      <c r="CR96" s="183"/>
      <c r="CS96" s="183"/>
      <c r="CT96" s="183">
        <f t="shared" si="196"/>
        <v>72.835964184622554</v>
      </c>
      <c r="CU96" s="183">
        <f t="shared" si="197"/>
        <v>47.851833960140993</v>
      </c>
    </row>
    <row r="97" spans="1:99" x14ac:dyDescent="0.2">
      <c r="A97" s="6"/>
      <c r="B97" s="215" t="s">
        <v>1984</v>
      </c>
      <c r="C97" s="367" t="s">
        <v>1778</v>
      </c>
      <c r="D97" s="367">
        <v>201</v>
      </c>
      <c r="E97" s="53" t="str">
        <f>VLOOKUP(D97,CompDbase!B:J,3,FALSE)</f>
        <v>Ethylbenzeen</v>
      </c>
      <c r="F97" s="53">
        <f>VLOOKUP(D97,CompDbase!B:J,9,FALSE)</f>
        <v>159.4494296665228</v>
      </c>
      <c r="G97" s="215"/>
      <c r="H97" s="215"/>
      <c r="I97" s="368">
        <v>106.18666499232586</v>
      </c>
      <c r="J97" s="4">
        <f t="shared" si="183"/>
        <v>2.0260699811157594</v>
      </c>
      <c r="K97" s="95">
        <v>159.4494296665228</v>
      </c>
      <c r="L97" s="95">
        <f t="shared" si="192"/>
        <v>2.202622970157059</v>
      </c>
      <c r="M97" s="18"/>
      <c r="N97" s="4"/>
      <c r="O97" s="4"/>
      <c r="P97" s="4"/>
      <c r="Q97" s="17"/>
      <c r="AD97" s="95"/>
      <c r="AE97" s="253"/>
      <c r="AF97" s="210"/>
      <c r="AG97" s="210"/>
      <c r="AH97" s="210"/>
      <c r="AI97" s="210"/>
      <c r="AJ97" s="210"/>
      <c r="AP97" s="210"/>
      <c r="AQ97" s="192"/>
      <c r="AR97" s="192"/>
      <c r="AS97" s="192"/>
      <c r="AT97" s="192"/>
      <c r="AU97" s="192"/>
      <c r="AV97" s="192"/>
      <c r="AW97" s="192"/>
      <c r="AX97" s="95"/>
      <c r="AY97" s="95"/>
      <c r="AZ97" s="95"/>
      <c r="BA97" s="95"/>
      <c r="BB97" s="95"/>
      <c r="BC97" s="192"/>
      <c r="BD97" s="95"/>
      <c r="BE97" s="95"/>
      <c r="BF97" s="95"/>
      <c r="BG97" s="95"/>
      <c r="BH97" s="95"/>
      <c r="BL97" s="494">
        <f>VLOOKUP(B97,Literatuur!$A:$B,2,FALSE)</f>
        <v>22</v>
      </c>
      <c r="BM97" s="493"/>
      <c r="BN97" s="501" t="str">
        <f t="shared" si="189"/>
        <v>ETB</v>
      </c>
      <c r="BO97" s="496">
        <f t="shared" si="190"/>
        <v>106.18666499232586</v>
      </c>
      <c r="BP97" s="495">
        <f t="shared" si="193"/>
        <v>159.4494296665228</v>
      </c>
      <c r="BQ97" s="493"/>
      <c r="BR97" s="493"/>
      <c r="BS97" s="493"/>
      <c r="BT97" s="493"/>
      <c r="BU97" s="493"/>
      <c r="BV97" s="493"/>
      <c r="BW97" s="493">
        <f t="shared" si="194"/>
        <v>15.84956383174338</v>
      </c>
      <c r="BX97" s="493" t="s">
        <v>2117</v>
      </c>
      <c r="BY97" s="493">
        <f t="shared" si="191"/>
        <v>57.094972681101623</v>
      </c>
      <c r="BZ97" s="493" t="s">
        <v>2117</v>
      </c>
      <c r="CD97" s="183"/>
      <c r="CE97" s="183"/>
      <c r="CF97" s="183"/>
      <c r="CG97" s="183"/>
      <c r="CH97" s="183"/>
      <c r="CI97" s="370">
        <f>Rowe2011!O13</f>
        <v>15.84956383174338</v>
      </c>
      <c r="CJ97" s="183">
        <f t="shared" si="195"/>
        <v>15.84956383174338</v>
      </c>
      <c r="CK97" s="368"/>
      <c r="CL97" s="371">
        <f>Rowe2011!X13</f>
        <v>57.094972681101623</v>
      </c>
      <c r="CM97" s="183"/>
      <c r="CN97" s="183"/>
      <c r="CO97" s="139">
        <f t="shared" si="187"/>
        <v>57.094972681101623</v>
      </c>
      <c r="CR97" s="183"/>
      <c r="CS97" s="183"/>
      <c r="CT97" s="183">
        <f t="shared" si="196"/>
        <v>72.944536512845005</v>
      </c>
      <c r="CU97" s="183">
        <f t="shared" si="197"/>
        <v>46.994254618699969</v>
      </c>
    </row>
    <row r="98" spans="1:99" x14ac:dyDescent="0.2">
      <c r="A98" s="6"/>
      <c r="B98" s="215" t="s">
        <v>1984</v>
      </c>
      <c r="C98" s="367" t="s">
        <v>762</v>
      </c>
      <c r="D98" s="367">
        <v>205</v>
      </c>
      <c r="E98" s="53" t="str">
        <f>VLOOKUP(D98,CompDbase!B:J,3,FALSE)</f>
        <v>m-Xyleen</v>
      </c>
      <c r="F98" s="53">
        <f>VLOOKUP(D98,CompDbase!B:J,9,FALSE)</f>
        <v>197.40652052455141</v>
      </c>
      <c r="G98" s="215"/>
      <c r="H98" s="215"/>
      <c r="I98" s="368">
        <v>106.18999905823263</v>
      </c>
      <c r="J98" s="4">
        <f t="shared" si="183"/>
        <v>2.0260836169493595</v>
      </c>
      <c r="K98" s="95">
        <v>197.40652052455141</v>
      </c>
      <c r="L98" s="95">
        <f t="shared" si="192"/>
        <v>2.2953614937290703</v>
      </c>
      <c r="M98" s="18"/>
      <c r="N98" s="4"/>
      <c r="O98" s="4"/>
      <c r="P98" s="4"/>
      <c r="Q98" s="17"/>
      <c r="AD98" s="95"/>
      <c r="AE98" s="253"/>
      <c r="AF98" s="210"/>
      <c r="AG98" s="210"/>
      <c r="AH98" s="210"/>
      <c r="AI98" s="210"/>
      <c r="AJ98" s="210"/>
      <c r="AP98" s="210"/>
      <c r="AQ98" s="192"/>
      <c r="AR98" s="192"/>
      <c r="AS98" s="192"/>
      <c r="AT98" s="192"/>
      <c r="AU98" s="192"/>
      <c r="AV98" s="192"/>
      <c r="AW98" s="192"/>
      <c r="AX98" s="95"/>
      <c r="AY98" s="95"/>
      <c r="AZ98" s="95"/>
      <c r="BA98" s="95"/>
      <c r="BB98" s="95"/>
      <c r="BC98" s="192"/>
      <c r="BD98" s="95"/>
      <c r="BE98" s="95"/>
      <c r="BF98" s="95"/>
      <c r="BG98" s="95"/>
      <c r="BH98" s="95"/>
      <c r="BL98" s="494">
        <f>VLOOKUP(B98,Literatuur!$A:$B,2,FALSE)</f>
        <v>22</v>
      </c>
      <c r="BM98" s="493"/>
      <c r="BN98" s="501" t="str">
        <f t="shared" si="189"/>
        <v>m-Xylene</v>
      </c>
      <c r="BO98" s="496">
        <f t="shared" si="190"/>
        <v>106.18999905823263</v>
      </c>
      <c r="BP98" s="495">
        <f t="shared" si="193"/>
        <v>197.40652052455141</v>
      </c>
      <c r="BQ98" s="493"/>
      <c r="BR98" s="493"/>
      <c r="BS98" s="493"/>
      <c r="BT98" s="493"/>
      <c r="BU98" s="493"/>
      <c r="BV98" s="493"/>
      <c r="BW98" s="493">
        <f t="shared" si="194"/>
        <v>14.906472623507007</v>
      </c>
      <c r="BX98" s="493" t="s">
        <v>2117</v>
      </c>
      <c r="BY98" s="493">
        <f t="shared" si="191"/>
        <v>57.094972681101623</v>
      </c>
      <c r="BZ98" s="493" t="s">
        <v>2117</v>
      </c>
      <c r="CD98" s="183"/>
      <c r="CE98" s="183"/>
      <c r="CF98" s="183"/>
      <c r="CG98" s="183"/>
      <c r="CH98" s="183"/>
      <c r="CI98" s="370">
        <f>Rowe2011!O14</f>
        <v>14.906472623507007</v>
      </c>
      <c r="CJ98" s="183">
        <f t="shared" si="195"/>
        <v>14.906472623507007</v>
      </c>
      <c r="CK98" s="368"/>
      <c r="CL98" s="371">
        <f>Rowe2011!X14</f>
        <v>57.094972681101623</v>
      </c>
      <c r="CM98" s="183"/>
      <c r="CN98" s="183"/>
      <c r="CO98" s="139">
        <f t="shared" si="187"/>
        <v>57.094972681101623</v>
      </c>
      <c r="CR98" s="183"/>
      <c r="CS98" s="183"/>
      <c r="CT98" s="183">
        <f t="shared" si="196"/>
        <v>72.001445304608637</v>
      </c>
      <c r="CU98" s="183">
        <f t="shared" si="197"/>
        <v>47.729733772539021</v>
      </c>
    </row>
    <row r="99" spans="1:99" x14ac:dyDescent="0.2">
      <c r="A99" s="6"/>
      <c r="B99" s="215" t="s">
        <v>1984</v>
      </c>
      <c r="C99" s="367" t="s">
        <v>872</v>
      </c>
      <c r="D99" s="367">
        <v>218</v>
      </c>
      <c r="E99" s="53" t="str">
        <f>VLOOKUP(D99,CompDbase!B:J,3,FALSE)</f>
        <v>o-Xyleen</v>
      </c>
      <c r="F99" s="53">
        <f>VLOOKUP(D99,CompDbase!B:J,9,FALSE)</f>
        <v>218.93359574593291</v>
      </c>
      <c r="G99" s="215"/>
      <c r="H99" s="215"/>
      <c r="I99" s="368">
        <v>106.18666499232586</v>
      </c>
      <c r="J99" s="4">
        <f t="shared" si="183"/>
        <v>2.0260699811157594</v>
      </c>
      <c r="K99" s="95">
        <v>218.93359574593291</v>
      </c>
      <c r="L99" s="95">
        <f t="shared" si="192"/>
        <v>2.3403124099350032</v>
      </c>
      <c r="M99" s="18"/>
      <c r="N99" s="4"/>
      <c r="O99" s="4"/>
      <c r="P99" s="4"/>
      <c r="Q99" s="17"/>
      <c r="AD99" s="95"/>
      <c r="AE99" s="253"/>
      <c r="AF99" s="210"/>
      <c r="AG99" s="210"/>
      <c r="AH99" s="210"/>
      <c r="AI99" s="210"/>
      <c r="AJ99" s="210"/>
      <c r="AP99" s="210"/>
      <c r="AQ99" s="192"/>
      <c r="AR99" s="192"/>
      <c r="AS99" s="192"/>
      <c r="AT99" s="192"/>
      <c r="AU99" s="192"/>
      <c r="AV99" s="192"/>
      <c r="AW99" s="192"/>
      <c r="AX99" s="95"/>
      <c r="AY99" s="95"/>
      <c r="AZ99" s="95"/>
      <c r="BA99" s="95"/>
      <c r="BB99" s="95"/>
      <c r="BC99" s="192"/>
      <c r="BD99" s="95"/>
      <c r="BE99" s="95"/>
      <c r="BF99" s="95"/>
      <c r="BG99" s="95"/>
      <c r="BH99" s="95"/>
      <c r="BL99" s="494">
        <f>VLOOKUP(B99,Literatuur!$A:$B,2,FALSE)</f>
        <v>22</v>
      </c>
      <c r="BM99" s="493"/>
      <c r="BN99" s="501" t="str">
        <f t="shared" si="189"/>
        <v>o-Xylene</v>
      </c>
      <c r="BO99" s="496">
        <f t="shared" si="190"/>
        <v>106.18666499232586</v>
      </c>
      <c r="BP99" s="495">
        <f t="shared" si="193"/>
        <v>218.93359574593291</v>
      </c>
      <c r="BQ99" s="493"/>
      <c r="BR99" s="493"/>
      <c r="BS99" s="493"/>
      <c r="BT99" s="493"/>
      <c r="BU99" s="493"/>
      <c r="BV99" s="493"/>
      <c r="BW99" s="493">
        <f t="shared" si="194"/>
        <v>14.786768107285688</v>
      </c>
      <c r="BX99" s="493" t="s">
        <v>2117</v>
      </c>
      <c r="BY99" s="493">
        <f t="shared" si="191"/>
        <v>56.844134802952574</v>
      </c>
      <c r="BZ99" s="493" t="s">
        <v>2117</v>
      </c>
      <c r="CD99" s="183"/>
      <c r="CE99" s="183"/>
      <c r="CF99" s="183"/>
      <c r="CG99" s="183"/>
      <c r="CH99" s="183"/>
      <c r="CI99" s="370">
        <f>Rowe2011!O15</f>
        <v>14.786768107285688</v>
      </c>
      <c r="CJ99" s="183">
        <f t="shared" si="195"/>
        <v>14.786768107285688</v>
      </c>
      <c r="CK99" s="368"/>
      <c r="CL99" s="371">
        <f>Rowe2011!X15</f>
        <v>56.844134802952574</v>
      </c>
      <c r="CM99" s="183"/>
      <c r="CN99" s="183"/>
      <c r="CO99" s="139">
        <f t="shared" si="187"/>
        <v>56.844134802952574</v>
      </c>
      <c r="CR99" s="183"/>
      <c r="CS99" s="183"/>
      <c r="CT99" s="183">
        <f t="shared" si="196"/>
        <v>71.630902910238262</v>
      </c>
      <c r="CU99" s="183">
        <f t="shared" si="197"/>
        <v>48.084988780484608</v>
      </c>
    </row>
    <row r="100" spans="1:99" x14ac:dyDescent="0.2">
      <c r="A100" s="6"/>
      <c r="B100" s="289" t="s">
        <v>1546</v>
      </c>
      <c r="C100" s="213" t="s">
        <v>1535</v>
      </c>
      <c r="D100" s="53">
        <v>-507</v>
      </c>
      <c r="E100" s="53" t="str">
        <f>VLOOKUP(D100,CompDbase!B:J,3,FALSE)</f>
        <v>Tetrachloorbenzeen</v>
      </c>
      <c r="F100" s="53">
        <f>VLOOKUP(D100,CompDbase!B:J,9,FALSE)</f>
        <v>4.16</v>
      </c>
      <c r="H100" s="289" t="s">
        <v>1892</v>
      </c>
      <c r="I100" s="289">
        <v>216</v>
      </c>
      <c r="J100" s="4">
        <f t="shared" si="183"/>
        <v>2.3344537511509307</v>
      </c>
      <c r="K100" s="95">
        <v>4.16</v>
      </c>
      <c r="L100" s="95">
        <f t="shared" si="192"/>
        <v>0.61909333062674277</v>
      </c>
      <c r="M100" s="290">
        <v>4.5999999999999996</v>
      </c>
      <c r="N100" s="4"/>
      <c r="O100" s="4"/>
      <c r="P100" s="4"/>
      <c r="Q100" s="17"/>
      <c r="AD100" s="95"/>
      <c r="AE100" s="253"/>
      <c r="AF100" s="210"/>
      <c r="AG100" s="210"/>
      <c r="AH100" s="210"/>
      <c r="AI100" s="210"/>
      <c r="AJ100" s="210"/>
      <c r="AP100" s="210"/>
      <c r="AQ100" s="192"/>
      <c r="AR100" s="192"/>
      <c r="AS100" s="192"/>
      <c r="AT100" s="192"/>
      <c r="AU100" s="192"/>
      <c r="AV100" s="192"/>
      <c r="AW100" s="192"/>
      <c r="AX100" s="95"/>
      <c r="AY100" s="95"/>
      <c r="AZ100" s="95"/>
      <c r="BA100" s="95"/>
      <c r="BB100" s="95"/>
      <c r="BC100" s="192"/>
      <c r="BD100" s="95"/>
      <c r="BE100" s="95"/>
      <c r="BF100" s="95"/>
      <c r="BG100" s="95"/>
      <c r="BH100" s="95"/>
      <c r="BL100" s="494">
        <f>VLOOKUP(B100,Literatuur!$A:$B,2,FALSE)</f>
        <v>6</v>
      </c>
      <c r="BM100" s="493"/>
      <c r="BN100" s="501" t="str">
        <f t="shared" si="189"/>
        <v>1,2,3,4-tetrachlorobenzene</v>
      </c>
      <c r="BO100" s="496">
        <f t="shared" si="190"/>
        <v>216</v>
      </c>
      <c r="BP100" s="495">
        <f t="shared" si="193"/>
        <v>4.16</v>
      </c>
      <c r="BQ100" s="493"/>
      <c r="BR100" s="493"/>
      <c r="BS100" s="493"/>
      <c r="BT100" s="493"/>
      <c r="BU100" s="493"/>
      <c r="BV100" s="493"/>
      <c r="BW100" s="493">
        <f t="shared" si="194"/>
        <v>-10.66324064943217</v>
      </c>
      <c r="BX100" s="493" t="s">
        <v>2117</v>
      </c>
      <c r="BY100" s="493"/>
      <c r="BZ100" s="493"/>
      <c r="CD100" s="183"/>
      <c r="CE100" s="183"/>
      <c r="CF100" s="183"/>
      <c r="CG100" s="183"/>
      <c r="CH100" s="183"/>
      <c r="CI100" s="292">
        <v>-10.66324064943217</v>
      </c>
      <c r="CJ100" s="183">
        <f t="shared" si="195"/>
        <v>-10.66324064943217</v>
      </c>
      <c r="CK100" s="215"/>
      <c r="CL100" s="215"/>
      <c r="CM100" s="183"/>
      <c r="CN100" s="183"/>
      <c r="CO100" s="183"/>
      <c r="CR100" s="183"/>
      <c r="CS100" s="183"/>
      <c r="CT100" s="183"/>
      <c r="CU100" s="183">
        <f t="shared" si="197"/>
        <v>53.279284867810489</v>
      </c>
    </row>
    <row r="101" spans="1:99" x14ac:dyDescent="0.2">
      <c r="A101" s="6"/>
      <c r="B101" s="289" t="s">
        <v>1546</v>
      </c>
      <c r="C101" s="213" t="s">
        <v>139</v>
      </c>
      <c r="D101" s="53">
        <v>-1706</v>
      </c>
      <c r="E101" s="53" t="str">
        <f>VLOOKUP(D101,CompDbase!B:J,3,FALSE)</f>
        <v>PCB 28</v>
      </c>
      <c r="F101" s="53">
        <f>VLOOKUP(D101,CompDbase!B:J,9,FALSE)</f>
        <v>0.20453952044150236</v>
      </c>
      <c r="H101" s="289" t="s">
        <v>1552</v>
      </c>
      <c r="I101" s="289">
        <v>257.5</v>
      </c>
      <c r="J101" s="4">
        <f t="shared" si="183"/>
        <v>2.4107772333772099</v>
      </c>
      <c r="K101" s="95">
        <v>0.20453952044150236</v>
      </c>
      <c r="L101" s="95">
        <f t="shared" si="192"/>
        <v>-0.68922276662279047</v>
      </c>
      <c r="M101" s="290">
        <v>5.44</v>
      </c>
      <c r="N101" s="4"/>
      <c r="O101" s="4"/>
      <c r="P101" s="4"/>
      <c r="Q101" s="17"/>
      <c r="AD101" s="95"/>
      <c r="AE101" s="253"/>
      <c r="AF101" s="210"/>
      <c r="AG101" s="210"/>
      <c r="AH101" s="210"/>
      <c r="AI101" s="210"/>
      <c r="AJ101" s="210"/>
      <c r="AP101" s="210"/>
      <c r="AQ101" s="192"/>
      <c r="AR101" s="192"/>
      <c r="AS101" s="192"/>
      <c r="AT101" s="192"/>
      <c r="AU101" s="192"/>
      <c r="AV101" s="192"/>
      <c r="AW101" s="192"/>
      <c r="AX101" s="95"/>
      <c r="AY101" s="95"/>
      <c r="AZ101" s="95"/>
      <c r="BA101" s="95"/>
      <c r="BB101" s="95"/>
      <c r="BC101" s="192"/>
      <c r="BD101" s="95"/>
      <c r="BE101" s="95"/>
      <c r="BF101" s="95"/>
      <c r="BG101" s="95"/>
      <c r="BH101" s="95"/>
      <c r="BL101" s="494">
        <f>VLOOKUP(B101,Literatuur!$A:$B,2,FALSE)</f>
        <v>6</v>
      </c>
      <c r="BM101" s="493"/>
      <c r="BN101" s="501" t="str">
        <f t="shared" si="189"/>
        <v>PCB28</v>
      </c>
      <c r="BO101" s="496">
        <f t="shared" si="190"/>
        <v>257.5</v>
      </c>
      <c r="BP101" s="495">
        <f t="shared" si="193"/>
        <v>0.20453952044150236</v>
      </c>
      <c r="BQ101" s="493"/>
      <c r="BR101" s="493"/>
      <c r="BS101" s="493"/>
      <c r="BT101" s="493"/>
      <c r="BU101" s="493"/>
      <c r="BV101" s="493"/>
      <c r="BW101" s="493">
        <f t="shared" si="194"/>
        <v>-9.223672010723897</v>
      </c>
      <c r="BX101" s="493" t="s">
        <v>2117</v>
      </c>
      <c r="BY101" s="493"/>
      <c r="BZ101" s="493"/>
      <c r="CD101" s="183"/>
      <c r="CE101" s="183"/>
      <c r="CF101" s="183"/>
      <c r="CG101" s="183"/>
      <c r="CH101" s="183"/>
      <c r="CI101" s="292">
        <v>-9.223672010723897</v>
      </c>
      <c r="CJ101" s="183">
        <f t="shared" si="195"/>
        <v>-9.223672010723897</v>
      </c>
      <c r="CK101" s="215"/>
      <c r="CL101" s="215"/>
      <c r="CM101" s="183"/>
      <c r="CN101" s="183"/>
      <c r="CO101" s="183"/>
      <c r="CR101" s="183"/>
      <c r="CS101" s="183"/>
      <c r="CT101" s="183"/>
      <c r="CU101" s="183">
        <f t="shared" si="197"/>
        <v>47.575353476120767</v>
      </c>
    </row>
    <row r="102" spans="1:99" x14ac:dyDescent="0.2">
      <c r="A102" s="6"/>
      <c r="B102" s="289" t="s">
        <v>1546</v>
      </c>
      <c r="C102" s="213" t="s">
        <v>140</v>
      </c>
      <c r="D102" s="213">
        <v>-1714</v>
      </c>
      <c r="E102" s="53" t="str">
        <f>VLOOKUP(D102,CompDbase!B:J,3,FALSE)</f>
        <v>PCB 52</v>
      </c>
      <c r="F102" s="53">
        <f>VLOOKUP(D102,CompDbase!B:J,9,FALSE)</f>
        <v>0.11624729380162115</v>
      </c>
      <c r="H102" s="289" t="s">
        <v>1552</v>
      </c>
      <c r="I102" s="289">
        <v>292</v>
      </c>
      <c r="J102" s="4">
        <f t="shared" si="183"/>
        <v>2.4653828514484184</v>
      </c>
      <c r="K102" s="95">
        <v>0.11624729380162115</v>
      </c>
      <c r="L102" s="95">
        <f t="shared" si="192"/>
        <v>-0.93461714855158184</v>
      </c>
      <c r="M102" s="290">
        <v>5.63</v>
      </c>
      <c r="N102" s="4"/>
      <c r="O102" s="4"/>
      <c r="P102" s="4"/>
      <c r="Q102" s="17"/>
      <c r="AD102" s="95"/>
      <c r="AE102" s="253"/>
      <c r="AF102" s="210"/>
      <c r="AG102" s="210"/>
      <c r="AH102" s="210"/>
      <c r="AI102" s="210"/>
      <c r="AJ102" s="210"/>
      <c r="AP102" s="210"/>
      <c r="AQ102" s="192"/>
      <c r="AR102" s="192"/>
      <c r="AS102" s="192"/>
      <c r="AT102" s="192"/>
      <c r="AU102" s="192"/>
      <c r="AV102" s="192"/>
      <c r="AW102" s="192"/>
      <c r="AX102" s="95"/>
      <c r="AY102" s="95"/>
      <c r="AZ102" s="95"/>
      <c r="BA102" s="95"/>
      <c r="BB102" s="95"/>
      <c r="BC102" s="192"/>
      <c r="BD102" s="95"/>
      <c r="BE102" s="95"/>
      <c r="BF102" s="95"/>
      <c r="BG102" s="95"/>
      <c r="BH102" s="95"/>
      <c r="BL102" s="494">
        <f>VLOOKUP(B102,Literatuur!$A:$B,2,FALSE)</f>
        <v>6</v>
      </c>
      <c r="BM102" s="493"/>
      <c r="BN102" s="501" t="str">
        <f t="shared" si="189"/>
        <v>PCB52</v>
      </c>
      <c r="BO102" s="496">
        <f t="shared" si="190"/>
        <v>292</v>
      </c>
      <c r="BP102" s="495">
        <f t="shared" si="193"/>
        <v>0.11624729380162115</v>
      </c>
      <c r="BQ102" s="493"/>
      <c r="BR102" s="493"/>
      <c r="BS102" s="493"/>
      <c r="BT102" s="493"/>
      <c r="BU102" s="493"/>
      <c r="BV102" s="493"/>
      <c r="BW102" s="493">
        <f t="shared" si="194"/>
        <v>-9.4796565024013582</v>
      </c>
      <c r="BX102" s="493" t="s">
        <v>2117</v>
      </c>
      <c r="BY102" s="493"/>
      <c r="BZ102" s="493"/>
      <c r="CD102" s="183"/>
      <c r="CE102" s="183"/>
      <c r="CF102" s="183"/>
      <c r="CG102" s="183"/>
      <c r="CH102" s="183"/>
      <c r="CI102" s="292">
        <v>-9.4796565024013582</v>
      </c>
      <c r="CJ102" s="183">
        <f t="shared" si="195"/>
        <v>-9.4796565024013582</v>
      </c>
      <c r="CK102" s="215"/>
      <c r="CL102" s="215"/>
      <c r="CM102" s="183"/>
      <c r="CN102" s="183"/>
      <c r="CO102" s="183"/>
      <c r="CR102" s="183"/>
      <c r="CS102" s="183"/>
      <c r="CT102" s="183"/>
      <c r="CU102" s="183">
        <f t="shared" si="197"/>
        <v>48.965519153345511</v>
      </c>
    </row>
    <row r="103" spans="1:99" x14ac:dyDescent="0.2">
      <c r="A103" s="6"/>
      <c r="B103" s="289" t="s">
        <v>1546</v>
      </c>
      <c r="C103" s="213" t="s">
        <v>560</v>
      </c>
      <c r="D103" s="213">
        <v>-1536</v>
      </c>
      <c r="E103" s="53" t="str">
        <f>VLOOKUP(D103,CompDbase!B:J,3,FALSE)</f>
        <v>acenaphthene</v>
      </c>
      <c r="F103" s="53">
        <f>VLOOKUP(D103,CompDbase!B:J,9,FALSE)</f>
        <v>22.064006344594798</v>
      </c>
      <c r="H103" s="289" t="s">
        <v>1550</v>
      </c>
      <c r="I103" s="289">
        <v>154.1</v>
      </c>
      <c r="J103" s="4">
        <f t="shared" ref="J103:J110" si="198">LOG(I103)</f>
        <v>2.1878026387184195</v>
      </c>
      <c r="K103" s="95">
        <v>22.064006344594798</v>
      </c>
      <c r="L103" s="95">
        <f t="shared" si="192"/>
        <v>1.3436843737149378</v>
      </c>
      <c r="M103" s="290">
        <v>3.96</v>
      </c>
      <c r="N103" s="4"/>
      <c r="O103" s="4"/>
      <c r="P103" s="4"/>
      <c r="Q103" s="17"/>
      <c r="AD103" s="95"/>
      <c r="AE103" s="253"/>
      <c r="AF103" s="210"/>
      <c r="AG103" s="210"/>
      <c r="AH103" s="210"/>
      <c r="AI103" s="210"/>
      <c r="AJ103" s="210"/>
      <c r="AP103" s="210"/>
      <c r="AQ103" s="192"/>
      <c r="AR103" s="192"/>
      <c r="AS103" s="192"/>
      <c r="AT103" s="192"/>
      <c r="AU103" s="192"/>
      <c r="AV103" s="192"/>
      <c r="AW103" s="192"/>
      <c r="AX103" s="95"/>
      <c r="AY103" s="95"/>
      <c r="AZ103" s="95"/>
      <c r="BA103" s="95"/>
      <c r="BB103" s="95"/>
      <c r="BC103" s="192"/>
      <c r="BD103" s="95"/>
      <c r="BE103" s="95"/>
      <c r="BF103" s="95"/>
      <c r="BG103" s="95"/>
      <c r="BH103" s="95"/>
      <c r="BL103" s="494">
        <f>VLOOKUP(B103,Literatuur!$A:$B,2,FALSE)</f>
        <v>6</v>
      </c>
      <c r="BM103" s="493"/>
      <c r="BN103" s="501" t="str">
        <f t="shared" si="189"/>
        <v>acenaphthene</v>
      </c>
      <c r="BO103" s="496">
        <f t="shared" si="190"/>
        <v>154.1</v>
      </c>
      <c r="BP103" s="495">
        <f t="shared" si="193"/>
        <v>22.064006344594798</v>
      </c>
      <c r="BQ103" s="493"/>
      <c r="BR103" s="493"/>
      <c r="BS103" s="493"/>
      <c r="BT103" s="493"/>
      <c r="BU103" s="493"/>
      <c r="BV103" s="493"/>
      <c r="BW103" s="493">
        <f t="shared" si="194"/>
        <v>-26.654963530393449</v>
      </c>
      <c r="BX103" s="493" t="s">
        <v>2117</v>
      </c>
      <c r="BY103" s="493"/>
      <c r="BZ103" s="493"/>
      <c r="CD103" s="183"/>
      <c r="CE103" s="183"/>
      <c r="CF103" s="183"/>
      <c r="CG103" s="183"/>
      <c r="CH103" s="183"/>
      <c r="CI103" s="292">
        <v>-26.654963530393449</v>
      </c>
      <c r="CJ103" s="183">
        <f t="shared" si="195"/>
        <v>-26.654963530393449</v>
      </c>
      <c r="CK103" s="215"/>
      <c r="CL103" s="215"/>
      <c r="CM103" s="183"/>
      <c r="CN103" s="183"/>
      <c r="CO103" s="183"/>
      <c r="CR103" s="183"/>
      <c r="CS103" s="183"/>
      <c r="CT103" s="183"/>
      <c r="CU103" s="183">
        <f t="shared" si="197"/>
        <v>50.065063315153921</v>
      </c>
    </row>
    <row r="104" spans="1:99" x14ac:dyDescent="0.2">
      <c r="A104" s="6"/>
      <c r="B104" s="289" t="s">
        <v>1546</v>
      </c>
      <c r="C104" s="213" t="s">
        <v>562</v>
      </c>
      <c r="D104" s="213">
        <v>-1538</v>
      </c>
      <c r="E104" s="53" t="str">
        <f>VLOOKUP(D104,CompDbase!B:J,3,FALSE)</f>
        <v>phenanthrene</v>
      </c>
      <c r="F104" s="53">
        <f>VLOOKUP(D104,CompDbase!B:J,9,FALSE)</f>
        <v>4.3501847309898105</v>
      </c>
      <c r="H104" s="289" t="s">
        <v>1550</v>
      </c>
      <c r="I104" s="289">
        <v>178.1</v>
      </c>
      <c r="J104" s="4">
        <f t="shared" si="198"/>
        <v>2.2506639194632436</v>
      </c>
      <c r="K104" s="95">
        <v>4.3501847309898105</v>
      </c>
      <c r="L104" s="95">
        <f t="shared" si="192"/>
        <v>0.63850769970085575</v>
      </c>
      <c r="M104" s="290">
        <v>4.4800000000000004</v>
      </c>
      <c r="N104" s="4"/>
      <c r="O104" s="4"/>
      <c r="P104" s="4"/>
      <c r="Q104" s="17"/>
      <c r="AD104" s="95"/>
      <c r="AE104" s="253"/>
      <c r="AF104" s="210"/>
      <c r="AG104" s="210"/>
      <c r="AH104" s="210"/>
      <c r="AI104" s="210"/>
      <c r="AJ104" s="210"/>
      <c r="AP104" s="210"/>
      <c r="AQ104" s="192"/>
      <c r="AR104" s="192"/>
      <c r="AS104" s="192"/>
      <c r="AT104" s="192"/>
      <c r="AU104" s="192"/>
      <c r="AV104" s="192"/>
      <c r="AW104" s="192"/>
      <c r="AX104" s="95"/>
      <c r="AY104" s="95"/>
      <c r="AZ104" s="95"/>
      <c r="BA104" s="95"/>
      <c r="BB104" s="95"/>
      <c r="BC104" s="192"/>
      <c r="BD104" s="95"/>
      <c r="BE104" s="95"/>
      <c r="BF104" s="95"/>
      <c r="BG104" s="95"/>
      <c r="BH104" s="95"/>
      <c r="BL104" s="494">
        <f>VLOOKUP(B104,Literatuur!$A:$B,2,FALSE)</f>
        <v>6</v>
      </c>
      <c r="BM104" s="493"/>
      <c r="BN104" s="501" t="str">
        <f t="shared" si="189"/>
        <v>phenanthrene</v>
      </c>
      <c r="BO104" s="496">
        <f t="shared" si="190"/>
        <v>178.1</v>
      </c>
      <c r="BP104" s="495">
        <f t="shared" si="193"/>
        <v>4.3501847309898105</v>
      </c>
      <c r="BQ104" s="493"/>
      <c r="BR104" s="493"/>
      <c r="BS104" s="493"/>
      <c r="BT104" s="493"/>
      <c r="BU104" s="493"/>
      <c r="BV104" s="493"/>
      <c r="BW104" s="493">
        <f t="shared" si="194"/>
        <v>-22.880360441961397</v>
      </c>
      <c r="BX104" s="493" t="s">
        <v>2117</v>
      </c>
      <c r="BY104" s="493"/>
      <c r="BZ104" s="493"/>
      <c r="CD104" s="183"/>
      <c r="CE104" s="183"/>
      <c r="CF104" s="183"/>
      <c r="CG104" s="183"/>
      <c r="CH104" s="183"/>
      <c r="CI104" s="292">
        <v>-22.880360441961397</v>
      </c>
      <c r="CJ104" s="183">
        <f t="shared" si="195"/>
        <v>-22.880360441961397</v>
      </c>
      <c r="CK104" s="215"/>
      <c r="CL104" s="215"/>
      <c r="CM104" s="183"/>
      <c r="CN104" s="183"/>
      <c r="CO104" s="183"/>
      <c r="CQ104">
        <f>J104*CO119+CO121</f>
        <v>60.44654189522582</v>
      </c>
      <c r="CR104" s="183"/>
      <c r="CS104" s="183"/>
      <c r="CT104" s="183"/>
      <c r="CU104" s="183">
        <f t="shared" si="197"/>
        <v>48.317046174215278</v>
      </c>
    </row>
    <row r="105" spans="1:99" x14ac:dyDescent="0.2">
      <c r="A105" s="6"/>
      <c r="B105" s="289" t="s">
        <v>1546</v>
      </c>
      <c r="C105" s="213" t="s">
        <v>564</v>
      </c>
      <c r="D105" s="213">
        <v>-1540</v>
      </c>
      <c r="E105" s="53" t="str">
        <f>VLOOKUP(D105,CompDbase!B:J,3,FALSE)</f>
        <v>fluoranthene</v>
      </c>
      <c r="F105" s="53">
        <f>VLOOKUP(D105,CompDbase!B:J,9,FALSE)</f>
        <v>0.83636506257935239</v>
      </c>
      <c r="H105" s="289" t="s">
        <v>1550</v>
      </c>
      <c r="I105" s="289">
        <v>202.15</v>
      </c>
      <c r="J105" s="4">
        <f t="shared" si="198"/>
        <v>2.3056737456696932</v>
      </c>
      <c r="K105" s="95">
        <v>0.83636506257935239</v>
      </c>
      <c r="L105" s="95">
        <f t="shared" si="192"/>
        <v>-7.760411722919576E-2</v>
      </c>
      <c r="M105" s="290">
        <v>5.08</v>
      </c>
      <c r="N105" s="4"/>
      <c r="O105" s="4"/>
      <c r="P105" s="4"/>
      <c r="Q105" s="17"/>
      <c r="AD105" s="95"/>
      <c r="AE105" s="253"/>
      <c r="AF105" s="210"/>
      <c r="AG105" s="210"/>
      <c r="AH105" s="210"/>
      <c r="AI105" s="210"/>
      <c r="AJ105" s="210"/>
      <c r="AP105" s="210"/>
      <c r="AQ105" s="192"/>
      <c r="AR105" s="192"/>
      <c r="AS105" s="192"/>
      <c r="AT105" s="192"/>
      <c r="AU105" s="192"/>
      <c r="AV105" s="192"/>
      <c r="AW105" s="192"/>
      <c r="AX105" s="95"/>
      <c r="AY105" s="95"/>
      <c r="AZ105" s="95"/>
      <c r="BA105" s="95"/>
      <c r="BB105" s="95"/>
      <c r="BC105" s="192"/>
      <c r="BD105" s="95"/>
      <c r="BE105" s="95"/>
      <c r="BF105" s="95"/>
      <c r="BG105" s="95"/>
      <c r="BH105" s="95"/>
      <c r="BL105" s="494">
        <f>VLOOKUP(B105,Literatuur!$A:$B,2,FALSE)</f>
        <v>6</v>
      </c>
      <c r="BM105" s="493"/>
      <c r="BN105" s="501" t="str">
        <f t="shared" si="189"/>
        <v>fluoranthene</v>
      </c>
      <c r="BO105" s="496">
        <f t="shared" si="190"/>
        <v>202.15</v>
      </c>
      <c r="BP105" s="495">
        <f t="shared" si="193"/>
        <v>0.83636506257935239</v>
      </c>
      <c r="BQ105" s="493"/>
      <c r="BR105" s="493"/>
      <c r="BS105" s="493"/>
      <c r="BT105" s="493"/>
      <c r="BU105" s="493"/>
      <c r="BV105" s="493"/>
      <c r="BW105" s="493">
        <f t="shared" si="194"/>
        <v>-43.406104962609106</v>
      </c>
      <c r="BX105" s="493" t="s">
        <v>2117</v>
      </c>
      <c r="BY105" s="493"/>
      <c r="BZ105" s="493"/>
      <c r="CD105" s="183"/>
      <c r="CE105" s="183"/>
      <c r="CF105" s="183"/>
      <c r="CG105" s="183"/>
      <c r="CH105" s="183"/>
      <c r="CI105" s="292">
        <v>-43.406104962609106</v>
      </c>
      <c r="CJ105" s="183">
        <f t="shared" si="195"/>
        <v>-43.406104962609106</v>
      </c>
      <c r="CK105" s="215"/>
      <c r="CL105" s="215"/>
      <c r="CM105" s="183"/>
      <c r="CN105" s="183"/>
      <c r="CO105" s="183"/>
      <c r="CR105" s="183"/>
      <c r="CS105" s="183"/>
      <c r="CT105" s="183"/>
      <c r="CU105" s="183">
        <f t="shared" si="197"/>
        <v>46.003010591921232</v>
      </c>
    </row>
    <row r="106" spans="1:99" x14ac:dyDescent="0.2">
      <c r="A106" s="6"/>
      <c r="B106" s="289" t="s">
        <v>1546</v>
      </c>
      <c r="C106" s="213" t="s">
        <v>565</v>
      </c>
      <c r="D106" s="213">
        <v>-1541</v>
      </c>
      <c r="E106" s="53" t="str">
        <f>VLOOKUP(D106,CompDbase!B:J,3,FALSE)</f>
        <v>pyrene</v>
      </c>
      <c r="F106" s="53">
        <f>VLOOKUP(D106,CompDbase!B:J,9,FALSE)</f>
        <v>0.83636506257935239</v>
      </c>
      <c r="H106" s="289" t="s">
        <v>1550</v>
      </c>
      <c r="I106" s="289">
        <v>202.15</v>
      </c>
      <c r="J106" s="4">
        <f t="shared" si="198"/>
        <v>2.3056737456696932</v>
      </c>
      <c r="K106" s="95">
        <v>0.83636506257935239</v>
      </c>
      <c r="L106" s="95">
        <f t="shared" si="192"/>
        <v>-7.760411722919576E-2</v>
      </c>
      <c r="M106" s="290">
        <v>4.9399999999999995</v>
      </c>
      <c r="N106" s="4"/>
      <c r="O106" s="4"/>
      <c r="P106" s="4"/>
      <c r="Q106" s="17"/>
      <c r="AD106" s="95"/>
      <c r="AE106" s="253"/>
      <c r="AF106" s="210"/>
      <c r="AG106" s="210"/>
      <c r="AH106" s="210"/>
      <c r="AI106" s="210"/>
      <c r="AJ106" s="210"/>
      <c r="AP106" s="210"/>
      <c r="AQ106" s="192"/>
      <c r="AR106" s="192"/>
      <c r="AS106" s="192"/>
      <c r="AT106" s="192"/>
      <c r="AU106" s="192"/>
      <c r="AV106" s="192"/>
      <c r="AW106" s="192"/>
      <c r="AX106" s="95"/>
      <c r="AY106" s="95"/>
      <c r="AZ106" s="95"/>
      <c r="BA106" s="95"/>
      <c r="BB106" s="95"/>
      <c r="BC106" s="192"/>
      <c r="BD106" s="95"/>
      <c r="BE106" s="95"/>
      <c r="BF106" s="95"/>
      <c r="BG106" s="95"/>
      <c r="BH106" s="95"/>
      <c r="BL106" s="494">
        <f>VLOOKUP(B106,Literatuur!$A:$B,2,FALSE)</f>
        <v>6</v>
      </c>
      <c r="BM106" s="493"/>
      <c r="BN106" s="501" t="str">
        <f t="shared" si="189"/>
        <v>pyrene</v>
      </c>
      <c r="BO106" s="496">
        <f t="shared" si="190"/>
        <v>202.15</v>
      </c>
      <c r="BP106" s="495">
        <f t="shared" si="193"/>
        <v>0.83636506257935239</v>
      </c>
      <c r="BQ106" s="493"/>
      <c r="BR106" s="493"/>
      <c r="BS106" s="493"/>
      <c r="BT106" s="493"/>
      <c r="BU106" s="493"/>
      <c r="BV106" s="493"/>
      <c r="BW106" s="493">
        <f t="shared" si="194"/>
        <v>-45.49921311833932</v>
      </c>
      <c r="BX106" s="493" t="s">
        <v>2117</v>
      </c>
      <c r="BY106" s="493"/>
      <c r="BZ106" s="493"/>
      <c r="CD106" s="183"/>
      <c r="CE106" s="183"/>
      <c r="CF106" s="183"/>
      <c r="CG106" s="183"/>
      <c r="CH106" s="183"/>
      <c r="CI106" s="292">
        <v>-45.49921311833932</v>
      </c>
      <c r="CJ106" s="183">
        <f t="shared" si="195"/>
        <v>-45.49921311833932</v>
      </c>
      <c r="CK106" s="215"/>
      <c r="CL106" s="215"/>
      <c r="CM106" s="183"/>
      <c r="CN106" s="183"/>
      <c r="CO106" s="183"/>
      <c r="CR106" s="183"/>
      <c r="CS106" s="183"/>
      <c r="CT106" s="183"/>
      <c r="CU106" s="183">
        <f t="shared" si="197"/>
        <v>46.003010591921232</v>
      </c>
    </row>
    <row r="107" spans="1:99" x14ac:dyDescent="0.2">
      <c r="A107" s="6"/>
      <c r="B107" s="289" t="s">
        <v>1546</v>
      </c>
      <c r="C107" s="213" t="s">
        <v>1536</v>
      </c>
      <c r="D107" s="213">
        <v>-1542</v>
      </c>
      <c r="E107" s="53" t="str">
        <f>VLOOKUP(D107,CompDbase!B:J,3,FALSE)</f>
        <v>benz[a]anthracene</v>
      </c>
      <c r="F107" s="53">
        <f>VLOOKUP(D107,CompDbase!B:J,9,FALSE)</f>
        <v>0.13896515350405772</v>
      </c>
      <c r="H107" s="289" t="s">
        <v>1550</v>
      </c>
      <c r="I107" s="289">
        <v>228.15</v>
      </c>
      <c r="J107" s="4">
        <f t="shared" si="198"/>
        <v>2.3582204731086795</v>
      </c>
      <c r="K107" s="95">
        <v>0.13896515350405772</v>
      </c>
      <c r="L107" s="95">
        <f t="shared" si="192"/>
        <v>-0.85709408850976543</v>
      </c>
      <c r="M107" s="290">
        <v>5.7799999999999994</v>
      </c>
      <c r="N107" s="4"/>
      <c r="O107" s="4"/>
      <c r="P107" s="4"/>
      <c r="Q107" s="17"/>
      <c r="AD107" s="95"/>
      <c r="AE107" s="253"/>
      <c r="AF107" s="210"/>
      <c r="AG107" s="210"/>
      <c r="AH107" s="210"/>
      <c r="AI107" s="210"/>
      <c r="AJ107" s="210"/>
      <c r="AP107" s="210"/>
      <c r="AQ107" s="192"/>
      <c r="AR107" s="192"/>
      <c r="AS107" s="192"/>
      <c r="AT107" s="192"/>
      <c r="AU107" s="192"/>
      <c r="AV107" s="192"/>
      <c r="AW107" s="192"/>
      <c r="AX107" s="95"/>
      <c r="AY107" s="95"/>
      <c r="AZ107" s="95"/>
      <c r="BA107" s="95"/>
      <c r="BB107" s="95"/>
      <c r="BC107" s="192"/>
      <c r="BD107" s="95"/>
      <c r="BE107" s="95"/>
      <c r="BF107" s="95"/>
      <c r="BG107" s="95"/>
      <c r="BH107" s="95"/>
      <c r="BL107" s="494">
        <f>VLOOKUP(B107,Literatuur!$A:$B,2,FALSE)</f>
        <v>6</v>
      </c>
      <c r="BM107" s="493"/>
      <c r="BN107" s="501" t="str">
        <f t="shared" si="189"/>
        <v>benza[a]anthracene</v>
      </c>
      <c r="BO107" s="496">
        <f t="shared" si="190"/>
        <v>228.15</v>
      </c>
      <c r="BP107" s="495">
        <f t="shared" si="193"/>
        <v>0.13896515350405772</v>
      </c>
      <c r="BQ107" s="493"/>
      <c r="BR107" s="493"/>
      <c r="BS107" s="493"/>
      <c r="BT107" s="493"/>
      <c r="BU107" s="493"/>
      <c r="BV107" s="493"/>
      <c r="BW107" s="493">
        <f t="shared" si="194"/>
        <v>-32.133551219367412</v>
      </c>
      <c r="BX107" s="493" t="s">
        <v>2117</v>
      </c>
      <c r="BY107" s="493"/>
      <c r="BZ107" s="493"/>
      <c r="CD107" s="183"/>
      <c r="CE107" s="183"/>
      <c r="CF107" s="183"/>
      <c r="CG107" s="183"/>
      <c r="CH107" s="183"/>
      <c r="CI107" s="292">
        <v>-32.133551219367412</v>
      </c>
      <c r="CJ107" s="183">
        <f t="shared" si="195"/>
        <v>-32.133551219367412</v>
      </c>
      <c r="CK107" s="215"/>
      <c r="CL107" s="215"/>
      <c r="CM107" s="183"/>
      <c r="CN107" s="183"/>
      <c r="CO107" s="183"/>
      <c r="CR107" s="183"/>
      <c r="CS107" s="183"/>
      <c r="CT107" s="183"/>
      <c r="CU107" s="183">
        <f t="shared" si="197"/>
        <v>43.036520704313524</v>
      </c>
    </row>
    <row r="108" spans="1:99" x14ac:dyDescent="0.2">
      <c r="A108" s="6"/>
      <c r="B108" s="289" t="s">
        <v>1546</v>
      </c>
      <c r="C108" s="213" t="s">
        <v>567</v>
      </c>
      <c r="D108" s="213">
        <v>-1543</v>
      </c>
      <c r="E108" s="53" t="str">
        <f>VLOOKUP(D108,CompDbase!B:J,3,FALSE)</f>
        <v>chrysene</v>
      </c>
      <c r="F108" s="53">
        <f>VLOOKUP(D108,CompDbase!B:J,9,FALSE)</f>
        <v>0.13896515350405772</v>
      </c>
      <c r="H108" s="289" t="s">
        <v>1550</v>
      </c>
      <c r="I108" s="289">
        <v>228.15</v>
      </c>
      <c r="J108" s="4">
        <f t="shared" si="198"/>
        <v>2.3582204731086795</v>
      </c>
      <c r="K108" s="95">
        <v>0.13896515350405772</v>
      </c>
      <c r="L108" s="95">
        <f t="shared" si="192"/>
        <v>-0.85709408850976543</v>
      </c>
      <c r="M108" s="290">
        <v>5.7549999999999999</v>
      </c>
      <c r="N108" s="4"/>
      <c r="O108" s="4"/>
      <c r="P108" s="4"/>
      <c r="Q108" s="17"/>
      <c r="AD108" s="95"/>
      <c r="AE108" s="253"/>
      <c r="AF108" s="210"/>
      <c r="AG108" s="210"/>
      <c r="AH108" s="210"/>
      <c r="AI108" s="210"/>
      <c r="AJ108" s="210"/>
      <c r="AP108" s="210"/>
      <c r="AQ108" s="192"/>
      <c r="AR108" s="192"/>
      <c r="AS108" s="192"/>
      <c r="AT108" s="192"/>
      <c r="AU108" s="192"/>
      <c r="AV108" s="192"/>
      <c r="AW108" s="192"/>
      <c r="AX108" s="95"/>
      <c r="AY108" s="95"/>
      <c r="AZ108" s="95"/>
      <c r="BA108" s="95"/>
      <c r="BB108" s="95"/>
      <c r="BC108" s="192"/>
      <c r="BD108" s="95"/>
      <c r="BE108" s="95"/>
      <c r="BF108" s="95"/>
      <c r="BG108" s="95"/>
      <c r="BH108" s="95"/>
      <c r="BL108" s="494">
        <f>VLOOKUP(B108,Literatuur!$A:$B,2,FALSE)</f>
        <v>6</v>
      </c>
      <c r="BM108" s="493"/>
      <c r="BN108" s="501" t="str">
        <f t="shared" si="189"/>
        <v>chrysene</v>
      </c>
      <c r="BO108" s="496">
        <f t="shared" si="190"/>
        <v>228.15</v>
      </c>
      <c r="BP108" s="495">
        <f t="shared" si="193"/>
        <v>0.13896515350405772</v>
      </c>
      <c r="BQ108" s="493"/>
      <c r="BR108" s="493"/>
      <c r="BS108" s="493"/>
      <c r="BT108" s="493"/>
      <c r="BU108" s="493"/>
      <c r="BV108" s="493"/>
      <c r="BW108" s="493">
        <f t="shared" si="194"/>
        <v>-14.812132111338974</v>
      </c>
      <c r="BX108" s="493" t="s">
        <v>2117</v>
      </c>
      <c r="BY108" s="493"/>
      <c r="BZ108" s="493"/>
      <c r="CD108" s="183"/>
      <c r="CE108" s="183"/>
      <c r="CF108" s="183"/>
      <c r="CG108" s="183"/>
      <c r="CH108" s="183"/>
      <c r="CI108" s="292">
        <v>-14.812132111338974</v>
      </c>
      <c r="CJ108" s="183">
        <f t="shared" si="195"/>
        <v>-14.812132111338974</v>
      </c>
      <c r="CK108" s="215"/>
      <c r="CL108" s="215"/>
      <c r="CM108" s="183"/>
      <c r="CN108" s="183"/>
      <c r="CO108" s="183"/>
      <c r="CR108" s="183"/>
      <c r="CS108" s="183"/>
      <c r="CT108" s="183"/>
      <c r="CU108" s="183">
        <f t="shared" si="197"/>
        <v>43.036520704313524</v>
      </c>
    </row>
    <row r="109" spans="1:99" x14ac:dyDescent="0.2">
      <c r="A109" s="6"/>
      <c r="B109" s="289" t="s">
        <v>1546</v>
      </c>
      <c r="C109" s="213" t="s">
        <v>570</v>
      </c>
      <c r="D109" s="213">
        <v>-1546</v>
      </c>
      <c r="E109" s="53" t="str">
        <f>VLOOKUP(D109,CompDbase!B:J,3,FALSE)</f>
        <v>benzo[e]pyrene</v>
      </c>
      <c r="F109" s="53">
        <f>VLOOKUP(D109,CompDbase!B:J,9,FALSE)</f>
        <v>2.620096279985866E-2</v>
      </c>
      <c r="H109" s="289" t="s">
        <v>1550</v>
      </c>
      <c r="I109" s="289">
        <v>252.15</v>
      </c>
      <c r="J109" s="4">
        <f t="shared" si="198"/>
        <v>2.4016589724951523</v>
      </c>
      <c r="K109" s="95">
        <v>2.620096279985866E-2</v>
      </c>
      <c r="L109" s="95">
        <f t="shared" si="192"/>
        <v>-1.5816827494824268</v>
      </c>
      <c r="M109" s="290">
        <v>6.27</v>
      </c>
      <c r="N109" s="4"/>
      <c r="O109" s="4"/>
      <c r="P109" s="4"/>
      <c r="Q109" s="17"/>
      <c r="AD109" s="95"/>
      <c r="AE109" s="253"/>
      <c r="AF109" s="210"/>
      <c r="AG109" s="210"/>
      <c r="AH109" s="210"/>
      <c r="AI109" s="210"/>
      <c r="AJ109" s="210"/>
      <c r="AP109" s="210"/>
      <c r="AQ109" s="192"/>
      <c r="AR109" s="192"/>
      <c r="AS109" s="192"/>
      <c r="AT109" s="192"/>
      <c r="AU109" s="192"/>
      <c r="AV109" s="192"/>
      <c r="AW109" s="192"/>
      <c r="AX109" s="95"/>
      <c r="AY109" s="95"/>
      <c r="AZ109" s="95"/>
      <c r="BA109" s="95"/>
      <c r="BB109" s="95"/>
      <c r="BC109" s="192"/>
      <c r="BD109" s="95"/>
      <c r="BE109" s="95"/>
      <c r="BF109" s="95"/>
      <c r="BG109" s="95"/>
      <c r="BH109" s="95"/>
      <c r="BL109" s="494">
        <f>VLOOKUP(B109,Literatuur!$A:$B,2,FALSE)</f>
        <v>6</v>
      </c>
      <c r="BM109" s="493"/>
      <c r="BN109" s="501" t="str">
        <f t="shared" si="189"/>
        <v>benzo[e]pyrene</v>
      </c>
      <c r="BO109" s="496">
        <f t="shared" si="190"/>
        <v>252.15</v>
      </c>
      <c r="BP109" s="495">
        <f t="shared" si="193"/>
        <v>2.620096279985866E-2</v>
      </c>
      <c r="BQ109" s="493"/>
      <c r="BR109" s="493"/>
      <c r="BS109" s="493"/>
      <c r="BT109" s="493"/>
      <c r="BU109" s="493"/>
      <c r="BV109" s="493"/>
      <c r="BW109" s="493"/>
      <c r="BX109" s="493"/>
      <c r="BY109" s="493"/>
      <c r="BZ109" s="493"/>
      <c r="CD109" s="183"/>
      <c r="CE109" s="183"/>
      <c r="CF109" s="183"/>
      <c r="CG109" s="183"/>
      <c r="CH109" s="183"/>
      <c r="CI109" s="292">
        <v>28.636788748588692</v>
      </c>
      <c r="CJ109" s="194"/>
      <c r="CK109" s="215"/>
      <c r="CL109" s="215"/>
      <c r="CM109" s="183"/>
      <c r="CN109" s="183"/>
      <c r="CO109" s="183"/>
      <c r="CR109" s="183"/>
      <c r="CS109" s="183"/>
      <c r="CT109" s="183"/>
      <c r="CU109" s="183">
        <f t="shared" si="197"/>
        <v>39.948812890150876</v>
      </c>
    </row>
    <row r="110" spans="1:99" x14ac:dyDescent="0.2">
      <c r="A110" s="6"/>
      <c r="B110" s="289" t="s">
        <v>1546</v>
      </c>
      <c r="C110" s="213" t="s">
        <v>571</v>
      </c>
      <c r="D110" s="213">
        <v>-1547</v>
      </c>
      <c r="E110" s="53" t="str">
        <f>VLOOKUP(D110,CompDbase!B:J,3,FALSE)</f>
        <v>benzo[a]pyrene</v>
      </c>
      <c r="F110" s="53">
        <f>VLOOKUP(D110,CompDbase!B:J,9,FALSE)</f>
        <v>2.620096279985866E-2</v>
      </c>
      <c r="H110" s="289" t="s">
        <v>1550</v>
      </c>
      <c r="I110" s="289">
        <v>252.15</v>
      </c>
      <c r="J110" s="4">
        <f t="shared" si="198"/>
        <v>2.4016589724951523</v>
      </c>
      <c r="K110" s="95">
        <v>2.620096279985866E-2</v>
      </c>
      <c r="L110" s="95">
        <f t="shared" si="192"/>
        <v>-1.5816827494824268</v>
      </c>
      <c r="M110" s="290">
        <v>6.1150000000000002</v>
      </c>
      <c r="N110" s="4"/>
      <c r="O110" s="4"/>
      <c r="P110" s="4"/>
      <c r="Q110" s="17"/>
      <c r="AD110" s="95"/>
      <c r="AE110" s="253"/>
      <c r="AF110" s="210"/>
      <c r="AG110" s="210"/>
      <c r="AH110" s="210"/>
      <c r="AI110" s="210"/>
      <c r="AJ110" s="210"/>
      <c r="AP110" s="210"/>
      <c r="AQ110" s="192"/>
      <c r="AR110" s="192"/>
      <c r="AS110" s="192"/>
      <c r="AT110" s="192"/>
      <c r="AU110" s="192"/>
      <c r="AV110" s="192"/>
      <c r="AW110" s="192"/>
      <c r="AX110" s="95"/>
      <c r="AY110" s="95"/>
      <c r="AZ110" s="95"/>
      <c r="BA110" s="95"/>
      <c r="BB110" s="95"/>
      <c r="BC110" s="192"/>
      <c r="BD110" s="95"/>
      <c r="BE110" s="95"/>
      <c r="BF110" s="95"/>
      <c r="BG110" s="95"/>
      <c r="BH110" s="95"/>
      <c r="BL110" s="494">
        <f>VLOOKUP(B110,Literatuur!$A:$B,2,FALSE)</f>
        <v>6</v>
      </c>
      <c r="BM110" s="493"/>
      <c r="BN110" s="501" t="str">
        <f t="shared" ref="BN110" si="199">C110</f>
        <v>benzo[a]pyrene</v>
      </c>
      <c r="BO110" s="496">
        <f t="shared" ref="BO110" si="200">I110</f>
        <v>252.15</v>
      </c>
      <c r="BP110" s="495">
        <f t="shared" si="193"/>
        <v>2.620096279985866E-2</v>
      </c>
      <c r="CD110" s="183"/>
      <c r="CE110" s="183"/>
      <c r="CF110" s="183"/>
      <c r="CG110" s="183"/>
      <c r="CH110" s="183"/>
      <c r="CI110" s="292">
        <v>32.586690644945655</v>
      </c>
      <c r="CJ110" s="194"/>
      <c r="CK110" s="215"/>
      <c r="CL110" s="215"/>
      <c r="CM110" s="183"/>
      <c r="CN110" s="183"/>
      <c r="CO110" s="183"/>
      <c r="CR110" s="183"/>
      <c r="CS110" s="183"/>
      <c r="CT110" s="183"/>
      <c r="CU110" s="183">
        <f t="shared" si="197"/>
        <v>39.948812890150876</v>
      </c>
    </row>
    <row r="111" spans="1:99" x14ac:dyDescent="0.2">
      <c r="A111" s="6"/>
      <c r="B111" s="289"/>
      <c r="C111" s="213"/>
      <c r="D111" s="213"/>
      <c r="E111" s="53"/>
      <c r="F111" s="53"/>
      <c r="H111" s="369"/>
      <c r="I111" s="289"/>
      <c r="J111" s="289"/>
      <c r="K111" s="95"/>
      <c r="L111" s="95"/>
      <c r="M111" s="290"/>
      <c r="N111" s="4"/>
      <c r="O111" s="4"/>
      <c r="P111" s="4"/>
      <c r="Q111" s="17"/>
      <c r="AD111" s="95"/>
      <c r="AE111" s="253"/>
      <c r="AF111" s="210"/>
      <c r="AG111" s="210"/>
      <c r="AH111" s="210"/>
      <c r="AI111" s="210"/>
      <c r="AJ111" s="210"/>
      <c r="AP111" s="210"/>
      <c r="AQ111" s="192"/>
      <c r="AR111" s="192"/>
      <c r="AS111" s="192"/>
      <c r="AT111" s="192"/>
      <c r="AU111" s="192"/>
      <c r="AV111" s="192"/>
      <c r="AW111" s="192"/>
      <c r="AX111" s="95"/>
      <c r="AY111" s="95"/>
      <c r="AZ111" s="95"/>
      <c r="BA111" s="95"/>
      <c r="BB111" s="95"/>
      <c r="BC111" s="192"/>
      <c r="BD111" s="95"/>
      <c r="BE111" s="95"/>
      <c r="BF111" s="95"/>
      <c r="BG111" s="95"/>
      <c r="BH111" s="95"/>
      <c r="CD111" s="183"/>
      <c r="CE111" s="183"/>
      <c r="CF111" s="183"/>
      <c r="CG111" s="183"/>
      <c r="CH111" s="183"/>
      <c r="CI111" s="217"/>
      <c r="CJ111" s="217"/>
      <c r="CK111" s="215"/>
      <c r="CL111" s="215"/>
      <c r="CM111" s="183"/>
      <c r="CN111" s="183"/>
      <c r="CO111" s="183"/>
      <c r="CR111" s="183"/>
      <c r="CS111" s="183"/>
      <c r="CT111" s="183"/>
      <c r="CU111" s="183"/>
    </row>
    <row r="112" spans="1:99" x14ac:dyDescent="0.2">
      <c r="A112" s="6"/>
      <c r="B112" s="215" t="s">
        <v>1547</v>
      </c>
      <c r="C112" s="223" t="s">
        <v>140</v>
      </c>
      <c r="D112" s="213">
        <v>-1714</v>
      </c>
      <c r="E112" s="53" t="str">
        <f>VLOOKUP(D112,CompDbase!B:J,3,FALSE)</f>
        <v>PCB 52</v>
      </c>
      <c r="F112" s="53">
        <f>VLOOKUP(D112,CompDbase!B:J,9,FALSE)</f>
        <v>0.11624729380162115</v>
      </c>
      <c r="H112" s="291" t="s">
        <v>1552</v>
      </c>
      <c r="I112" s="368">
        <v>292</v>
      </c>
      <c r="J112" s="4">
        <f t="shared" ref="J112:J114" si="201">LOG(I112)</f>
        <v>2.4653828514484184</v>
      </c>
      <c r="K112" s="95">
        <v>0.11624729380162115</v>
      </c>
      <c r="L112" s="95">
        <f t="shared" ref="L112:L114" si="202">LOG(K112)</f>
        <v>-0.93461714855158184</v>
      </c>
      <c r="M112" s="290"/>
      <c r="N112" s="4"/>
      <c r="O112" s="4"/>
      <c r="P112" s="4"/>
      <c r="Q112" s="17"/>
      <c r="AD112" s="95"/>
      <c r="AE112" s="253"/>
      <c r="AF112" s="210"/>
      <c r="AG112" s="210"/>
      <c r="AH112" s="210"/>
      <c r="AI112" s="210"/>
      <c r="AJ112" s="210"/>
      <c r="AP112" s="210"/>
      <c r="AQ112" s="192"/>
      <c r="AR112" s="192"/>
      <c r="AS112" s="192"/>
      <c r="AT112" s="192"/>
      <c r="AU112" s="192"/>
      <c r="AV112" s="192"/>
      <c r="AW112" s="192"/>
      <c r="AX112" s="95"/>
      <c r="AY112" s="95"/>
      <c r="AZ112" s="95"/>
      <c r="BA112" s="95"/>
      <c r="BB112" s="95"/>
      <c r="BC112" s="192"/>
      <c r="BD112" s="95"/>
      <c r="BE112" s="95"/>
      <c r="BF112" s="95"/>
      <c r="BG112" s="95"/>
      <c r="BH112" s="95"/>
      <c r="BL112" s="494">
        <f>VLOOKUP(B112,Literatuur!$A:$B,2,FALSE)</f>
        <v>2</v>
      </c>
      <c r="BM112" s="493"/>
      <c r="BN112" s="501" t="str">
        <f t="shared" ref="BN112:BN114" si="203">C112</f>
        <v>PCB52</v>
      </c>
      <c r="BO112" s="496">
        <f t="shared" ref="BO112:BO114" si="204">I112</f>
        <v>292</v>
      </c>
      <c r="BP112" s="495">
        <f t="shared" ref="BP112:BP114" si="205">K112</f>
        <v>0.11624729380162115</v>
      </c>
      <c r="BW112" s="493">
        <f t="shared" ref="BW112:BW114" si="206">CJ112</f>
        <v>-12</v>
      </c>
      <c r="BX112" s="493" t="s">
        <v>2117</v>
      </c>
      <c r="CD112" s="183"/>
      <c r="CE112" s="183"/>
      <c r="CF112" s="183"/>
      <c r="CG112" s="183"/>
      <c r="CH112" s="183"/>
      <c r="CI112" s="217">
        <v>-12</v>
      </c>
      <c r="CJ112" s="183">
        <f t="shared" ref="CJ112:CJ114" si="207">CI112</f>
        <v>-12</v>
      </c>
      <c r="CK112" s="215"/>
      <c r="CL112" s="215"/>
      <c r="CM112" s="183"/>
      <c r="CN112" s="183"/>
      <c r="CO112" s="183"/>
      <c r="CR112" s="183"/>
      <c r="CS112" s="183"/>
      <c r="CT112" s="183"/>
      <c r="CU112" s="183">
        <f>J112*CO$119+CO$121+L112*CJ$119+CJ$121</f>
        <v>48.965519153345511</v>
      </c>
    </row>
    <row r="113" spans="1:100" x14ac:dyDescent="0.2">
      <c r="A113" s="6"/>
      <c r="B113" s="215" t="s">
        <v>1547</v>
      </c>
      <c r="C113" s="223" t="s">
        <v>562</v>
      </c>
      <c r="D113" s="213">
        <v>-1538</v>
      </c>
      <c r="E113" s="53" t="str">
        <f>VLOOKUP(D113,CompDbase!B:J,3,FALSE)</f>
        <v>phenanthrene</v>
      </c>
      <c r="F113" s="53">
        <f>VLOOKUP(D113,CompDbase!B:J,9,FALSE)</f>
        <v>4.3501847309898105</v>
      </c>
      <c r="H113" s="291" t="s">
        <v>1550</v>
      </c>
      <c r="I113" s="368">
        <v>178.21</v>
      </c>
      <c r="J113" s="4">
        <f t="shared" si="201"/>
        <v>2.2509320702001134</v>
      </c>
      <c r="K113" s="95">
        <v>4.3501847309898105</v>
      </c>
      <c r="L113" s="95">
        <f t="shared" si="202"/>
        <v>0.63850769970085575</v>
      </c>
      <c r="M113" s="290"/>
      <c r="N113" s="4"/>
      <c r="O113" s="4"/>
      <c r="P113" s="4"/>
      <c r="Q113" s="17"/>
      <c r="AD113" s="95"/>
      <c r="AE113" s="253"/>
      <c r="AF113" s="210"/>
      <c r="AG113" s="210"/>
      <c r="AH113" s="210"/>
      <c r="AI113" s="210"/>
      <c r="AJ113" s="210"/>
      <c r="AP113" s="210"/>
      <c r="AQ113" s="192"/>
      <c r="AR113" s="192"/>
      <c r="AS113" s="192"/>
      <c r="AT113" s="192"/>
      <c r="AU113" s="192"/>
      <c r="AV113" s="192"/>
      <c r="AW113" s="192"/>
      <c r="AX113" s="95"/>
      <c r="AY113" s="95"/>
      <c r="AZ113" s="95"/>
      <c r="BA113" s="95"/>
      <c r="BB113" s="95"/>
      <c r="BC113" s="192"/>
      <c r="BD113" s="95"/>
      <c r="BE113" s="95"/>
      <c r="BF113" s="95"/>
      <c r="BG113" s="95"/>
      <c r="BH113" s="95"/>
      <c r="BL113" s="494">
        <f>VLOOKUP(B113,Literatuur!$A:$B,2,FALSE)</f>
        <v>2</v>
      </c>
      <c r="BM113" s="493"/>
      <c r="BN113" s="501" t="str">
        <f t="shared" si="203"/>
        <v>phenanthrene</v>
      </c>
      <c r="BO113" s="496">
        <f t="shared" si="204"/>
        <v>178.21</v>
      </c>
      <c r="BP113" s="495">
        <f t="shared" si="205"/>
        <v>4.3501847309898105</v>
      </c>
      <c r="BW113" s="493">
        <f t="shared" si="206"/>
        <v>-18</v>
      </c>
      <c r="BX113" s="493" t="s">
        <v>2117</v>
      </c>
      <c r="CD113" s="183"/>
      <c r="CE113" s="183"/>
      <c r="CF113" s="183"/>
      <c r="CG113" s="183"/>
      <c r="CH113" s="183"/>
      <c r="CI113" s="217">
        <v>-18</v>
      </c>
      <c r="CJ113" s="183">
        <f t="shared" si="207"/>
        <v>-18</v>
      </c>
      <c r="CK113" s="215"/>
      <c r="CL113" s="215"/>
      <c r="CM113" s="183"/>
      <c r="CN113" s="183"/>
      <c r="CO113" s="183"/>
      <c r="CR113" s="183"/>
      <c r="CS113" s="183"/>
      <c r="CT113" s="183"/>
      <c r="CU113" s="183">
        <f>J113*CO$119+CO$121+L113*CJ$119+CJ$121</f>
        <v>48.333418902447363</v>
      </c>
    </row>
    <row r="114" spans="1:100" x14ac:dyDescent="0.2">
      <c r="A114" s="6"/>
      <c r="B114" s="215" t="s">
        <v>1547</v>
      </c>
      <c r="C114" s="223" t="s">
        <v>565</v>
      </c>
      <c r="D114" s="213">
        <v>-1541</v>
      </c>
      <c r="E114" s="53" t="str">
        <f>VLOOKUP(D114,CompDbase!B:J,3,FALSE)</f>
        <v>pyrene</v>
      </c>
      <c r="F114" s="53">
        <f>VLOOKUP(D114,CompDbase!B:J,9,FALSE)</f>
        <v>0.83636506257935239</v>
      </c>
      <c r="H114" s="291" t="s">
        <v>1550</v>
      </c>
      <c r="I114" s="368">
        <v>202.15</v>
      </c>
      <c r="J114" s="4">
        <f t="shared" si="201"/>
        <v>2.3056737456696932</v>
      </c>
      <c r="K114" s="95">
        <v>0.83636506257935239</v>
      </c>
      <c r="L114" s="95">
        <f t="shared" si="202"/>
        <v>-7.760411722919576E-2</v>
      </c>
      <c r="M114" s="290"/>
      <c r="N114" s="4"/>
      <c r="O114" s="4"/>
      <c r="P114" s="4"/>
      <c r="Q114" s="17"/>
      <c r="AD114" s="95"/>
      <c r="AE114" s="253"/>
      <c r="AF114" s="210"/>
      <c r="AG114" s="210"/>
      <c r="AH114" s="210"/>
      <c r="AI114" s="210"/>
      <c r="AJ114" s="210"/>
      <c r="AP114" s="210"/>
      <c r="AQ114" s="192"/>
      <c r="AR114" s="192"/>
      <c r="AS114" s="192"/>
      <c r="AT114" s="192"/>
      <c r="AU114" s="192"/>
      <c r="AV114" s="192"/>
      <c r="AW114" s="192"/>
      <c r="AX114" s="95"/>
      <c r="AY114" s="95"/>
      <c r="AZ114" s="95"/>
      <c r="BA114" s="95"/>
      <c r="BB114" s="95"/>
      <c r="BC114" s="192"/>
      <c r="BD114" s="95"/>
      <c r="BE114" s="95"/>
      <c r="BF114" s="95"/>
      <c r="BG114" s="95"/>
      <c r="BH114" s="95"/>
      <c r="BL114" s="494">
        <f>VLOOKUP(B114,Literatuur!$A:$B,2,FALSE)</f>
        <v>2</v>
      </c>
      <c r="BM114" s="493"/>
      <c r="BN114" s="501" t="str">
        <f t="shared" si="203"/>
        <v>pyrene</v>
      </c>
      <c r="BO114" s="496">
        <f t="shared" si="204"/>
        <v>202.15</v>
      </c>
      <c r="BP114" s="495">
        <f t="shared" si="205"/>
        <v>0.83636506257935239</v>
      </c>
      <c r="BW114" s="493">
        <f t="shared" si="206"/>
        <v>-29</v>
      </c>
      <c r="BX114" s="493" t="s">
        <v>2117</v>
      </c>
      <c r="CD114" s="183"/>
      <c r="CE114" s="183"/>
      <c r="CF114" s="183"/>
      <c r="CG114" s="183"/>
      <c r="CH114" s="183"/>
      <c r="CI114" s="217">
        <v>-29</v>
      </c>
      <c r="CJ114" s="183">
        <f t="shared" si="207"/>
        <v>-29</v>
      </c>
      <c r="CK114" s="215"/>
      <c r="CL114" s="215"/>
      <c r="CM114" s="183"/>
      <c r="CN114" s="183"/>
      <c r="CO114" s="183"/>
      <c r="CR114" s="183"/>
      <c r="CS114" s="183"/>
      <c r="CT114" s="183"/>
      <c r="CU114" s="183">
        <f>J114*CO$119+CO$121+L114*CJ$119+CJ$121</f>
        <v>46.003010591921232</v>
      </c>
    </row>
    <row r="115" spans="1:100" x14ac:dyDescent="0.2">
      <c r="A115" s="6"/>
      <c r="B115" s="289"/>
      <c r="C115" s="213"/>
      <c r="D115" s="213"/>
      <c r="E115" s="213"/>
      <c r="F115" s="213"/>
      <c r="I115" s="289"/>
      <c r="J115" s="289"/>
      <c r="K115" s="95"/>
      <c r="L115" s="95"/>
      <c r="M115" s="290"/>
      <c r="N115" s="4"/>
      <c r="O115" s="4"/>
      <c r="P115" s="4"/>
      <c r="Q115" s="17"/>
      <c r="AD115" s="95"/>
      <c r="AE115" s="253"/>
      <c r="AF115" s="210"/>
      <c r="AG115" s="210"/>
      <c r="AH115" s="210"/>
      <c r="AI115" s="210"/>
      <c r="AJ115" s="210"/>
      <c r="AP115" s="210"/>
      <c r="AQ115" s="192"/>
      <c r="AR115" s="192"/>
      <c r="AS115" s="192"/>
      <c r="AT115" s="192"/>
      <c r="AU115" s="192"/>
      <c r="AV115" s="192"/>
      <c r="AW115" s="192"/>
      <c r="AX115" s="95"/>
      <c r="AY115" s="95"/>
      <c r="AZ115" s="95"/>
      <c r="BA115" s="95"/>
      <c r="BB115" s="95"/>
      <c r="BC115" s="192"/>
      <c r="BD115" s="95"/>
      <c r="BE115" s="95"/>
      <c r="BF115" s="95"/>
      <c r="BG115" s="95"/>
      <c r="BH115" s="95"/>
      <c r="CD115" s="183"/>
      <c r="CE115" s="183"/>
      <c r="CF115" s="183"/>
      <c r="CG115" s="183"/>
      <c r="CH115" s="183"/>
      <c r="CI115" s="217"/>
      <c r="CJ115" s="217"/>
      <c r="CK115" s="215"/>
      <c r="CL115" s="215"/>
      <c r="CM115" s="183"/>
      <c r="CN115" s="183"/>
      <c r="CO115" s="183"/>
      <c r="CR115" s="183"/>
      <c r="CS115" s="183"/>
      <c r="CT115" s="183"/>
      <c r="CU115" s="183"/>
    </row>
    <row r="116" spans="1:100" x14ac:dyDescent="0.2">
      <c r="A116" s="6"/>
      <c r="B116" s="289"/>
      <c r="C116" s="213"/>
      <c r="D116" s="213"/>
      <c r="E116" s="213"/>
      <c r="F116" s="213"/>
      <c r="I116" s="289"/>
      <c r="J116" s="289"/>
      <c r="K116" s="95"/>
      <c r="L116" s="95"/>
      <c r="M116" s="290"/>
      <c r="N116" s="4"/>
      <c r="O116" s="4"/>
      <c r="P116" s="4"/>
      <c r="Q116" s="17"/>
      <c r="AD116" s="95"/>
      <c r="AE116" s="253"/>
      <c r="AF116" s="210"/>
      <c r="AG116" s="210"/>
      <c r="AH116" s="210"/>
      <c r="AI116" s="210"/>
      <c r="AJ116" s="210"/>
      <c r="AP116" s="210"/>
      <c r="AQ116" s="192"/>
      <c r="AR116" s="192"/>
      <c r="AS116" s="192"/>
      <c r="AT116" s="192"/>
      <c r="AU116" s="192"/>
      <c r="AV116" s="192"/>
      <c r="AW116" s="192"/>
      <c r="AX116" s="95"/>
      <c r="AY116" s="95"/>
      <c r="AZ116" s="95"/>
      <c r="BA116" s="95"/>
      <c r="BB116" s="95"/>
      <c r="BC116" s="192"/>
      <c r="BD116" s="95"/>
      <c r="BE116" s="95"/>
      <c r="BF116" s="95"/>
      <c r="BG116" s="95"/>
      <c r="BH116" s="95"/>
      <c r="BK116" s="162"/>
      <c r="BL116" s="21" t="s">
        <v>2127</v>
      </c>
      <c r="BM116" s="162"/>
      <c r="CD116" s="183"/>
      <c r="CE116" s="183"/>
      <c r="CF116" s="183"/>
      <c r="CG116" s="183"/>
      <c r="CH116" s="183"/>
      <c r="CI116" s="217"/>
      <c r="CJ116" s="217"/>
      <c r="CK116" s="215"/>
      <c r="CL116" s="215"/>
      <c r="CM116" s="183"/>
      <c r="CN116" s="183"/>
      <c r="CO116" s="183"/>
      <c r="CR116" s="183"/>
      <c r="CS116" s="183"/>
      <c r="CT116" s="183"/>
      <c r="CU116" s="183"/>
    </row>
    <row r="117" spans="1:100" x14ac:dyDescent="0.2">
      <c r="A117" s="19"/>
      <c r="B117" s="254"/>
      <c r="C117" s="263"/>
      <c r="D117" s="254"/>
      <c r="E117" s="254"/>
      <c r="F117" s="254"/>
      <c r="G117" s="254"/>
      <c r="H117" s="254"/>
      <c r="I117" s="254"/>
      <c r="J117" s="254"/>
      <c r="K117" s="14"/>
      <c r="L117" s="14"/>
      <c r="M117" s="20"/>
      <c r="N117" s="14"/>
      <c r="O117" s="14"/>
      <c r="P117" s="14"/>
      <c r="Q117" s="12"/>
      <c r="R117" s="13"/>
      <c r="S117" s="13"/>
      <c r="T117" s="13"/>
      <c r="U117" s="13"/>
      <c r="V117" s="13"/>
      <c r="W117" s="13"/>
      <c r="X117" s="13"/>
      <c r="Y117" s="13"/>
      <c r="Z117" s="13"/>
      <c r="AA117" s="13"/>
      <c r="AB117" s="13"/>
      <c r="AC117" s="13"/>
      <c r="AD117" s="182"/>
      <c r="AE117" s="255"/>
      <c r="AF117" s="244"/>
      <c r="AG117" s="244"/>
      <c r="AH117" s="244"/>
      <c r="AI117" s="244"/>
      <c r="AJ117" s="244"/>
      <c r="AK117" s="13"/>
      <c r="AL117" s="13"/>
      <c r="AM117" s="13"/>
      <c r="AN117" s="13"/>
      <c r="AO117" s="13"/>
      <c r="AP117" s="244"/>
      <c r="AQ117" s="245"/>
      <c r="AR117" s="245"/>
      <c r="AS117" s="245"/>
      <c r="AT117" s="245"/>
      <c r="AU117" s="245"/>
      <c r="AV117" s="245"/>
      <c r="AW117" s="245"/>
      <c r="AX117" s="182"/>
      <c r="AY117" s="182"/>
      <c r="AZ117" s="182"/>
      <c r="BA117" s="182"/>
      <c r="BB117" s="182"/>
      <c r="BC117" s="245"/>
      <c r="BD117" s="182"/>
      <c r="BE117" s="182"/>
      <c r="BF117" s="182"/>
      <c r="BG117" s="182"/>
      <c r="BH117" s="182"/>
      <c r="BI117" s="13"/>
      <c r="BJ117" s="13"/>
      <c r="BK117" s="504"/>
      <c r="BL117" s="21" t="s">
        <v>2128</v>
      </c>
      <c r="BM117" s="162"/>
      <c r="CC117" s="13"/>
      <c r="CD117" s="261"/>
      <c r="CE117" s="261"/>
      <c r="CF117" s="261"/>
      <c r="CG117" s="261"/>
      <c r="CH117" s="261"/>
      <c r="CI117" s="261"/>
      <c r="CJ117" s="261"/>
      <c r="CK117" s="261"/>
      <c r="CL117" s="262"/>
      <c r="CM117" s="254"/>
      <c r="CN117" s="254"/>
      <c r="CO117" s="254"/>
      <c r="CP117" s="261"/>
      <c r="CQ117" s="261"/>
      <c r="CR117" s="261"/>
      <c r="CS117" s="261"/>
      <c r="CT117" s="261"/>
      <c r="CU117" s="261"/>
    </row>
    <row r="118" spans="1:100" x14ac:dyDescent="0.2">
      <c r="A118" s="4"/>
      <c r="B118" s="215"/>
      <c r="C118" s="215"/>
      <c r="D118" s="215"/>
      <c r="E118" s="215"/>
      <c r="F118" s="215"/>
      <c r="G118" s="215"/>
      <c r="H118" s="215"/>
      <c r="I118" s="215"/>
      <c r="J118" s="215"/>
      <c r="K118" s="4"/>
      <c r="L118" s="4"/>
      <c r="M118" s="4"/>
      <c r="N118" s="4"/>
      <c r="O118" s="4"/>
      <c r="P118" s="4"/>
      <c r="AD118" s="95"/>
      <c r="AE118" s="210"/>
      <c r="AF118" s="210"/>
      <c r="AG118" s="210"/>
      <c r="AH118" s="210"/>
      <c r="AI118" s="210"/>
      <c r="AJ118" s="210"/>
      <c r="AP118" s="210"/>
      <c r="AQ118" s="192"/>
      <c r="AR118" s="192"/>
      <c r="AS118" s="192"/>
      <c r="AT118" s="192"/>
      <c r="AU118" s="192"/>
      <c r="AV118" s="192"/>
      <c r="AW118" s="192"/>
      <c r="AX118" s="95"/>
      <c r="AY118" s="95"/>
      <c r="AZ118" s="95"/>
      <c r="BA118" s="95"/>
      <c r="BB118" s="95"/>
      <c r="BC118" s="192"/>
      <c r="BD118" s="95"/>
      <c r="BE118" s="95"/>
      <c r="BF118" s="95"/>
      <c r="BG118" s="95"/>
      <c r="BH118" s="95"/>
      <c r="BK118" s="162"/>
      <c r="BL118" s="21" t="s">
        <v>2119</v>
      </c>
      <c r="BM118" s="162"/>
      <c r="CG118" s="183"/>
      <c r="CH118" s="464" t="s">
        <v>1809</v>
      </c>
      <c r="CI118" s="465"/>
      <c r="CJ118" s="466"/>
      <c r="CK118" s="467"/>
      <c r="CL118" s="468"/>
      <c r="CM118" s="469" t="s">
        <v>1810</v>
      </c>
      <c r="CN118" s="470"/>
      <c r="CO118" s="471"/>
      <c r="CP118" s="183"/>
      <c r="CQ118" s="183"/>
      <c r="CR118" s="183"/>
      <c r="CS118" s="183"/>
      <c r="CT118" s="183"/>
      <c r="CU118" s="183"/>
    </row>
    <row r="119" spans="1:100" x14ac:dyDescent="0.2">
      <c r="A119" s="4"/>
      <c r="B119" s="215"/>
      <c r="C119" s="215"/>
      <c r="D119" s="215"/>
      <c r="E119" s="215"/>
      <c r="F119" s="215"/>
      <c r="G119" s="215"/>
      <c r="H119" s="215"/>
      <c r="I119" s="215"/>
      <c r="J119" s="215"/>
      <c r="K119" s="4"/>
      <c r="L119" s="4"/>
      <c r="M119" s="4"/>
      <c r="N119" s="4"/>
      <c r="O119" s="4"/>
      <c r="P119" s="4"/>
      <c r="AD119" s="95"/>
      <c r="AE119" s="210"/>
      <c r="AF119" s="210"/>
      <c r="AG119" s="210"/>
      <c r="AH119" s="210"/>
      <c r="AI119" s="210"/>
      <c r="AJ119" s="210"/>
      <c r="AP119" s="210"/>
      <c r="AQ119" s="192"/>
      <c r="AR119" s="192"/>
      <c r="AS119" s="192"/>
      <c r="AT119" s="192"/>
      <c r="AU119" s="192"/>
      <c r="AV119" s="192"/>
      <c r="AW119" s="192"/>
      <c r="AX119" s="95"/>
      <c r="AY119" s="95"/>
      <c r="AZ119" s="95"/>
      <c r="BA119" s="95"/>
      <c r="BB119" s="95"/>
      <c r="BC119" s="192"/>
      <c r="BD119" s="95"/>
      <c r="BE119" s="95"/>
      <c r="BF119" s="95"/>
      <c r="BG119" s="95"/>
      <c r="BH119" s="95"/>
      <c r="BK119" s="162"/>
      <c r="BL119" s="21" t="s">
        <v>2116</v>
      </c>
      <c r="BM119" s="162"/>
      <c r="CG119" s="183"/>
      <c r="CH119" s="472" t="s">
        <v>2050</v>
      </c>
      <c r="CI119" s="289"/>
      <c r="CJ119" s="474">
        <f>SLOPE(CJ49:CJ114,$L49:$L114)</f>
        <v>7.9216980150670766</v>
      </c>
      <c r="CK119" s="467"/>
      <c r="CL119" s="468"/>
      <c r="CM119" s="472" t="s">
        <v>2050</v>
      </c>
      <c r="CN119" s="289"/>
      <c r="CO119" s="474">
        <f>SLOPE(CO49:CO114,$J49:$J114)</f>
        <v>61.05792742993652</v>
      </c>
      <c r="CP119" s="183"/>
      <c r="CQ119" s="183"/>
      <c r="CR119" s="183"/>
      <c r="CS119" s="183"/>
      <c r="CT119" s="183"/>
      <c r="CU119" s="183"/>
    </row>
    <row r="120" spans="1:100" x14ac:dyDescent="0.2">
      <c r="A120" s="4"/>
      <c r="B120" s="215"/>
      <c r="C120" s="215"/>
      <c r="D120" s="215"/>
      <c r="E120" s="215"/>
      <c r="F120" s="215"/>
      <c r="G120" s="215"/>
      <c r="H120" s="215"/>
      <c r="I120" s="215"/>
      <c r="J120" s="215"/>
      <c r="K120" s="4"/>
      <c r="L120" s="4"/>
      <c r="M120" s="4"/>
      <c r="N120" s="4"/>
      <c r="O120" s="4"/>
      <c r="P120" s="4"/>
      <c r="AD120" s="95"/>
      <c r="AE120" s="210"/>
      <c r="AF120" s="210"/>
      <c r="AG120" s="210"/>
      <c r="AH120" s="210"/>
      <c r="AI120" s="210"/>
      <c r="AJ120" s="210"/>
      <c r="AP120" s="210"/>
      <c r="AQ120" s="192"/>
      <c r="AR120" s="192"/>
      <c r="AS120" s="192"/>
      <c r="AT120" s="192"/>
      <c r="AU120" s="192"/>
      <c r="AV120" s="192"/>
      <c r="AW120" s="192"/>
      <c r="AX120" s="95"/>
      <c r="AY120" s="95"/>
      <c r="AZ120" s="95"/>
      <c r="BA120" s="95"/>
      <c r="BB120" s="95"/>
      <c r="BC120" s="192"/>
      <c r="BD120" s="95"/>
      <c r="BE120" s="95"/>
      <c r="BF120" s="95"/>
      <c r="BG120" s="95"/>
      <c r="BH120" s="95"/>
      <c r="BK120" s="162"/>
      <c r="BL120" s="21" t="s">
        <v>2120</v>
      </c>
      <c r="BM120" s="162"/>
      <c r="CG120" s="183"/>
      <c r="CH120" s="473" t="s">
        <v>2046</v>
      </c>
      <c r="CI120" s="289"/>
      <c r="CJ120" s="475">
        <f>CJ125/SQRT(CJ123)*SQRT(1+AVERAGE(CJ49:CJ114)^2/VAR(CJ49:CJ114))</f>
        <v>2.5739356361727412</v>
      </c>
      <c r="CK120" s="467"/>
      <c r="CL120" s="468"/>
      <c r="CM120" s="473" t="s">
        <v>2046</v>
      </c>
      <c r="CN120" s="289"/>
      <c r="CO120" s="475">
        <f>CO125/SQRT(CO123)*SQRT(1+AVERAGE(CO49:CO114)^2/VAR(CO49:CO114))</f>
        <v>5.7980233576909272</v>
      </c>
      <c r="CP120" s="183"/>
      <c r="CQ120" s="183"/>
      <c r="CR120" s="183"/>
      <c r="CS120" s="183"/>
      <c r="CT120" s="183"/>
      <c r="CU120" s="183"/>
    </row>
    <row r="121" spans="1:100" x14ac:dyDescent="0.2">
      <c r="A121" s="4"/>
      <c r="B121" s="215"/>
      <c r="C121" s="215"/>
      <c r="D121" s="215"/>
      <c r="E121" s="215"/>
      <c r="F121" s="215"/>
      <c r="G121" s="215"/>
      <c r="H121" s="215"/>
      <c r="I121" s="215"/>
      <c r="J121" s="215"/>
      <c r="K121" s="4"/>
      <c r="L121" s="4"/>
      <c r="M121" s="4"/>
      <c r="N121" s="4"/>
      <c r="O121" s="4"/>
      <c r="P121" s="4"/>
      <c r="AD121" s="95"/>
      <c r="AE121" s="210"/>
      <c r="AF121" s="210"/>
      <c r="AG121" s="210"/>
      <c r="AH121" s="210"/>
      <c r="AI121" s="210"/>
      <c r="AJ121" s="210"/>
      <c r="AP121" s="210"/>
      <c r="AQ121" s="192"/>
      <c r="AR121" s="192"/>
      <c r="AS121" s="192"/>
      <c r="AT121" s="192"/>
      <c r="AU121" s="192"/>
      <c r="AV121" s="192"/>
      <c r="AW121" s="192"/>
      <c r="AX121" s="95"/>
      <c r="AY121" s="95"/>
      <c r="AZ121" s="95"/>
      <c r="BA121" s="95"/>
      <c r="BB121" s="95"/>
      <c r="BC121" s="192"/>
      <c r="BD121" s="95"/>
      <c r="BE121" s="95"/>
      <c r="BF121" s="95"/>
      <c r="BG121" s="95"/>
      <c r="BH121" s="95"/>
      <c r="BK121" s="162"/>
      <c r="BL121" s="21" t="s">
        <v>2124</v>
      </c>
      <c r="BM121" s="162"/>
      <c r="CG121" s="183"/>
      <c r="CH121" s="472" t="s">
        <v>2051</v>
      </c>
      <c r="CI121" s="289"/>
      <c r="CJ121" s="474">
        <f>INTERCEPT(CJ49:CJ114,$L49:$L114)</f>
        <v>-17.18756089833586</v>
      </c>
      <c r="CK121" s="467"/>
      <c r="CL121" s="468"/>
      <c r="CM121" s="472" t="s">
        <v>2051</v>
      </c>
      <c r="CN121" s="289"/>
      <c r="CO121" s="474">
        <f>INTERCEPT(CO49:CO114,$J49:$J114)</f>
        <v>-76.974332368537389</v>
      </c>
      <c r="CP121" s="183"/>
      <c r="CQ121" s="183"/>
      <c r="CR121" s="183"/>
      <c r="CS121" s="183"/>
      <c r="CT121" s="183" t="s">
        <v>1772</v>
      </c>
      <c r="CU121" s="183">
        <f>MIN(CU49:CU114)</f>
        <v>35.695514213496267</v>
      </c>
    </row>
    <row r="122" spans="1:100" x14ac:dyDescent="0.2">
      <c r="A122" s="4"/>
      <c r="B122" s="215"/>
      <c r="C122" s="215"/>
      <c r="D122" s="215"/>
      <c r="E122" s="215"/>
      <c r="F122" s="215"/>
      <c r="G122" s="215"/>
      <c r="H122" s="215"/>
      <c r="I122" s="215"/>
      <c r="J122" s="215"/>
      <c r="K122" s="4"/>
      <c r="L122" s="4"/>
      <c r="M122" s="4"/>
      <c r="N122" s="4"/>
      <c r="O122" s="4"/>
      <c r="P122" s="4"/>
      <c r="AD122" s="95"/>
      <c r="AE122" s="210"/>
      <c r="AF122" s="210"/>
      <c r="AG122" s="210"/>
      <c r="AH122" s="210"/>
      <c r="AI122" s="210"/>
      <c r="AJ122" s="210"/>
      <c r="AP122" s="210"/>
      <c r="AQ122" s="192"/>
      <c r="AR122" s="192"/>
      <c r="AS122" s="192"/>
      <c r="AT122" s="192"/>
      <c r="AU122" s="192"/>
      <c r="AV122" s="192"/>
      <c r="AW122" s="192"/>
      <c r="AX122" s="95"/>
      <c r="AY122" s="95"/>
      <c r="AZ122" s="95"/>
      <c r="BA122" s="95"/>
      <c r="BB122" s="95"/>
      <c r="BC122" s="192"/>
      <c r="BD122" s="95"/>
      <c r="BE122" s="95"/>
      <c r="BF122" s="95"/>
      <c r="BG122" s="95"/>
      <c r="BH122" s="95"/>
      <c r="BK122" s="162"/>
      <c r="BL122" s="21" t="s">
        <v>2118</v>
      </c>
      <c r="BM122" s="162"/>
      <c r="CG122" s="183"/>
      <c r="CH122" s="473" t="s">
        <v>2048</v>
      </c>
      <c r="CI122" s="289"/>
      <c r="CJ122" s="475">
        <f>CJ125/SQRT(CJ123)/STDEV(CJ49:CJ114)</f>
        <v>0.12595251407555499</v>
      </c>
      <c r="CK122" s="467"/>
      <c r="CL122" s="468"/>
      <c r="CM122" s="473" t="s">
        <v>2048</v>
      </c>
      <c r="CN122" s="289"/>
      <c r="CO122" s="475">
        <f>CO125/SQRT(CO123)/STDEV(CO49:CO114)</f>
        <v>9.457088067923633E-2</v>
      </c>
      <c r="CP122" s="183"/>
      <c r="CQ122" s="183"/>
      <c r="CR122" s="183"/>
      <c r="CS122" s="183"/>
      <c r="CT122" s="183" t="s">
        <v>1773</v>
      </c>
      <c r="CU122" s="183">
        <f>MAX(CU49:CU114)</f>
        <v>66.11051515092224</v>
      </c>
    </row>
    <row r="123" spans="1:100" x14ac:dyDescent="0.2">
      <c r="A123" s="4"/>
      <c r="B123" s="215"/>
      <c r="C123" s="215"/>
      <c r="D123" s="215"/>
      <c r="E123" s="215"/>
      <c r="F123" s="215"/>
      <c r="G123" s="215"/>
      <c r="H123" s="215"/>
      <c r="I123" s="215"/>
      <c r="J123" s="215"/>
      <c r="K123" s="4"/>
      <c r="L123" s="4"/>
      <c r="M123" s="4"/>
      <c r="N123" s="4"/>
      <c r="O123" s="4"/>
      <c r="P123" s="4"/>
      <c r="AD123" s="95"/>
      <c r="AE123" s="210"/>
      <c r="AF123" s="210"/>
      <c r="AG123" s="210"/>
      <c r="AH123" s="210"/>
      <c r="AI123" s="210"/>
      <c r="AJ123" s="210"/>
      <c r="AP123" s="210"/>
      <c r="AQ123" s="192"/>
      <c r="AR123" s="192"/>
      <c r="AS123" s="192"/>
      <c r="AT123" s="192"/>
      <c r="AU123" s="192"/>
      <c r="AV123" s="192"/>
      <c r="AW123" s="192"/>
      <c r="AX123" s="95"/>
      <c r="AY123" s="95"/>
      <c r="AZ123" s="95"/>
      <c r="BA123" s="95"/>
      <c r="BB123" s="95"/>
      <c r="BC123" s="192"/>
      <c r="BD123" s="95"/>
      <c r="BE123" s="95"/>
      <c r="BF123" s="95"/>
      <c r="BG123" s="95"/>
      <c r="BH123" s="95"/>
      <c r="BK123" s="162"/>
      <c r="BL123" s="21" t="s">
        <v>2121</v>
      </c>
      <c r="BM123" s="162"/>
      <c r="CG123" s="183"/>
      <c r="CH123" s="473" t="s">
        <v>1412</v>
      </c>
      <c r="CI123" s="289"/>
      <c r="CJ123" s="473">
        <f>COUNT(CJ49:CJ114)</f>
        <v>27</v>
      </c>
      <c r="CK123" s="467"/>
      <c r="CL123" s="468"/>
      <c r="CM123" s="473" t="s">
        <v>1412</v>
      </c>
      <c r="CN123" s="289"/>
      <c r="CO123" s="473">
        <f>COUNT(CO49:CO114)</f>
        <v>38</v>
      </c>
      <c r="CP123" s="183"/>
      <c r="CQ123" s="183"/>
      <c r="CR123" s="183"/>
      <c r="CS123" s="183"/>
      <c r="CT123" s="183" t="s">
        <v>1816</v>
      </c>
      <c r="CU123" s="183">
        <f>AVERAGE(CU49:CU114)</f>
        <v>51.13040115959938</v>
      </c>
    </row>
    <row r="124" spans="1:100" x14ac:dyDescent="0.2">
      <c r="A124" s="4"/>
      <c r="B124" s="215"/>
      <c r="C124" s="215"/>
      <c r="D124" s="215"/>
      <c r="E124" s="215"/>
      <c r="F124" s="215"/>
      <c r="G124" s="215"/>
      <c r="H124" s="215"/>
      <c r="I124" s="215"/>
      <c r="J124" s="215"/>
      <c r="K124" s="4"/>
      <c r="L124" s="4"/>
      <c r="M124" s="4"/>
      <c r="N124" s="4"/>
      <c r="O124" s="4"/>
      <c r="P124" s="4"/>
      <c r="AD124" s="95"/>
      <c r="AE124" s="210"/>
      <c r="AF124" s="210"/>
      <c r="AG124" s="210"/>
      <c r="AH124" s="210"/>
      <c r="AI124" s="210"/>
      <c r="AJ124" s="210"/>
      <c r="AP124" s="210"/>
      <c r="AQ124" s="192"/>
      <c r="AR124" s="192"/>
      <c r="AS124" s="192"/>
      <c r="AT124" s="192"/>
      <c r="AU124" s="192"/>
      <c r="AV124" s="192"/>
      <c r="AW124" s="192"/>
      <c r="AX124" s="95"/>
      <c r="AY124" s="95"/>
      <c r="AZ124" s="95"/>
      <c r="BA124" s="95"/>
      <c r="BB124" s="95"/>
      <c r="BC124" s="192"/>
      <c r="BD124" s="95"/>
      <c r="BE124" s="95"/>
      <c r="BF124" s="95"/>
      <c r="BG124" s="95"/>
      <c r="BH124" s="95"/>
      <c r="BL124" s="21" t="s">
        <v>2122</v>
      </c>
      <c r="CG124" s="183"/>
      <c r="CH124" s="473" t="s">
        <v>1649</v>
      </c>
      <c r="CI124" s="289"/>
      <c r="CJ124" s="474">
        <f>RSQ(CJ49:CJ114,$L49:$L114)</f>
        <v>0.58814522437237748</v>
      </c>
      <c r="CK124" s="467"/>
      <c r="CL124" s="468"/>
      <c r="CM124" s="473" t="s">
        <v>1649</v>
      </c>
      <c r="CN124" s="289"/>
      <c r="CO124" s="474">
        <f>RSQ(CO49:CO114,$J49:$J114)</f>
        <v>0.66932661582955233</v>
      </c>
      <c r="CP124" s="183"/>
      <c r="CQ124" s="183"/>
      <c r="CR124" s="183"/>
      <c r="CS124" s="183"/>
      <c r="CT124" s="183"/>
      <c r="CU124" s="183"/>
    </row>
    <row r="125" spans="1:100" x14ac:dyDescent="0.2">
      <c r="A125" s="4"/>
      <c r="B125" s="215"/>
      <c r="C125" s="215"/>
      <c r="D125" s="215"/>
      <c r="E125" s="215"/>
      <c r="F125" s="215"/>
      <c r="G125" s="215"/>
      <c r="H125" s="215"/>
      <c r="I125" s="215"/>
      <c r="J125" s="215"/>
      <c r="K125" s="4"/>
      <c r="L125" s="4"/>
      <c r="M125" s="4"/>
      <c r="N125" s="4"/>
      <c r="O125" s="4"/>
      <c r="P125" s="4"/>
      <c r="AD125" s="95"/>
      <c r="AE125" s="210"/>
      <c r="AF125" s="210"/>
      <c r="AG125" s="210"/>
      <c r="AH125" s="210"/>
      <c r="AI125" s="210"/>
      <c r="AJ125" s="210"/>
      <c r="AP125" s="210"/>
      <c r="AQ125" s="192"/>
      <c r="AR125" s="192"/>
      <c r="AS125" s="192"/>
      <c r="AT125" s="192"/>
      <c r="AU125" s="192"/>
      <c r="AV125" s="192"/>
      <c r="AW125" s="192"/>
      <c r="AX125" s="95"/>
      <c r="AY125" s="95"/>
      <c r="AZ125" s="95"/>
      <c r="BA125" s="95"/>
      <c r="BB125" s="95"/>
      <c r="BC125" s="192"/>
      <c r="BD125" s="95"/>
      <c r="BE125" s="95"/>
      <c r="BF125" s="95"/>
      <c r="BG125" s="95"/>
      <c r="BH125" s="95"/>
      <c r="BL125" s="21" t="s">
        <v>2123</v>
      </c>
      <c r="CG125" s="183"/>
      <c r="CH125" s="473" t="s">
        <v>2045</v>
      </c>
      <c r="CI125" s="289"/>
      <c r="CJ125" s="514">
        <f>STEYX(CJ49:CJ114,$L49:$L114)</f>
        <v>13.223905921556895</v>
      </c>
      <c r="CK125" s="289"/>
      <c r="CL125" s="289"/>
      <c r="CM125" s="473" t="s">
        <v>2045</v>
      </c>
      <c r="CN125" s="289"/>
      <c r="CO125" s="515">
        <f>STEYX(CO49:CO114,$J49:$J114)</f>
        <v>11.79584308598821</v>
      </c>
      <c r="CP125" s="183"/>
      <c r="CQ125" s="183"/>
      <c r="CR125" s="183"/>
      <c r="CS125" s="183"/>
      <c r="CT125" s="183"/>
      <c r="CU125" s="183"/>
    </row>
    <row r="126" spans="1:100" x14ac:dyDescent="0.2">
      <c r="A126" s="4"/>
      <c r="B126" s="215"/>
      <c r="K126" s="4"/>
      <c r="L126" s="4"/>
      <c r="M126" s="4"/>
      <c r="N126" s="4"/>
      <c r="O126" s="4"/>
      <c r="P126" s="4"/>
      <c r="AD126" s="95"/>
      <c r="AE126" s="210"/>
      <c r="AF126" s="210"/>
      <c r="AG126" s="210"/>
      <c r="AH126" s="210"/>
      <c r="AI126" s="210"/>
      <c r="AJ126" s="210"/>
      <c r="AP126" s="210"/>
      <c r="AQ126" s="192"/>
      <c r="AR126" s="192"/>
      <c r="AS126" s="192"/>
      <c r="AT126" s="192"/>
      <c r="AU126" s="192"/>
      <c r="AV126" s="192"/>
      <c r="AW126" s="192"/>
      <c r="AX126" s="95"/>
      <c r="AY126" s="95"/>
      <c r="AZ126" s="95"/>
      <c r="BA126" s="95"/>
      <c r="BB126" s="95"/>
      <c r="BC126" s="192"/>
      <c r="BD126" s="95"/>
      <c r="BE126" s="95"/>
      <c r="BF126" s="95"/>
      <c r="BG126" s="95"/>
      <c r="BH126" s="95"/>
      <c r="CG126" s="183"/>
      <c r="CH126" s="473" t="s">
        <v>2047</v>
      </c>
      <c r="CI126" s="467"/>
      <c r="CJ126" s="475">
        <f t="shared" ref="CJ126" si="208">SQRT(CJ125^2+(CJ125/SQRT(CJ123))^2)</f>
        <v>13.466566637446496</v>
      </c>
      <c r="CK126" s="467"/>
      <c r="CL126" s="468"/>
      <c r="CM126" s="473" t="s">
        <v>2047</v>
      </c>
      <c r="CN126" s="467"/>
      <c r="CO126" s="475">
        <f t="shared" ref="CO126" si="209">SQRT(CO125^2+(CO125/SQRT(CO123))^2)</f>
        <v>11.950043657992238</v>
      </c>
      <c r="CP126" s="183"/>
      <c r="CQ126" s="183"/>
      <c r="CR126" s="183"/>
      <c r="CS126" s="183"/>
      <c r="CT126" s="183"/>
      <c r="CU126" s="183"/>
    </row>
    <row r="127" spans="1:100" x14ac:dyDescent="0.2">
      <c r="A127" s="4"/>
      <c r="B127" s="215"/>
      <c r="K127" s="4"/>
      <c r="L127" s="4"/>
      <c r="M127" s="4"/>
      <c r="N127" s="4"/>
      <c r="O127" s="4"/>
      <c r="P127" s="4"/>
      <c r="AD127" s="95"/>
      <c r="AE127" s="210"/>
      <c r="AF127" s="210"/>
      <c r="AG127" s="210"/>
      <c r="AH127" s="210"/>
      <c r="AI127" s="210"/>
      <c r="AJ127" s="210"/>
      <c r="AP127" s="210"/>
      <c r="AQ127" s="192"/>
      <c r="AR127" s="192"/>
      <c r="AS127" s="192"/>
      <c r="AT127" s="192"/>
      <c r="AU127" s="192"/>
      <c r="AV127" s="192"/>
      <c r="AW127" s="192"/>
      <c r="AX127" s="95"/>
      <c r="AY127" s="95"/>
      <c r="AZ127" s="95"/>
      <c r="BA127" s="95"/>
      <c r="BB127" s="95"/>
      <c r="BC127" s="192"/>
      <c r="BD127" s="95"/>
      <c r="BE127" s="95"/>
      <c r="BF127" s="95"/>
      <c r="BG127" s="95"/>
      <c r="BH127" s="95"/>
      <c r="CD127" s="183"/>
      <c r="CE127" s="183"/>
      <c r="CF127" s="183"/>
      <c r="CG127" s="183"/>
      <c r="CH127" s="289"/>
      <c r="CI127" s="289"/>
      <c r="CJ127" s="289"/>
      <c r="CK127" s="289"/>
      <c r="CL127" s="289"/>
      <c r="CM127" s="289"/>
      <c r="CN127" s="289"/>
      <c r="CO127" s="289"/>
      <c r="CP127" s="183"/>
      <c r="CQ127" s="183"/>
      <c r="CR127" s="183"/>
      <c r="CS127" s="183"/>
      <c r="CT127" s="183"/>
      <c r="CU127" s="183"/>
      <c r="CV127" s="211"/>
    </row>
    <row r="128" spans="1:100" x14ac:dyDescent="0.2">
      <c r="A128" s="4"/>
      <c r="B128" s="215"/>
      <c r="K128" s="4"/>
      <c r="L128" s="4"/>
      <c r="M128" s="4"/>
      <c r="N128" s="4"/>
      <c r="O128" s="4"/>
      <c r="P128" s="4"/>
      <c r="AD128" s="95"/>
      <c r="AE128" s="210"/>
      <c r="AF128" s="210"/>
      <c r="AG128" s="210"/>
      <c r="AH128" s="210"/>
      <c r="AI128" s="210"/>
      <c r="AJ128" s="210"/>
      <c r="AP128" s="210"/>
      <c r="AQ128" s="192"/>
      <c r="AR128" s="192"/>
      <c r="AS128" s="192"/>
      <c r="AT128" s="192"/>
      <c r="AU128" s="192"/>
      <c r="AV128" s="192"/>
      <c r="AW128" s="192"/>
      <c r="AX128" s="95"/>
      <c r="AY128" s="95"/>
      <c r="AZ128" s="95"/>
      <c r="BA128" s="95"/>
      <c r="BB128" s="95"/>
      <c r="BC128" s="192"/>
      <c r="BD128" s="95"/>
      <c r="BE128" s="95"/>
      <c r="BF128" s="95"/>
      <c r="BG128" s="95"/>
      <c r="BH128" s="95"/>
      <c r="CD128" s="183"/>
      <c r="CE128" s="183"/>
      <c r="CF128" s="183"/>
      <c r="CG128" s="183"/>
      <c r="CH128" s="467" t="s">
        <v>1651</v>
      </c>
      <c r="CI128" s="467">
        <v>-10</v>
      </c>
      <c r="CJ128" s="467">
        <f>CJ119*CI128+CJ121</f>
        <v>-96.404541049006625</v>
      </c>
      <c r="CK128" s="467"/>
      <c r="CL128" s="468"/>
      <c r="CM128" s="467" t="s">
        <v>1651</v>
      </c>
      <c r="CN128" s="467">
        <v>-10</v>
      </c>
      <c r="CO128" s="467">
        <f>CO119*CN128+CO121</f>
        <v>-687.55360666790261</v>
      </c>
      <c r="CP128" s="183"/>
      <c r="CQ128" s="183"/>
      <c r="CR128" s="183"/>
      <c r="CS128" s="183"/>
      <c r="CT128" s="183"/>
      <c r="CU128" s="183"/>
      <c r="CV128" s="211"/>
    </row>
    <row r="129" spans="1:102" x14ac:dyDescent="0.2">
      <c r="A129" s="4"/>
      <c r="B129" s="215"/>
      <c r="K129" s="4"/>
      <c r="L129" s="4"/>
      <c r="M129" s="4"/>
      <c r="N129" s="4"/>
      <c r="O129" s="4"/>
      <c r="P129" s="4"/>
      <c r="AD129" s="95"/>
      <c r="AE129" s="210"/>
      <c r="AF129" s="210"/>
      <c r="AG129" s="210"/>
      <c r="AH129" s="210"/>
      <c r="AI129" s="210"/>
      <c r="AJ129" s="210"/>
      <c r="AP129" s="210"/>
      <c r="AQ129" s="192"/>
      <c r="AR129" s="192"/>
      <c r="AS129" s="192"/>
      <c r="AT129" s="192"/>
      <c r="AU129" s="192"/>
      <c r="AV129" s="192"/>
      <c r="AW129" s="192"/>
      <c r="AX129" s="95"/>
      <c r="AY129" s="95"/>
      <c r="AZ129" s="95"/>
      <c r="BA129" s="95"/>
      <c r="BB129" s="95"/>
      <c r="BC129" s="192"/>
      <c r="BD129" s="95"/>
      <c r="BE129" s="95"/>
      <c r="BF129" s="95"/>
      <c r="BG129" s="95"/>
      <c r="BH129" s="95"/>
      <c r="CD129" s="183"/>
      <c r="CE129" s="183"/>
      <c r="CF129" s="183"/>
      <c r="CG129" s="183"/>
      <c r="CH129" s="467"/>
      <c r="CI129" s="467">
        <v>10</v>
      </c>
      <c r="CJ129" s="467">
        <f>CJ119*CI129+CJ121</f>
        <v>62.029419252334904</v>
      </c>
      <c r="CK129" s="467"/>
      <c r="CL129" s="468"/>
      <c r="CM129" s="467"/>
      <c r="CN129" s="467">
        <v>10</v>
      </c>
      <c r="CO129" s="467">
        <f>CO119*CN129+CO121</f>
        <v>533.60494193082786</v>
      </c>
      <c r="CP129" s="183"/>
      <c r="CQ129" s="183"/>
      <c r="CR129" s="183"/>
      <c r="CS129" s="183"/>
      <c r="CT129" s="183"/>
      <c r="CU129" s="183"/>
      <c r="CV129" s="211"/>
    </row>
    <row r="130" spans="1:102" x14ac:dyDescent="0.2">
      <c r="A130" s="4"/>
      <c r="G130" s="192"/>
      <c r="H130" s="192"/>
      <c r="I130" s="192"/>
      <c r="J130" s="192"/>
      <c r="K130" s="4"/>
      <c r="L130" s="4"/>
      <c r="M130" s="4"/>
      <c r="N130" s="4"/>
      <c r="O130" s="4"/>
      <c r="P130" s="4"/>
      <c r="AD130" s="95"/>
      <c r="AE130" s="210"/>
      <c r="AF130" s="210"/>
      <c r="AG130" s="210"/>
      <c r="AH130" s="210"/>
      <c r="AI130" s="210"/>
      <c r="AJ130" s="210"/>
      <c r="AP130" s="210"/>
      <c r="AQ130" s="192"/>
      <c r="AR130" s="192"/>
      <c r="AS130" s="192"/>
      <c r="AT130" s="192"/>
      <c r="AU130" s="192"/>
      <c r="AV130" s="192"/>
      <c r="AW130" s="192"/>
      <c r="AX130" s="95"/>
      <c r="AY130" s="95"/>
      <c r="AZ130" s="95"/>
      <c r="BA130" s="95"/>
      <c r="BB130" s="95"/>
      <c r="BC130" s="192"/>
      <c r="BD130" s="95"/>
      <c r="BE130" s="95"/>
      <c r="BF130" s="95"/>
      <c r="BG130" s="95"/>
      <c r="BH130" s="95"/>
      <c r="CD130" s="183"/>
      <c r="CE130" s="183"/>
      <c r="CF130" s="183"/>
      <c r="CG130" s="183"/>
      <c r="CH130" s="183"/>
      <c r="CI130" s="183"/>
      <c r="CJ130" s="183"/>
      <c r="CK130" s="183"/>
      <c r="CL130" s="211"/>
      <c r="CP130" s="183"/>
      <c r="CQ130" s="183"/>
      <c r="CR130" s="183"/>
      <c r="CS130" s="183"/>
      <c r="CT130" s="183"/>
      <c r="CU130" s="183"/>
      <c r="CV130" s="211"/>
    </row>
    <row r="131" spans="1:102" x14ac:dyDescent="0.2">
      <c r="A131" s="4"/>
      <c r="C131" s="170"/>
      <c r="D131" s="170"/>
      <c r="E131" s="170"/>
      <c r="F131" s="170"/>
      <c r="G131" s="4"/>
      <c r="H131" s="4"/>
      <c r="I131" s="4"/>
      <c r="J131" s="4"/>
      <c r="K131" s="4"/>
      <c r="L131" s="4"/>
      <c r="M131" s="4"/>
      <c r="N131" s="4"/>
      <c r="O131" s="4"/>
      <c r="P131" s="4"/>
      <c r="AD131" s="95"/>
      <c r="AE131" s="210"/>
      <c r="AF131" s="210"/>
      <c r="AG131" s="210"/>
      <c r="AH131" s="210"/>
      <c r="AI131" s="210"/>
      <c r="AJ131" s="210"/>
      <c r="AP131" s="210"/>
      <c r="AW131" s="95"/>
      <c r="AX131" s="95"/>
      <c r="AY131" s="95"/>
      <c r="AZ131" s="95"/>
      <c r="BA131" s="95"/>
      <c r="BB131" s="95"/>
      <c r="BC131" s="95"/>
      <c r="BD131" s="95"/>
      <c r="BE131" s="95"/>
      <c r="BF131" s="95"/>
      <c r="BG131" s="95"/>
      <c r="BH131" s="95"/>
      <c r="CD131" s="183"/>
      <c r="CE131" s="183"/>
      <c r="CF131" s="183"/>
      <c r="CG131" s="183"/>
      <c r="CH131" s="183"/>
      <c r="CI131" s="183"/>
      <c r="CJ131" s="183"/>
      <c r="CK131" s="183"/>
      <c r="CL131" s="211"/>
      <c r="CM131" s="215"/>
      <c r="CN131" s="217"/>
      <c r="CO131" s="217"/>
      <c r="CP131" s="211"/>
      <c r="CR131" s="183"/>
      <c r="CS131" s="183"/>
      <c r="CT131" s="183"/>
      <c r="CU131" s="183"/>
      <c r="CV131" s="211"/>
    </row>
    <row r="132" spans="1:102" x14ac:dyDescent="0.2">
      <c r="AW132" s="95"/>
      <c r="AX132" s="95"/>
      <c r="AY132" s="95"/>
      <c r="AZ132" s="95"/>
      <c r="BA132" s="95"/>
      <c r="BC132" s="95"/>
      <c r="BD132" s="95"/>
      <c r="BE132" s="95"/>
      <c r="BF132" s="95"/>
      <c r="BG132" s="95"/>
    </row>
    <row r="133" spans="1:102" x14ac:dyDescent="0.2">
      <c r="CM133" s="215"/>
      <c r="CN133" s="215"/>
      <c r="CO133" s="215"/>
    </row>
    <row r="137" spans="1:102" x14ac:dyDescent="0.2">
      <c r="CW137" s="4"/>
      <c r="CX137" s="4"/>
    </row>
    <row r="148" spans="2:18" x14ac:dyDescent="0.2">
      <c r="B148" s="280" t="s">
        <v>1449</v>
      </c>
      <c r="C148" s="224"/>
      <c r="D148" s="224"/>
      <c r="E148" s="224"/>
      <c r="F148" s="224"/>
      <c r="G148" s="224"/>
      <c r="H148" s="224"/>
      <c r="I148" s="224"/>
      <c r="J148" s="224"/>
      <c r="K148" s="224"/>
      <c r="L148" s="224"/>
      <c r="M148" s="224"/>
      <c r="N148" s="224"/>
      <c r="O148" s="224"/>
      <c r="P148" s="224"/>
      <c r="Q148" s="224"/>
      <c r="R148" s="224"/>
    </row>
    <row r="149" spans="2:18" x14ac:dyDescent="0.2">
      <c r="B149" s="53"/>
      <c r="C149" s="65"/>
      <c r="D149" s="65"/>
      <c r="E149" s="65"/>
      <c r="F149" s="65"/>
      <c r="G149" s="65"/>
      <c r="H149" s="65"/>
      <c r="I149" s="53" t="s">
        <v>1510</v>
      </c>
      <c r="J149" s="53"/>
      <c r="K149" s="65"/>
      <c r="L149" s="65"/>
      <c r="M149" s="65"/>
      <c r="N149" s="53" t="s">
        <v>1511</v>
      </c>
      <c r="O149" s="65"/>
      <c r="P149" s="65"/>
      <c r="Q149" s="53" t="s">
        <v>1513</v>
      </c>
      <c r="R149" s="65"/>
    </row>
    <row r="150" spans="2:18" x14ac:dyDescent="0.2">
      <c r="B150" s="4" t="s">
        <v>1506</v>
      </c>
      <c r="I150">
        <v>7</v>
      </c>
      <c r="K150" s="4"/>
      <c r="L150" s="4"/>
      <c r="N150">
        <v>7</v>
      </c>
      <c r="O150" s="4"/>
    </row>
    <row r="151" spans="2:18" x14ac:dyDescent="0.2">
      <c r="B151" s="4" t="s">
        <v>1442</v>
      </c>
      <c r="I151">
        <v>30.5</v>
      </c>
      <c r="K151" s="4"/>
      <c r="L151" s="4"/>
      <c r="N151">
        <v>10.5</v>
      </c>
      <c r="O151" s="4"/>
    </row>
    <row r="152" spans="2:18" x14ac:dyDescent="0.2">
      <c r="B152" s="4" t="s">
        <v>1424</v>
      </c>
      <c r="I152">
        <v>8.3140000000000002E-3</v>
      </c>
      <c r="K152" s="4"/>
      <c r="L152" s="4"/>
      <c r="N152">
        <v>8.3140000000000002E-3</v>
      </c>
      <c r="O152" s="4"/>
      <c r="Q152">
        <v>8.3140000000000002E-3</v>
      </c>
    </row>
    <row r="153" spans="2:18" x14ac:dyDescent="0.2">
      <c r="B153" s="53" t="s">
        <v>394</v>
      </c>
      <c r="C153" s="53" t="s">
        <v>1420</v>
      </c>
      <c r="D153" s="53"/>
      <c r="E153" s="53"/>
      <c r="F153" s="53"/>
      <c r="G153" s="53"/>
      <c r="H153" s="53"/>
      <c r="I153" s="53" t="s">
        <v>1507</v>
      </c>
      <c r="J153" s="53"/>
      <c r="K153" s="53" t="s">
        <v>1508</v>
      </c>
      <c r="L153" s="53"/>
      <c r="M153" s="65"/>
      <c r="N153" s="53" t="s">
        <v>1507</v>
      </c>
      <c r="O153" s="53" t="s">
        <v>1508</v>
      </c>
      <c r="P153" s="65"/>
      <c r="Q153" s="53" t="s">
        <v>1509</v>
      </c>
      <c r="R153" s="53" t="s">
        <v>1512</v>
      </c>
    </row>
    <row r="154" spans="2:18" x14ac:dyDescent="0.2">
      <c r="B154">
        <v>10</v>
      </c>
      <c r="C154">
        <f>1/B154</f>
        <v>0.1</v>
      </c>
      <c r="I154">
        <f>I$150*EXP(I$151/(I$152*$B154))</f>
        <v>1.4672498663084368E+160</v>
      </c>
      <c r="K154">
        <f>LN(I154)</f>
        <v>368.79700468838649</v>
      </c>
      <c r="N154">
        <f>N$150*EXP(N$151/(N$152*$B154))</f>
        <v>4.9368614428076849E+55</v>
      </c>
      <c r="O154">
        <f>LN(N154)</f>
        <v>128.23890990849722</v>
      </c>
      <c r="Q154">
        <f>I154/N154</f>
        <v>2.9720296656208859E+104</v>
      </c>
      <c r="R154">
        <f>LN(Q154)</f>
        <v>240.5580947798893</v>
      </c>
    </row>
    <row r="155" spans="2:18" x14ac:dyDescent="0.2">
      <c r="B155">
        <v>100</v>
      </c>
      <c r="C155">
        <f>1/B155</f>
        <v>0.01</v>
      </c>
      <c r="I155">
        <f>I$150*EXP(I$151/(I$152*$B155))</f>
        <v>5.9874051129275672E+16</v>
      </c>
      <c r="K155">
        <f>LN(I155)</f>
        <v>38.631019602988438</v>
      </c>
      <c r="N155">
        <f>N$150*EXP(N$151/(N$152*$B155))</f>
        <v>2137633.908323104</v>
      </c>
      <c r="O155">
        <f>LN(N155)</f>
        <v>14.575210124999504</v>
      </c>
      <c r="Q155">
        <f>I155/N155</f>
        <v>28009497274.60334</v>
      </c>
      <c r="R155">
        <f>LN(Q155)</f>
        <v>24.055809477988934</v>
      </c>
    </row>
    <row r="156" spans="2:18" x14ac:dyDescent="0.2">
      <c r="B156">
        <v>200</v>
      </c>
      <c r="C156">
        <f>1/B156</f>
        <v>5.0000000000000001E-3</v>
      </c>
      <c r="I156">
        <f>I$150*EXP(I$151/(I$152*$B156))</f>
        <v>647393510.86099839</v>
      </c>
      <c r="K156">
        <f>LN(I156)</f>
        <v>20.288464876021873</v>
      </c>
      <c r="N156">
        <f>N$150*EXP(N$151/(N$152*$B156))</f>
        <v>3868.260249551694</v>
      </c>
      <c r="O156">
        <f>LN(N156)</f>
        <v>8.260560137027408</v>
      </c>
      <c r="Q156">
        <f>I156/N156</f>
        <v>167360.38143659726</v>
      </c>
      <c r="R156">
        <f>LN(Q156)</f>
        <v>12.027904738994465</v>
      </c>
    </row>
    <row r="157" spans="2:18" x14ac:dyDescent="0.2">
      <c r="B157">
        <v>270</v>
      </c>
      <c r="C157">
        <f>1/B157</f>
        <v>3.7037037037037038E-3</v>
      </c>
      <c r="I157">
        <f>I$150*EXP(I$151/(I$152*$B157))</f>
        <v>5570457.3864206225</v>
      </c>
      <c r="K157">
        <f>LN(I157)</f>
        <v>15.5329877245861</v>
      </c>
      <c r="N157">
        <f>N$150*EXP(N$151/(N$152*$B157))</f>
        <v>752.52081597393953</v>
      </c>
      <c r="O157">
        <f>LN(N157)</f>
        <v>6.623428658664273</v>
      </c>
      <c r="Q157">
        <f>I157/N157</f>
        <v>7402.396409740687</v>
      </c>
      <c r="R157">
        <f>LN(Q157)</f>
        <v>8.9095590659218278</v>
      </c>
    </row>
    <row r="158" spans="2:18" x14ac:dyDescent="0.2">
      <c r="B158">
        <v>300</v>
      </c>
      <c r="C158">
        <f>1/B158</f>
        <v>3.3333333333333335E-3</v>
      </c>
      <c r="I158">
        <f>I$150*EXP(I$151/(I$152*$B158))</f>
        <v>1431566.6572203354</v>
      </c>
      <c r="K158">
        <f>LN(I158)</f>
        <v>14.174279967033021</v>
      </c>
      <c r="N158">
        <f>N$150*EXP(N$151/(N$152*$B158))</f>
        <v>471.38577204343528</v>
      </c>
      <c r="O158">
        <f>LN(N158)</f>
        <v>6.1556768077033768</v>
      </c>
      <c r="Q158">
        <f>I158/N158</f>
        <v>3036.9322582957075</v>
      </c>
      <c r="R158">
        <f>LN(Q158)</f>
        <v>8.0186031593296452</v>
      </c>
    </row>
    <row r="160" spans="2:18" x14ac:dyDescent="0.2">
      <c r="I160" s="4" t="s">
        <v>1529</v>
      </c>
      <c r="J160" s="4"/>
      <c r="K160">
        <f>SLOPE(K154:K158,$C154:$C158)*I152</f>
        <v>30.499999999999996</v>
      </c>
      <c r="N160" s="4" t="s">
        <v>1529</v>
      </c>
      <c r="O160">
        <f>SLOPE(O154:O158,$C154:$C158)*N152</f>
        <v>10.5</v>
      </c>
      <c r="Q160" s="4" t="s">
        <v>1529</v>
      </c>
      <c r="R160">
        <f>SLOPE(R154:R158,$C154:$C158)*Q152</f>
        <v>19.999999999999993</v>
      </c>
    </row>
    <row r="163" spans="2:8" x14ac:dyDescent="0.2">
      <c r="B163" s="4" t="s">
        <v>1063</v>
      </c>
      <c r="C163" s="4" t="s">
        <v>1670</v>
      </c>
      <c r="D163" s="4"/>
      <c r="E163" s="4"/>
      <c r="F163" s="4"/>
      <c r="G163" s="4" t="s">
        <v>1671</v>
      </c>
    </row>
    <row r="164" spans="2:8" x14ac:dyDescent="0.2">
      <c r="B164">
        <v>1</v>
      </c>
      <c r="C164">
        <f>EXP(B164)</f>
        <v>2.7182818284590451</v>
      </c>
      <c r="G164">
        <f>LN(C164)</f>
        <v>1</v>
      </c>
    </row>
    <row r="165" spans="2:8" x14ac:dyDescent="0.2">
      <c r="B165">
        <v>2</v>
      </c>
      <c r="C165">
        <f t="shared" ref="C165:C169" si="210">EXP(B165)</f>
        <v>7.3890560989306504</v>
      </c>
      <c r="G165">
        <f t="shared" ref="G165:G169" si="211">LN(C165)</f>
        <v>2</v>
      </c>
    </row>
    <row r="166" spans="2:8" x14ac:dyDescent="0.2">
      <c r="B166">
        <v>3</v>
      </c>
      <c r="C166">
        <f t="shared" si="210"/>
        <v>20.085536923187668</v>
      </c>
      <c r="G166">
        <f t="shared" si="211"/>
        <v>3</v>
      </c>
    </row>
    <row r="167" spans="2:8" x14ac:dyDescent="0.2">
      <c r="B167">
        <v>4</v>
      </c>
      <c r="C167">
        <f t="shared" si="210"/>
        <v>54.598150033144236</v>
      </c>
      <c r="G167">
        <f t="shared" si="211"/>
        <v>4</v>
      </c>
    </row>
    <row r="168" spans="2:8" x14ac:dyDescent="0.2">
      <c r="B168">
        <v>5</v>
      </c>
      <c r="C168">
        <f t="shared" si="210"/>
        <v>148.4131591025766</v>
      </c>
      <c r="G168">
        <f t="shared" si="211"/>
        <v>5</v>
      </c>
    </row>
    <row r="169" spans="2:8" x14ac:dyDescent="0.2">
      <c r="B169">
        <v>6</v>
      </c>
      <c r="C169">
        <f t="shared" si="210"/>
        <v>403.42879349273511</v>
      </c>
      <c r="G169">
        <f t="shared" si="211"/>
        <v>6</v>
      </c>
    </row>
    <row r="174" spans="2:8" x14ac:dyDescent="0.2">
      <c r="C174">
        <f>3^4</f>
        <v>81</v>
      </c>
      <c r="G174">
        <f>POWER(C174,1/5)</f>
        <v>2.4082246852806923</v>
      </c>
      <c r="H174">
        <f>POWER(5,G174)</f>
        <v>48.225508841954543</v>
      </c>
    </row>
    <row r="177" spans="2:14" x14ac:dyDescent="0.2">
      <c r="B177" s="4" t="s">
        <v>394</v>
      </c>
      <c r="C177" s="4" t="s">
        <v>1442</v>
      </c>
      <c r="D177" s="4"/>
      <c r="E177" s="4"/>
      <c r="F177" s="4"/>
      <c r="G177" s="4" t="s">
        <v>1424</v>
      </c>
      <c r="I177" s="4" t="s">
        <v>1672</v>
      </c>
      <c r="J177" s="4"/>
      <c r="K177" s="4" t="s">
        <v>1673</v>
      </c>
      <c r="L177" s="4"/>
      <c r="M177" s="4" t="s">
        <v>1674</v>
      </c>
      <c r="N177" s="4" t="s">
        <v>1675</v>
      </c>
    </row>
    <row r="178" spans="2:14" x14ac:dyDescent="0.2">
      <c r="B178">
        <v>100</v>
      </c>
      <c r="C178">
        <v>50</v>
      </c>
      <c r="G178">
        <v>8.3140000000000002E-3</v>
      </c>
      <c r="I178">
        <f>EXP(-C178/(G178*B178))</f>
        <v>7.6161715018965685E-27</v>
      </c>
      <c r="K178">
        <f>10^(-C178/(LN(10)*G178*B178))</f>
        <v>7.6161715018965685E-27</v>
      </c>
      <c r="M178">
        <f>10^(-C178/(LN(10)*G178*298))</f>
        <v>1.7198165310763059E-9</v>
      </c>
      <c r="N178">
        <f>M178*10^(C178/(LN(10)*G178)*(1/298-1/B178))</f>
        <v>7.6161715018965685E-27</v>
      </c>
    </row>
    <row r="179" spans="2:14" x14ac:dyDescent="0.2">
      <c r="B179">
        <v>200</v>
      </c>
      <c r="C179">
        <v>50</v>
      </c>
      <c r="G179">
        <f>G178</f>
        <v>8.3140000000000002E-3</v>
      </c>
      <c r="I179">
        <f t="shared" ref="I179:I181" si="212">EXP(-C179/(G179*B179))</f>
        <v>8.727067950862173E-14</v>
      </c>
      <c r="K179">
        <f>10^(-C179/(LN(10)*G179*B179))</f>
        <v>8.727067950862173E-14</v>
      </c>
      <c r="M179">
        <f t="shared" ref="M179:M181" si="213">10^(-C179/(LN(10)*G179*298))</f>
        <v>1.7198165310763059E-9</v>
      </c>
      <c r="N179">
        <f t="shared" ref="N179:N181" si="214">M179*10^(C179/(LN(10)*G179)*(1/298-1/B179))</f>
        <v>8.7270679508621566E-14</v>
      </c>
    </row>
    <row r="180" spans="2:14" x14ac:dyDescent="0.2">
      <c r="B180">
        <v>300</v>
      </c>
      <c r="C180">
        <v>50</v>
      </c>
      <c r="G180">
        <f>G179</f>
        <v>8.3140000000000002E-3</v>
      </c>
      <c r="I180">
        <f t="shared" si="212"/>
        <v>1.9674886619457559E-9</v>
      </c>
      <c r="K180">
        <f>10^(-C180/(LN(10)*G180*B180))</f>
        <v>1.9674886619457629E-9</v>
      </c>
      <c r="M180">
        <f t="shared" si="213"/>
        <v>1.7198165310763059E-9</v>
      </c>
      <c r="N180">
        <f t="shared" si="214"/>
        <v>1.9674886619457522E-9</v>
      </c>
    </row>
    <row r="181" spans="2:14" x14ac:dyDescent="0.2">
      <c r="B181">
        <v>300</v>
      </c>
      <c r="C181">
        <v>50</v>
      </c>
      <c r="G181">
        <f>G180</f>
        <v>8.3140000000000002E-3</v>
      </c>
      <c r="I181">
        <f t="shared" si="212"/>
        <v>1.9674886619457559E-9</v>
      </c>
      <c r="K181">
        <f>10^(-C181/(LN(10)*G181*B181))</f>
        <v>1.9674886619457629E-9</v>
      </c>
      <c r="M181">
        <f t="shared" si="213"/>
        <v>1.7198165310763059E-9</v>
      </c>
      <c r="N181">
        <f t="shared" si="214"/>
        <v>1.9674886619457522E-9</v>
      </c>
    </row>
    <row r="183" spans="2:14" x14ac:dyDescent="0.2">
      <c r="B183" s="4" t="s">
        <v>378</v>
      </c>
      <c r="C183" s="4" t="s">
        <v>365</v>
      </c>
      <c r="D183" s="4"/>
      <c r="E183" s="4"/>
      <c r="F183" s="4"/>
      <c r="G183" s="4" t="s">
        <v>1677</v>
      </c>
      <c r="H183" s="4" t="s">
        <v>9</v>
      </c>
      <c r="I183" s="4" t="s">
        <v>1676</v>
      </c>
      <c r="J183" s="4"/>
      <c r="K183" s="4" t="s">
        <v>1678</v>
      </c>
      <c r="L183" s="4"/>
    </row>
    <row r="184" spans="2:14" x14ac:dyDescent="0.2">
      <c r="B184" s="4">
        <v>0</v>
      </c>
      <c r="C184" s="4">
        <v>50</v>
      </c>
      <c r="D184" s="4"/>
      <c r="E184" s="4"/>
      <c r="F184" s="4"/>
      <c r="G184">
        <v>1.2</v>
      </c>
      <c r="H184">
        <v>5</v>
      </c>
      <c r="I184">
        <f>G184*10^(H184*B184/C184)</f>
        <v>1.2</v>
      </c>
      <c r="K184">
        <f>G184*10^(H184*1/1)</f>
        <v>120000</v>
      </c>
      <c r="M184">
        <f>K184*POWER(10,(H184*(B184/C184-1)))</f>
        <v>1.2000000000000002</v>
      </c>
      <c r="N184" s="333"/>
    </row>
    <row r="185" spans="2:14" x14ac:dyDescent="0.2">
      <c r="B185" s="4">
        <v>1</v>
      </c>
      <c r="C185" s="4">
        <f>C184</f>
        <v>50</v>
      </c>
      <c r="D185" s="4"/>
      <c r="E185" s="4"/>
      <c r="F185" s="4"/>
      <c r="G185" s="4">
        <f t="shared" ref="G185:G188" si="215">G184</f>
        <v>1.2</v>
      </c>
      <c r="H185" s="4">
        <f t="shared" ref="H185:H188" si="216">H184</f>
        <v>5</v>
      </c>
      <c r="I185">
        <f t="shared" ref="I185:I188" si="217">G185*10^(H185*B185/C185)</f>
        <v>1.5107104941530007</v>
      </c>
      <c r="K185">
        <f t="shared" ref="K185:K188" si="218">G185*10^(H185*1/1)</f>
        <v>120000</v>
      </c>
      <c r="M185">
        <f t="shared" ref="M185:M188" si="219">K185*POWER(10,(H185*(B185/C185-1)))</f>
        <v>1.510710494152999</v>
      </c>
    </row>
    <row r="186" spans="2:14" x14ac:dyDescent="0.2">
      <c r="B186" s="4">
        <v>5</v>
      </c>
      <c r="C186" s="4">
        <f t="shared" ref="C186:C188" si="220">C185</f>
        <v>50</v>
      </c>
      <c r="D186" s="4"/>
      <c r="E186" s="4"/>
      <c r="F186" s="4"/>
      <c r="G186" s="4">
        <f t="shared" si="215"/>
        <v>1.2</v>
      </c>
      <c r="H186" s="4">
        <f t="shared" si="216"/>
        <v>5</v>
      </c>
      <c r="I186">
        <f t="shared" si="217"/>
        <v>3.7947331922020551</v>
      </c>
      <c r="K186">
        <f t="shared" si="218"/>
        <v>120000</v>
      </c>
      <c r="M186">
        <f t="shared" si="219"/>
        <v>3.7947331922020497</v>
      </c>
    </row>
    <row r="187" spans="2:14" x14ac:dyDescent="0.2">
      <c r="B187" s="4">
        <v>25</v>
      </c>
      <c r="C187" s="4">
        <f t="shared" si="220"/>
        <v>50</v>
      </c>
      <c r="D187" s="4"/>
      <c r="E187" s="4"/>
      <c r="F187" s="4"/>
      <c r="G187" s="4">
        <f t="shared" si="215"/>
        <v>1.2</v>
      </c>
      <c r="H187" s="4">
        <f t="shared" si="216"/>
        <v>5</v>
      </c>
      <c r="I187">
        <f t="shared" si="217"/>
        <v>379.47331922020589</v>
      </c>
      <c r="K187">
        <f t="shared" si="218"/>
        <v>120000</v>
      </c>
      <c r="M187">
        <f t="shared" si="219"/>
        <v>379.47331922020516</v>
      </c>
    </row>
    <row r="188" spans="2:14" x14ac:dyDescent="0.2">
      <c r="B188" s="4">
        <v>50</v>
      </c>
      <c r="C188" s="4">
        <f t="shared" si="220"/>
        <v>50</v>
      </c>
      <c r="D188" s="4"/>
      <c r="E188" s="4"/>
      <c r="F188" s="4"/>
      <c r="G188" s="4">
        <f t="shared" si="215"/>
        <v>1.2</v>
      </c>
      <c r="H188" s="4">
        <f t="shared" si="216"/>
        <v>5</v>
      </c>
      <c r="I188">
        <f t="shared" si="217"/>
        <v>120000</v>
      </c>
      <c r="K188">
        <f t="shared" si="218"/>
        <v>120000</v>
      </c>
      <c r="M188">
        <f t="shared" si="219"/>
        <v>120000</v>
      </c>
    </row>
  </sheetData>
  <hyperlinks>
    <hyperlink ref="CH50" r:id="rId1" display="http://citeseerx.ist.psu.edu/viewdoc/download?doi=10.1.1.427.8817&amp;rep=rep1&amp;type=pdf     table 5.3" xr:uid="{00000000-0004-0000-0600-000000000000}"/>
    <hyperlink ref="N12" display="https://books.google.nl/books?id=7_bwCAAAQBAJ&amp;pg=PA333&amp;lpg=PA333&amp;dq=solubility+of+2-butanone+in+water+at+different+temperature&amp;source=bl&amp;ots=MnIO3_TM39&amp;sig=kpUj1pRDinn_OHaWg0SxfFc8Ujc&amp;hl=nl&amp;sa=X&amp;ved=0ahUKEwjbuqDg1IXLAhVCuhQKHb3WAegQ6AEIHDAA#v=onepage&amp;q=so" xr:uid="{00000000-0004-0000-0600-000001000000}"/>
    <hyperlink ref="N4" r:id="rId2" xr:uid="{00000000-0004-0000-0600-000002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249977111117893"/>
  </sheetPr>
  <dimension ref="A1:CB154"/>
  <sheetViews>
    <sheetView tabSelected="1" zoomScale="70" zoomScaleNormal="70" workbookViewId="0">
      <pane xSplit="1" ySplit="6" topLeftCell="G7" activePane="bottomRight" state="frozen"/>
      <selection pane="topRight" activeCell="B1" sqref="B1"/>
      <selection pane="bottomLeft" activeCell="A7" sqref="A7"/>
      <selection pane="bottomRight" activeCell="V17" sqref="V17"/>
    </sheetView>
  </sheetViews>
  <sheetFormatPr defaultRowHeight="12.75" outlineLevelRow="1" outlineLevelCol="1" x14ac:dyDescent="0.2"/>
  <cols>
    <col min="1" max="1" width="22.42578125" customWidth="1"/>
    <col min="2" max="2" width="16.140625" customWidth="1"/>
    <col min="3" max="3" width="4.7109375" customWidth="1"/>
    <col min="4" max="4" width="14.42578125" customWidth="1"/>
    <col min="23" max="23" width="10.5703125" bestFit="1" customWidth="1"/>
    <col min="25" max="27" width="9.140625" customWidth="1" outlineLevel="1"/>
    <col min="31" max="31" width="11" bestFit="1" customWidth="1"/>
    <col min="33" max="35" width="9.140625" customWidth="1" outlineLevel="1"/>
    <col min="36" max="36" width="11.7109375" customWidth="1"/>
    <col min="41" max="46" width="9.140625" customWidth="1" outlineLevel="1"/>
    <col min="55" max="55" width="9.42578125" bestFit="1" customWidth="1"/>
    <col min="58" max="58" width="23.140625" customWidth="1"/>
    <col min="61" max="61" width="12.5703125" bestFit="1" customWidth="1"/>
    <col min="63" max="63" width="12.5703125" bestFit="1" customWidth="1"/>
    <col min="70" max="71" width="11.140625" bestFit="1" customWidth="1"/>
    <col min="77" max="77" width="9.140625" style="137"/>
  </cols>
  <sheetData>
    <row r="1" spans="1:80" x14ac:dyDescent="0.2">
      <c r="A1" s="107" t="s">
        <v>1577</v>
      </c>
      <c r="B1" s="110"/>
      <c r="C1" s="110"/>
      <c r="D1" s="110"/>
      <c r="E1" s="110"/>
      <c r="F1" s="110"/>
      <c r="G1" s="110"/>
      <c r="H1" s="110"/>
      <c r="I1" s="110"/>
      <c r="J1" s="110"/>
      <c r="K1" s="110"/>
      <c r="L1" s="110"/>
      <c r="M1" s="110"/>
      <c r="N1" s="110"/>
      <c r="O1" s="110"/>
      <c r="P1" s="110"/>
      <c r="Q1" s="110"/>
      <c r="R1" s="110"/>
      <c r="S1" s="110"/>
      <c r="T1" s="108" t="s">
        <v>1583</v>
      </c>
      <c r="U1" s="110"/>
      <c r="V1" s="110"/>
      <c r="W1" s="110"/>
      <c r="X1" s="110"/>
      <c r="Y1" s="110"/>
      <c r="Z1" s="110"/>
      <c r="AA1" s="111"/>
      <c r="AB1" s="107" t="s">
        <v>1582</v>
      </c>
      <c r="AC1" s="110"/>
      <c r="AD1" s="110"/>
      <c r="AE1" s="110"/>
      <c r="AF1" s="110"/>
      <c r="AG1" s="110"/>
      <c r="AH1" s="110"/>
      <c r="AI1" s="111"/>
      <c r="AJ1" s="107" t="s">
        <v>1587</v>
      </c>
      <c r="AK1" s="110"/>
      <c r="AL1" s="110"/>
      <c r="AM1" s="110"/>
      <c r="AN1" s="110"/>
      <c r="AO1" s="110"/>
      <c r="AP1" s="110"/>
      <c r="AQ1" s="110"/>
      <c r="BT1" s="1" t="s">
        <v>2090</v>
      </c>
      <c r="BU1" s="138"/>
      <c r="BV1" s="138"/>
      <c r="BW1" s="138"/>
      <c r="BX1" s="138"/>
      <c r="BZ1" s="138"/>
      <c r="CA1" s="138"/>
      <c r="CB1" s="138"/>
    </row>
    <row r="2" spans="1:80" x14ac:dyDescent="0.2">
      <c r="A2" s="270" t="s">
        <v>1578</v>
      </c>
      <c r="B2" s="270" t="s">
        <v>1045</v>
      </c>
      <c r="C2" s="98" t="s">
        <v>1560</v>
      </c>
      <c r="D2" s="98" t="s">
        <v>742</v>
      </c>
      <c r="E2" s="98" t="s">
        <v>1555</v>
      </c>
      <c r="F2" s="98" t="s">
        <v>43</v>
      </c>
      <c r="G2" s="98" t="s">
        <v>365</v>
      </c>
      <c r="H2" s="271" t="s">
        <v>46</v>
      </c>
      <c r="I2" s="271"/>
      <c r="J2" s="98" t="s">
        <v>378</v>
      </c>
      <c r="K2" s="98" t="s">
        <v>779</v>
      </c>
      <c r="L2" s="98"/>
      <c r="M2" s="98" t="s">
        <v>1563</v>
      </c>
      <c r="N2" s="98" t="s">
        <v>526</v>
      </c>
      <c r="O2" s="98" t="s">
        <v>1403</v>
      </c>
      <c r="P2" s="98" t="s">
        <v>398</v>
      </c>
      <c r="Q2" s="98" t="s">
        <v>1399</v>
      </c>
      <c r="R2" s="98" t="s">
        <v>397</v>
      </c>
      <c r="S2" s="98" t="s">
        <v>1404</v>
      </c>
      <c r="T2" s="98" t="s">
        <v>1584</v>
      </c>
      <c r="U2" s="271"/>
      <c r="V2" s="271"/>
      <c r="W2" s="271"/>
      <c r="X2" s="294"/>
      <c r="Y2" s="57" t="s">
        <v>1585</v>
      </c>
      <c r="Z2" s="66"/>
      <c r="AA2" s="59"/>
      <c r="AB2" s="270" t="s">
        <v>1567</v>
      </c>
      <c r="AC2" s="271"/>
      <c r="AD2" s="271"/>
      <c r="AE2" s="66"/>
      <c r="AF2" s="294"/>
      <c r="AG2" s="57" t="s">
        <v>1568</v>
      </c>
      <c r="AH2" s="66"/>
      <c r="AI2" s="59"/>
      <c r="AJ2" s="270" t="s">
        <v>1588</v>
      </c>
      <c r="AK2" s="271"/>
      <c r="AL2" s="271"/>
      <c r="AM2" s="66"/>
      <c r="AN2" s="294"/>
      <c r="AO2" s="57" t="s">
        <v>1589</v>
      </c>
      <c r="AP2" s="66"/>
      <c r="AQ2" s="66"/>
      <c r="AV2" s="4"/>
      <c r="BT2" s="4"/>
      <c r="BU2" s="112"/>
      <c r="BV2" s="112"/>
      <c r="BW2" s="112"/>
      <c r="BX2" s="112"/>
      <c r="BY2" s="277"/>
      <c r="BZ2" s="112"/>
      <c r="CA2" s="112"/>
      <c r="CB2" s="112"/>
    </row>
    <row r="3" spans="1:80" x14ac:dyDescent="0.2">
      <c r="A3" s="304"/>
      <c r="B3" s="305"/>
      <c r="C3" s="305"/>
      <c r="D3" s="305"/>
      <c r="E3" s="305"/>
      <c r="F3" s="305"/>
      <c r="G3" s="305"/>
      <c r="H3" s="306"/>
      <c r="I3" s="306"/>
      <c r="J3" s="305"/>
      <c r="K3" s="305"/>
      <c r="L3" s="305"/>
      <c r="M3" s="305"/>
      <c r="N3" s="305"/>
      <c r="O3" s="305"/>
      <c r="P3" s="305"/>
      <c r="Q3" s="305"/>
      <c r="R3" s="305"/>
      <c r="S3" s="305" t="s">
        <v>1566</v>
      </c>
      <c r="T3" s="323">
        <f>MEDIAN(T8:T116)</f>
        <v>8.8393660414668895E-2</v>
      </c>
      <c r="U3" s="323">
        <f t="shared" ref="U3:AQ3" si="0">MEDIAN(U8:U116)</f>
        <v>2.0424490424557025</v>
      </c>
      <c r="V3" s="323">
        <f t="shared" si="0"/>
        <v>0.69262574039231195</v>
      </c>
      <c r="W3" s="323">
        <f t="shared" si="0"/>
        <v>8.557123443409953E-2</v>
      </c>
      <c r="X3" s="324">
        <f t="shared" si="0"/>
        <v>0.26039269836460088</v>
      </c>
      <c r="Y3" s="322">
        <f t="shared" si="0"/>
        <v>6.7295397421415215E-3</v>
      </c>
      <c r="Z3" s="323">
        <f t="shared" si="0"/>
        <v>2.0580212977416168</v>
      </c>
      <c r="AA3" s="324">
        <f t="shared" si="0"/>
        <v>0.91392447421814116</v>
      </c>
      <c r="AB3" s="322">
        <f t="shared" si="0"/>
        <v>0.59769053617120549</v>
      </c>
      <c r="AC3" s="323">
        <f t="shared" si="0"/>
        <v>-12.444274158179294</v>
      </c>
      <c r="AD3" s="323">
        <f t="shared" si="0"/>
        <v>0.95978200085508902</v>
      </c>
      <c r="AE3" s="323">
        <f t="shared" ref="AE3:AF3" si="1">MEDIAN(AE8:AE116)</f>
        <v>6.4166083113640346E-2</v>
      </c>
      <c r="AF3" s="324">
        <f t="shared" si="1"/>
        <v>0.17108086958581181</v>
      </c>
      <c r="AG3" s="323">
        <f t="shared" si="0"/>
        <v>0.46612627121130651</v>
      </c>
      <c r="AH3" s="323">
        <f t="shared" si="0"/>
        <v>-11.465866995591666</v>
      </c>
      <c r="AI3" s="324">
        <f t="shared" si="0"/>
        <v>0.8843672501143115</v>
      </c>
      <c r="AJ3" s="322">
        <f t="shared" si="0"/>
        <v>0.67593575484978885</v>
      </c>
      <c r="AK3" s="323">
        <f t="shared" si="0"/>
        <v>-10.464090413120505</v>
      </c>
      <c r="AL3" s="323">
        <f t="shared" si="0"/>
        <v>0.95499675151350327</v>
      </c>
      <c r="AM3" s="323">
        <f t="shared" si="0"/>
        <v>7.582241171665885E-2</v>
      </c>
      <c r="AN3" s="324">
        <f t="shared" si="0"/>
        <v>0.2413007540253812</v>
      </c>
      <c r="AO3" s="298">
        <f t="shared" si="0"/>
        <v>0.52865219059409174</v>
      </c>
      <c r="AP3" s="298">
        <f t="shared" si="0"/>
        <v>-9.7935694351557103</v>
      </c>
      <c r="AQ3" s="299">
        <f t="shared" si="0"/>
        <v>0.92000823983128699</v>
      </c>
      <c r="AR3" s="138"/>
      <c r="AS3" s="138"/>
      <c r="AT3" s="138"/>
      <c r="AU3" s="138"/>
      <c r="AV3" s="138"/>
      <c r="AW3" s="138"/>
      <c r="AX3" s="138"/>
      <c r="BT3" s="4"/>
      <c r="BU3" s="112"/>
      <c r="BV3" s="112"/>
      <c r="BW3" s="112"/>
      <c r="BX3" s="112"/>
      <c r="BY3" s="277"/>
      <c r="BZ3" s="112"/>
      <c r="CA3" s="112"/>
      <c r="CB3" s="112"/>
    </row>
    <row r="4" spans="1:80" x14ac:dyDescent="0.2">
      <c r="A4" s="285"/>
      <c r="B4" s="286"/>
      <c r="C4" s="286"/>
      <c r="D4" s="286"/>
      <c r="E4" s="286"/>
      <c r="F4" s="286"/>
      <c r="G4" s="286"/>
      <c r="H4" s="278"/>
      <c r="I4" s="278"/>
      <c r="J4" s="286"/>
      <c r="K4" s="286"/>
      <c r="L4" s="286"/>
      <c r="M4" s="286"/>
      <c r="N4" s="286"/>
      <c r="O4" s="286"/>
      <c r="P4" s="286"/>
      <c r="Q4" s="286"/>
      <c r="R4" s="286"/>
      <c r="S4" s="286" t="s">
        <v>784</v>
      </c>
      <c r="T4" s="326">
        <f>AVERAGE(T8:T116)</f>
        <v>0.10396501984946256</v>
      </c>
      <c r="U4" s="326">
        <f t="shared" ref="U4:AQ4" si="2">AVERAGE(U8:U116)</f>
        <v>1.8495557678367753</v>
      </c>
      <c r="V4" s="326">
        <f t="shared" si="2"/>
        <v>0.65748567918737255</v>
      </c>
      <c r="W4" s="512">
        <f>AVERAGE(W8:W116)</f>
        <v>0.10106212190697307</v>
      </c>
      <c r="X4" s="327">
        <f t="shared" si="2"/>
        <v>0.25094105152320828</v>
      </c>
      <c r="Y4" s="325">
        <f t="shared" si="2"/>
        <v>3.5673194755509299E-2</v>
      </c>
      <c r="Z4" s="326">
        <f t="shared" si="2"/>
        <v>1.9130474156933734</v>
      </c>
      <c r="AA4" s="327">
        <f t="shared" si="2"/>
        <v>0.76285777735492932</v>
      </c>
      <c r="AB4" s="325">
        <f t="shared" si="2"/>
        <v>0.78407720973558293</v>
      </c>
      <c r="AC4" s="326">
        <f t="shared" si="2"/>
        <v>-12.293421209747772</v>
      </c>
      <c r="AD4" s="326">
        <f t="shared" si="2"/>
        <v>0.89324827196719436</v>
      </c>
      <c r="AE4" s="512">
        <f>AVERAGE(AE8:AE116)</f>
        <v>7.6626445202313195E-2</v>
      </c>
      <c r="AF4" s="327">
        <f t="shared" ref="AF4" si="3">AVERAGE(AF8:AF116)</f>
        <v>0.19877758481134322</v>
      </c>
      <c r="AG4" s="326">
        <f t="shared" si="2"/>
        <v>0.43989902373946921</v>
      </c>
      <c r="AH4" s="326">
        <f t="shared" si="2"/>
        <v>-11.659997759766735</v>
      </c>
      <c r="AI4" s="327">
        <f t="shared" si="2"/>
        <v>0.8500602465219208</v>
      </c>
      <c r="AJ4" s="325">
        <f t="shared" si="2"/>
        <v>0.89057646196934692</v>
      </c>
      <c r="AK4" s="326">
        <f t="shared" si="2"/>
        <v>-10.444234428120955</v>
      </c>
      <c r="AL4" s="326">
        <f t="shared" si="2"/>
        <v>0.84107826335971003</v>
      </c>
      <c r="AM4" s="326">
        <f t="shared" si="2"/>
        <v>0.13248294844910039</v>
      </c>
      <c r="AN4" s="327">
        <f t="shared" si="2"/>
        <v>0.32359721874434366</v>
      </c>
      <c r="AO4" s="300">
        <f t="shared" si="2"/>
        <v>0.47527313134741556</v>
      </c>
      <c r="AP4" s="300">
        <f t="shared" si="2"/>
        <v>-9.749368414212201</v>
      </c>
      <c r="AQ4" s="301">
        <f t="shared" si="2"/>
        <v>0.82650964586429498</v>
      </c>
      <c r="AR4" s="138"/>
      <c r="AS4" s="138"/>
      <c r="AT4" s="138"/>
      <c r="AU4" s="138"/>
      <c r="AV4" s="138"/>
      <c r="AW4" s="138"/>
      <c r="AX4" s="138"/>
      <c r="BT4" s="4"/>
      <c r="BU4" s="112"/>
      <c r="BV4" s="112"/>
      <c r="BW4" s="112"/>
      <c r="BX4" s="112"/>
      <c r="BY4" s="277"/>
      <c r="BZ4" s="112"/>
      <c r="CA4" s="112"/>
      <c r="CB4" s="112"/>
    </row>
    <row r="5" spans="1:80" x14ac:dyDescent="0.2">
      <c r="A5" s="287"/>
      <c r="B5" s="307"/>
      <c r="C5" s="307"/>
      <c r="D5" s="307"/>
      <c r="E5" s="307"/>
      <c r="F5" s="307"/>
      <c r="G5" s="307"/>
      <c r="H5" s="308"/>
      <c r="I5" s="308"/>
      <c r="J5" s="307"/>
      <c r="K5" s="307"/>
      <c r="L5" s="307"/>
      <c r="M5" s="307"/>
      <c r="N5" s="307"/>
      <c r="O5" s="307"/>
      <c r="P5" s="307"/>
      <c r="Q5" s="307"/>
      <c r="R5" s="307"/>
      <c r="S5" s="307" t="s">
        <v>1586</v>
      </c>
      <c r="T5" s="329">
        <f>STDEV(T8:T116)</f>
        <v>0.24028209716304852</v>
      </c>
      <c r="U5" s="329">
        <f t="shared" ref="U5:AQ5" si="4">STDEV(U8:U116)</f>
        <v>0.75856756653535451</v>
      </c>
      <c r="V5" s="329">
        <f t="shared" si="4"/>
        <v>0.34050601989141394</v>
      </c>
      <c r="W5" s="329">
        <f>STDEV(W8:W116)</f>
        <v>9.882400243443365E-2</v>
      </c>
      <c r="X5" s="330"/>
      <c r="Y5" s="328">
        <f t="shared" si="4"/>
        <v>0.14637549849708378</v>
      </c>
      <c r="Z5" s="329">
        <f t="shared" si="4"/>
        <v>0.69455383509482882</v>
      </c>
      <c r="AA5" s="330">
        <f t="shared" si="4"/>
        <v>0.32706279803590838</v>
      </c>
      <c r="AB5" s="328">
        <f t="shared" si="4"/>
        <v>0.70549757391211787</v>
      </c>
      <c r="AC5" s="329">
        <f t="shared" si="4"/>
        <v>0.65332495940981095</v>
      </c>
      <c r="AD5" s="329">
        <f t="shared" si="4"/>
        <v>0.18156648585647667</v>
      </c>
      <c r="AE5" s="329">
        <f t="shared" ref="AE5" si="5">STDEV(AE8:AE116)</f>
        <v>5.9586522993554256E-2</v>
      </c>
      <c r="AF5" s="330"/>
      <c r="AG5" s="329">
        <f t="shared" si="4"/>
        <v>0.24195075413654157</v>
      </c>
      <c r="AH5" s="329">
        <f t="shared" si="4"/>
        <v>0.63800253652365724</v>
      </c>
      <c r="AI5" s="330">
        <f t="shared" si="4"/>
        <v>0.18571636326012003</v>
      </c>
      <c r="AJ5" s="328">
        <f t="shared" si="4"/>
        <v>0.81020326789508346</v>
      </c>
      <c r="AK5" s="329">
        <f t="shared" si="4"/>
        <v>0.65278766887407225</v>
      </c>
      <c r="AL5" s="329">
        <f t="shared" si="4"/>
        <v>0.26541849569209641</v>
      </c>
      <c r="AM5" s="329">
        <f t="shared" si="4"/>
        <v>0.140863840280327</v>
      </c>
      <c r="AN5" s="330"/>
      <c r="AO5" s="302">
        <f t="shared" si="4"/>
        <v>0.29762965351878018</v>
      </c>
      <c r="AP5" s="302">
        <f t="shared" si="4"/>
        <v>0.6072845088178257</v>
      </c>
      <c r="AQ5" s="303">
        <f t="shared" si="4"/>
        <v>0.27009184837773226</v>
      </c>
      <c r="AR5" s="138"/>
      <c r="AS5" s="138"/>
      <c r="AT5" s="138"/>
      <c r="AU5" s="138"/>
      <c r="AV5" s="320" t="s">
        <v>1663</v>
      </c>
      <c r="AW5" s="195" t="s">
        <v>1664</v>
      </c>
      <c r="AX5" s="195" t="s">
        <v>1665</v>
      </c>
      <c r="BT5" s="4" t="s">
        <v>2060</v>
      </c>
      <c r="BU5" s="112" t="s">
        <v>742</v>
      </c>
      <c r="BV5" s="112" t="s">
        <v>1543</v>
      </c>
      <c r="BW5" s="112" t="s">
        <v>378</v>
      </c>
      <c r="BX5" s="112" t="s">
        <v>2021</v>
      </c>
      <c r="BY5" s="277" t="s">
        <v>1992</v>
      </c>
      <c r="BZ5" s="112" t="s">
        <v>774</v>
      </c>
      <c r="CA5" s="112" t="s">
        <v>1559</v>
      </c>
      <c r="CB5" s="112" t="s">
        <v>1656</v>
      </c>
    </row>
    <row r="6" spans="1:80" x14ac:dyDescent="0.2">
      <c r="A6" s="286"/>
      <c r="B6" s="286"/>
      <c r="C6" s="286"/>
      <c r="D6" s="286"/>
      <c r="E6" s="286"/>
      <c r="F6" s="286"/>
      <c r="G6" s="286"/>
      <c r="H6" s="278"/>
      <c r="I6" s="278"/>
      <c r="J6" s="286"/>
      <c r="K6" s="286"/>
      <c r="L6" s="286"/>
      <c r="M6" s="286"/>
      <c r="N6" s="286"/>
      <c r="O6" s="286"/>
      <c r="P6" s="286"/>
      <c r="Q6" s="286"/>
      <c r="R6" s="286"/>
      <c r="S6" s="286" t="s">
        <v>1412</v>
      </c>
      <c r="T6" s="332">
        <f>COUNT(T8:T116)</f>
        <v>12</v>
      </c>
      <c r="U6" s="326"/>
      <c r="V6" s="326"/>
      <c r="W6" s="326"/>
      <c r="X6" s="327"/>
      <c r="Y6" s="331">
        <f>COUNT(Y8:Y116)</f>
        <v>15</v>
      </c>
      <c r="Z6" s="326"/>
      <c r="AA6" s="327"/>
      <c r="AB6" s="331">
        <f>COUNT(AB8:AB116)</f>
        <v>12</v>
      </c>
      <c r="AC6" s="326"/>
      <c r="AD6" s="326"/>
      <c r="AE6" s="326"/>
      <c r="AF6" s="327"/>
      <c r="AG6" s="332">
        <f>COUNT(AG8:AG116)</f>
        <v>15</v>
      </c>
      <c r="AH6" s="326"/>
      <c r="AI6" s="327"/>
      <c r="AJ6" s="331">
        <f>COUNT(AJ8:AJ116)</f>
        <v>12</v>
      </c>
      <c r="AK6" s="326"/>
      <c r="AL6" s="326"/>
      <c r="AM6" s="326"/>
      <c r="AN6" s="327"/>
      <c r="AO6" s="321">
        <f>COUNT(AO8:AO116)</f>
        <v>15</v>
      </c>
      <c r="AP6" s="300"/>
      <c r="AQ6" s="300"/>
      <c r="AR6" s="138"/>
      <c r="AS6" s="138"/>
      <c r="AT6" s="138"/>
      <c r="AU6" s="138"/>
      <c r="AV6" s="320">
        <f>STEYX(O8:O21,K8:K21)</f>
        <v>0.30194767858893029</v>
      </c>
      <c r="AW6" s="320">
        <f>_xlfn.T.INV.2T(0.33,COUNT(R8:R21)-1)</f>
        <v>1.0239293768061923</v>
      </c>
      <c r="AX6" s="320">
        <f>AV6*AW6</f>
        <v>0.30917309836563983</v>
      </c>
      <c r="BU6" s="138"/>
      <c r="BV6" s="138"/>
      <c r="BW6" s="112" t="s">
        <v>352</v>
      </c>
      <c r="BX6" s="112" t="s">
        <v>352</v>
      </c>
      <c r="BY6" s="277" t="s">
        <v>349</v>
      </c>
      <c r="BZ6" s="112" t="s">
        <v>349</v>
      </c>
      <c r="CA6" s="112" t="s">
        <v>2080</v>
      </c>
      <c r="CB6" s="112" t="s">
        <v>2080</v>
      </c>
    </row>
    <row r="7" spans="1:80" x14ac:dyDescent="0.2">
      <c r="A7" s="1" t="s">
        <v>1575</v>
      </c>
      <c r="K7" s="95"/>
      <c r="L7" s="95"/>
      <c r="M7" s="95"/>
      <c r="T7" s="5" t="s">
        <v>1569</v>
      </c>
      <c r="U7" s="5" t="s">
        <v>1565</v>
      </c>
      <c r="V7" s="5" t="s">
        <v>1450</v>
      </c>
      <c r="W7" s="112" t="s">
        <v>1668</v>
      </c>
      <c r="X7" s="22" t="s">
        <v>1669</v>
      </c>
      <c r="Y7" s="5" t="s">
        <v>1569</v>
      </c>
      <c r="Z7" s="5" t="s">
        <v>1565</v>
      </c>
      <c r="AA7" s="22" t="s">
        <v>1450</v>
      </c>
      <c r="AB7" s="70" t="s">
        <v>1569</v>
      </c>
      <c r="AC7" s="5" t="s">
        <v>1565</v>
      </c>
      <c r="AD7" s="5" t="s">
        <v>1450</v>
      </c>
      <c r="AE7" s="112" t="s">
        <v>1668</v>
      </c>
      <c r="AF7" s="22" t="s">
        <v>1669</v>
      </c>
      <c r="AG7" s="5" t="s">
        <v>1569</v>
      </c>
      <c r="AH7" s="5" t="s">
        <v>1565</v>
      </c>
      <c r="AI7" s="22" t="s">
        <v>1450</v>
      </c>
      <c r="AJ7" s="70" t="s">
        <v>1569</v>
      </c>
      <c r="AK7" s="5" t="s">
        <v>1565</v>
      </c>
      <c r="AL7" s="5" t="s">
        <v>1450</v>
      </c>
      <c r="AM7" s="112" t="s">
        <v>1668</v>
      </c>
      <c r="AN7" s="22" t="s">
        <v>1669</v>
      </c>
      <c r="AO7" s="5" t="s">
        <v>1569</v>
      </c>
      <c r="AP7" s="5" t="s">
        <v>1565</v>
      </c>
      <c r="AQ7" s="5" t="s">
        <v>1450</v>
      </c>
      <c r="AR7" s="5"/>
      <c r="AS7" s="5"/>
      <c r="AT7" s="5"/>
      <c r="AU7" s="5"/>
      <c r="AV7" s="5"/>
      <c r="AW7" s="5"/>
      <c r="AX7" s="5"/>
      <c r="BU7" s="138"/>
      <c r="BV7" s="138"/>
      <c r="BW7" s="138"/>
      <c r="BX7" s="138"/>
      <c r="BZ7" s="138"/>
      <c r="CA7" s="138"/>
      <c r="CB7" s="138"/>
    </row>
    <row r="8" spans="1:80" x14ac:dyDescent="0.2">
      <c r="A8" s="4" t="s">
        <v>1950</v>
      </c>
      <c r="B8" t="s">
        <v>1938</v>
      </c>
      <c r="C8" s="4" t="s">
        <v>1561</v>
      </c>
      <c r="D8" t="s">
        <v>548</v>
      </c>
      <c r="E8" t="s">
        <v>1549</v>
      </c>
      <c r="F8">
        <v>78.106666524406961</v>
      </c>
      <c r="G8">
        <v>1.9888988259336799</v>
      </c>
      <c r="H8">
        <v>2.13</v>
      </c>
      <c r="I8" t="s">
        <v>717</v>
      </c>
      <c r="J8">
        <v>1.9888988259336799</v>
      </c>
      <c r="K8" s="210">
        <f t="shared" ref="K8:K21" si="6">J8/G8</f>
        <v>1</v>
      </c>
      <c r="L8" s="210">
        <f>AVERAGE(K8:K21)</f>
        <v>0.36832276936150693</v>
      </c>
      <c r="M8" s="210">
        <f>LOG(K8)</f>
        <v>0</v>
      </c>
      <c r="N8">
        <v>57.197479588533547</v>
      </c>
      <c r="O8">
        <v>1.7573768919939248</v>
      </c>
      <c r="P8">
        <v>6.4000000000000002E-12</v>
      </c>
      <c r="Q8">
        <v>-11.193820026016112</v>
      </c>
      <c r="R8">
        <v>3.6606386936661472E-10</v>
      </c>
      <c r="S8">
        <v>-9.4364431340221877</v>
      </c>
      <c r="T8" s="106">
        <f>SLOPE(O8:O21,$K8:$K21)</f>
        <v>0.33845485373132284</v>
      </c>
      <c r="U8" s="106">
        <f>INTERCEPT(O8:O21,$K8:$K21)</f>
        <v>1.4083434786439524</v>
      </c>
      <c r="V8" s="106">
        <f>RSQ(O8:O21,$K8:$K21)</f>
        <v>0.2341163564693951</v>
      </c>
      <c r="W8" s="106">
        <f>STEYX(O8:O21,$K8:$K21)</f>
        <v>0.30194767858893029</v>
      </c>
      <c r="X8" s="296">
        <f>_xlfn.T.INV.2T(0.05,COUNT($K8:$K21)-1)*W8</f>
        <v>0.65231830071522645</v>
      </c>
      <c r="Y8" s="106">
        <f>SLOPE(O8:O21,$M8:$M21)</f>
        <v>0.15879462033394307</v>
      </c>
      <c r="Z8" s="106">
        <f>INTERCEPT(O8:O21,$M8:$M21)</f>
        <v>1.7542076276516769</v>
      </c>
      <c r="AA8" s="296">
        <f>RSQ(O8:O21,$M8:$M21)</f>
        <v>0.34219229014394031</v>
      </c>
      <c r="AB8" s="295">
        <f>SLOPE(Q8:Q21,$K8:$K21)</f>
        <v>1.2092246468642611</v>
      </c>
      <c r="AC8" s="106">
        <f>INTERCEPT(Q8:Q21,$K8:$K21)</f>
        <v>-12.463327759405756</v>
      </c>
      <c r="AD8" s="106">
        <f>RSQ(Q8:Q21,$K8:$K21)</f>
        <v>0.94130096283526465</v>
      </c>
      <c r="AE8" s="106">
        <f>STEYX(Q8:Q21,$K8:$K21)</f>
        <v>0.15297871569751803</v>
      </c>
      <c r="AF8" s="296">
        <f>_xlfn.T.INV.2T(0.05,COUNT($K8:$K21)-1)*AE8</f>
        <v>0.33049042249885058</v>
      </c>
      <c r="AG8" s="106">
        <f>SLOPE(Q8:Q21,$M8:$M21)</f>
        <v>0.46436840877954166</v>
      </c>
      <c r="AH8" s="106">
        <f>INTERCEPT(Q8:Q21,$M8:$M21)</f>
        <v>-11.400937595685321</v>
      </c>
      <c r="AI8" s="296">
        <f>RSQ(Q8:Q21,$M8:$M21)</f>
        <v>0.85828330402930508</v>
      </c>
      <c r="AJ8" s="295">
        <f>SLOPE(S8:S21,$K8:$K21)</f>
        <v>1.5826533551038906</v>
      </c>
      <c r="AK8" s="106">
        <f>INTERCEPT(S8:S21,$K8:$K21)</f>
        <v>-11.060527393286302</v>
      </c>
      <c r="AL8" s="106">
        <f>RSQ(S8:S21,$K8:$K21)</f>
        <v>0.76177624966082091</v>
      </c>
      <c r="AM8" s="106">
        <f>STEYX(S8:S21,$K8:$K21)</f>
        <v>0.42754553575612492</v>
      </c>
      <c r="AN8" s="296">
        <f>_xlfn.T.INV.2T(0.05,COUNT($K8:$K21)-1)*AM8</f>
        <v>0.92365597465812443</v>
      </c>
      <c r="AO8" s="106">
        <f>SLOPE(S8:S21,$M8:$M21)</f>
        <v>0.63088403051243869</v>
      </c>
      <c r="AP8" s="106">
        <f>INTERCEPT(S8:S21,$M8:$M21)</f>
        <v>-9.6525762252208658</v>
      </c>
      <c r="AQ8" s="106">
        <f>RSQ(S8:S21,$M8:$M21)</f>
        <v>0.79375285222562786</v>
      </c>
      <c r="AR8" s="106"/>
      <c r="AS8" s="106"/>
      <c r="AT8" s="106"/>
      <c r="AU8" s="106"/>
      <c r="AV8" s="106"/>
      <c r="AW8" s="106"/>
      <c r="AX8" s="106"/>
      <c r="BT8">
        <f>VLOOKUP(B8,Literatuur!$A:$B,2,FALSE)</f>
        <v>3</v>
      </c>
      <c r="BU8" s="138" t="str">
        <f t="shared" ref="BU8:BU21" si="7">D8</f>
        <v>Benzene</v>
      </c>
      <c r="BV8" s="138" t="str">
        <f t="shared" ref="BV8:BV21" si="8">I8</f>
        <v>HDPE</v>
      </c>
      <c r="BW8" s="138">
        <f t="shared" ref="BW8:BW21" si="9">J8</f>
        <v>1.9888988259336799</v>
      </c>
      <c r="BX8" s="138">
        <f t="shared" ref="BX8:BX21" si="10">G8</f>
        <v>1.9888988259336799</v>
      </c>
      <c r="BY8" s="137">
        <f t="shared" ref="BY8:BY21" si="11">K8</f>
        <v>1</v>
      </c>
      <c r="BZ8" s="138">
        <f t="shared" ref="BZ8:BZ21" si="12">IF(ISNUMBER(O8),O8,"")</f>
        <v>1.7573768919939248</v>
      </c>
      <c r="CA8" s="138">
        <f t="shared" ref="CA8:CA21" si="13">IF(ISNUMBER(Q8),Q8,"")</f>
        <v>-11.193820026016112</v>
      </c>
      <c r="CB8" s="138">
        <f t="shared" ref="CB8:CB21" si="14">IF(ISNUMBER(S8),S8,"")</f>
        <v>-9.4364431340221877</v>
      </c>
    </row>
    <row r="9" spans="1:80" x14ac:dyDescent="0.2">
      <c r="A9" s="4" t="s">
        <v>1950</v>
      </c>
      <c r="B9" t="s">
        <v>1938</v>
      </c>
      <c r="C9" s="4" t="s">
        <v>1561</v>
      </c>
      <c r="D9" t="s">
        <v>548</v>
      </c>
      <c r="E9" t="s">
        <v>1549</v>
      </c>
      <c r="F9">
        <v>78.106666524406961</v>
      </c>
      <c r="G9">
        <v>1.9888988259336799</v>
      </c>
      <c r="H9">
        <v>2.13</v>
      </c>
      <c r="I9" t="s">
        <v>717</v>
      </c>
      <c r="J9">
        <v>1.9888988259336799</v>
      </c>
      <c r="K9" s="210">
        <f t="shared" si="6"/>
        <v>1</v>
      </c>
      <c r="L9" s="210"/>
      <c r="M9" s="210">
        <f t="shared" ref="M9:M21" si="15">LOG(K9)</f>
        <v>0</v>
      </c>
      <c r="P9">
        <v>7.5999999999999999E-12</v>
      </c>
      <c r="Q9">
        <v>-11.119186407719209</v>
      </c>
      <c r="T9" s="2"/>
      <c r="U9" s="2"/>
      <c r="V9" s="2"/>
      <c r="W9" s="2"/>
      <c r="X9" s="7"/>
      <c r="Y9" s="2"/>
      <c r="Z9" s="2"/>
      <c r="AA9" s="7"/>
      <c r="AB9" s="69"/>
      <c r="AC9" s="2"/>
      <c r="AD9" s="2"/>
      <c r="AE9" s="2"/>
      <c r="AF9" s="7"/>
      <c r="AG9" s="2"/>
      <c r="AH9" s="2"/>
      <c r="AI9" s="7"/>
      <c r="AJ9" s="69"/>
      <c r="AK9" s="2"/>
      <c r="AL9" s="2"/>
      <c r="AM9" s="2"/>
      <c r="AN9" s="7"/>
      <c r="AO9" s="2"/>
      <c r="AP9" s="2"/>
      <c r="AQ9" s="2"/>
      <c r="AR9" s="2"/>
      <c r="AS9" s="2"/>
      <c r="AT9" s="2"/>
      <c r="AU9" s="2"/>
      <c r="AV9" s="2"/>
      <c r="AW9" s="2"/>
      <c r="AX9" s="2"/>
      <c r="BD9" s="132" t="s">
        <v>1819</v>
      </c>
      <c r="BE9" s="133"/>
      <c r="BF9" s="133"/>
      <c r="BG9" s="133"/>
      <c r="BH9" s="133"/>
      <c r="BI9" s="133"/>
      <c r="BJ9" s="133"/>
      <c r="BK9" s="133"/>
      <c r="BL9" s="133"/>
      <c r="BM9" s="133"/>
      <c r="BN9" s="133"/>
      <c r="BO9" s="133"/>
      <c r="BP9" s="133"/>
      <c r="BQ9" s="374"/>
      <c r="BT9">
        <f>VLOOKUP(B9,Literatuur!$A:$B,2,FALSE)</f>
        <v>3</v>
      </c>
      <c r="BU9" s="138" t="str">
        <f t="shared" si="7"/>
        <v>Benzene</v>
      </c>
      <c r="BV9" s="138" t="str">
        <f t="shared" si="8"/>
        <v>HDPE</v>
      </c>
      <c r="BW9" s="138">
        <f t="shared" si="9"/>
        <v>1.9888988259336799</v>
      </c>
      <c r="BX9" s="138">
        <f t="shared" si="10"/>
        <v>1.9888988259336799</v>
      </c>
      <c r="BY9" s="137">
        <f t="shared" si="11"/>
        <v>1</v>
      </c>
      <c r="BZ9" s="138" t="str">
        <f t="shared" si="12"/>
        <v/>
      </c>
      <c r="CA9" s="138">
        <f t="shared" si="13"/>
        <v>-11.119186407719209</v>
      </c>
      <c r="CB9" s="138" t="str">
        <f t="shared" si="14"/>
        <v/>
      </c>
    </row>
    <row r="10" spans="1:80" x14ac:dyDescent="0.2">
      <c r="A10" s="4" t="s">
        <v>1951</v>
      </c>
      <c r="B10" t="s">
        <v>1936</v>
      </c>
      <c r="C10" s="4" t="s">
        <v>1562</v>
      </c>
      <c r="D10" t="s">
        <v>548</v>
      </c>
      <c r="E10" t="s">
        <v>1549</v>
      </c>
      <c r="F10">
        <v>78.106666524406961</v>
      </c>
      <c r="G10">
        <v>1.9888988259336799</v>
      </c>
      <c r="H10">
        <v>2.13</v>
      </c>
      <c r="I10" t="s">
        <v>717</v>
      </c>
      <c r="J10">
        <v>1.9888988259336799</v>
      </c>
      <c r="K10" s="210">
        <f t="shared" si="6"/>
        <v>1</v>
      </c>
      <c r="L10" s="210"/>
      <c r="M10" s="210">
        <f t="shared" si="15"/>
        <v>0</v>
      </c>
      <c r="N10">
        <v>48.720426970190765</v>
      </c>
      <c r="O10">
        <v>1.687711085658999</v>
      </c>
      <c r="P10">
        <v>5.3000000000000004E-12</v>
      </c>
      <c r="Q10">
        <v>-11.275724130399212</v>
      </c>
      <c r="R10">
        <v>2.5821826294201107E-10</v>
      </c>
      <c r="S10">
        <v>-9.5880130447402117</v>
      </c>
      <c r="T10" s="490"/>
      <c r="W10" s="2"/>
      <c r="X10" s="7"/>
      <c r="AA10" s="3"/>
      <c r="AB10" s="315"/>
      <c r="AC10" s="2"/>
      <c r="AD10" s="2"/>
      <c r="AE10" s="2"/>
      <c r="AF10" s="7"/>
      <c r="AG10" s="2"/>
      <c r="AH10" s="2"/>
      <c r="AI10" s="7"/>
      <c r="AJ10" s="314"/>
      <c r="AK10" s="2"/>
      <c r="AL10" s="2"/>
      <c r="AM10" s="2"/>
      <c r="AN10" s="7"/>
      <c r="AO10" s="2"/>
      <c r="AP10" s="2"/>
      <c r="AQ10" s="2"/>
      <c r="AR10" s="2"/>
      <c r="AS10" s="2"/>
      <c r="AT10" s="2"/>
      <c r="AU10" s="2"/>
      <c r="AV10" s="2"/>
      <c r="AW10" s="2"/>
      <c r="AX10" s="2"/>
      <c r="BD10" s="4"/>
      <c r="BE10" s="4"/>
      <c r="BF10" s="4"/>
      <c r="BG10" s="4"/>
      <c r="BH10" s="4"/>
      <c r="BI10" s="4"/>
      <c r="BJ10" s="4"/>
      <c r="BK10" s="4"/>
      <c r="BL10" s="4"/>
      <c r="BM10" s="4"/>
      <c r="BN10" s="4"/>
      <c r="BO10" s="4"/>
      <c r="BP10" s="4"/>
      <c r="BQ10" s="4"/>
      <c r="BT10">
        <f>VLOOKUP(B10,Literatuur!$A:$B,2,FALSE)</f>
        <v>7</v>
      </c>
      <c r="BU10" s="138" t="str">
        <f t="shared" si="7"/>
        <v>Benzene</v>
      </c>
      <c r="BV10" s="138" t="str">
        <f t="shared" si="8"/>
        <v>HDPE</v>
      </c>
      <c r="BW10" s="138">
        <f t="shared" si="9"/>
        <v>1.9888988259336799</v>
      </c>
      <c r="BX10" s="138">
        <f t="shared" si="10"/>
        <v>1.9888988259336799</v>
      </c>
      <c r="BY10" s="137">
        <f t="shared" si="11"/>
        <v>1</v>
      </c>
      <c r="BZ10" s="138">
        <f t="shared" si="12"/>
        <v>1.687711085658999</v>
      </c>
      <c r="CA10" s="138">
        <f t="shared" si="13"/>
        <v>-11.275724130399212</v>
      </c>
      <c r="CB10" s="138">
        <f t="shared" si="14"/>
        <v>-9.5880130447402117</v>
      </c>
    </row>
    <row r="11" spans="1:80" x14ac:dyDescent="0.2">
      <c r="A11" s="4" t="s">
        <v>1951</v>
      </c>
      <c r="B11" t="s">
        <v>1936</v>
      </c>
      <c r="C11" s="4" t="s">
        <v>1562</v>
      </c>
      <c r="D11" t="s">
        <v>548</v>
      </c>
      <c r="E11" t="s">
        <v>1549</v>
      </c>
      <c r="F11">
        <v>78.106666524406961</v>
      </c>
      <c r="G11">
        <v>1.9888988259336799</v>
      </c>
      <c r="H11">
        <v>2.13</v>
      </c>
      <c r="I11" t="s">
        <v>717</v>
      </c>
      <c r="J11">
        <v>1.9888988259336799</v>
      </c>
      <c r="K11" s="210">
        <f t="shared" si="6"/>
        <v>1</v>
      </c>
      <c r="L11" s="210"/>
      <c r="M11" s="210">
        <f t="shared" si="15"/>
        <v>0</v>
      </c>
      <c r="N11">
        <v>98.044202881188838</v>
      </c>
      <c r="O11">
        <v>1.9914219199707517</v>
      </c>
      <c r="P11">
        <v>3.6E-12</v>
      </c>
      <c r="Q11">
        <v>-11.443697499232712</v>
      </c>
      <c r="R11">
        <v>3.5295913037227981E-10</v>
      </c>
      <c r="S11">
        <v>-9.4522755792619613</v>
      </c>
      <c r="T11" s="2"/>
      <c r="U11" s="2"/>
      <c r="V11" s="2"/>
      <c r="W11" s="2"/>
      <c r="X11" s="7"/>
      <c r="Y11" s="2"/>
      <c r="Z11" s="2"/>
      <c r="AA11" s="7"/>
      <c r="AB11" s="69"/>
      <c r="AC11" s="2"/>
      <c r="AD11" s="2"/>
      <c r="AE11" s="2"/>
      <c r="AF11" s="7"/>
      <c r="AG11" s="2"/>
      <c r="AH11" s="2"/>
      <c r="AI11" s="7"/>
      <c r="AJ11" s="69"/>
      <c r="AK11" s="2"/>
      <c r="AL11" s="2"/>
      <c r="AM11" s="2"/>
      <c r="AN11" s="7"/>
      <c r="AO11" s="2"/>
      <c r="AP11" s="2"/>
      <c r="AQ11" s="2"/>
      <c r="AR11" s="2"/>
      <c r="AS11" s="2"/>
      <c r="AT11" s="2"/>
      <c r="AU11" s="2"/>
      <c r="AV11" s="2"/>
      <c r="AW11" s="2"/>
      <c r="AX11" s="2"/>
      <c r="BD11" s="107" t="s">
        <v>1838</v>
      </c>
      <c r="BE11" s="108"/>
      <c r="BF11" s="108"/>
      <c r="BG11" s="108"/>
      <c r="BH11" s="108"/>
      <c r="BI11" s="108"/>
      <c r="BJ11" s="108"/>
      <c r="BK11" s="108"/>
      <c r="BL11" s="108"/>
      <c r="BM11" s="108"/>
      <c r="BN11" s="108"/>
      <c r="BO11" s="108"/>
      <c r="BP11" s="108"/>
      <c r="BQ11" s="109"/>
      <c r="BT11">
        <f>VLOOKUP(B11,Literatuur!$A:$B,2,FALSE)</f>
        <v>7</v>
      </c>
      <c r="BU11" s="138" t="str">
        <f t="shared" si="7"/>
        <v>Benzene</v>
      </c>
      <c r="BV11" s="138" t="str">
        <f t="shared" si="8"/>
        <v>HDPE</v>
      </c>
      <c r="BW11" s="138">
        <f t="shared" si="9"/>
        <v>1.9888988259336799</v>
      </c>
      <c r="BX11" s="138">
        <f t="shared" si="10"/>
        <v>1.9888988259336799</v>
      </c>
      <c r="BY11" s="137">
        <f t="shared" si="11"/>
        <v>1</v>
      </c>
      <c r="BZ11" s="138">
        <f t="shared" si="12"/>
        <v>1.9914219199707517</v>
      </c>
      <c r="CA11" s="138">
        <f t="shared" si="13"/>
        <v>-11.443697499232712</v>
      </c>
      <c r="CB11" s="138">
        <f t="shared" si="14"/>
        <v>-9.4522755792619613</v>
      </c>
    </row>
    <row r="12" spans="1:80" x14ac:dyDescent="0.2">
      <c r="A12" s="4" t="s">
        <v>1952</v>
      </c>
      <c r="B12" t="s">
        <v>1939</v>
      </c>
      <c r="C12" s="4" t="s">
        <v>753</v>
      </c>
      <c r="D12" t="s">
        <v>548</v>
      </c>
      <c r="E12" t="s">
        <v>1549</v>
      </c>
      <c r="F12">
        <v>78.106666524406961</v>
      </c>
      <c r="G12">
        <v>1.9888988259336799</v>
      </c>
      <c r="H12">
        <v>2.13</v>
      </c>
      <c r="I12" t="s">
        <v>717</v>
      </c>
      <c r="J12">
        <v>0.05</v>
      </c>
      <c r="K12" s="210">
        <f t="shared" si="6"/>
        <v>2.5139539200304831E-2</v>
      </c>
      <c r="L12" s="210"/>
      <c r="M12" s="210">
        <f t="shared" si="15"/>
        <v>-1.5996426870557474</v>
      </c>
      <c r="N12">
        <v>47.06</v>
      </c>
      <c r="O12">
        <v>1.6726519228400025</v>
      </c>
      <c r="P12">
        <v>4.0100000000000001E-13</v>
      </c>
      <c r="Q12">
        <v>-12.396855627379818</v>
      </c>
      <c r="R12">
        <v>1.887106E-11</v>
      </c>
      <c r="S12">
        <v>-10.724203704539816</v>
      </c>
      <c r="T12" s="2"/>
      <c r="U12" s="2"/>
      <c r="V12" s="2"/>
      <c r="W12" s="2"/>
      <c r="X12" s="7"/>
      <c r="Y12" s="2"/>
      <c r="Z12" s="2"/>
      <c r="AA12" s="7"/>
      <c r="AB12" s="69"/>
      <c r="AC12" s="2"/>
      <c r="AD12" s="2"/>
      <c r="AE12" s="2"/>
      <c r="AF12" s="7"/>
      <c r="AG12" s="2"/>
      <c r="AH12" s="2"/>
      <c r="AI12" s="7"/>
      <c r="AJ12" s="69"/>
      <c r="AK12" s="2"/>
      <c r="AL12" s="2"/>
      <c r="AM12" s="2"/>
      <c r="AN12" s="7"/>
      <c r="AO12" s="2"/>
      <c r="AP12" s="2"/>
      <c r="AQ12" s="2"/>
      <c r="AR12" s="2"/>
      <c r="AS12" s="2"/>
      <c r="AT12" s="2"/>
      <c r="AU12" s="2"/>
      <c r="AV12" s="2"/>
      <c r="AW12" s="2"/>
      <c r="AX12" s="2"/>
      <c r="BD12" s="375"/>
      <c r="BE12" s="376"/>
      <c r="BF12" s="377" t="s">
        <v>779</v>
      </c>
      <c r="BG12" s="377">
        <v>0</v>
      </c>
      <c r="BH12" s="377">
        <v>0.1</v>
      </c>
      <c r="BI12" s="377">
        <v>0.2</v>
      </c>
      <c r="BJ12" s="377">
        <v>0.3</v>
      </c>
      <c r="BK12" s="377">
        <v>0.4</v>
      </c>
      <c r="BL12" s="377">
        <v>0.5</v>
      </c>
      <c r="BM12" s="377">
        <v>0.6</v>
      </c>
      <c r="BN12" s="377">
        <v>0.7</v>
      </c>
      <c r="BO12" s="377">
        <v>0.8</v>
      </c>
      <c r="BP12" s="377">
        <v>0.9</v>
      </c>
      <c r="BQ12" s="378">
        <v>1</v>
      </c>
      <c r="BT12">
        <f>VLOOKUP(B12,Literatuur!$A:$B,2,FALSE)</f>
        <v>15</v>
      </c>
      <c r="BU12" s="138" t="str">
        <f t="shared" si="7"/>
        <v>Benzene</v>
      </c>
      <c r="BV12" s="138" t="str">
        <f t="shared" si="8"/>
        <v>HDPE</v>
      </c>
      <c r="BW12" s="138">
        <f t="shared" si="9"/>
        <v>0.05</v>
      </c>
      <c r="BX12" s="138">
        <f t="shared" si="10"/>
        <v>1.9888988259336799</v>
      </c>
      <c r="BY12" s="137">
        <f t="shared" si="11"/>
        <v>2.5139539200304831E-2</v>
      </c>
      <c r="BZ12" s="138">
        <f t="shared" si="12"/>
        <v>1.6726519228400025</v>
      </c>
      <c r="CA12" s="138">
        <f t="shared" si="13"/>
        <v>-12.396855627379818</v>
      </c>
      <c r="CB12" s="138">
        <f t="shared" si="14"/>
        <v>-10.724203704539816</v>
      </c>
    </row>
    <row r="13" spans="1:80" x14ac:dyDescent="0.2">
      <c r="A13" s="4" t="s">
        <v>1952</v>
      </c>
      <c r="B13" t="s">
        <v>1939</v>
      </c>
      <c r="C13" s="4" t="s">
        <v>753</v>
      </c>
      <c r="D13" t="s">
        <v>548</v>
      </c>
      <c r="E13" t="s">
        <v>1549</v>
      </c>
      <c r="F13">
        <v>78.106666524406961</v>
      </c>
      <c r="G13">
        <v>1.9888988259336799</v>
      </c>
      <c r="H13">
        <v>2.13</v>
      </c>
      <c r="I13" t="s">
        <v>717</v>
      </c>
      <c r="J13">
        <v>0.05</v>
      </c>
      <c r="K13" s="210">
        <f t="shared" si="6"/>
        <v>2.5139539200304831E-2</v>
      </c>
      <c r="L13" s="210"/>
      <c r="M13" s="210">
        <f t="shared" si="15"/>
        <v>-1.5996426870557474</v>
      </c>
      <c r="N13">
        <v>60.58</v>
      </c>
      <c r="O13">
        <v>1.7823292689968369</v>
      </c>
      <c r="P13">
        <v>4.5900000000000006E-13</v>
      </c>
      <c r="Q13">
        <v>-12.338187314462738</v>
      </c>
      <c r="R13">
        <v>2.7806220000000004E-11</v>
      </c>
      <c r="S13">
        <v>-10.555858045465902</v>
      </c>
      <c r="T13" s="2"/>
      <c r="U13" s="2"/>
      <c r="V13" s="2"/>
      <c r="W13" s="2"/>
      <c r="X13" s="7"/>
      <c r="Y13" s="2"/>
      <c r="Z13" s="2"/>
      <c r="AA13" s="7"/>
      <c r="AB13" s="69"/>
      <c r="AC13" s="2"/>
      <c r="AD13" s="2"/>
      <c r="AE13" s="2"/>
      <c r="AF13" s="7"/>
      <c r="AG13" s="2"/>
      <c r="AH13" s="2"/>
      <c r="AI13" s="7"/>
      <c r="AJ13" s="69"/>
      <c r="AK13" s="2"/>
      <c r="AL13" s="2"/>
      <c r="AM13" s="2"/>
      <c r="AN13" s="7"/>
      <c r="AO13" s="2"/>
      <c r="AP13" s="2"/>
      <c r="AQ13" s="2"/>
      <c r="AR13" s="2"/>
      <c r="AS13" s="2"/>
      <c r="AT13" s="2"/>
      <c r="AU13" s="2"/>
      <c r="AV13" s="2"/>
      <c r="AW13" s="2"/>
      <c r="AX13" s="2"/>
      <c r="BD13" s="379" t="s">
        <v>1820</v>
      </c>
      <c r="BE13" s="9"/>
      <c r="BF13" s="9"/>
      <c r="BG13" s="9"/>
      <c r="BH13" s="9"/>
      <c r="BI13" s="9"/>
      <c r="BJ13" s="9"/>
      <c r="BK13" s="9"/>
      <c r="BL13" s="9"/>
      <c r="BM13" s="9"/>
      <c r="BN13" s="9"/>
      <c r="BO13" s="9"/>
      <c r="BP13" s="9"/>
      <c r="BQ13" s="16"/>
      <c r="BT13">
        <f>VLOOKUP(B13,Literatuur!$A:$B,2,FALSE)</f>
        <v>15</v>
      </c>
      <c r="BU13" s="138" t="str">
        <f t="shared" si="7"/>
        <v>Benzene</v>
      </c>
      <c r="BV13" s="138" t="str">
        <f t="shared" si="8"/>
        <v>HDPE</v>
      </c>
      <c r="BW13" s="138">
        <f t="shared" si="9"/>
        <v>0.05</v>
      </c>
      <c r="BX13" s="138">
        <f t="shared" si="10"/>
        <v>1.9888988259336799</v>
      </c>
      <c r="BY13" s="137">
        <f t="shared" si="11"/>
        <v>2.5139539200304831E-2</v>
      </c>
      <c r="BZ13" s="138">
        <f t="shared" si="12"/>
        <v>1.7823292689968369</v>
      </c>
      <c r="CA13" s="138">
        <f t="shared" si="13"/>
        <v>-12.338187314462738</v>
      </c>
      <c r="CB13" s="138">
        <f t="shared" si="14"/>
        <v>-10.555858045465902</v>
      </c>
    </row>
    <row r="14" spans="1:80" x14ac:dyDescent="0.2">
      <c r="A14" s="4" t="s">
        <v>1952</v>
      </c>
      <c r="B14" t="s">
        <v>1939</v>
      </c>
      <c r="C14" s="4" t="s">
        <v>753</v>
      </c>
      <c r="D14" t="s">
        <v>548</v>
      </c>
      <c r="E14" t="s">
        <v>1549</v>
      </c>
      <c r="F14">
        <v>78.106666524406961</v>
      </c>
      <c r="G14">
        <v>1.9888988259336799</v>
      </c>
      <c r="H14">
        <v>2.13</v>
      </c>
      <c r="I14" t="s">
        <v>717</v>
      </c>
      <c r="J14">
        <v>0.1</v>
      </c>
      <c r="K14" s="210">
        <f t="shared" si="6"/>
        <v>5.0279078400609661E-2</v>
      </c>
      <c r="L14" s="210"/>
      <c r="M14" s="210">
        <f t="shared" si="15"/>
        <v>-1.2986126913917664</v>
      </c>
      <c r="N14">
        <v>91.12</v>
      </c>
      <c r="O14">
        <v>1.9596137110710439</v>
      </c>
      <c r="P14">
        <v>7.3000000000000002E-13</v>
      </c>
      <c r="Q14">
        <v>-12.136677139879543</v>
      </c>
      <c r="R14">
        <v>6.6517600000000004E-11</v>
      </c>
      <c r="S14">
        <v>-10.1770634288085</v>
      </c>
      <c r="T14" s="2"/>
      <c r="U14" s="2"/>
      <c r="V14" s="2"/>
      <c r="W14" s="2"/>
      <c r="X14" s="7"/>
      <c r="Y14" s="2"/>
      <c r="Z14" s="2"/>
      <c r="AA14" s="7"/>
      <c r="AB14" s="69"/>
      <c r="AC14" s="2"/>
      <c r="AD14" s="2"/>
      <c r="AE14" s="2"/>
      <c r="AF14" s="7"/>
      <c r="AG14" s="2"/>
      <c r="AH14" s="2"/>
      <c r="AI14" s="7"/>
      <c r="AJ14" s="69"/>
      <c r="AK14" s="2"/>
      <c r="AL14" s="2"/>
      <c r="AM14" s="2"/>
      <c r="AN14" s="7"/>
      <c r="AO14" s="2"/>
      <c r="AP14" s="2"/>
      <c r="AQ14" s="2"/>
      <c r="AR14" s="2"/>
      <c r="AS14" s="2"/>
      <c r="AT14" s="2"/>
      <c r="AU14" s="2"/>
      <c r="AV14" s="2"/>
      <c r="AW14" s="2"/>
      <c r="AX14" s="2"/>
      <c r="BD14" s="6" t="s">
        <v>1818</v>
      </c>
      <c r="BE14" s="95">
        <v>0.5</v>
      </c>
      <c r="BF14" s="4" t="s">
        <v>1833</v>
      </c>
      <c r="BG14" s="95">
        <f>$BE15*(BG$12-$BE14)</f>
        <v>-0.05</v>
      </c>
      <c r="BH14" s="95">
        <f t="shared" ref="BH14:BQ14" si="16">$BE15*(BH$12-$BE14)</f>
        <v>-4.0000000000000008E-2</v>
      </c>
      <c r="BI14" s="95">
        <f t="shared" si="16"/>
        <v>-0.03</v>
      </c>
      <c r="BJ14" s="95">
        <f t="shared" si="16"/>
        <v>-2.0000000000000004E-2</v>
      </c>
      <c r="BK14" s="95">
        <f>$BE15*(BK$12-$BE14)</f>
        <v>-9.9999999999999985E-3</v>
      </c>
      <c r="BL14" s="95">
        <f t="shared" si="16"/>
        <v>0</v>
      </c>
      <c r="BM14" s="95">
        <f t="shared" si="16"/>
        <v>9.9999999999999985E-3</v>
      </c>
      <c r="BN14" s="95">
        <f t="shared" si="16"/>
        <v>1.9999999999999997E-2</v>
      </c>
      <c r="BO14" s="95">
        <f t="shared" si="16"/>
        <v>3.0000000000000006E-2</v>
      </c>
      <c r="BP14" s="95">
        <f t="shared" si="16"/>
        <v>4.0000000000000008E-2</v>
      </c>
      <c r="BQ14" s="242">
        <f t="shared" si="16"/>
        <v>0.05</v>
      </c>
      <c r="BT14">
        <f>VLOOKUP(B14,Literatuur!$A:$B,2,FALSE)</f>
        <v>15</v>
      </c>
      <c r="BU14" s="138" t="str">
        <f t="shared" si="7"/>
        <v>Benzene</v>
      </c>
      <c r="BV14" s="138" t="str">
        <f t="shared" si="8"/>
        <v>HDPE</v>
      </c>
      <c r="BW14" s="138">
        <f t="shared" si="9"/>
        <v>0.1</v>
      </c>
      <c r="BX14" s="138">
        <f t="shared" si="10"/>
        <v>1.9888988259336799</v>
      </c>
      <c r="BY14" s="137">
        <f t="shared" si="11"/>
        <v>5.0279078400609661E-2</v>
      </c>
      <c r="BZ14" s="138">
        <f t="shared" si="12"/>
        <v>1.9596137110710439</v>
      </c>
      <c r="CA14" s="138">
        <f t="shared" si="13"/>
        <v>-12.136677139879543</v>
      </c>
      <c r="CB14" s="138">
        <f t="shared" si="14"/>
        <v>-10.1770634288085</v>
      </c>
    </row>
    <row r="15" spans="1:80" ht="15.75" x14ac:dyDescent="0.3">
      <c r="A15" s="4" t="s">
        <v>1953</v>
      </c>
      <c r="B15" t="s">
        <v>1940</v>
      </c>
      <c r="C15" s="4" t="s">
        <v>398</v>
      </c>
      <c r="D15" t="s">
        <v>548</v>
      </c>
      <c r="E15" t="s">
        <v>1549</v>
      </c>
      <c r="F15">
        <v>78.106666524406961</v>
      </c>
      <c r="G15">
        <v>1.9888988259336799</v>
      </c>
      <c r="H15">
        <v>2.13</v>
      </c>
      <c r="I15" t="s">
        <v>717</v>
      </c>
      <c r="J15">
        <v>6.7500000000000004E-2</v>
      </c>
      <c r="K15" s="210">
        <f t="shared" si="6"/>
        <v>3.3938377920411524E-2</v>
      </c>
      <c r="L15" s="210"/>
      <c r="M15" s="210">
        <f t="shared" si="15"/>
        <v>-1.4693089185607413</v>
      </c>
      <c r="N15">
        <v>14.363700000000001</v>
      </c>
      <c r="O15">
        <v>1.1572663258814122</v>
      </c>
      <c r="P15">
        <v>3.7037037037037036E-13</v>
      </c>
      <c r="Q15">
        <v>-12.431363764158988</v>
      </c>
      <c r="R15">
        <v>5.3198888888888896E-12</v>
      </c>
      <c r="S15">
        <v>-11.274097438277575</v>
      </c>
      <c r="T15" s="2"/>
      <c r="U15" s="2"/>
      <c r="V15" s="2"/>
      <c r="W15" s="2"/>
      <c r="X15" s="7"/>
      <c r="Y15" s="2"/>
      <c r="Z15" s="2"/>
      <c r="AA15" s="7"/>
      <c r="AB15" s="69"/>
      <c r="AC15" s="2"/>
      <c r="AD15" s="2"/>
      <c r="AE15" s="2"/>
      <c r="AF15" s="7"/>
      <c r="AG15" s="2"/>
      <c r="AH15" s="2"/>
      <c r="AI15" s="7"/>
      <c r="AJ15" s="69"/>
      <c r="AK15" s="2"/>
      <c r="AL15" s="2"/>
      <c r="AM15" s="2"/>
      <c r="AN15" s="7"/>
      <c r="AO15" s="2"/>
      <c r="AP15" s="2"/>
      <c r="AQ15" s="2"/>
      <c r="AR15" s="2"/>
      <c r="AS15" s="2"/>
      <c r="AT15" s="2"/>
      <c r="AU15" s="2"/>
      <c r="AV15" s="2"/>
      <c r="AW15" s="2"/>
      <c r="AX15" s="2"/>
      <c r="BD15" s="6" t="s">
        <v>1827</v>
      </c>
      <c r="BE15" s="4">
        <v>0.1</v>
      </c>
      <c r="BF15" s="4" t="s">
        <v>1831</v>
      </c>
      <c r="BG15" s="206">
        <f>10^BG14</f>
        <v>0.89125093813374545</v>
      </c>
      <c r="BH15" s="206">
        <f t="shared" ref="BH15:BQ15" si="17">10^BH14</f>
        <v>0.91201083935590965</v>
      </c>
      <c r="BI15" s="206">
        <f t="shared" si="17"/>
        <v>0.93325430079699101</v>
      </c>
      <c r="BJ15" s="206">
        <f t="shared" si="17"/>
        <v>0.95499258602143589</v>
      </c>
      <c r="BK15" s="206">
        <f t="shared" si="17"/>
        <v>0.97723722095581067</v>
      </c>
      <c r="BL15" s="206">
        <f t="shared" si="17"/>
        <v>1</v>
      </c>
      <c r="BM15" s="206">
        <f t="shared" si="17"/>
        <v>1.0232929922807541</v>
      </c>
      <c r="BN15" s="206">
        <f t="shared" si="17"/>
        <v>1.0471285480508996</v>
      </c>
      <c r="BO15" s="206">
        <f t="shared" si="17"/>
        <v>1.0715193052376064</v>
      </c>
      <c r="BP15" s="206">
        <f t="shared" si="17"/>
        <v>1.0964781961431851</v>
      </c>
      <c r="BQ15" s="268">
        <f t="shared" si="17"/>
        <v>1.1220184543019636</v>
      </c>
      <c r="BS15" s="95">
        <f>BQ14/BG14</f>
        <v>-1</v>
      </c>
      <c r="BT15">
        <f>VLOOKUP(B15,Literatuur!$A:$B,2,FALSE)</f>
        <v>16</v>
      </c>
      <c r="BU15" s="138" t="str">
        <f t="shared" si="7"/>
        <v>Benzene</v>
      </c>
      <c r="BV15" s="138" t="str">
        <f t="shared" si="8"/>
        <v>HDPE</v>
      </c>
      <c r="BW15" s="138">
        <f t="shared" si="9"/>
        <v>6.7500000000000004E-2</v>
      </c>
      <c r="BX15" s="138">
        <f t="shared" si="10"/>
        <v>1.9888988259336799</v>
      </c>
      <c r="BY15" s="137">
        <f t="shared" si="11"/>
        <v>3.3938377920411524E-2</v>
      </c>
      <c r="BZ15" s="138">
        <f t="shared" si="12"/>
        <v>1.1572663258814122</v>
      </c>
      <c r="CA15" s="138">
        <f t="shared" si="13"/>
        <v>-12.431363764158988</v>
      </c>
      <c r="CB15" s="138">
        <f t="shared" si="14"/>
        <v>-11.274097438277575</v>
      </c>
    </row>
    <row r="16" spans="1:80" x14ac:dyDescent="0.2">
      <c r="A16" s="4" t="s">
        <v>1953</v>
      </c>
      <c r="B16" t="s">
        <v>1940</v>
      </c>
      <c r="C16" s="4" t="s">
        <v>398</v>
      </c>
      <c r="D16" t="s">
        <v>548</v>
      </c>
      <c r="E16" t="s">
        <v>1549</v>
      </c>
      <c r="F16">
        <v>78.106666524406961</v>
      </c>
      <c r="G16">
        <v>1.9888988259336799</v>
      </c>
      <c r="H16">
        <v>2.13</v>
      </c>
      <c r="I16" t="s">
        <v>717</v>
      </c>
      <c r="J16">
        <v>3.1199999999999999E-2</v>
      </c>
      <c r="K16" s="210">
        <f t="shared" si="6"/>
        <v>1.5687072460990215E-2</v>
      </c>
      <c r="L16" s="210"/>
      <c r="M16" s="210">
        <f t="shared" si="15"/>
        <v>-1.8044580973733235</v>
      </c>
      <c r="N16">
        <v>10.569677419354838</v>
      </c>
      <c r="O16">
        <v>1.0240617330849142</v>
      </c>
      <c r="P16">
        <v>3.5879629629629636E-13</v>
      </c>
      <c r="Q16">
        <v>-12.445152048644621</v>
      </c>
      <c r="R16">
        <v>3.7923611111111117E-12</v>
      </c>
      <c r="S16">
        <v>-11.421090315559706</v>
      </c>
      <c r="T16" s="2"/>
      <c r="U16" s="2"/>
      <c r="V16" s="2"/>
      <c r="W16" s="2"/>
      <c r="X16" s="7"/>
      <c r="Y16" s="2"/>
      <c r="Z16" s="2"/>
      <c r="AA16" s="7"/>
      <c r="AB16" s="69"/>
      <c r="AC16" s="2"/>
      <c r="AD16" s="2"/>
      <c r="AE16" s="2"/>
      <c r="AF16" s="7"/>
      <c r="AG16" s="2"/>
      <c r="AH16" s="2"/>
      <c r="AI16" s="7"/>
      <c r="AJ16" s="69"/>
      <c r="AK16" s="2"/>
      <c r="AL16" s="2"/>
      <c r="AM16" s="2"/>
      <c r="AN16" s="7"/>
      <c r="AO16" s="2"/>
      <c r="AP16" s="2"/>
      <c r="AQ16" s="2"/>
      <c r="AR16" s="2"/>
      <c r="AS16" s="2"/>
      <c r="AT16" s="2"/>
      <c r="AU16" s="2"/>
      <c r="AV16" s="2"/>
      <c r="AW16" s="2"/>
      <c r="AX16" s="2"/>
      <c r="BD16" s="380" t="s">
        <v>1829</v>
      </c>
      <c r="BQ16" s="3"/>
      <c r="BT16">
        <f>VLOOKUP(B16,Literatuur!$A:$B,2,FALSE)</f>
        <v>16</v>
      </c>
      <c r="BU16" s="138" t="str">
        <f t="shared" si="7"/>
        <v>Benzene</v>
      </c>
      <c r="BV16" s="138" t="str">
        <f t="shared" si="8"/>
        <v>HDPE</v>
      </c>
      <c r="BW16" s="138">
        <f t="shared" si="9"/>
        <v>3.1199999999999999E-2</v>
      </c>
      <c r="BX16" s="138">
        <f t="shared" si="10"/>
        <v>1.9888988259336799</v>
      </c>
      <c r="BY16" s="137">
        <f t="shared" si="11"/>
        <v>1.5687072460990215E-2</v>
      </c>
      <c r="BZ16" s="138">
        <f t="shared" si="12"/>
        <v>1.0240617330849142</v>
      </c>
      <c r="CA16" s="138">
        <f t="shared" si="13"/>
        <v>-12.445152048644621</v>
      </c>
      <c r="CB16" s="138">
        <f t="shared" si="14"/>
        <v>-11.421090315559706</v>
      </c>
    </row>
    <row r="17" spans="1:80" x14ac:dyDescent="0.2">
      <c r="A17" s="4" t="s">
        <v>1953</v>
      </c>
      <c r="B17" t="s">
        <v>1940</v>
      </c>
      <c r="C17" s="4" t="s">
        <v>398</v>
      </c>
      <c r="D17" t="s">
        <v>548</v>
      </c>
      <c r="E17" t="s">
        <v>1549</v>
      </c>
      <c r="F17">
        <v>78.106666524406961</v>
      </c>
      <c r="G17">
        <v>1.9888988259336799</v>
      </c>
      <c r="H17">
        <v>2.13</v>
      </c>
      <c r="I17" t="s">
        <v>717</v>
      </c>
      <c r="J17">
        <v>6.0000000000000001E-3</v>
      </c>
      <c r="K17" s="210">
        <f t="shared" si="6"/>
        <v>3.0167447040365795E-3</v>
      </c>
      <c r="L17" s="210"/>
      <c r="M17" s="210">
        <f t="shared" si="15"/>
        <v>-2.5204614410081225</v>
      </c>
      <c r="N17">
        <v>11.292840000000002</v>
      </c>
      <c r="O17">
        <v>1.0528031749829099</v>
      </c>
      <c r="P17">
        <v>2.8935185185185189E-13</v>
      </c>
      <c r="Q17">
        <v>-12.538573733806855</v>
      </c>
      <c r="R17">
        <v>3.2676041666666678E-12</v>
      </c>
      <c r="S17">
        <v>-11.485770558823946</v>
      </c>
      <c r="T17" s="2"/>
      <c r="U17" s="2"/>
      <c r="V17" s="2"/>
      <c r="W17" s="2"/>
      <c r="X17" s="7"/>
      <c r="Y17" s="2"/>
      <c r="Z17" s="2"/>
      <c r="AA17" s="7"/>
      <c r="AB17" s="69"/>
      <c r="AC17" s="2"/>
      <c r="AD17" s="2"/>
      <c r="AE17" s="2"/>
      <c r="AF17" s="7"/>
      <c r="AG17" s="2"/>
      <c r="AH17" s="2"/>
      <c r="AI17" s="7"/>
      <c r="AJ17" s="69"/>
      <c r="AK17" s="2"/>
      <c r="AL17" s="2"/>
      <c r="AM17" s="2"/>
      <c r="AN17" s="7"/>
      <c r="AO17" s="2"/>
      <c r="AP17" s="2"/>
      <c r="AQ17" s="2"/>
      <c r="AR17" s="2"/>
      <c r="AS17" s="2"/>
      <c r="AT17" s="2"/>
      <c r="AU17" s="2"/>
      <c r="AV17" s="2"/>
      <c r="AW17" s="2"/>
      <c r="AX17" s="2"/>
      <c r="BD17" s="6" t="s">
        <v>1818</v>
      </c>
      <c r="BE17" s="95">
        <v>1</v>
      </c>
      <c r="BF17" s="4" t="s">
        <v>1834</v>
      </c>
      <c r="BG17" s="95">
        <f>$BE18*(BG$12-$BE17)</f>
        <v>-0.78</v>
      </c>
      <c r="BH17" s="95">
        <f t="shared" ref="BH17" si="18">$BE18*(BH$12-$BE17)</f>
        <v>-0.70200000000000007</v>
      </c>
      <c r="BI17" s="95">
        <f t="shared" ref="BI17" si="19">$BE18*(BI$12-$BE17)</f>
        <v>-0.62400000000000011</v>
      </c>
      <c r="BJ17" s="95">
        <f t="shared" ref="BJ17" si="20">$BE18*(BJ$12-$BE17)</f>
        <v>-0.54599999999999993</v>
      </c>
      <c r="BK17" s="95">
        <f t="shared" ref="BK17" si="21">$BE18*(BK$12-$BE17)</f>
        <v>-0.46799999999999997</v>
      </c>
      <c r="BL17" s="95">
        <f t="shared" ref="BL17" si="22">$BE18*(BL$12-$BE17)</f>
        <v>-0.39</v>
      </c>
      <c r="BM17" s="95">
        <f t="shared" ref="BM17" si="23">$BE18*(BM$12-$BE17)</f>
        <v>-0.31200000000000006</v>
      </c>
      <c r="BN17" s="95">
        <f t="shared" ref="BN17" si="24">$BE18*(BN$12-$BE17)</f>
        <v>-0.23400000000000004</v>
      </c>
      <c r="BO17" s="95">
        <f t="shared" ref="BO17" si="25">$BE18*(BO$12-$BE17)</f>
        <v>-0.15599999999999997</v>
      </c>
      <c r="BP17" s="95">
        <f t="shared" ref="BP17" si="26">$BE18*(BP$12-$BE17)</f>
        <v>-7.7999999999999986E-2</v>
      </c>
      <c r="BQ17" s="242">
        <f t="shared" ref="BQ17" si="27">$BE18*(BQ$12-$BE17)</f>
        <v>0</v>
      </c>
      <c r="BT17">
        <f>VLOOKUP(B17,Literatuur!$A:$B,2,FALSE)</f>
        <v>16</v>
      </c>
      <c r="BU17" s="138" t="str">
        <f t="shared" si="7"/>
        <v>Benzene</v>
      </c>
      <c r="BV17" s="138" t="str">
        <f t="shared" si="8"/>
        <v>HDPE</v>
      </c>
      <c r="BW17" s="138">
        <f t="shared" si="9"/>
        <v>6.0000000000000001E-3</v>
      </c>
      <c r="BX17" s="138">
        <f t="shared" si="10"/>
        <v>1.9888988259336799</v>
      </c>
      <c r="BY17" s="137">
        <f t="shared" si="11"/>
        <v>3.0167447040365795E-3</v>
      </c>
      <c r="BZ17" s="138">
        <f t="shared" si="12"/>
        <v>1.0528031749829099</v>
      </c>
      <c r="CA17" s="138">
        <f t="shared" si="13"/>
        <v>-12.538573733806855</v>
      </c>
      <c r="CB17" s="138">
        <f t="shared" si="14"/>
        <v>-11.485770558823946</v>
      </c>
    </row>
    <row r="18" spans="1:80" ht="15.75" x14ac:dyDescent="0.3">
      <c r="A18" s="4" t="s">
        <v>1953</v>
      </c>
      <c r="B18" t="s">
        <v>1940</v>
      </c>
      <c r="C18" s="4" t="s">
        <v>398</v>
      </c>
      <c r="D18" t="s">
        <v>548</v>
      </c>
      <c r="E18" t="s">
        <v>1549</v>
      </c>
      <c r="F18">
        <v>78.106666524406961</v>
      </c>
      <c r="G18">
        <v>1.9888988259336799</v>
      </c>
      <c r="H18">
        <v>2.13</v>
      </c>
      <c r="I18" t="s">
        <v>717</v>
      </c>
      <c r="J18">
        <v>5.9999999999999995E-4</v>
      </c>
      <c r="K18" s="210">
        <f t="shared" si="6"/>
        <v>3.0167447040365796E-4</v>
      </c>
      <c r="L18" s="210"/>
      <c r="M18" s="210">
        <f t="shared" si="15"/>
        <v>-3.5204614410081225</v>
      </c>
      <c r="N18">
        <v>15.189200000000001</v>
      </c>
      <c r="O18">
        <v>1.1815349006083489</v>
      </c>
      <c r="P18">
        <v>1.7361111111111111E-13</v>
      </c>
      <c r="Q18">
        <v>-12.760422483423213</v>
      </c>
      <c r="R18">
        <v>2.6370138888888893E-12</v>
      </c>
      <c r="S18">
        <v>-11.578887582814863</v>
      </c>
      <c r="T18" s="2"/>
      <c r="U18" s="2"/>
      <c r="V18" s="2"/>
      <c r="W18" s="2"/>
      <c r="X18" s="7"/>
      <c r="Y18" s="2"/>
      <c r="Z18" s="2"/>
      <c r="AA18" s="7"/>
      <c r="AB18" s="69"/>
      <c r="AC18" s="2"/>
      <c r="AD18" s="2"/>
      <c r="AE18" s="2"/>
      <c r="AF18" s="7"/>
      <c r="AG18" s="2"/>
      <c r="AH18" s="2"/>
      <c r="AI18" s="7"/>
      <c r="AJ18" s="69"/>
      <c r="AK18" s="2"/>
      <c r="AL18" s="2"/>
      <c r="AM18" s="2"/>
      <c r="AN18" s="7"/>
      <c r="AO18" s="2"/>
      <c r="AP18" s="2"/>
      <c r="AQ18" s="2"/>
      <c r="AR18" s="2"/>
      <c r="AS18" s="2"/>
      <c r="AT18" s="2"/>
      <c r="AU18" s="2"/>
      <c r="AV18" s="2"/>
      <c r="AW18" s="2"/>
      <c r="AX18" s="2"/>
      <c r="BD18" s="6" t="s">
        <v>1830</v>
      </c>
      <c r="BE18" s="4">
        <v>0.78</v>
      </c>
      <c r="BF18" s="4" t="s">
        <v>1828</v>
      </c>
      <c r="BG18" s="206">
        <f>10^BG17</f>
        <v>0.16595869074375599</v>
      </c>
      <c r="BH18" s="206">
        <f t="shared" ref="BH18" si="28">10^BH17</f>
        <v>0.19860949173573711</v>
      </c>
      <c r="BI18" s="206">
        <f t="shared" ref="BI18" si="29">10^BI17</f>
        <v>0.23768402866248756</v>
      </c>
      <c r="BJ18" s="206">
        <f t="shared" ref="BJ18" si="30">10^BJ17</f>
        <v>0.28444611074479159</v>
      </c>
      <c r="BK18" s="206">
        <f t="shared" ref="BK18" si="31">10^BK17</f>
        <v>0.34040818970100084</v>
      </c>
      <c r="BL18" s="206">
        <f t="shared" ref="BL18" si="32">10^BL17</f>
        <v>0.40738027780411268</v>
      </c>
      <c r="BM18" s="206">
        <f t="shared" ref="BM18" si="33">10^BM17</f>
        <v>0.48752849010338617</v>
      </c>
      <c r="BN18" s="206">
        <f t="shared" ref="BN18" si="34">10^BN17</f>
        <v>0.58344510427374463</v>
      </c>
      <c r="BO18" s="206">
        <f t="shared" ref="BO18" si="35">10^BO17</f>
        <v>0.69823240407717146</v>
      </c>
      <c r="BP18" s="206">
        <f t="shared" ref="BP18" si="36">10^BP17</f>
        <v>0.83560301823124805</v>
      </c>
      <c r="BQ18" s="268">
        <f t="shared" ref="BQ18" si="37">10^BQ17</f>
        <v>1</v>
      </c>
      <c r="BT18">
        <f>VLOOKUP(B18,Literatuur!$A:$B,2,FALSE)</f>
        <v>16</v>
      </c>
      <c r="BU18" s="138" t="str">
        <f t="shared" si="7"/>
        <v>Benzene</v>
      </c>
      <c r="BV18" s="138" t="str">
        <f t="shared" si="8"/>
        <v>HDPE</v>
      </c>
      <c r="BW18" s="138">
        <f t="shared" si="9"/>
        <v>5.9999999999999995E-4</v>
      </c>
      <c r="BX18" s="138">
        <f t="shared" si="10"/>
        <v>1.9888988259336799</v>
      </c>
      <c r="BY18" s="137">
        <f t="shared" si="11"/>
        <v>3.0167447040365796E-4</v>
      </c>
      <c r="BZ18" s="138">
        <f t="shared" si="12"/>
        <v>1.1815349006083489</v>
      </c>
      <c r="CA18" s="138">
        <f t="shared" si="13"/>
        <v>-12.760422483423213</v>
      </c>
      <c r="CB18" s="138">
        <f t="shared" si="14"/>
        <v>-11.578887582814863</v>
      </c>
    </row>
    <row r="19" spans="1:80" x14ac:dyDescent="0.2">
      <c r="A19" s="4" t="s">
        <v>1954</v>
      </c>
      <c r="B19" t="s">
        <v>1236</v>
      </c>
      <c r="C19" s="4" t="s">
        <v>1571</v>
      </c>
      <c r="D19" t="s">
        <v>548</v>
      </c>
      <c r="E19" t="s">
        <v>1549</v>
      </c>
      <c r="F19">
        <v>78.106666524406961</v>
      </c>
      <c r="G19">
        <v>1.9888988259336799</v>
      </c>
      <c r="H19">
        <v>2.13</v>
      </c>
      <c r="I19" t="s">
        <v>717</v>
      </c>
      <c r="J19">
        <v>3.0000000000000001E-3</v>
      </c>
      <c r="K19" s="210">
        <f t="shared" si="6"/>
        <v>1.5083723520182897E-3</v>
      </c>
      <c r="L19" s="210"/>
      <c r="M19" s="210">
        <f t="shared" si="15"/>
        <v>-2.8214914366721038</v>
      </c>
      <c r="N19">
        <v>28</v>
      </c>
      <c r="O19">
        <v>1.4471580313422192</v>
      </c>
      <c r="T19" s="2"/>
      <c r="U19" s="2"/>
      <c r="V19" s="2"/>
      <c r="W19" s="2"/>
      <c r="X19" s="7"/>
      <c r="Y19" s="2"/>
      <c r="Z19" s="2"/>
      <c r="AA19" s="7"/>
      <c r="AB19" s="69"/>
      <c r="AC19" s="2"/>
      <c r="AD19" s="2"/>
      <c r="AE19" s="2"/>
      <c r="AF19" s="7"/>
      <c r="AG19" s="2"/>
      <c r="AH19" s="2"/>
      <c r="AI19" s="7"/>
      <c r="AJ19" s="69"/>
      <c r="AK19" s="2"/>
      <c r="AL19" s="2"/>
      <c r="AM19" s="2"/>
      <c r="AN19" s="7"/>
      <c r="AO19" s="2"/>
      <c r="AP19" s="2"/>
      <c r="AQ19" s="2"/>
      <c r="AR19" s="2"/>
      <c r="AS19" s="2"/>
      <c r="AT19" s="2"/>
      <c r="AU19" s="2"/>
      <c r="AV19" s="2"/>
      <c r="AW19" s="2"/>
      <c r="AX19" s="2"/>
      <c r="BD19" s="381" t="s">
        <v>1837</v>
      </c>
      <c r="BE19" s="4"/>
      <c r="BF19" s="4"/>
      <c r="BG19" s="206"/>
      <c r="BH19" s="206"/>
      <c r="BI19" s="206"/>
      <c r="BJ19" s="206"/>
      <c r="BK19" s="206"/>
      <c r="BL19" s="206"/>
      <c r="BM19" s="206"/>
      <c r="BN19" s="206"/>
      <c r="BO19" s="206"/>
      <c r="BP19" s="206"/>
      <c r="BQ19" s="268"/>
      <c r="BT19">
        <f>VLOOKUP(B19,Literatuur!$A:$B,2,FALSE)</f>
        <v>26</v>
      </c>
      <c r="BU19" s="138" t="str">
        <f t="shared" si="7"/>
        <v>Benzene</v>
      </c>
      <c r="BV19" s="138" t="str">
        <f t="shared" si="8"/>
        <v>HDPE</v>
      </c>
      <c r="BW19" s="138">
        <f t="shared" si="9"/>
        <v>3.0000000000000001E-3</v>
      </c>
      <c r="BX19" s="138">
        <f t="shared" si="10"/>
        <v>1.9888988259336799</v>
      </c>
      <c r="BY19" s="137">
        <f t="shared" si="11"/>
        <v>1.5083723520182897E-3</v>
      </c>
      <c r="BZ19" s="138">
        <f t="shared" si="12"/>
        <v>1.4471580313422192</v>
      </c>
      <c r="CA19" s="138" t="str">
        <f t="shared" si="13"/>
        <v/>
      </c>
      <c r="CB19" s="138" t="str">
        <f t="shared" si="14"/>
        <v/>
      </c>
    </row>
    <row r="20" spans="1:80" ht="15.75" x14ac:dyDescent="0.3">
      <c r="A20" s="4" t="s">
        <v>1954</v>
      </c>
      <c r="B20" t="s">
        <v>1236</v>
      </c>
      <c r="C20" s="4" t="s">
        <v>1571</v>
      </c>
      <c r="D20" t="s">
        <v>548</v>
      </c>
      <c r="E20" t="s">
        <v>1549</v>
      </c>
      <c r="F20">
        <v>78.106666524406961</v>
      </c>
      <c r="G20">
        <v>1.9888988259336799</v>
      </c>
      <c r="H20">
        <v>2.13</v>
      </c>
      <c r="I20" t="s">
        <v>717</v>
      </c>
      <c r="J20">
        <v>3.0000000000000001E-3</v>
      </c>
      <c r="K20" s="210">
        <f t="shared" si="6"/>
        <v>1.5083723520182897E-3</v>
      </c>
      <c r="L20" s="210"/>
      <c r="M20" s="210">
        <f t="shared" si="15"/>
        <v>-2.8214914366721038</v>
      </c>
      <c r="N20">
        <v>30</v>
      </c>
      <c r="O20">
        <v>1.4771212547196624</v>
      </c>
      <c r="P20">
        <v>3.5000000000000002E-13</v>
      </c>
      <c r="Q20">
        <v>-12.455931955649724</v>
      </c>
      <c r="R20">
        <v>1.0500000000000001E-11</v>
      </c>
      <c r="S20">
        <v>-10.978810700930062</v>
      </c>
      <c r="T20" s="2"/>
      <c r="U20" s="2"/>
      <c r="V20" s="2"/>
      <c r="W20" s="2"/>
      <c r="X20" s="7"/>
      <c r="Y20" s="2"/>
      <c r="Z20" s="2"/>
      <c r="AA20" s="7"/>
      <c r="AB20" s="69"/>
      <c r="AC20" s="2"/>
      <c r="AD20" s="2"/>
      <c r="AE20" s="2"/>
      <c r="AF20" s="7"/>
      <c r="AG20" s="2"/>
      <c r="AH20" s="2"/>
      <c r="AI20" s="7"/>
      <c r="AJ20" s="69"/>
      <c r="AK20" s="2"/>
      <c r="AL20" s="2"/>
      <c r="AM20" s="2"/>
      <c r="AN20" s="7"/>
      <c r="AO20" s="2"/>
      <c r="AP20" s="2"/>
      <c r="AQ20" s="2"/>
      <c r="AR20" s="2"/>
      <c r="AS20" s="2"/>
      <c r="AT20" s="2"/>
      <c r="AU20" s="2"/>
      <c r="AV20" s="2"/>
      <c r="AW20" s="2"/>
      <c r="AX20" s="2"/>
      <c r="BD20" s="6" t="s">
        <v>1832</v>
      </c>
      <c r="BE20" s="4"/>
      <c r="BF20" s="4" t="s">
        <v>1835</v>
      </c>
      <c r="BG20" s="95">
        <f>BG17+BG14</f>
        <v>-0.83000000000000007</v>
      </c>
      <c r="BH20" s="95">
        <f t="shared" ref="BH20:BQ20" si="38">BH17+BH14</f>
        <v>-0.7420000000000001</v>
      </c>
      <c r="BI20" s="95">
        <f t="shared" si="38"/>
        <v>-0.65400000000000014</v>
      </c>
      <c r="BJ20" s="95">
        <f t="shared" si="38"/>
        <v>-0.56599999999999995</v>
      </c>
      <c r="BK20" s="95">
        <f t="shared" si="38"/>
        <v>-0.47799999999999998</v>
      </c>
      <c r="BL20" s="95">
        <f t="shared" si="38"/>
        <v>-0.39</v>
      </c>
      <c r="BM20" s="95">
        <f t="shared" si="38"/>
        <v>-0.30200000000000005</v>
      </c>
      <c r="BN20" s="95">
        <f t="shared" si="38"/>
        <v>-0.21400000000000005</v>
      </c>
      <c r="BO20" s="95">
        <f t="shared" si="38"/>
        <v>-0.12599999999999997</v>
      </c>
      <c r="BP20" s="95">
        <f t="shared" si="38"/>
        <v>-3.7999999999999978E-2</v>
      </c>
      <c r="BQ20" s="242">
        <f t="shared" si="38"/>
        <v>0.05</v>
      </c>
      <c r="BT20">
        <f>VLOOKUP(B20,Literatuur!$A:$B,2,FALSE)</f>
        <v>26</v>
      </c>
      <c r="BU20" s="138" t="str">
        <f t="shared" si="7"/>
        <v>Benzene</v>
      </c>
      <c r="BV20" s="138" t="str">
        <f t="shared" si="8"/>
        <v>HDPE</v>
      </c>
      <c r="BW20" s="138">
        <f t="shared" si="9"/>
        <v>3.0000000000000001E-3</v>
      </c>
      <c r="BX20" s="138">
        <f t="shared" si="10"/>
        <v>1.9888988259336799</v>
      </c>
      <c r="BY20" s="137">
        <f t="shared" si="11"/>
        <v>1.5083723520182897E-3</v>
      </c>
      <c r="BZ20" s="138">
        <f t="shared" si="12"/>
        <v>1.4771212547196624</v>
      </c>
      <c r="CA20" s="138">
        <f t="shared" si="13"/>
        <v>-12.455931955649724</v>
      </c>
      <c r="CB20" s="138">
        <f t="shared" si="14"/>
        <v>-10.978810700930062</v>
      </c>
    </row>
    <row r="21" spans="1:80" x14ac:dyDescent="0.2">
      <c r="A21" s="4" t="s">
        <v>1955</v>
      </c>
      <c r="B21" t="s">
        <v>430</v>
      </c>
      <c r="C21" s="4" t="s">
        <v>60</v>
      </c>
      <c r="D21" t="s">
        <v>548</v>
      </c>
      <c r="E21" t="s">
        <v>1549</v>
      </c>
      <c r="F21">
        <v>78.106666524406961</v>
      </c>
      <c r="G21">
        <v>1.9888988259336799</v>
      </c>
      <c r="H21">
        <v>2.13</v>
      </c>
      <c r="I21" t="s">
        <v>717</v>
      </c>
      <c r="J21">
        <v>1.9888988259336799</v>
      </c>
      <c r="K21" s="210">
        <f t="shared" si="6"/>
        <v>1</v>
      </c>
      <c r="L21" s="210"/>
      <c r="M21" s="210">
        <f t="shared" si="15"/>
        <v>0</v>
      </c>
      <c r="N21">
        <v>33.435587136405424</v>
      </c>
      <c r="O21">
        <v>1.5242089539113384</v>
      </c>
      <c r="T21" s="2"/>
      <c r="U21" s="2"/>
      <c r="V21" s="2"/>
      <c r="W21" s="2"/>
      <c r="X21" s="7"/>
      <c r="Y21" s="2"/>
      <c r="Z21" s="2"/>
      <c r="AA21" s="7"/>
      <c r="AB21" s="69"/>
      <c r="AC21" s="2"/>
      <c r="AD21" s="2"/>
      <c r="AE21" s="2"/>
      <c r="AF21" s="7"/>
      <c r="AG21" s="2"/>
      <c r="AH21" s="2"/>
      <c r="AI21" s="7"/>
      <c r="AJ21" s="69"/>
      <c r="AK21" s="2"/>
      <c r="AL21" s="2"/>
      <c r="AM21" s="2"/>
      <c r="AN21" s="7"/>
      <c r="AO21" s="2"/>
      <c r="AP21" s="2"/>
      <c r="AQ21" s="2"/>
      <c r="AR21" s="2"/>
      <c r="AS21" s="2"/>
      <c r="AT21" s="2"/>
      <c r="AU21" s="2"/>
      <c r="AV21" s="2"/>
      <c r="AW21" s="2"/>
      <c r="AX21" s="2"/>
      <c r="BD21" s="334"/>
      <c r="BE21" s="14"/>
      <c r="BF21" s="14" t="s">
        <v>1836</v>
      </c>
      <c r="BG21" s="382">
        <f>10^BG20</f>
        <v>0.14791083881682071</v>
      </c>
      <c r="BH21" s="382">
        <f t="shared" ref="BH21:BQ21" si="39">10^BH20</f>
        <v>0.18113400926196019</v>
      </c>
      <c r="BI21" s="382">
        <f t="shared" si="39"/>
        <v>0.22181964198002183</v>
      </c>
      <c r="BJ21" s="382">
        <f t="shared" si="39"/>
        <v>0.27164392688390826</v>
      </c>
      <c r="BK21" s="382">
        <f t="shared" si="39"/>
        <v>0.33265955329400454</v>
      </c>
      <c r="BL21" s="382">
        <f t="shared" si="39"/>
        <v>0.40738027780411268</v>
      </c>
      <c r="BM21" s="382">
        <f t="shared" si="39"/>
        <v>0.49888448746001213</v>
      </c>
      <c r="BN21" s="382">
        <f t="shared" si="39"/>
        <v>0.61094202490557192</v>
      </c>
      <c r="BO21" s="382">
        <f t="shared" si="39"/>
        <v>0.74816950051115427</v>
      </c>
      <c r="BP21" s="382">
        <f t="shared" si="39"/>
        <v>0.91622049012199991</v>
      </c>
      <c r="BQ21" s="383">
        <f t="shared" si="39"/>
        <v>1.1220184543019636</v>
      </c>
      <c r="BT21">
        <f>VLOOKUP(B21,Literatuur!$A:$B,2,FALSE)</f>
        <v>37</v>
      </c>
      <c r="BU21" s="138" t="str">
        <f t="shared" si="7"/>
        <v>Benzene</v>
      </c>
      <c r="BV21" s="138" t="str">
        <f t="shared" si="8"/>
        <v>HDPE</v>
      </c>
      <c r="BW21" s="138">
        <f t="shared" si="9"/>
        <v>1.9888988259336799</v>
      </c>
      <c r="BX21" s="138">
        <f t="shared" si="10"/>
        <v>1.9888988259336799</v>
      </c>
      <c r="BY21" s="137">
        <f t="shared" si="11"/>
        <v>1</v>
      </c>
      <c r="BZ21" s="138">
        <f t="shared" si="12"/>
        <v>1.5242089539113384</v>
      </c>
      <c r="CA21" s="138" t="str">
        <f t="shared" si="13"/>
        <v/>
      </c>
      <c r="CB21" s="138" t="str">
        <f t="shared" si="14"/>
        <v/>
      </c>
    </row>
    <row r="22" spans="1:80" x14ac:dyDescent="0.2">
      <c r="A22" s="4"/>
      <c r="K22" s="210"/>
      <c r="L22" s="210"/>
      <c r="M22" s="210"/>
      <c r="T22" s="5"/>
      <c r="U22" s="5"/>
      <c r="V22" s="5"/>
      <c r="W22" s="5"/>
      <c r="X22" s="22"/>
      <c r="Y22" s="5"/>
      <c r="Z22" s="5"/>
      <c r="AA22" s="22"/>
      <c r="AB22" s="70"/>
      <c r="AC22" s="5"/>
      <c r="AD22" s="5"/>
      <c r="AE22" s="5"/>
      <c r="AF22" s="22"/>
      <c r="AG22" s="5"/>
      <c r="AH22" s="5"/>
      <c r="AI22" s="22"/>
      <c r="AJ22" s="70"/>
      <c r="AK22" s="5"/>
      <c r="AL22" s="5"/>
      <c r="AM22" s="5"/>
      <c r="AN22" s="22"/>
      <c r="AO22" s="5"/>
      <c r="AP22" s="5"/>
      <c r="AQ22" s="5"/>
      <c r="AR22" s="5"/>
      <c r="AS22" s="5"/>
      <c r="AT22" s="5"/>
      <c r="AU22" s="5"/>
      <c r="AV22" s="5"/>
      <c r="AW22" s="5"/>
      <c r="AX22" s="5"/>
      <c r="BU22" s="138"/>
      <c r="BV22" s="138"/>
      <c r="BW22" s="138"/>
      <c r="BX22" s="138"/>
      <c r="BZ22" s="138"/>
      <c r="CA22" s="138"/>
      <c r="CB22" s="138"/>
    </row>
    <row r="23" spans="1:80" x14ac:dyDescent="0.2">
      <c r="A23" s="1" t="s">
        <v>1576</v>
      </c>
      <c r="K23" s="137"/>
      <c r="L23" s="137"/>
      <c r="M23" s="137"/>
      <c r="T23" s="5"/>
      <c r="U23" s="5"/>
      <c r="V23" s="5"/>
      <c r="W23" s="5"/>
      <c r="X23" s="22"/>
      <c r="Y23" s="5"/>
      <c r="Z23" s="5"/>
      <c r="AA23" s="22"/>
      <c r="AB23" s="70"/>
      <c r="AC23" s="5"/>
      <c r="AD23" s="5"/>
      <c r="AE23" s="5"/>
      <c r="AF23" s="22"/>
      <c r="AG23" s="5"/>
      <c r="AH23" s="5"/>
      <c r="AI23" s="22"/>
      <c r="AJ23" s="70"/>
      <c r="AK23" s="5"/>
      <c r="AL23" s="5"/>
      <c r="AM23" s="5"/>
      <c r="AN23" s="22"/>
      <c r="AO23" s="5"/>
      <c r="AP23" s="5"/>
      <c r="AQ23" s="5"/>
      <c r="AR23" s="106"/>
      <c r="AS23" s="106"/>
      <c r="AT23" s="106"/>
      <c r="AU23" s="106"/>
      <c r="AV23" s="106"/>
      <c r="AW23" s="106"/>
      <c r="AX23" s="106"/>
      <c r="BU23" s="138"/>
      <c r="BV23" s="138"/>
      <c r="BW23" s="138"/>
      <c r="BX23" s="138"/>
      <c r="BZ23" s="138"/>
      <c r="CA23" s="138"/>
      <c r="CB23" s="138"/>
    </row>
    <row r="24" spans="1:80" x14ac:dyDescent="0.2">
      <c r="A24" s="4" t="s">
        <v>1956</v>
      </c>
      <c r="B24" t="s">
        <v>1938</v>
      </c>
      <c r="C24" s="4" t="s">
        <v>1561</v>
      </c>
      <c r="D24" t="s">
        <v>492</v>
      </c>
      <c r="E24" t="s">
        <v>1549</v>
      </c>
      <c r="F24">
        <v>92.14249284505685</v>
      </c>
      <c r="G24">
        <v>0.61059105234897149</v>
      </c>
      <c r="H24">
        <v>2.73</v>
      </c>
      <c r="I24" t="s">
        <v>717</v>
      </c>
      <c r="J24">
        <v>0.61059105234897149</v>
      </c>
      <c r="K24" s="210">
        <f>J24/G24</f>
        <v>1</v>
      </c>
      <c r="L24" s="210">
        <f>AVERAGE(K24:K49)</f>
        <v>0.53746369998708443</v>
      </c>
      <c r="M24" s="210">
        <f>LOG(K24)</f>
        <v>0</v>
      </c>
      <c r="N24">
        <v>170.78533921981023</v>
      </c>
      <c r="O24">
        <v>2.2324505866737399</v>
      </c>
      <c r="P24">
        <v>6.8000000000000001E-12</v>
      </c>
      <c r="Q24">
        <v>-11.167491087293763</v>
      </c>
      <c r="R24">
        <v>1.1613403066947095E-9</v>
      </c>
      <c r="S24">
        <v>-8.9350405006200244</v>
      </c>
      <c r="T24" s="106">
        <f>SLOPE(O24:O49,$K24:$K49)</f>
        <v>0.18332265274813428</v>
      </c>
      <c r="U24" s="106">
        <f>INTERCEPT(O24:O49,$K24:$K49)</f>
        <v>2.0353003487186108</v>
      </c>
      <c r="V24" s="106">
        <f>RSQ(O24:O49,$K24:$K49)</f>
        <v>0.30125203183330168</v>
      </c>
      <c r="W24" s="106">
        <f>STEYX(O23:O49,$K23:$K49)</f>
        <v>0.13873980724891144</v>
      </c>
      <c r="X24" s="296">
        <f>_xlfn.T.INV.2T(0.05,COUNT($K23:$K49)-1)*W24</f>
        <v>0.29571689911174293</v>
      </c>
      <c r="Y24" s="106">
        <f>SLOPE(O24:O49,$M24:$M49)</f>
        <v>9.1382601774166419E-2</v>
      </c>
      <c r="Z24" s="106">
        <f>INTERCEPT(O24:O49,$M24:$M49)</f>
        <v>2.195049844857937</v>
      </c>
      <c r="AA24" s="296">
        <f>RSQ(O24:O49,$M24:$M49)</f>
        <v>0.24278291807405758</v>
      </c>
      <c r="AB24" s="295">
        <f>SLOPE(Q24:Q49,$K24:$K49)</f>
        <v>1.2009113084662855</v>
      </c>
      <c r="AC24" s="106">
        <f>INTERCEPT(Q24:Q49,$K24:$K49)</f>
        <v>-12.557355864302934</v>
      </c>
      <c r="AD24" s="106">
        <f>RSQ(Q24:Q49,$K24:$K49)</f>
        <v>0.92292702744021826</v>
      </c>
      <c r="AE24" s="106">
        <f>STEYX(Q23:Q49,$K23:$K49)</f>
        <v>0.17082059098479835</v>
      </c>
      <c r="AF24" s="296">
        <f>_xlfn.T.INV.2T(0.05,COUNT($K23:$K49)-1)*AE24</f>
        <v>0.36409547102680051</v>
      </c>
      <c r="AG24" s="106">
        <f>SLOPE(Q24:Q49,$M24:$M49)</f>
        <v>0.67790088780460411</v>
      </c>
      <c r="AH24" s="106">
        <f>INTERCEPT(Q24:Q49,$M24:$M49)</f>
        <v>-11.465866995591666</v>
      </c>
      <c r="AI24" s="296">
        <f>RSQ(Q24:Q49,$M24:$M49)</f>
        <v>0.74555839922796563</v>
      </c>
      <c r="AJ24" s="295">
        <f>SLOPE(S24:S49,$K24:$K49)</f>
        <v>1.3796708953177332</v>
      </c>
      <c r="AK24" s="106">
        <f>INTERCEPT(S24:S49,$K24:$K49)</f>
        <v>-10.520940237579328</v>
      </c>
      <c r="AL24" s="106">
        <f>RSQ(S24:S49,$K24:$K49)</f>
        <v>0.89246213264660579</v>
      </c>
      <c r="AM24" s="106">
        <f>STEYX(S23:S49,$K23:$K49)</f>
        <v>0.23853697043449956</v>
      </c>
      <c r="AN24" s="296">
        <f>_xlfn.T.INV.2T(0.05,COUNT($K23:$K49)-1)*AM24</f>
        <v>0.50842951723181939</v>
      </c>
      <c r="AO24" s="106">
        <f>SLOPE(S24:S49,$M24:$M49)</f>
        <v>0.75707618096638718</v>
      </c>
      <c r="AP24" s="106">
        <f>INTERCEPT(S24:S49,$M24:$M49)</f>
        <v>-9.3012419456290516</v>
      </c>
      <c r="AQ24" s="106">
        <f>RSQ(S24:S49,$M24:$M49)</f>
        <v>0.70585855229748085</v>
      </c>
      <c r="BT24">
        <f>VLOOKUP(B24,Literatuur!$A:$B,2,FALSE)</f>
        <v>3</v>
      </c>
      <c r="BU24" s="138" t="str">
        <f t="shared" ref="BU24:BU49" si="40">D24</f>
        <v>Toluene</v>
      </c>
      <c r="BV24" s="138" t="str">
        <f t="shared" ref="BV24:BV49" si="41">I24</f>
        <v>HDPE</v>
      </c>
      <c r="BW24" s="138">
        <f t="shared" ref="BW24:BW49" si="42">J24</f>
        <v>0.61059105234897149</v>
      </c>
      <c r="BX24" s="138">
        <f t="shared" ref="BX24:BX49" si="43">G24</f>
        <v>0.61059105234897149</v>
      </c>
      <c r="BY24" s="137">
        <f>K24</f>
        <v>1</v>
      </c>
      <c r="BZ24" s="138">
        <f t="shared" ref="BZ24:BZ49" si="44">IF(ISNUMBER(O24),O24,"")</f>
        <v>2.2324505866737399</v>
      </c>
      <c r="CA24" s="138">
        <f t="shared" ref="CA24:CA49" si="45">IF(ISNUMBER(Q24),Q24,"")</f>
        <v>-11.167491087293763</v>
      </c>
      <c r="CB24" s="138">
        <f>IF(ISNUMBER(S24),S24,"")</f>
        <v>-8.9350405006200244</v>
      </c>
    </row>
    <row r="25" spans="1:80" x14ac:dyDescent="0.2">
      <c r="A25" s="4" t="s">
        <v>1956</v>
      </c>
      <c r="B25" t="s">
        <v>1938</v>
      </c>
      <c r="C25" s="4" t="s">
        <v>1561</v>
      </c>
      <c r="D25" t="s">
        <v>492</v>
      </c>
      <c r="E25" t="s">
        <v>1549</v>
      </c>
      <c r="F25">
        <v>92.14249284505685</v>
      </c>
      <c r="G25">
        <v>0.61059105234897149</v>
      </c>
      <c r="H25">
        <v>2.73</v>
      </c>
      <c r="I25" t="s">
        <v>717</v>
      </c>
      <c r="J25">
        <v>0.61059105234897149</v>
      </c>
      <c r="K25" s="210">
        <f>J25/G25</f>
        <v>1</v>
      </c>
      <c r="L25" s="210"/>
      <c r="M25" s="210">
        <f>LOG(K25)</f>
        <v>0</v>
      </c>
      <c r="P25">
        <v>6.9999999999999993E-12</v>
      </c>
      <c r="Q25">
        <v>-11.154901959985743</v>
      </c>
      <c r="X25" s="3"/>
      <c r="AA25" s="3"/>
      <c r="AB25" s="17"/>
      <c r="AF25" s="3"/>
      <c r="AI25" s="3"/>
      <c r="AJ25" s="17"/>
      <c r="AN25" s="3"/>
      <c r="BT25">
        <f>VLOOKUP(B25,Literatuur!$A:$B,2,FALSE)</f>
        <v>3</v>
      </c>
      <c r="BU25" s="138" t="str">
        <f t="shared" si="40"/>
        <v>Toluene</v>
      </c>
      <c r="BV25" s="138" t="str">
        <f t="shared" si="41"/>
        <v>HDPE</v>
      </c>
      <c r="BW25" s="138">
        <f t="shared" si="42"/>
        <v>0.61059105234897149</v>
      </c>
      <c r="BX25" s="138">
        <f t="shared" si="43"/>
        <v>0.61059105234897149</v>
      </c>
      <c r="BY25" s="137">
        <f>K25</f>
        <v>1</v>
      </c>
      <c r="BZ25" s="138" t="str">
        <f t="shared" si="44"/>
        <v/>
      </c>
      <c r="CA25" s="138">
        <f t="shared" si="45"/>
        <v>-11.154901959985743</v>
      </c>
      <c r="CB25" s="138"/>
    </row>
    <row r="26" spans="1:80" x14ac:dyDescent="0.2">
      <c r="A26" s="4" t="s">
        <v>1957</v>
      </c>
      <c r="B26" t="s">
        <v>1936</v>
      </c>
      <c r="C26" s="4" t="s">
        <v>1562</v>
      </c>
      <c r="D26" t="s">
        <v>492</v>
      </c>
      <c r="E26" t="s">
        <v>1549</v>
      </c>
      <c r="F26">
        <v>92.14249284505685</v>
      </c>
      <c r="G26">
        <v>0.61059105234897149</v>
      </c>
      <c r="H26">
        <v>2.73</v>
      </c>
      <c r="I26" t="s">
        <v>717</v>
      </c>
      <c r="J26">
        <v>0.61059105234897149</v>
      </c>
      <c r="K26" s="210">
        <f>J26/G26</f>
        <v>1</v>
      </c>
      <c r="L26" s="210"/>
      <c r="M26" s="210">
        <f>LOG(K26)</f>
        <v>0</v>
      </c>
      <c r="N26">
        <v>169.50788846615228</v>
      </c>
      <c r="O26">
        <v>2.229189913970385</v>
      </c>
      <c r="P26">
        <v>6.0999999999999995E-12</v>
      </c>
      <c r="Q26">
        <v>-11.214670164989233</v>
      </c>
      <c r="R26">
        <v>1.0339981196435288E-9</v>
      </c>
      <c r="S26">
        <v>-8.9854802510188474</v>
      </c>
      <c r="X26" s="3"/>
      <c r="AA26" s="3"/>
      <c r="AB26" s="17"/>
      <c r="AF26" s="3"/>
      <c r="AI26" s="3"/>
      <c r="AJ26" s="17"/>
      <c r="AN26" s="3"/>
      <c r="BT26">
        <f>VLOOKUP(B26,Literatuur!$A:$B,2,FALSE)</f>
        <v>7</v>
      </c>
      <c r="BU26" s="138" t="str">
        <f t="shared" si="40"/>
        <v>Toluene</v>
      </c>
      <c r="BV26" s="138" t="str">
        <f t="shared" si="41"/>
        <v>HDPE</v>
      </c>
      <c r="BW26" s="138">
        <f t="shared" si="42"/>
        <v>0.61059105234897149</v>
      </c>
      <c r="BX26" s="138">
        <f t="shared" si="43"/>
        <v>0.61059105234897149</v>
      </c>
      <c r="BY26" s="137">
        <f>K26</f>
        <v>1</v>
      </c>
      <c r="BZ26" s="138">
        <f t="shared" si="44"/>
        <v>2.229189913970385</v>
      </c>
      <c r="CA26" s="138">
        <f t="shared" si="45"/>
        <v>-11.214670164989233</v>
      </c>
      <c r="CB26" s="138">
        <f t="shared" ref="CB26:CB48" si="46">IF(ISNUMBER(S26),S26,"")</f>
        <v>-8.9854802510188474</v>
      </c>
    </row>
    <row r="27" spans="1:80" x14ac:dyDescent="0.2">
      <c r="A27" s="4" t="s">
        <v>1957</v>
      </c>
      <c r="B27" t="s">
        <v>1936</v>
      </c>
      <c r="C27" s="4" t="s">
        <v>1562</v>
      </c>
      <c r="D27" t="s">
        <v>492</v>
      </c>
      <c r="E27" t="s">
        <v>1549</v>
      </c>
      <c r="F27">
        <v>92.14249284505685</v>
      </c>
      <c r="G27">
        <v>0.61059105234897149</v>
      </c>
      <c r="H27">
        <v>2.73</v>
      </c>
      <c r="I27" t="s">
        <v>717</v>
      </c>
      <c r="J27">
        <v>0.61059105234897149</v>
      </c>
      <c r="K27" s="210">
        <f>J27/G27</f>
        <v>1</v>
      </c>
      <c r="L27" s="210"/>
      <c r="M27" s="210">
        <f>LOG(K27)</f>
        <v>0</v>
      </c>
      <c r="N27">
        <v>326.73259660867029</v>
      </c>
      <c r="O27">
        <v>2.5141924642002156</v>
      </c>
      <c r="P27">
        <v>4.0999999999999999E-12</v>
      </c>
      <c r="Q27">
        <v>-11.387216143280265</v>
      </c>
      <c r="R27">
        <v>1.3396036460955482E-9</v>
      </c>
      <c r="S27">
        <v>-8.873023679080049</v>
      </c>
      <c r="X27" s="3"/>
      <c r="AA27" s="3"/>
      <c r="AB27" s="17"/>
      <c r="AF27" s="3"/>
      <c r="AI27" s="3"/>
      <c r="AJ27" s="17"/>
      <c r="AN27" s="3"/>
      <c r="BD27" s="384" t="s">
        <v>1839</v>
      </c>
      <c r="BE27" s="110"/>
      <c r="BF27" s="110"/>
      <c r="BG27" s="110"/>
      <c r="BH27" s="110"/>
      <c r="BI27" s="110"/>
      <c r="BJ27" s="110"/>
      <c r="BK27" s="111"/>
      <c r="BT27">
        <f>VLOOKUP(B27,Literatuur!$A:$B,2,FALSE)</f>
        <v>7</v>
      </c>
      <c r="BU27" s="138" t="str">
        <f t="shared" si="40"/>
        <v>Toluene</v>
      </c>
      <c r="BV27" s="138" t="str">
        <f t="shared" si="41"/>
        <v>HDPE</v>
      </c>
      <c r="BW27" s="138">
        <f t="shared" si="42"/>
        <v>0.61059105234897149</v>
      </c>
      <c r="BX27" s="138">
        <f t="shared" si="43"/>
        <v>0.61059105234897149</v>
      </c>
      <c r="BY27" s="137">
        <f>K27</f>
        <v>1</v>
      </c>
      <c r="BZ27" s="138">
        <f t="shared" si="44"/>
        <v>2.5141924642002156</v>
      </c>
      <c r="CA27" s="138">
        <f t="shared" si="45"/>
        <v>-11.387216143280265</v>
      </c>
      <c r="CB27" s="138">
        <f t="shared" si="46"/>
        <v>-8.873023679080049</v>
      </c>
    </row>
    <row r="28" spans="1:80" x14ac:dyDescent="0.2">
      <c r="A28" s="4" t="s">
        <v>1958</v>
      </c>
      <c r="B28" t="s">
        <v>1226</v>
      </c>
      <c r="D28" t="s">
        <v>492</v>
      </c>
      <c r="E28" t="s">
        <v>1549</v>
      </c>
      <c r="F28">
        <v>92.14249284505685</v>
      </c>
      <c r="G28">
        <v>0.61059105234897149</v>
      </c>
      <c r="H28">
        <v>2.73</v>
      </c>
      <c r="I28" t="s">
        <v>717</v>
      </c>
      <c r="J28" s="313"/>
      <c r="K28" s="313"/>
      <c r="L28" s="313"/>
      <c r="M28" s="313"/>
      <c r="P28">
        <v>3.2000000000000005E-13</v>
      </c>
      <c r="Q28">
        <v>-12.494850021680094</v>
      </c>
      <c r="X28" s="3"/>
      <c r="AA28" s="3"/>
      <c r="AB28" s="17"/>
      <c r="AF28" s="3"/>
      <c r="AI28" s="3"/>
      <c r="AJ28" s="17"/>
      <c r="AN28" s="3"/>
      <c r="BD28" s="17"/>
      <c r="BE28" s="4" t="s">
        <v>1821</v>
      </c>
      <c r="BF28" s="4" t="s">
        <v>9</v>
      </c>
      <c r="BG28" s="4" t="s">
        <v>1822</v>
      </c>
      <c r="BH28" s="4" t="s">
        <v>1823</v>
      </c>
      <c r="BI28" s="4" t="s">
        <v>779</v>
      </c>
      <c r="BJ28" s="4" t="s">
        <v>399</v>
      </c>
      <c r="BK28" s="18" t="s">
        <v>1825</v>
      </c>
      <c r="BT28">
        <f>VLOOKUP(B28,Literatuur!$A:$B,2,FALSE)</f>
        <v>12</v>
      </c>
      <c r="BU28" s="138" t="str">
        <f t="shared" si="40"/>
        <v>Toluene</v>
      </c>
      <c r="BV28" s="138" t="str">
        <f t="shared" si="41"/>
        <v>HDPE</v>
      </c>
      <c r="BW28" s="138">
        <f t="shared" si="42"/>
        <v>0</v>
      </c>
      <c r="BX28" s="138">
        <f t="shared" si="43"/>
        <v>0.61059105234897149</v>
      </c>
      <c r="BY28" s="277" t="s">
        <v>856</v>
      </c>
      <c r="BZ28" s="138" t="str">
        <f t="shared" si="44"/>
        <v/>
      </c>
      <c r="CA28" s="138">
        <f t="shared" si="45"/>
        <v>-12.494850021680094</v>
      </c>
      <c r="CB28" s="138" t="str">
        <f t="shared" si="46"/>
        <v/>
      </c>
    </row>
    <row r="29" spans="1:80" x14ac:dyDescent="0.2">
      <c r="A29" s="4" t="s">
        <v>1958</v>
      </c>
      <c r="B29" t="s">
        <v>1226</v>
      </c>
      <c r="D29" t="s">
        <v>492</v>
      </c>
      <c r="E29" t="s">
        <v>1549</v>
      </c>
      <c r="F29">
        <v>92.14249284505685</v>
      </c>
      <c r="G29">
        <v>0.61059105234897149</v>
      </c>
      <c r="H29">
        <v>2.73</v>
      </c>
      <c r="I29" t="s">
        <v>717</v>
      </c>
      <c r="J29" s="313"/>
      <c r="K29" s="313"/>
      <c r="L29" s="313"/>
      <c r="M29" s="313"/>
      <c r="P29">
        <v>3.4000000000000007E-13</v>
      </c>
      <c r="Q29">
        <v>-12.468521082957745</v>
      </c>
      <c r="X29" s="3"/>
      <c r="AA29" s="3"/>
      <c r="AB29" s="17"/>
      <c r="AF29" s="3"/>
      <c r="AI29" s="3"/>
      <c r="AJ29" s="17"/>
      <c r="AN29" s="3"/>
      <c r="BD29" s="17"/>
      <c r="BE29" s="176">
        <f>10^-10</f>
        <v>1E-10</v>
      </c>
      <c r="BF29" s="148">
        <v>0.1</v>
      </c>
      <c r="BG29" s="148">
        <v>0.5</v>
      </c>
      <c r="BH29">
        <f>$BE29*10^($BF29*BG29)</f>
        <v>1.1220184543019635E-10</v>
      </c>
      <c r="BI29" s="148">
        <v>1</v>
      </c>
      <c r="BJ29">
        <f>$BE29*10^($BF29*BI29)</f>
        <v>1.2589254117941675E-10</v>
      </c>
      <c r="BK29" s="3">
        <f>BJ29/BH29</f>
        <v>1.1220184543019636</v>
      </c>
      <c r="BT29">
        <f>VLOOKUP(B29,Literatuur!$A:$B,2,FALSE)</f>
        <v>12</v>
      </c>
      <c r="BU29" s="138" t="str">
        <f t="shared" si="40"/>
        <v>Toluene</v>
      </c>
      <c r="BV29" s="138" t="str">
        <f t="shared" si="41"/>
        <v>HDPE</v>
      </c>
      <c r="BW29" s="138">
        <f t="shared" si="42"/>
        <v>0</v>
      </c>
      <c r="BX29" s="138">
        <f t="shared" si="43"/>
        <v>0.61059105234897149</v>
      </c>
      <c r="BY29" s="277" t="s">
        <v>856</v>
      </c>
      <c r="BZ29" s="138" t="str">
        <f t="shared" si="44"/>
        <v/>
      </c>
      <c r="CA29" s="138">
        <f t="shared" si="45"/>
        <v>-12.468521082957745</v>
      </c>
      <c r="CB29" s="138" t="str">
        <f t="shared" si="46"/>
        <v/>
      </c>
    </row>
    <row r="30" spans="1:80" x14ac:dyDescent="0.2">
      <c r="A30" s="4" t="s">
        <v>1959</v>
      </c>
      <c r="B30" t="s">
        <v>1939</v>
      </c>
      <c r="C30" s="4" t="s">
        <v>753</v>
      </c>
      <c r="D30" t="s">
        <v>492</v>
      </c>
      <c r="E30" t="s">
        <v>1549</v>
      </c>
      <c r="F30">
        <v>92.14249284505685</v>
      </c>
      <c r="G30">
        <v>0.61059105234897149</v>
      </c>
      <c r="H30">
        <v>2.73</v>
      </c>
      <c r="I30" t="s">
        <v>717</v>
      </c>
      <c r="J30">
        <v>0.05</v>
      </c>
      <c r="K30" s="210">
        <f>J30/G30</f>
        <v>8.188786882422816E-2</v>
      </c>
      <c r="L30" s="210"/>
      <c r="M30" s="210">
        <f>LOG(K30)</f>
        <v>-1.0867804314865328</v>
      </c>
      <c r="N30">
        <v>59.76</v>
      </c>
      <c r="O30">
        <v>1.7764105888073423</v>
      </c>
      <c r="P30">
        <v>3.9300000000000004E-13</v>
      </c>
      <c r="Q30">
        <v>-12.405607449624574</v>
      </c>
      <c r="R30">
        <v>2.3485680000000002E-11</v>
      </c>
      <c r="S30">
        <v>-10.629196860817231</v>
      </c>
      <c r="X30" s="3"/>
      <c r="AA30" s="3"/>
      <c r="AB30" s="17"/>
      <c r="AF30" s="3"/>
      <c r="AI30" s="3"/>
      <c r="AJ30" s="17"/>
      <c r="AN30" s="3"/>
      <c r="BD30" s="17"/>
      <c r="BK30" s="3"/>
      <c r="BT30">
        <f>VLOOKUP(B30,Literatuur!$A:$B,2,FALSE)</f>
        <v>15</v>
      </c>
      <c r="BU30" s="138" t="str">
        <f t="shared" si="40"/>
        <v>Toluene</v>
      </c>
      <c r="BV30" s="138" t="str">
        <f t="shared" si="41"/>
        <v>HDPE</v>
      </c>
      <c r="BW30" s="138">
        <f t="shared" si="42"/>
        <v>0.05</v>
      </c>
      <c r="BX30" s="138">
        <f t="shared" si="43"/>
        <v>0.61059105234897149</v>
      </c>
      <c r="BY30" s="137">
        <f>K30</f>
        <v>8.188786882422816E-2</v>
      </c>
      <c r="BZ30" s="138">
        <f t="shared" si="44"/>
        <v>1.7764105888073423</v>
      </c>
      <c r="CA30" s="138">
        <f t="shared" si="45"/>
        <v>-12.405607449624574</v>
      </c>
      <c r="CB30" s="138">
        <f t="shared" si="46"/>
        <v>-10.629196860817231</v>
      </c>
    </row>
    <row r="31" spans="1:80" x14ac:dyDescent="0.2">
      <c r="A31" s="4" t="s">
        <v>1959</v>
      </c>
      <c r="B31" t="s">
        <v>1939</v>
      </c>
      <c r="C31" s="4" t="s">
        <v>753</v>
      </c>
      <c r="D31" t="s">
        <v>492</v>
      </c>
      <c r="E31" t="s">
        <v>1549</v>
      </c>
      <c r="F31">
        <v>92.14249284505685</v>
      </c>
      <c r="G31">
        <v>0.61059105234897149</v>
      </c>
      <c r="H31">
        <v>2.73</v>
      </c>
      <c r="I31" t="s">
        <v>717</v>
      </c>
      <c r="J31">
        <v>0.05</v>
      </c>
      <c r="K31" s="210">
        <f>J31/G31</f>
        <v>8.188786882422816E-2</v>
      </c>
      <c r="L31" s="210"/>
      <c r="M31" s="210">
        <f>LOG(K31)</f>
        <v>-1.0867804314865328</v>
      </c>
      <c r="N31">
        <v>112.85</v>
      </c>
      <c r="O31">
        <v>2.0525015634137809</v>
      </c>
      <c r="P31">
        <v>2.2799999999999999E-13</v>
      </c>
      <c r="Q31">
        <v>-12.642065152999546</v>
      </c>
      <c r="R31">
        <v>2.5729799999999999E-11</v>
      </c>
      <c r="S31">
        <v>-10.589563589585765</v>
      </c>
      <c r="X31" s="3"/>
      <c r="AA31" s="3"/>
      <c r="AB31" s="17"/>
      <c r="AF31" s="3"/>
      <c r="AI31" s="3"/>
      <c r="AJ31" s="17"/>
      <c r="AN31" s="3"/>
      <c r="BD31" s="17"/>
      <c r="BE31" s="4" t="s">
        <v>1824</v>
      </c>
      <c r="BK31" s="3"/>
      <c r="BT31">
        <f>VLOOKUP(B31,Literatuur!$A:$B,2,FALSE)</f>
        <v>15</v>
      </c>
      <c r="BU31" s="138" t="str">
        <f t="shared" si="40"/>
        <v>Toluene</v>
      </c>
      <c r="BV31" s="138" t="str">
        <f t="shared" si="41"/>
        <v>HDPE</v>
      </c>
      <c r="BW31" s="138">
        <f t="shared" si="42"/>
        <v>0.05</v>
      </c>
      <c r="BX31" s="138">
        <f t="shared" si="43"/>
        <v>0.61059105234897149</v>
      </c>
      <c r="BY31" s="137">
        <f>K31</f>
        <v>8.188786882422816E-2</v>
      </c>
      <c r="BZ31" s="138">
        <f t="shared" si="44"/>
        <v>2.0525015634137809</v>
      </c>
      <c r="CA31" s="138">
        <f t="shared" si="45"/>
        <v>-12.642065152999546</v>
      </c>
      <c r="CB31" s="138">
        <f t="shared" si="46"/>
        <v>-10.589563589585765</v>
      </c>
    </row>
    <row r="32" spans="1:80" x14ac:dyDescent="0.2">
      <c r="A32" s="4" t="s">
        <v>1959</v>
      </c>
      <c r="B32" t="s">
        <v>1939</v>
      </c>
      <c r="C32" s="4" t="s">
        <v>753</v>
      </c>
      <c r="D32" t="s">
        <v>492</v>
      </c>
      <c r="E32" t="s">
        <v>1549</v>
      </c>
      <c r="F32">
        <v>92.14249284505685</v>
      </c>
      <c r="G32">
        <v>0.61059105234897149</v>
      </c>
      <c r="H32">
        <v>2.73</v>
      </c>
      <c r="I32" t="s">
        <v>717</v>
      </c>
      <c r="J32">
        <v>0.1</v>
      </c>
      <c r="K32" s="210">
        <f>J32/G32</f>
        <v>0.16377573764845632</v>
      </c>
      <c r="L32" s="210"/>
      <c r="M32" s="210">
        <f>LOG(K32)</f>
        <v>-0.78575043582255155</v>
      </c>
      <c r="N32">
        <v>126.31</v>
      </c>
      <c r="O32">
        <v>2.1014377351388491</v>
      </c>
      <c r="P32">
        <v>3.9400000000000004E-13</v>
      </c>
      <c r="Q32">
        <v>-12.404503778174426</v>
      </c>
      <c r="R32">
        <v>4.9766140000000008E-11</v>
      </c>
      <c r="S32">
        <v>-10.303066043035576</v>
      </c>
      <c r="X32" s="3"/>
      <c r="AA32" s="3"/>
      <c r="AB32" s="17"/>
      <c r="AF32" s="3"/>
      <c r="AI32" s="3"/>
      <c r="AJ32" s="17"/>
      <c r="AN32" s="3"/>
      <c r="BD32" s="17"/>
      <c r="BE32">
        <f>BH29</f>
        <v>1.1220184543019635E-10</v>
      </c>
      <c r="BF32">
        <f>BF29</f>
        <v>0.1</v>
      </c>
      <c r="BG32">
        <f>BG29</f>
        <v>0.5</v>
      </c>
      <c r="BH32">
        <f>BH29*10^(BF32*(BG32-BG32))</f>
        <v>1.1220184543019635E-10</v>
      </c>
      <c r="BI32">
        <f>BI29</f>
        <v>1</v>
      </c>
      <c r="BJ32">
        <f>BH32*10^(BF32*(BI32-BG32))</f>
        <v>1.2589254117941675E-10</v>
      </c>
      <c r="BK32" s="18" t="s">
        <v>1840</v>
      </c>
      <c r="BT32">
        <f>VLOOKUP(B32,Literatuur!$A:$B,2,FALSE)</f>
        <v>15</v>
      </c>
      <c r="BU32" s="138" t="str">
        <f t="shared" si="40"/>
        <v>Toluene</v>
      </c>
      <c r="BV32" s="138" t="str">
        <f t="shared" si="41"/>
        <v>HDPE</v>
      </c>
      <c r="BW32" s="138">
        <f t="shared" si="42"/>
        <v>0.1</v>
      </c>
      <c r="BX32" s="138">
        <f t="shared" si="43"/>
        <v>0.61059105234897149</v>
      </c>
      <c r="BY32" s="137">
        <f>K32</f>
        <v>0.16377573764845632</v>
      </c>
      <c r="BZ32" s="138">
        <f t="shared" si="44"/>
        <v>2.1014377351388491</v>
      </c>
      <c r="CA32" s="138">
        <f t="shared" si="45"/>
        <v>-12.404503778174426</v>
      </c>
      <c r="CB32" s="138">
        <f t="shared" si="46"/>
        <v>-10.303066043035576</v>
      </c>
    </row>
    <row r="33" spans="1:80" x14ac:dyDescent="0.2">
      <c r="A33" s="4" t="s">
        <v>1960</v>
      </c>
      <c r="B33" t="s">
        <v>1940</v>
      </c>
      <c r="C33" s="4" t="s">
        <v>398</v>
      </c>
      <c r="D33" t="s">
        <v>492</v>
      </c>
      <c r="E33" t="s">
        <v>1549</v>
      </c>
      <c r="F33">
        <v>92.14249284505685</v>
      </c>
      <c r="G33">
        <v>0.61059105234897149</v>
      </c>
      <c r="H33">
        <v>2.73</v>
      </c>
      <c r="I33" t="s">
        <v>717</v>
      </c>
      <c r="J33">
        <v>5.62E-2</v>
      </c>
      <c r="K33" s="313"/>
      <c r="L33" s="313"/>
      <c r="M33" s="313"/>
      <c r="N33">
        <v>18.434714688918884</v>
      </c>
      <c r="O33">
        <v>1.2656364204890835</v>
      </c>
      <c r="P33">
        <v>3.3564814814814817E-13</v>
      </c>
      <c r="Q33">
        <v>-12.474115744579937</v>
      </c>
      <c r="R33">
        <v>6.1875778469750887E-12</v>
      </c>
      <c r="S33">
        <v>-11.208479324090854</v>
      </c>
      <c r="X33" s="3"/>
      <c r="AA33" s="3"/>
      <c r="AB33" s="17"/>
      <c r="AF33" s="3"/>
      <c r="AI33" s="3"/>
      <c r="AJ33" s="17"/>
      <c r="AN33" s="3"/>
      <c r="BD33" s="19" t="s">
        <v>1826</v>
      </c>
      <c r="BE33" s="13">
        <f>LOG(BE32)</f>
        <v>-9.9499999999999993</v>
      </c>
      <c r="BF33" s="13"/>
      <c r="BG33" s="13"/>
      <c r="BH33" s="13"/>
      <c r="BI33" s="13"/>
      <c r="BJ33" s="13">
        <f>LOG(BJ32)</f>
        <v>-9.9</v>
      </c>
      <c r="BK33" s="15">
        <f>BJ33-BE33</f>
        <v>4.9999999999998934E-2</v>
      </c>
      <c r="BT33">
        <f>VLOOKUP(B33,Literatuur!$A:$B,2,FALSE)</f>
        <v>16</v>
      </c>
      <c r="BU33" s="138" t="str">
        <f t="shared" si="40"/>
        <v>Toluene</v>
      </c>
      <c r="BV33" s="138" t="str">
        <f t="shared" si="41"/>
        <v>HDPE</v>
      </c>
      <c r="BW33" s="138">
        <f t="shared" si="42"/>
        <v>5.62E-2</v>
      </c>
      <c r="BX33" s="138">
        <f t="shared" si="43"/>
        <v>0.61059105234897149</v>
      </c>
      <c r="BY33" s="277" t="s">
        <v>856</v>
      </c>
      <c r="BZ33" s="138">
        <f t="shared" si="44"/>
        <v>1.2656364204890835</v>
      </c>
      <c r="CA33" s="138">
        <f t="shared" si="45"/>
        <v>-12.474115744579937</v>
      </c>
      <c r="CB33" s="138">
        <f t="shared" si="46"/>
        <v>-11.208479324090854</v>
      </c>
    </row>
    <row r="34" spans="1:80" x14ac:dyDescent="0.2">
      <c r="A34" s="4" t="s">
        <v>1960</v>
      </c>
      <c r="B34" t="s">
        <v>1940</v>
      </c>
      <c r="C34" s="4" t="s">
        <v>398</v>
      </c>
      <c r="D34" t="s">
        <v>492</v>
      </c>
      <c r="E34" t="s">
        <v>1549</v>
      </c>
      <c r="F34">
        <v>92.14249284505685</v>
      </c>
      <c r="G34">
        <v>0.61059105234897149</v>
      </c>
      <c r="H34">
        <v>2.73</v>
      </c>
      <c r="I34" t="s">
        <v>717</v>
      </c>
      <c r="J34">
        <v>2.63E-2</v>
      </c>
      <c r="K34" s="313"/>
      <c r="L34" s="313"/>
      <c r="M34" s="313"/>
      <c r="N34">
        <v>14.124524714828897</v>
      </c>
      <c r="O34">
        <v>1.1499738428843982</v>
      </c>
      <c r="P34">
        <v>3.0092592592592594E-13</v>
      </c>
      <c r="Q34">
        <v>-12.521540394508076</v>
      </c>
      <c r="R34">
        <v>4.2504356780735109E-12</v>
      </c>
      <c r="S34">
        <v>-11.371566551623678</v>
      </c>
      <c r="X34" s="3"/>
      <c r="AA34" s="3"/>
      <c r="AB34" s="17"/>
      <c r="AF34" s="3"/>
      <c r="AI34" s="3"/>
      <c r="AJ34" s="17"/>
      <c r="AN34" s="3"/>
      <c r="BT34">
        <f>VLOOKUP(B34,Literatuur!$A:$B,2,FALSE)</f>
        <v>16</v>
      </c>
      <c r="BU34" s="138" t="str">
        <f t="shared" si="40"/>
        <v>Toluene</v>
      </c>
      <c r="BV34" s="138" t="str">
        <f t="shared" si="41"/>
        <v>HDPE</v>
      </c>
      <c r="BW34" s="138">
        <f t="shared" si="42"/>
        <v>2.63E-2</v>
      </c>
      <c r="BX34" s="138">
        <f t="shared" si="43"/>
        <v>0.61059105234897149</v>
      </c>
      <c r="BY34" s="277" t="s">
        <v>856</v>
      </c>
      <c r="BZ34" s="138">
        <f t="shared" si="44"/>
        <v>1.1499738428843982</v>
      </c>
      <c r="CA34" s="138">
        <f t="shared" si="45"/>
        <v>-12.521540394508076</v>
      </c>
      <c r="CB34" s="138">
        <f t="shared" si="46"/>
        <v>-11.371566551623678</v>
      </c>
    </row>
    <row r="35" spans="1:80" x14ac:dyDescent="0.2">
      <c r="A35" s="4" t="s">
        <v>1960</v>
      </c>
      <c r="B35" t="s">
        <v>1940</v>
      </c>
      <c r="C35" s="4" t="s">
        <v>398</v>
      </c>
      <c r="D35" t="s">
        <v>492</v>
      </c>
      <c r="E35" t="s">
        <v>1549</v>
      </c>
      <c r="F35">
        <v>92.14249284505685</v>
      </c>
      <c r="G35">
        <v>0.61059105234897149</v>
      </c>
      <c r="H35">
        <v>2.73</v>
      </c>
      <c r="I35" t="s">
        <v>717</v>
      </c>
      <c r="J35">
        <v>5.1999999999999998E-3</v>
      </c>
      <c r="K35" s="313"/>
      <c r="L35" s="313"/>
      <c r="M35" s="313"/>
      <c r="N35">
        <v>13.508181818181818</v>
      </c>
      <c r="O35">
        <v>1.1305968975438934</v>
      </c>
      <c r="P35">
        <v>2.5462962962962965E-13</v>
      </c>
      <c r="Q35">
        <v>-12.594091061656687</v>
      </c>
      <c r="R35">
        <v>3.4395833333333334E-12</v>
      </c>
      <c r="S35">
        <v>-11.463494164112793</v>
      </c>
      <c r="X35" s="3"/>
      <c r="AA35" s="3"/>
      <c r="AB35" s="17"/>
      <c r="AF35" s="3"/>
      <c r="AI35" s="3"/>
      <c r="AJ35" s="17"/>
      <c r="AN35" s="3"/>
      <c r="BT35">
        <f>VLOOKUP(B35,Literatuur!$A:$B,2,FALSE)</f>
        <v>16</v>
      </c>
      <c r="BU35" s="138" t="str">
        <f t="shared" si="40"/>
        <v>Toluene</v>
      </c>
      <c r="BV35" s="138" t="str">
        <f t="shared" si="41"/>
        <v>HDPE</v>
      </c>
      <c r="BW35" s="138">
        <f t="shared" si="42"/>
        <v>5.1999999999999998E-3</v>
      </c>
      <c r="BX35" s="138">
        <f t="shared" si="43"/>
        <v>0.61059105234897149</v>
      </c>
      <c r="BY35" s="277" t="s">
        <v>856</v>
      </c>
      <c r="BZ35" s="138">
        <f t="shared" si="44"/>
        <v>1.1305968975438934</v>
      </c>
      <c r="CA35" s="138">
        <f t="shared" si="45"/>
        <v>-12.594091061656687</v>
      </c>
      <c r="CB35" s="138">
        <f t="shared" si="46"/>
        <v>-11.463494164112793</v>
      </c>
    </row>
    <row r="36" spans="1:80" x14ac:dyDescent="0.2">
      <c r="A36" s="4" t="s">
        <v>1960</v>
      </c>
      <c r="B36" t="s">
        <v>1940</v>
      </c>
      <c r="C36" s="4" t="s">
        <v>398</v>
      </c>
      <c r="D36" t="s">
        <v>492</v>
      </c>
      <c r="E36" t="s">
        <v>1549</v>
      </c>
      <c r="F36">
        <v>92.14249284505685</v>
      </c>
      <c r="G36">
        <v>0.61059105234897149</v>
      </c>
      <c r="H36">
        <v>2.73</v>
      </c>
      <c r="I36" t="s">
        <v>717</v>
      </c>
      <c r="J36">
        <v>5.0000000000000001E-4</v>
      </c>
      <c r="K36" s="313"/>
      <c r="L36" s="313"/>
      <c r="M36" s="313"/>
      <c r="N36">
        <v>18.306288000000002</v>
      </c>
      <c r="O36">
        <v>1.2626002905305251</v>
      </c>
      <c r="P36">
        <v>1.7361111111111111E-13</v>
      </c>
      <c r="Q36">
        <v>-12.760422483423213</v>
      </c>
      <c r="R36">
        <v>3.1781750000000004E-12</v>
      </c>
      <c r="S36">
        <v>-11.497822192892686</v>
      </c>
      <c r="X36" s="3"/>
      <c r="AA36" s="3"/>
      <c r="AB36" s="17"/>
      <c r="AF36" s="3"/>
      <c r="AI36" s="3"/>
      <c r="AJ36" s="17"/>
      <c r="AN36" s="3"/>
      <c r="BT36">
        <f>VLOOKUP(B36,Literatuur!$A:$B,2,FALSE)</f>
        <v>16</v>
      </c>
      <c r="BU36" s="138" t="str">
        <f t="shared" si="40"/>
        <v>Toluene</v>
      </c>
      <c r="BV36" s="138" t="str">
        <f t="shared" si="41"/>
        <v>HDPE</v>
      </c>
      <c r="BW36" s="138">
        <f t="shared" si="42"/>
        <v>5.0000000000000001E-4</v>
      </c>
      <c r="BX36" s="138">
        <f t="shared" si="43"/>
        <v>0.61059105234897149</v>
      </c>
      <c r="BY36" s="277" t="s">
        <v>856</v>
      </c>
      <c r="BZ36" s="138">
        <f t="shared" si="44"/>
        <v>1.2626002905305251</v>
      </c>
      <c r="CA36" s="138">
        <f t="shared" si="45"/>
        <v>-12.760422483423213</v>
      </c>
      <c r="CB36" s="138">
        <f t="shared" si="46"/>
        <v>-11.497822192892686</v>
      </c>
    </row>
    <row r="37" spans="1:80" x14ac:dyDescent="0.2">
      <c r="A37" s="4" t="s">
        <v>1961</v>
      </c>
      <c r="B37" t="s">
        <v>1817</v>
      </c>
      <c r="C37" s="4" t="s">
        <v>1461</v>
      </c>
      <c r="D37" t="s">
        <v>492</v>
      </c>
      <c r="E37" t="s">
        <v>1549</v>
      </c>
      <c r="F37">
        <v>92.14249284505685</v>
      </c>
      <c r="G37">
        <v>0.61059105234897149</v>
      </c>
      <c r="H37">
        <v>2.73</v>
      </c>
      <c r="I37" t="s">
        <v>717</v>
      </c>
      <c r="J37">
        <v>0.1</v>
      </c>
      <c r="K37" s="210">
        <f>J37/G37</f>
        <v>0.16377573764845632</v>
      </c>
      <c r="L37" s="210"/>
      <c r="M37" s="210">
        <f>LOG(K37)</f>
        <v>-0.78575043582255155</v>
      </c>
      <c r="N37">
        <v>140</v>
      </c>
      <c r="O37">
        <v>2.1461280356782382</v>
      </c>
      <c r="P37">
        <v>5.3000000000000006E-13</v>
      </c>
      <c r="Q37">
        <v>-12.275724130399212</v>
      </c>
      <c r="R37">
        <v>7.4200000000000013E-11</v>
      </c>
      <c r="S37">
        <v>-10.129596094720974</v>
      </c>
      <c r="X37" s="3"/>
      <c r="AA37" s="3"/>
      <c r="AB37" s="17"/>
      <c r="AF37" s="3"/>
      <c r="AI37" s="3"/>
      <c r="AJ37" s="17"/>
      <c r="AN37" s="3"/>
      <c r="BT37">
        <f>VLOOKUP(B37,Literatuur!$A:$B,2,FALSE)</f>
        <v>18</v>
      </c>
      <c r="BU37" s="138" t="str">
        <f t="shared" si="40"/>
        <v>Toluene</v>
      </c>
      <c r="BV37" s="138" t="str">
        <f t="shared" si="41"/>
        <v>HDPE</v>
      </c>
      <c r="BW37" s="138">
        <f t="shared" si="42"/>
        <v>0.1</v>
      </c>
      <c r="BX37" s="138">
        <f t="shared" si="43"/>
        <v>0.61059105234897149</v>
      </c>
      <c r="BY37" s="137">
        <f>K37</f>
        <v>0.16377573764845632</v>
      </c>
      <c r="BZ37" s="138">
        <f t="shared" si="44"/>
        <v>2.1461280356782382</v>
      </c>
      <c r="CA37" s="138">
        <f t="shared" si="45"/>
        <v>-12.275724130399212</v>
      </c>
      <c r="CB37" s="138">
        <f t="shared" si="46"/>
        <v>-10.129596094720974</v>
      </c>
    </row>
    <row r="38" spans="1:80" x14ac:dyDescent="0.2">
      <c r="A38" s="4" t="s">
        <v>1961</v>
      </c>
      <c r="B38" t="s">
        <v>1817</v>
      </c>
      <c r="C38" s="4" t="s">
        <v>1461</v>
      </c>
      <c r="D38" t="s">
        <v>492</v>
      </c>
      <c r="E38" t="s">
        <v>1549</v>
      </c>
      <c r="F38">
        <v>92.14249284505685</v>
      </c>
      <c r="G38">
        <v>0.61059105234897149</v>
      </c>
      <c r="H38">
        <v>2.73</v>
      </c>
      <c r="I38" t="s">
        <v>717</v>
      </c>
      <c r="J38">
        <v>0.05</v>
      </c>
      <c r="K38" s="210">
        <f>J38/G38</f>
        <v>8.188786882422816E-2</v>
      </c>
      <c r="L38" s="210"/>
      <c r="M38" s="210">
        <f>LOG(K38)</f>
        <v>-1.0867804314865328</v>
      </c>
      <c r="N38">
        <v>145</v>
      </c>
      <c r="O38">
        <v>2.1613680022349748</v>
      </c>
      <c r="P38">
        <v>3.6000000000000003E-13</v>
      </c>
      <c r="Q38">
        <v>-12.443697499232712</v>
      </c>
      <c r="R38">
        <v>5.2200000000000005E-11</v>
      </c>
      <c r="S38">
        <v>-10.282329496997738</v>
      </c>
      <c r="X38" s="3"/>
      <c r="AA38" s="3"/>
      <c r="AB38" s="17"/>
      <c r="AF38" s="3"/>
      <c r="AI38" s="3"/>
      <c r="AJ38" s="17"/>
      <c r="AN38" s="3"/>
      <c r="BT38">
        <f>VLOOKUP(B38,Literatuur!$A:$B,2,FALSE)</f>
        <v>18</v>
      </c>
      <c r="BU38" s="138" t="str">
        <f t="shared" si="40"/>
        <v>Toluene</v>
      </c>
      <c r="BV38" s="138" t="str">
        <f t="shared" si="41"/>
        <v>HDPE</v>
      </c>
      <c r="BW38" s="138">
        <f t="shared" si="42"/>
        <v>0.05</v>
      </c>
      <c r="BX38" s="138">
        <f t="shared" si="43"/>
        <v>0.61059105234897149</v>
      </c>
      <c r="BY38" s="137">
        <f>K38</f>
        <v>8.188786882422816E-2</v>
      </c>
      <c r="BZ38" s="138">
        <f t="shared" si="44"/>
        <v>2.1613680022349748</v>
      </c>
      <c r="CA38" s="138">
        <f t="shared" si="45"/>
        <v>-12.443697499232712</v>
      </c>
      <c r="CB38" s="138">
        <f t="shared" si="46"/>
        <v>-10.282329496997738</v>
      </c>
    </row>
    <row r="39" spans="1:80" x14ac:dyDescent="0.2">
      <c r="A39" s="4" t="s">
        <v>1961</v>
      </c>
      <c r="B39" t="s">
        <v>1817</v>
      </c>
      <c r="C39" s="4" t="s">
        <v>1461</v>
      </c>
      <c r="D39" t="s">
        <v>492</v>
      </c>
      <c r="E39" t="s">
        <v>1549</v>
      </c>
      <c r="F39">
        <v>92.14249284505685</v>
      </c>
      <c r="G39">
        <v>0.61059105234897149</v>
      </c>
      <c r="H39">
        <v>2.73</v>
      </c>
      <c r="I39" t="s">
        <v>717</v>
      </c>
      <c r="J39">
        <v>0.01</v>
      </c>
      <c r="K39" s="210">
        <f>J39/G39</f>
        <v>1.6377573764845631E-2</v>
      </c>
      <c r="L39" s="210"/>
      <c r="M39" s="210">
        <f>LOG(K39)</f>
        <v>-1.7857504358225516</v>
      </c>
      <c r="N39">
        <v>135</v>
      </c>
      <c r="O39">
        <v>2.1303337684950061</v>
      </c>
      <c r="P39">
        <v>3.2000000000000005E-13</v>
      </c>
      <c r="Q39">
        <v>-12.494850021680094</v>
      </c>
      <c r="R39">
        <v>4.320000000000001E-11</v>
      </c>
      <c r="S39">
        <v>-10.364516253185087</v>
      </c>
      <c r="X39" s="3"/>
      <c r="AA39" s="3"/>
      <c r="AB39" s="17"/>
      <c r="AF39" s="3"/>
      <c r="AI39" s="3"/>
      <c r="AJ39" s="17"/>
      <c r="AN39" s="3"/>
      <c r="BT39">
        <f>VLOOKUP(B39,Literatuur!$A:$B,2,FALSE)</f>
        <v>18</v>
      </c>
      <c r="BU39" s="138" t="str">
        <f t="shared" si="40"/>
        <v>Toluene</v>
      </c>
      <c r="BV39" s="138" t="str">
        <f t="shared" si="41"/>
        <v>HDPE</v>
      </c>
      <c r="BW39" s="138">
        <f t="shared" si="42"/>
        <v>0.01</v>
      </c>
      <c r="BX39" s="138">
        <f t="shared" si="43"/>
        <v>0.61059105234897149</v>
      </c>
      <c r="BY39" s="137">
        <f>K39</f>
        <v>1.6377573764845631E-2</v>
      </c>
      <c r="BZ39" s="138">
        <f t="shared" si="44"/>
        <v>2.1303337684950061</v>
      </c>
      <c r="CA39" s="138">
        <f t="shared" si="45"/>
        <v>-12.494850021680094</v>
      </c>
      <c r="CB39" s="138">
        <f t="shared" si="46"/>
        <v>-10.364516253185087</v>
      </c>
    </row>
    <row r="40" spans="1:80" x14ac:dyDescent="0.2">
      <c r="A40" s="4" t="s">
        <v>1962</v>
      </c>
      <c r="B40" t="s">
        <v>1231</v>
      </c>
      <c r="C40" s="4" t="s">
        <v>1570</v>
      </c>
      <c r="D40" t="s">
        <v>492</v>
      </c>
      <c r="E40" t="s">
        <v>1549</v>
      </c>
      <c r="F40">
        <v>92.14249284505685</v>
      </c>
      <c r="G40">
        <v>0.61059105234897149</v>
      </c>
      <c r="H40">
        <v>2.73</v>
      </c>
      <c r="I40" t="s">
        <v>717</v>
      </c>
      <c r="J40">
        <v>0.61059105234897149</v>
      </c>
      <c r="K40" s="210">
        <f>J40/G40</f>
        <v>1</v>
      </c>
      <c r="L40" s="210"/>
      <c r="M40" s="210">
        <f>LOG(K40)</f>
        <v>0</v>
      </c>
      <c r="N40">
        <v>129.009424060442</v>
      </c>
      <c r="O40">
        <v>2.1106214364074236</v>
      </c>
      <c r="P40">
        <v>4.4400000000000013E-12</v>
      </c>
      <c r="Q40">
        <v>-11.35261702988538</v>
      </c>
      <c r="R40">
        <v>5.728018428283627E-10</v>
      </c>
      <c r="S40">
        <v>-9.2419955934779559</v>
      </c>
      <c r="X40" s="3"/>
      <c r="AA40" s="3"/>
      <c r="AB40" s="17"/>
      <c r="AF40" s="3"/>
      <c r="AI40" s="3"/>
      <c r="AJ40" s="17"/>
      <c r="AN40" s="3"/>
      <c r="BT40">
        <f>VLOOKUP(B40,Literatuur!$A:$B,2,FALSE)</f>
        <v>19</v>
      </c>
      <c r="BU40" s="138" t="str">
        <f t="shared" si="40"/>
        <v>Toluene</v>
      </c>
      <c r="BV40" s="138" t="str">
        <f t="shared" si="41"/>
        <v>HDPE</v>
      </c>
      <c r="BW40" s="138">
        <f t="shared" si="42"/>
        <v>0.61059105234897149</v>
      </c>
      <c r="BX40" s="138">
        <f t="shared" si="43"/>
        <v>0.61059105234897149</v>
      </c>
      <c r="BY40" s="277" t="s">
        <v>856</v>
      </c>
      <c r="BZ40" s="138">
        <f t="shared" si="44"/>
        <v>2.1106214364074236</v>
      </c>
      <c r="CA40" s="138">
        <f t="shared" si="45"/>
        <v>-11.35261702988538</v>
      </c>
      <c r="CB40" s="138">
        <f t="shared" si="46"/>
        <v>-9.2419955934779559</v>
      </c>
    </row>
    <row r="41" spans="1:80" x14ac:dyDescent="0.2">
      <c r="A41" s="4" t="s">
        <v>1962</v>
      </c>
      <c r="B41" t="s">
        <v>1231</v>
      </c>
      <c r="C41" s="4" t="s">
        <v>1570</v>
      </c>
      <c r="D41" t="s">
        <v>492</v>
      </c>
      <c r="E41" t="s">
        <v>1549</v>
      </c>
      <c r="F41">
        <v>92.14249284505685</v>
      </c>
      <c r="G41">
        <v>0.61059105234897149</v>
      </c>
      <c r="H41">
        <v>2.73</v>
      </c>
      <c r="I41" t="s">
        <v>717</v>
      </c>
      <c r="J41">
        <v>0.41972499999999996</v>
      </c>
      <c r="K41" s="313"/>
      <c r="L41" s="313"/>
      <c r="M41" s="313"/>
      <c r="N41">
        <v>63.45</v>
      </c>
      <c r="O41">
        <v>1.8024316264307236</v>
      </c>
      <c r="P41">
        <v>5.1400000000000003E-12</v>
      </c>
      <c r="Q41">
        <v>-11.289036881004725</v>
      </c>
      <c r="R41">
        <v>3.2613300000000002E-10</v>
      </c>
      <c r="S41">
        <v>-9.4866052545740001</v>
      </c>
      <c r="X41" s="3"/>
      <c r="AA41" s="3"/>
      <c r="AB41" s="17"/>
      <c r="AF41" s="3"/>
      <c r="AI41" s="3"/>
      <c r="AJ41" s="17"/>
      <c r="AN41" s="3"/>
      <c r="BT41">
        <f>VLOOKUP(B41,Literatuur!$A:$B,2,FALSE)</f>
        <v>19</v>
      </c>
      <c r="BU41" s="138" t="str">
        <f t="shared" si="40"/>
        <v>Toluene</v>
      </c>
      <c r="BV41" s="138" t="str">
        <f t="shared" si="41"/>
        <v>HDPE</v>
      </c>
      <c r="BW41" s="138">
        <f t="shared" si="42"/>
        <v>0.41972499999999996</v>
      </c>
      <c r="BX41" s="138">
        <f t="shared" si="43"/>
        <v>0.61059105234897149</v>
      </c>
      <c r="BY41" s="277" t="s">
        <v>856</v>
      </c>
      <c r="BZ41" s="138">
        <f t="shared" si="44"/>
        <v>1.8024316264307236</v>
      </c>
      <c r="CA41" s="138">
        <f t="shared" si="45"/>
        <v>-11.289036881004725</v>
      </c>
      <c r="CB41" s="138">
        <f t="shared" si="46"/>
        <v>-9.4866052545740001</v>
      </c>
    </row>
    <row r="42" spans="1:80" x14ac:dyDescent="0.2">
      <c r="A42" s="4" t="s">
        <v>1962</v>
      </c>
      <c r="B42" t="s">
        <v>1231</v>
      </c>
      <c r="C42" s="4" t="s">
        <v>1570</v>
      </c>
      <c r="D42" t="s">
        <v>492</v>
      </c>
      <c r="E42" t="s">
        <v>1549</v>
      </c>
      <c r="F42">
        <v>92.14249284505685</v>
      </c>
      <c r="G42">
        <v>0.61059105234897149</v>
      </c>
      <c r="H42">
        <v>2.73</v>
      </c>
      <c r="I42" t="s">
        <v>717</v>
      </c>
      <c r="J42">
        <v>0.27294999999999997</v>
      </c>
      <c r="K42" s="313"/>
      <c r="L42" s="313"/>
      <c r="M42" s="313"/>
      <c r="N42">
        <v>86.27</v>
      </c>
      <c r="O42">
        <v>1.9358597980378804</v>
      </c>
      <c r="P42">
        <v>4.7200000000000001E-12</v>
      </c>
      <c r="Q42">
        <v>-11.326058001365912</v>
      </c>
      <c r="R42">
        <v>4.0719439999999997E-10</v>
      </c>
      <c r="S42">
        <v>-9.3901982033280316</v>
      </c>
      <c r="X42" s="3"/>
      <c r="AA42" s="3"/>
      <c r="AB42" s="17"/>
      <c r="AF42" s="3"/>
      <c r="AI42" s="3"/>
      <c r="AJ42" s="17"/>
      <c r="AN42" s="3"/>
      <c r="BT42">
        <f>VLOOKUP(B42,Literatuur!$A:$B,2,FALSE)</f>
        <v>19</v>
      </c>
      <c r="BU42" s="138" t="str">
        <f t="shared" si="40"/>
        <v>Toluene</v>
      </c>
      <c r="BV42" s="138" t="str">
        <f t="shared" si="41"/>
        <v>HDPE</v>
      </c>
      <c r="BW42" s="138">
        <f t="shared" si="42"/>
        <v>0.27294999999999997</v>
      </c>
      <c r="BX42" s="138">
        <f t="shared" si="43"/>
        <v>0.61059105234897149</v>
      </c>
      <c r="BY42" s="277" t="s">
        <v>856</v>
      </c>
      <c r="BZ42" s="138">
        <f t="shared" si="44"/>
        <v>1.9358597980378804</v>
      </c>
      <c r="CA42" s="138">
        <f t="shared" si="45"/>
        <v>-11.326058001365912</v>
      </c>
      <c r="CB42" s="138">
        <f t="shared" si="46"/>
        <v>-9.3901982033280316</v>
      </c>
    </row>
    <row r="43" spans="1:80" x14ac:dyDescent="0.2">
      <c r="A43" s="4" t="s">
        <v>1962</v>
      </c>
      <c r="B43" t="s">
        <v>1231</v>
      </c>
      <c r="C43" s="4" t="s">
        <v>1570</v>
      </c>
      <c r="D43" t="s">
        <v>492</v>
      </c>
      <c r="E43" t="s">
        <v>1549</v>
      </c>
      <c r="F43">
        <v>92.14249284505685</v>
      </c>
      <c r="G43">
        <v>0.61059105234897149</v>
      </c>
      <c r="H43">
        <v>2.73</v>
      </c>
      <c r="I43" t="s">
        <v>717</v>
      </c>
      <c r="J43">
        <v>0.141625</v>
      </c>
      <c r="K43" s="313"/>
      <c r="L43" s="313"/>
      <c r="M43" s="313"/>
      <c r="N43">
        <v>83.92</v>
      </c>
      <c r="O43">
        <v>1.9238654751855016</v>
      </c>
      <c r="P43">
        <v>3.47E-12</v>
      </c>
      <c r="Q43">
        <v>-11.459670525209127</v>
      </c>
      <c r="R43">
        <v>2.9120239999999998E-10</v>
      </c>
      <c r="S43">
        <v>-9.5358050500236242</v>
      </c>
      <c r="X43" s="3"/>
      <c r="AA43" s="3"/>
      <c r="AB43" s="17"/>
      <c r="AF43" s="3"/>
      <c r="AI43" s="3"/>
      <c r="AJ43" s="17"/>
      <c r="AN43" s="3"/>
      <c r="BT43">
        <f>VLOOKUP(B43,Literatuur!$A:$B,2,FALSE)</f>
        <v>19</v>
      </c>
      <c r="BU43" s="138" t="str">
        <f t="shared" si="40"/>
        <v>Toluene</v>
      </c>
      <c r="BV43" s="138" t="str">
        <f t="shared" si="41"/>
        <v>HDPE</v>
      </c>
      <c r="BW43" s="138">
        <f t="shared" si="42"/>
        <v>0.141625</v>
      </c>
      <c r="BX43" s="138">
        <f t="shared" si="43"/>
        <v>0.61059105234897149</v>
      </c>
      <c r="BY43" s="277" t="s">
        <v>856</v>
      </c>
      <c r="BZ43" s="138">
        <f t="shared" si="44"/>
        <v>1.9238654751855016</v>
      </c>
      <c r="CA43" s="138">
        <f t="shared" si="45"/>
        <v>-11.459670525209127</v>
      </c>
      <c r="CB43" s="138">
        <f t="shared" si="46"/>
        <v>-9.5358050500236242</v>
      </c>
    </row>
    <row r="44" spans="1:80" x14ac:dyDescent="0.2">
      <c r="A44" s="4" t="s">
        <v>1962</v>
      </c>
      <c r="B44" t="s">
        <v>1231</v>
      </c>
      <c r="C44" s="4" t="s">
        <v>1570</v>
      </c>
      <c r="D44" t="s">
        <v>492</v>
      </c>
      <c r="E44" t="s">
        <v>1549</v>
      </c>
      <c r="F44">
        <v>92.14249284505685</v>
      </c>
      <c r="G44">
        <v>0.61059105234897149</v>
      </c>
      <c r="H44">
        <v>2.73</v>
      </c>
      <c r="I44" t="s">
        <v>717</v>
      </c>
      <c r="J44">
        <v>2.1887500000000004E-2</v>
      </c>
      <c r="K44" s="313"/>
      <c r="L44" s="313"/>
      <c r="M44" s="313"/>
      <c r="N44">
        <v>151.03</v>
      </c>
      <c r="O44">
        <v>2.17906322239498</v>
      </c>
      <c r="P44">
        <v>5.5500000000000004E-12</v>
      </c>
      <c r="Q44">
        <v>-11.255707016877324</v>
      </c>
      <c r="R44">
        <v>8.3821650000000005E-10</v>
      </c>
      <c r="S44">
        <v>-9.0766437944823437</v>
      </c>
      <c r="X44" s="3"/>
      <c r="AA44" s="3"/>
      <c r="AB44" s="17"/>
      <c r="AF44" s="3"/>
      <c r="AI44" s="3"/>
      <c r="AJ44" s="17"/>
      <c r="AN44" s="3"/>
      <c r="BT44">
        <f>VLOOKUP(B44,Literatuur!$A:$B,2,FALSE)</f>
        <v>19</v>
      </c>
      <c r="BU44" s="138" t="str">
        <f t="shared" si="40"/>
        <v>Toluene</v>
      </c>
      <c r="BV44" s="138" t="str">
        <f t="shared" si="41"/>
        <v>HDPE</v>
      </c>
      <c r="BW44" s="138">
        <f t="shared" si="42"/>
        <v>2.1887500000000004E-2</v>
      </c>
      <c r="BX44" s="138">
        <f t="shared" si="43"/>
        <v>0.61059105234897149</v>
      </c>
      <c r="BY44" s="277" t="s">
        <v>856</v>
      </c>
      <c r="BZ44" s="138">
        <f t="shared" si="44"/>
        <v>2.17906322239498</v>
      </c>
      <c r="CA44" s="138">
        <f t="shared" si="45"/>
        <v>-11.255707016877324</v>
      </c>
      <c r="CB44" s="138">
        <f t="shared" si="46"/>
        <v>-9.0766437944823437</v>
      </c>
    </row>
    <row r="45" spans="1:80" x14ac:dyDescent="0.2">
      <c r="A45" s="4" t="s">
        <v>1963</v>
      </c>
      <c r="B45" t="s">
        <v>1236</v>
      </c>
      <c r="C45" s="4" t="s">
        <v>1571</v>
      </c>
      <c r="D45" t="s">
        <v>492</v>
      </c>
      <c r="E45" t="s">
        <v>1549</v>
      </c>
      <c r="F45">
        <v>92.14249284505685</v>
      </c>
      <c r="G45">
        <v>0.61059105234897149</v>
      </c>
      <c r="H45">
        <v>2.73</v>
      </c>
      <c r="I45" t="s">
        <v>717</v>
      </c>
      <c r="J45">
        <v>3.0000000000000001E-3</v>
      </c>
      <c r="K45" s="210">
        <f>J45/G45</f>
        <v>4.9132721294536889E-3</v>
      </c>
      <c r="L45" s="210"/>
      <c r="M45" s="210">
        <f>LOG(K45)</f>
        <v>-2.3086291811028894</v>
      </c>
      <c r="N45">
        <v>107.5</v>
      </c>
      <c r="O45">
        <v>2.0314084642516241</v>
      </c>
      <c r="X45" s="3"/>
      <c r="AA45" s="3"/>
      <c r="AB45" s="17"/>
      <c r="AF45" s="3"/>
      <c r="AI45" s="3"/>
      <c r="AJ45" s="17"/>
      <c r="AN45" s="3"/>
      <c r="BT45">
        <f>VLOOKUP(B45,Literatuur!$A:$B,2,FALSE)</f>
        <v>26</v>
      </c>
      <c r="BU45" s="138" t="str">
        <f t="shared" si="40"/>
        <v>Toluene</v>
      </c>
      <c r="BV45" s="138" t="str">
        <f t="shared" si="41"/>
        <v>HDPE</v>
      </c>
      <c r="BW45" s="138">
        <f t="shared" si="42"/>
        <v>3.0000000000000001E-3</v>
      </c>
      <c r="BX45" s="138">
        <f t="shared" si="43"/>
        <v>0.61059105234897149</v>
      </c>
      <c r="BY45" s="137">
        <f>K45</f>
        <v>4.9132721294536889E-3</v>
      </c>
      <c r="BZ45" s="138">
        <f t="shared" si="44"/>
        <v>2.0314084642516241</v>
      </c>
      <c r="CA45" s="138" t="str">
        <f t="shared" si="45"/>
        <v/>
      </c>
      <c r="CB45" s="138" t="str">
        <f t="shared" si="46"/>
        <v/>
      </c>
    </row>
    <row r="46" spans="1:80" x14ac:dyDescent="0.2">
      <c r="A46" s="4" t="s">
        <v>1963</v>
      </c>
      <c r="B46" t="s">
        <v>1236</v>
      </c>
      <c r="C46" s="4" t="s">
        <v>1571</v>
      </c>
      <c r="D46" t="s">
        <v>492</v>
      </c>
      <c r="E46" t="s">
        <v>1549</v>
      </c>
      <c r="F46">
        <v>92.14249284505685</v>
      </c>
      <c r="G46">
        <v>0.61059105234897149</v>
      </c>
      <c r="H46">
        <v>2.73</v>
      </c>
      <c r="I46" t="s">
        <v>717</v>
      </c>
      <c r="J46">
        <v>3.0000000000000001E-3</v>
      </c>
      <c r="K46" s="210">
        <f>J46/G46</f>
        <v>4.9132721294536889E-3</v>
      </c>
      <c r="L46" s="210"/>
      <c r="M46" s="210">
        <f>LOG(K46)</f>
        <v>-2.3086291811028894</v>
      </c>
      <c r="N46">
        <v>100</v>
      </c>
      <c r="O46">
        <v>2</v>
      </c>
      <c r="P46">
        <v>3.0000000000000003E-13</v>
      </c>
      <c r="Q46">
        <v>-12.522878745280337</v>
      </c>
      <c r="R46">
        <v>3.0000000000000006E-11</v>
      </c>
      <c r="S46">
        <v>-10.522878745280337</v>
      </c>
      <c r="X46" s="3"/>
      <c r="AA46" s="3"/>
      <c r="AB46" s="17"/>
      <c r="AF46" s="3"/>
      <c r="AI46" s="3"/>
      <c r="AJ46" s="17"/>
      <c r="AN46" s="3"/>
      <c r="BT46">
        <f>VLOOKUP(B46,Literatuur!$A:$B,2,FALSE)</f>
        <v>26</v>
      </c>
      <c r="BU46" s="138" t="str">
        <f t="shared" si="40"/>
        <v>Toluene</v>
      </c>
      <c r="BV46" s="138" t="str">
        <f t="shared" si="41"/>
        <v>HDPE</v>
      </c>
      <c r="BW46" s="138">
        <f t="shared" si="42"/>
        <v>3.0000000000000001E-3</v>
      </c>
      <c r="BX46" s="138">
        <f t="shared" si="43"/>
        <v>0.61059105234897149</v>
      </c>
      <c r="BY46" s="137">
        <f>K46</f>
        <v>4.9132721294536889E-3</v>
      </c>
      <c r="BZ46" s="138">
        <f t="shared" si="44"/>
        <v>2</v>
      </c>
      <c r="CA46" s="138">
        <f t="shared" si="45"/>
        <v>-12.522878745280337</v>
      </c>
      <c r="CB46" s="138">
        <f t="shared" si="46"/>
        <v>-10.522878745280337</v>
      </c>
    </row>
    <row r="47" spans="1:80" x14ac:dyDescent="0.2">
      <c r="A47" s="4" t="s">
        <v>1964</v>
      </c>
      <c r="B47" t="s">
        <v>430</v>
      </c>
      <c r="C47" s="4" t="s">
        <v>60</v>
      </c>
      <c r="D47" t="s">
        <v>492</v>
      </c>
      <c r="E47" t="s">
        <v>1549</v>
      </c>
      <c r="F47">
        <v>92.14249284505685</v>
      </c>
      <c r="G47">
        <v>0.61059105234897149</v>
      </c>
      <c r="H47">
        <v>2.73</v>
      </c>
      <c r="I47" t="s">
        <v>717</v>
      </c>
      <c r="J47">
        <v>0.61059105234897149</v>
      </c>
      <c r="K47" s="210">
        <f>J47/G47</f>
        <v>1</v>
      </c>
      <c r="L47" s="210"/>
      <c r="M47" s="210">
        <f>LOG(K47)</f>
        <v>0</v>
      </c>
      <c r="N47">
        <v>118.24608258218545</v>
      </c>
      <c r="O47">
        <v>2.0727867617470874</v>
      </c>
      <c r="P47">
        <v>1.6203703703703706E-12</v>
      </c>
      <c r="Q47">
        <v>-11.790385706800656</v>
      </c>
      <c r="R47">
        <v>1.9160244862854126E-10</v>
      </c>
      <c r="S47">
        <v>-9.7175989450535685</v>
      </c>
      <c r="X47" s="3"/>
      <c r="AA47" s="3"/>
      <c r="AB47" s="17"/>
      <c r="AF47" s="3"/>
      <c r="AI47" s="3"/>
      <c r="AJ47" s="17"/>
      <c r="AN47" s="3"/>
      <c r="BT47">
        <f>VLOOKUP(B47,Literatuur!$A:$B,2,FALSE)</f>
        <v>37</v>
      </c>
      <c r="BU47" s="138" t="str">
        <f t="shared" si="40"/>
        <v>Toluene</v>
      </c>
      <c r="BV47" s="138" t="str">
        <f t="shared" si="41"/>
        <v>HDPE</v>
      </c>
      <c r="BW47" s="138">
        <f t="shared" si="42"/>
        <v>0.61059105234897149</v>
      </c>
      <c r="BX47" s="138">
        <f t="shared" si="43"/>
        <v>0.61059105234897149</v>
      </c>
      <c r="BY47" s="137">
        <f>K47</f>
        <v>1</v>
      </c>
      <c r="BZ47" s="138">
        <f t="shared" si="44"/>
        <v>2.0727867617470874</v>
      </c>
      <c r="CA47" s="138">
        <f t="shared" si="45"/>
        <v>-11.790385706800656</v>
      </c>
      <c r="CB47" s="138">
        <f t="shared" si="46"/>
        <v>-9.7175989450535685</v>
      </c>
    </row>
    <row r="48" spans="1:80" x14ac:dyDescent="0.2">
      <c r="A48" s="4" t="s">
        <v>1965</v>
      </c>
      <c r="B48" t="s">
        <v>1875</v>
      </c>
      <c r="C48" s="4" t="s">
        <v>1572</v>
      </c>
      <c r="D48" t="s">
        <v>492</v>
      </c>
      <c r="E48" t="s">
        <v>1549</v>
      </c>
      <c r="F48">
        <v>92.14249284505685</v>
      </c>
      <c r="G48">
        <v>0.61059105234897149</v>
      </c>
      <c r="H48">
        <v>2.73</v>
      </c>
      <c r="I48" t="s">
        <v>717</v>
      </c>
      <c r="J48">
        <v>0.61059105234897149</v>
      </c>
      <c r="K48" s="210">
        <f>J48/G48</f>
        <v>1</v>
      </c>
      <c r="L48" s="210"/>
      <c r="M48" s="210">
        <f>LOG(K48)</f>
        <v>0</v>
      </c>
      <c r="N48">
        <v>139.70070421413322</v>
      </c>
      <c r="O48">
        <v>2.1451985953449713</v>
      </c>
      <c r="P48">
        <v>5.6900000000000002E-12</v>
      </c>
      <c r="Q48">
        <v>-11.244887733604928</v>
      </c>
      <c r="R48">
        <v>7.9489700697841803E-10</v>
      </c>
      <c r="S48">
        <v>-9.0996891382599578</v>
      </c>
      <c r="X48" s="3"/>
      <c r="AA48" s="3"/>
      <c r="AB48" s="17"/>
      <c r="AF48" s="3"/>
      <c r="AI48" s="3"/>
      <c r="AJ48" s="17"/>
      <c r="AN48" s="3"/>
      <c r="BT48">
        <f>VLOOKUP(B48,Literatuur!$A:$B,2,FALSE)</f>
        <v>39</v>
      </c>
      <c r="BU48" s="138" t="str">
        <f t="shared" si="40"/>
        <v>Toluene</v>
      </c>
      <c r="BV48" s="138" t="str">
        <f t="shared" si="41"/>
        <v>HDPE</v>
      </c>
      <c r="BW48" s="138">
        <f t="shared" si="42"/>
        <v>0.61059105234897149</v>
      </c>
      <c r="BX48" s="138">
        <f t="shared" si="43"/>
        <v>0.61059105234897149</v>
      </c>
      <c r="BY48" s="137">
        <f>K48</f>
        <v>1</v>
      </c>
      <c r="BZ48" s="138">
        <f t="shared" si="44"/>
        <v>2.1451985953449713</v>
      </c>
      <c r="CA48" s="138">
        <f t="shared" si="45"/>
        <v>-11.244887733604928</v>
      </c>
      <c r="CB48" s="138">
        <f t="shared" si="46"/>
        <v>-9.0996891382599578</v>
      </c>
    </row>
    <row r="49" spans="1:80" x14ac:dyDescent="0.2">
      <c r="A49" s="4" t="s">
        <v>1966</v>
      </c>
      <c r="B49" t="s">
        <v>1402</v>
      </c>
      <c r="C49" s="4" t="s">
        <v>1573</v>
      </c>
      <c r="D49" t="s">
        <v>492</v>
      </c>
      <c r="E49" t="s">
        <v>1549</v>
      </c>
      <c r="F49">
        <v>92.14249284505685</v>
      </c>
      <c r="G49">
        <v>0.61059105234897149</v>
      </c>
      <c r="H49">
        <v>2.73</v>
      </c>
      <c r="I49" t="s">
        <v>717</v>
      </c>
      <c r="J49">
        <v>0.61059105234897149</v>
      </c>
      <c r="K49" s="210">
        <f>J49/G49</f>
        <v>1</v>
      </c>
      <c r="L49" s="210"/>
      <c r="M49" s="210">
        <f>LOG(K49)</f>
        <v>0</v>
      </c>
      <c r="P49">
        <v>2.9000000000000002E-12</v>
      </c>
      <c r="Q49">
        <v>-11.537602002101044</v>
      </c>
      <c r="X49" s="3"/>
      <c r="AA49" s="3"/>
      <c r="AB49" s="17"/>
      <c r="AF49" s="3"/>
      <c r="AI49" s="3"/>
      <c r="AJ49" s="17"/>
      <c r="AN49" s="3"/>
      <c r="BT49">
        <f>VLOOKUP(B49,Literatuur!$A:$B,2,FALSE)</f>
        <v>38</v>
      </c>
      <c r="BU49" s="138" t="str">
        <f t="shared" si="40"/>
        <v>Toluene</v>
      </c>
      <c r="BV49" s="138" t="str">
        <f t="shared" si="41"/>
        <v>HDPE</v>
      </c>
      <c r="BW49" s="138">
        <f t="shared" si="42"/>
        <v>0.61059105234897149</v>
      </c>
      <c r="BX49" s="138">
        <f t="shared" si="43"/>
        <v>0.61059105234897149</v>
      </c>
      <c r="BY49" s="137">
        <f>K49</f>
        <v>1</v>
      </c>
      <c r="BZ49" s="138" t="str">
        <f t="shared" si="44"/>
        <v/>
      </c>
      <c r="CA49" s="138">
        <f t="shared" si="45"/>
        <v>-11.537602002101044</v>
      </c>
      <c r="CB49" s="138"/>
    </row>
    <row r="50" spans="1:80" x14ac:dyDescent="0.2">
      <c r="K50" s="137"/>
      <c r="L50" s="137"/>
      <c r="M50" s="137"/>
      <c r="X50" s="3"/>
      <c r="AA50" s="3"/>
      <c r="AB50" s="17"/>
      <c r="AF50" s="3"/>
      <c r="AI50" s="3"/>
      <c r="AJ50" s="17"/>
      <c r="AN50" s="3"/>
      <c r="BU50" s="138"/>
      <c r="BV50" s="138"/>
      <c r="BW50" s="138"/>
      <c r="BX50" s="138"/>
      <c r="BZ50" s="138"/>
      <c r="CA50" s="138"/>
      <c r="CB50" s="138"/>
    </row>
    <row r="51" spans="1:80" x14ac:dyDescent="0.2">
      <c r="A51" s="1" t="s">
        <v>1574</v>
      </c>
      <c r="K51" s="137"/>
      <c r="L51" s="137"/>
      <c r="M51" s="137"/>
      <c r="T51" s="5"/>
      <c r="U51" s="5"/>
      <c r="V51" s="5"/>
      <c r="W51" s="5"/>
      <c r="X51" s="22"/>
      <c r="Y51" s="5"/>
      <c r="Z51" s="5"/>
      <c r="AA51" s="22"/>
      <c r="AB51" s="70"/>
      <c r="AC51" s="5"/>
      <c r="AD51" s="5"/>
      <c r="AE51" s="5"/>
      <c r="AF51" s="22"/>
      <c r="AG51" s="5"/>
      <c r="AH51" s="5"/>
      <c r="AI51" s="22"/>
      <c r="AJ51" s="70"/>
      <c r="AK51" s="5"/>
      <c r="AL51" s="5"/>
      <c r="AM51" s="5"/>
      <c r="AN51" s="22"/>
      <c r="AO51" s="5"/>
      <c r="AP51" s="5"/>
      <c r="AQ51" s="5"/>
      <c r="AR51" s="5"/>
      <c r="AS51" s="5"/>
      <c r="AT51" s="5"/>
      <c r="AU51" s="5"/>
      <c r="AV51" s="5"/>
      <c r="AW51" s="5"/>
      <c r="AX51" s="5"/>
      <c r="BU51" s="138"/>
      <c r="BV51" s="138"/>
      <c r="BW51" s="138"/>
      <c r="BX51" s="138"/>
      <c r="BZ51" s="138"/>
      <c r="CA51" s="138"/>
      <c r="CB51" s="138"/>
    </row>
    <row r="52" spans="1:80" x14ac:dyDescent="0.2">
      <c r="A52" s="4" t="s">
        <v>1967</v>
      </c>
      <c r="B52" t="s">
        <v>1226</v>
      </c>
      <c r="C52">
        <v>66</v>
      </c>
      <c r="D52" t="s">
        <v>492</v>
      </c>
      <c r="E52" t="s">
        <v>1549</v>
      </c>
      <c r="F52">
        <v>92.14249284505685</v>
      </c>
      <c r="G52">
        <v>0.61059105234897149</v>
      </c>
      <c r="H52">
        <v>2.73</v>
      </c>
      <c r="I52" t="s">
        <v>769</v>
      </c>
      <c r="J52">
        <v>0</v>
      </c>
      <c r="K52" s="313"/>
      <c r="L52" s="313">
        <f>AVERAGE(K52:K63)</f>
        <v>0.26064725470733391</v>
      </c>
      <c r="M52" s="313"/>
      <c r="N52" s="148"/>
      <c r="O52" s="148"/>
      <c r="P52">
        <v>1.8000000000000004E-12</v>
      </c>
      <c r="Q52">
        <v>-11.744727494896694</v>
      </c>
      <c r="T52" s="106">
        <f>SLOPE(O52:O63,$K52:$K63)</f>
        <v>0.62046718608409102</v>
      </c>
      <c r="U52" s="106">
        <f>INTERCEPT(O52:O63,$K52:$K63)</f>
        <v>1.5409707270388968</v>
      </c>
      <c r="V52" s="106">
        <f>RSQ(O52:O63,$K52:$K63)</f>
        <v>0.69262852996495194</v>
      </c>
      <c r="W52" s="106">
        <f>STEYX(O52:O63,$K52:$K63)</f>
        <v>0.15331839440360637</v>
      </c>
      <c r="X52" s="296">
        <f>_xlfn.T.INV.2T(0.05,COUNT($K52:$K63)-1)*W52</f>
        <v>0.36254039362203511</v>
      </c>
      <c r="Y52" s="106">
        <f>SLOPE(O52:O63,$M52:$M63)</f>
        <v>0.21533898876487403</v>
      </c>
      <c r="Z52" s="106">
        <f>INTERCEPT(O52:O63,$M52:$M63)</f>
        <v>1.9244788447509698</v>
      </c>
      <c r="AA52" s="296">
        <f>RSQ(O52:O63,$M52:$M63)</f>
        <v>0.43260469401630719</v>
      </c>
      <c r="AB52" s="295">
        <f>SLOPE(Q52:Q63,$K52:$K63)</f>
        <v>0.95849943643014424</v>
      </c>
      <c r="AC52" s="106">
        <f>INTERCEPT(Q52:Q63,$K52:$K63)</f>
        <v>-12.42522055695283</v>
      </c>
      <c r="AD52" s="106">
        <f>RSQ(Q52:Q63,$K52:$K63)</f>
        <v>0.95065039088509473</v>
      </c>
      <c r="AE52" s="106">
        <f>STEYX(Q52:Q63,$K52:$K63)</f>
        <v>8.1005994871932926E-2</v>
      </c>
      <c r="AF52" s="296">
        <f>_xlfn.T.INV.2T(0.05,COUNT($K52:$K63)-1)*AE52</f>
        <v>0.19154873999857336</v>
      </c>
      <c r="AG52" s="106">
        <f>SLOPE(Q52:Q63,$M52:$M63)</f>
        <v>0.30821120529090523</v>
      </c>
      <c r="AH52" s="106">
        <f>INTERCEPT(Q52:Q63,$M52:$M63)</f>
        <v>-11.85795296332126</v>
      </c>
      <c r="AI52" s="296">
        <f>RSQ(Q52:Q63,$M52:$M63)</f>
        <v>0.50970289968593818</v>
      </c>
      <c r="AJ52" s="295">
        <f>SLOPE(S52:S63,$K52:$K63)</f>
        <v>1.5789666225142351</v>
      </c>
      <c r="AK52" s="106">
        <f>INTERCEPT(S52:S63,$K52:$K63)</f>
        <v>-10.884249829913934</v>
      </c>
      <c r="AL52" s="106">
        <f>RSQ(S52:S63,$K52:$K63)</f>
        <v>0.93631518072066322</v>
      </c>
      <c r="AM52" s="106">
        <f>STEYX(S52:S63,$K52:$K63)</f>
        <v>0.15274736704942374</v>
      </c>
      <c r="AN52" s="296">
        <f>_xlfn.T.INV.2T(0.05,COUNT($K52:$K63)-1)*AM52</f>
        <v>0.36119012849201204</v>
      </c>
      <c r="AO52" s="106">
        <f>SLOPE(S52:S63,$M52:$M63)</f>
        <v>0.52355019405577929</v>
      </c>
      <c r="AP52" s="106">
        <f>INTERCEPT(S52:S63,$M52:$M63)</f>
        <v>-9.9334741185702899</v>
      </c>
      <c r="AQ52" s="106">
        <f>RSQ(S52:S63,$M52:$M63)</f>
        <v>0.53379679826896642</v>
      </c>
      <c r="AR52" s="106"/>
      <c r="AS52" s="106"/>
      <c r="AT52" s="106"/>
      <c r="AU52" s="106"/>
      <c r="AV52" s="106"/>
      <c r="AW52" s="106"/>
      <c r="AX52" s="106"/>
      <c r="BT52">
        <f>VLOOKUP(B52,Literatuur!$A:$B,2,FALSE)</f>
        <v>12</v>
      </c>
      <c r="BU52" s="138" t="str">
        <f t="shared" ref="BU52:BU63" si="47">D52</f>
        <v>Toluene</v>
      </c>
      <c r="BV52" s="138" t="str">
        <f t="shared" ref="BV52:BV63" si="48">I52</f>
        <v>LDPE</v>
      </c>
      <c r="BW52" s="138">
        <f t="shared" ref="BW52:BW63" si="49">J52</f>
        <v>0</v>
      </c>
      <c r="BX52" s="138">
        <f t="shared" ref="BX52:BX63" si="50">G52</f>
        <v>0.61059105234897149</v>
      </c>
      <c r="BY52" s="277" t="s">
        <v>856</v>
      </c>
      <c r="BZ52" s="138" t="str">
        <f t="shared" ref="BZ52:BZ63" si="51">IF(ISNUMBER(O52),O52,"")</f>
        <v/>
      </c>
      <c r="CA52" s="138">
        <f t="shared" ref="CA52:CA63" si="52">IF(ISNUMBER(Q52),Q52,"")</f>
        <v>-11.744727494896694</v>
      </c>
      <c r="CB52" s="138"/>
    </row>
    <row r="53" spans="1:80" x14ac:dyDescent="0.2">
      <c r="A53" s="4" t="s">
        <v>1968</v>
      </c>
      <c r="B53" t="s">
        <v>1226</v>
      </c>
      <c r="C53">
        <v>67</v>
      </c>
      <c r="D53" t="s">
        <v>492</v>
      </c>
      <c r="E53" t="s">
        <v>1549</v>
      </c>
      <c r="F53">
        <v>92.14249284505685</v>
      </c>
      <c r="G53">
        <v>0.61059105234897149</v>
      </c>
      <c r="H53">
        <v>2.73</v>
      </c>
      <c r="I53" t="s">
        <v>769</v>
      </c>
      <c r="J53">
        <v>0</v>
      </c>
      <c r="K53" s="313"/>
      <c r="L53" s="313"/>
      <c r="M53" s="313"/>
      <c r="N53" s="148"/>
      <c r="O53" s="148"/>
      <c r="P53">
        <v>1.0500000000000002E-12</v>
      </c>
      <c r="Q53">
        <v>-11.978810700930062</v>
      </c>
      <c r="X53" s="3"/>
      <c r="AA53" s="3"/>
      <c r="AB53" s="17"/>
      <c r="AF53" s="3"/>
      <c r="AI53" s="3"/>
      <c r="AJ53" s="17"/>
      <c r="AN53" s="3"/>
      <c r="BT53">
        <f>VLOOKUP(B53,Literatuur!$A:$B,2,FALSE)</f>
        <v>12</v>
      </c>
      <c r="BU53" s="138" t="str">
        <f t="shared" si="47"/>
        <v>Toluene</v>
      </c>
      <c r="BV53" s="138" t="str">
        <f t="shared" si="48"/>
        <v>LDPE</v>
      </c>
      <c r="BW53" s="138">
        <f t="shared" si="49"/>
        <v>0</v>
      </c>
      <c r="BX53" s="138">
        <f t="shared" si="50"/>
        <v>0.61059105234897149</v>
      </c>
      <c r="BY53" s="277" t="s">
        <v>856</v>
      </c>
      <c r="BZ53" s="138" t="str">
        <f t="shared" si="51"/>
        <v/>
      </c>
      <c r="CA53" s="138">
        <f t="shared" si="52"/>
        <v>-11.978810700930062</v>
      </c>
      <c r="CB53" s="138"/>
    </row>
    <row r="54" spans="1:80" x14ac:dyDescent="0.2">
      <c r="A54" s="4" t="s">
        <v>1969</v>
      </c>
      <c r="B54" t="s">
        <v>1226</v>
      </c>
      <c r="C54">
        <v>68</v>
      </c>
      <c r="D54" t="s">
        <v>492</v>
      </c>
      <c r="E54" t="s">
        <v>1549</v>
      </c>
      <c r="F54">
        <v>92.14249284505685</v>
      </c>
      <c r="G54">
        <v>0.61059105234897149</v>
      </c>
      <c r="H54">
        <v>2.73</v>
      </c>
      <c r="I54" t="s">
        <v>769</v>
      </c>
      <c r="J54">
        <v>0</v>
      </c>
      <c r="K54" s="313"/>
      <c r="L54" s="313"/>
      <c r="M54" s="313"/>
      <c r="N54" s="148"/>
      <c r="O54" s="148"/>
      <c r="P54">
        <v>1.4000000000000001E-12</v>
      </c>
      <c r="Q54">
        <v>-11.853871964321762</v>
      </c>
      <c r="T54" s="490"/>
      <c r="X54" s="3"/>
      <c r="AA54" s="3"/>
      <c r="AB54" s="315"/>
      <c r="AF54" s="3"/>
      <c r="AI54" s="3"/>
      <c r="AJ54" s="17"/>
      <c r="AN54" s="3"/>
      <c r="BT54">
        <f>VLOOKUP(B54,Literatuur!$A:$B,2,FALSE)</f>
        <v>12</v>
      </c>
      <c r="BU54" s="138" t="str">
        <f t="shared" si="47"/>
        <v>Toluene</v>
      </c>
      <c r="BV54" s="138" t="str">
        <f t="shared" si="48"/>
        <v>LDPE</v>
      </c>
      <c r="BW54" s="138">
        <f t="shared" si="49"/>
        <v>0</v>
      </c>
      <c r="BX54" s="138">
        <f t="shared" si="50"/>
        <v>0.61059105234897149</v>
      </c>
      <c r="BY54" s="277" t="s">
        <v>856</v>
      </c>
      <c r="BZ54" s="138" t="str">
        <f t="shared" si="51"/>
        <v/>
      </c>
      <c r="CA54" s="138">
        <f t="shared" si="52"/>
        <v>-11.853871964321762</v>
      </c>
      <c r="CB54" s="138"/>
    </row>
    <row r="55" spans="1:80" x14ac:dyDescent="0.2">
      <c r="A55" s="4" t="s">
        <v>1970</v>
      </c>
      <c r="B55" t="s">
        <v>1226</v>
      </c>
      <c r="C55">
        <v>69</v>
      </c>
      <c r="D55" t="s">
        <v>492</v>
      </c>
      <c r="E55" t="s">
        <v>1549</v>
      </c>
      <c r="F55">
        <v>92.14249284505685</v>
      </c>
      <c r="G55">
        <v>0.61059105234897149</v>
      </c>
      <c r="H55">
        <v>2.73</v>
      </c>
      <c r="I55" t="s">
        <v>769</v>
      </c>
      <c r="J55">
        <v>0</v>
      </c>
      <c r="K55" s="313"/>
      <c r="L55" s="313"/>
      <c r="M55" s="313"/>
      <c r="N55" s="148"/>
      <c r="O55" s="148"/>
      <c r="P55">
        <v>3.2000000000000005E-12</v>
      </c>
      <c r="Q55">
        <v>-11.494850021680094</v>
      </c>
      <c r="X55" s="3"/>
      <c r="AA55" s="3"/>
      <c r="AB55" s="17"/>
      <c r="AF55" s="3"/>
      <c r="AI55" s="3"/>
      <c r="AJ55" s="17"/>
      <c r="AN55" s="3"/>
      <c r="BT55">
        <f>VLOOKUP(B55,Literatuur!$A:$B,2,FALSE)</f>
        <v>12</v>
      </c>
      <c r="BU55" s="138" t="str">
        <f t="shared" si="47"/>
        <v>Toluene</v>
      </c>
      <c r="BV55" s="138" t="str">
        <f t="shared" si="48"/>
        <v>LDPE</v>
      </c>
      <c r="BW55" s="138">
        <f t="shared" si="49"/>
        <v>0</v>
      </c>
      <c r="BX55" s="138">
        <f t="shared" si="50"/>
        <v>0.61059105234897149</v>
      </c>
      <c r="BY55" s="277" t="s">
        <v>856</v>
      </c>
      <c r="BZ55" s="138" t="str">
        <f t="shared" si="51"/>
        <v/>
      </c>
      <c r="CA55" s="138">
        <f t="shared" si="52"/>
        <v>-11.494850021680094</v>
      </c>
      <c r="CB55" s="138"/>
    </row>
    <row r="56" spans="1:80" x14ac:dyDescent="0.2">
      <c r="A56" s="4" t="s">
        <v>1964</v>
      </c>
      <c r="B56" t="s">
        <v>430</v>
      </c>
      <c r="C56" s="4" t="s">
        <v>60</v>
      </c>
      <c r="D56" t="s">
        <v>492</v>
      </c>
      <c r="E56" t="s">
        <v>1549</v>
      </c>
      <c r="F56">
        <v>92.14249284505685</v>
      </c>
      <c r="G56">
        <v>0.61059105234897149</v>
      </c>
      <c r="H56">
        <v>2.73</v>
      </c>
      <c r="I56" t="s">
        <v>769</v>
      </c>
      <c r="J56">
        <v>0.61059105234897149</v>
      </c>
      <c r="K56" s="210">
        <f t="shared" ref="K56:K63" si="53">J56/G56</f>
        <v>1</v>
      </c>
      <c r="L56" s="210"/>
      <c r="M56" s="210">
        <f t="shared" ref="M56:M63" si="54">LOG(K56)</f>
        <v>0</v>
      </c>
      <c r="N56">
        <v>174.78146721843257</v>
      </c>
      <c r="O56">
        <v>2.2424953807499222</v>
      </c>
      <c r="P56">
        <v>3.9351851851851855E-12</v>
      </c>
      <c r="Q56">
        <v>-11.405034825436639</v>
      </c>
      <c r="R56">
        <v>6.8779744044290601E-10</v>
      </c>
      <c r="S56">
        <v>-9.1625394446867165</v>
      </c>
      <c r="X56" s="3"/>
      <c r="AA56" s="3"/>
      <c r="AB56" s="17"/>
      <c r="AF56" s="3"/>
      <c r="AI56" s="3"/>
      <c r="AJ56" s="17"/>
      <c r="AN56" s="3"/>
      <c r="BT56">
        <f>VLOOKUP(B56,Literatuur!$A:$B,2,FALSE)</f>
        <v>37</v>
      </c>
      <c r="BU56" s="138" t="str">
        <f t="shared" si="47"/>
        <v>Toluene</v>
      </c>
      <c r="BV56" s="138" t="str">
        <f t="shared" si="48"/>
        <v>LDPE</v>
      </c>
      <c r="BW56" s="138">
        <f t="shared" si="49"/>
        <v>0.61059105234897149</v>
      </c>
      <c r="BX56" s="138">
        <f t="shared" si="50"/>
        <v>0.61059105234897149</v>
      </c>
      <c r="BY56" s="137">
        <f t="shared" ref="BY56:BY63" si="55">K56</f>
        <v>1</v>
      </c>
      <c r="BZ56" s="138">
        <f t="shared" si="51"/>
        <v>2.2424953807499222</v>
      </c>
      <c r="CA56" s="138">
        <f t="shared" si="52"/>
        <v>-11.405034825436639</v>
      </c>
      <c r="CB56" s="138">
        <f t="shared" ref="CB56:CB63" si="56">IF(ISNUMBER(S56),S56,"")</f>
        <v>-9.1625394446867165</v>
      </c>
    </row>
    <row r="57" spans="1:80" x14ac:dyDescent="0.2">
      <c r="A57" s="4" t="s">
        <v>1964</v>
      </c>
      <c r="B57" t="s">
        <v>430</v>
      </c>
      <c r="C57" s="4" t="s">
        <v>60</v>
      </c>
      <c r="D57" t="s">
        <v>492</v>
      </c>
      <c r="E57" t="s">
        <v>1549</v>
      </c>
      <c r="F57">
        <v>92.14249284505685</v>
      </c>
      <c r="G57">
        <v>0.61059105234897149</v>
      </c>
      <c r="H57">
        <v>2.73</v>
      </c>
      <c r="I57" t="s">
        <v>769</v>
      </c>
      <c r="J57">
        <v>0.313</v>
      </c>
      <c r="K57" s="210">
        <f t="shared" si="53"/>
        <v>0.51261805883966827</v>
      </c>
      <c r="L57" s="210"/>
      <c r="M57" s="210">
        <f t="shared" si="54"/>
        <v>-0.29020609827610311</v>
      </c>
      <c r="N57">
        <v>54</v>
      </c>
      <c r="O57">
        <v>1.7323937598229686</v>
      </c>
      <c r="P57">
        <v>9.0277777777777766E-13</v>
      </c>
      <c r="Q57">
        <v>-12.044419139788413</v>
      </c>
      <c r="R57">
        <v>4.8749999999999993E-11</v>
      </c>
      <c r="S57">
        <v>-10.312025379965444</v>
      </c>
      <c r="X57" s="3"/>
      <c r="AA57" s="3"/>
      <c r="AB57" s="17"/>
      <c r="AF57" s="3"/>
      <c r="AI57" s="3"/>
      <c r="AJ57" s="17"/>
      <c r="AN57" s="3"/>
      <c r="BT57">
        <f>VLOOKUP(B57,Literatuur!$A:$B,2,FALSE)</f>
        <v>37</v>
      </c>
      <c r="BU57" s="138" t="str">
        <f t="shared" si="47"/>
        <v>Toluene</v>
      </c>
      <c r="BV57" s="138" t="str">
        <f t="shared" si="48"/>
        <v>LDPE</v>
      </c>
      <c r="BW57" s="138">
        <f t="shared" si="49"/>
        <v>0.313</v>
      </c>
      <c r="BX57" s="138">
        <f t="shared" si="50"/>
        <v>0.61059105234897149</v>
      </c>
      <c r="BY57" s="137">
        <f t="shared" si="55"/>
        <v>0.51261805883966827</v>
      </c>
      <c r="BZ57" s="138">
        <f t="shared" si="51"/>
        <v>1.7323937598229686</v>
      </c>
      <c r="CA57" s="138">
        <f t="shared" si="52"/>
        <v>-12.044419139788413</v>
      </c>
      <c r="CB57" s="138">
        <f t="shared" si="56"/>
        <v>-10.312025379965444</v>
      </c>
    </row>
    <row r="58" spans="1:80" x14ac:dyDescent="0.2">
      <c r="A58" s="4" t="s">
        <v>1964</v>
      </c>
      <c r="B58" t="s">
        <v>430</v>
      </c>
      <c r="C58" s="4" t="s">
        <v>60</v>
      </c>
      <c r="D58" t="s">
        <v>492</v>
      </c>
      <c r="E58" t="s">
        <v>1549</v>
      </c>
      <c r="F58">
        <v>92.14249284505685</v>
      </c>
      <c r="G58">
        <v>0.61059105234897149</v>
      </c>
      <c r="H58">
        <v>2.73</v>
      </c>
      <c r="I58" t="s">
        <v>769</v>
      </c>
      <c r="J58">
        <v>0.16700000000000001</v>
      </c>
      <c r="K58" s="210">
        <f t="shared" si="53"/>
        <v>0.27350548187292201</v>
      </c>
      <c r="L58" s="210"/>
      <c r="M58" s="210">
        <f t="shared" si="54"/>
        <v>-0.56303396467496836</v>
      </c>
      <c r="N58">
        <v>39.9</v>
      </c>
      <c r="O58">
        <v>1.6009728956867482</v>
      </c>
      <c r="P58">
        <v>7.1759259259259253E-13</v>
      </c>
      <c r="Q58">
        <v>-12.14412205298064</v>
      </c>
      <c r="R58">
        <v>2.863194444444444E-11</v>
      </c>
      <c r="S58">
        <v>-10.543149157293891</v>
      </c>
      <c r="X58" s="3"/>
      <c r="AA58" s="3"/>
      <c r="AB58" s="17"/>
      <c r="AF58" s="3"/>
      <c r="AI58" s="3"/>
      <c r="AJ58" s="17"/>
      <c r="AN58" s="3"/>
      <c r="BT58">
        <f>VLOOKUP(B58,Literatuur!$A:$B,2,FALSE)</f>
        <v>37</v>
      </c>
      <c r="BU58" s="138" t="str">
        <f t="shared" si="47"/>
        <v>Toluene</v>
      </c>
      <c r="BV58" s="138" t="str">
        <f t="shared" si="48"/>
        <v>LDPE</v>
      </c>
      <c r="BW58" s="138">
        <f t="shared" si="49"/>
        <v>0.16700000000000001</v>
      </c>
      <c r="BX58" s="138">
        <f t="shared" si="50"/>
        <v>0.61059105234897149</v>
      </c>
      <c r="BY58" s="137">
        <f t="shared" si="55"/>
        <v>0.27350548187292201</v>
      </c>
      <c r="BZ58" s="138">
        <f t="shared" si="51"/>
        <v>1.6009728956867482</v>
      </c>
      <c r="CA58" s="138">
        <f t="shared" si="52"/>
        <v>-12.14412205298064</v>
      </c>
      <c r="CB58" s="138">
        <f t="shared" si="56"/>
        <v>-10.543149157293891</v>
      </c>
    </row>
    <row r="59" spans="1:80" x14ac:dyDescent="0.2">
      <c r="A59" s="4" t="s">
        <v>1964</v>
      </c>
      <c r="B59" t="s">
        <v>430</v>
      </c>
      <c r="C59" s="4" t="s">
        <v>60</v>
      </c>
      <c r="D59" t="s">
        <v>492</v>
      </c>
      <c r="E59" t="s">
        <v>1549</v>
      </c>
      <c r="F59">
        <v>92.14249284505685</v>
      </c>
      <c r="G59">
        <v>0.61059105234897149</v>
      </c>
      <c r="H59">
        <v>2.73</v>
      </c>
      <c r="I59" t="s">
        <v>769</v>
      </c>
      <c r="J59">
        <v>9.0999999999999998E-2</v>
      </c>
      <c r="K59" s="210">
        <f t="shared" si="53"/>
        <v>0.14903592126009524</v>
      </c>
      <c r="L59" s="210"/>
      <c r="M59" s="210">
        <f t="shared" si="54"/>
        <v>-0.82670904350145802</v>
      </c>
      <c r="N59">
        <v>39.700000000000003</v>
      </c>
      <c r="O59">
        <v>1.5987905067631152</v>
      </c>
      <c r="P59">
        <v>4.7453703703703697E-13</v>
      </c>
      <c r="Q59">
        <v>-12.323729885759159</v>
      </c>
      <c r="R59">
        <v>1.883912037037037E-11</v>
      </c>
      <c r="S59">
        <v>-10.724939378996043</v>
      </c>
      <c r="X59" s="3"/>
      <c r="AA59" s="3"/>
      <c r="AB59" s="17"/>
      <c r="AF59" s="3"/>
      <c r="AI59" s="3"/>
      <c r="AJ59" s="17"/>
      <c r="AN59" s="3"/>
      <c r="BT59">
        <f>VLOOKUP(B59,Literatuur!$A:$B,2,FALSE)</f>
        <v>37</v>
      </c>
      <c r="BU59" s="138" t="str">
        <f t="shared" si="47"/>
        <v>Toluene</v>
      </c>
      <c r="BV59" s="138" t="str">
        <f t="shared" si="48"/>
        <v>LDPE</v>
      </c>
      <c r="BW59" s="138">
        <f t="shared" si="49"/>
        <v>9.0999999999999998E-2</v>
      </c>
      <c r="BX59" s="138">
        <f t="shared" si="50"/>
        <v>0.61059105234897149</v>
      </c>
      <c r="BY59" s="137">
        <f t="shared" si="55"/>
        <v>0.14903592126009524</v>
      </c>
      <c r="BZ59" s="138">
        <f t="shared" si="51"/>
        <v>1.5987905067631152</v>
      </c>
      <c r="CA59" s="138">
        <f t="shared" si="52"/>
        <v>-12.323729885759159</v>
      </c>
      <c r="CB59" s="138">
        <f t="shared" si="56"/>
        <v>-10.724939378996043</v>
      </c>
    </row>
    <row r="60" spans="1:80" x14ac:dyDescent="0.2">
      <c r="A60" s="4" t="s">
        <v>1964</v>
      </c>
      <c r="B60" t="s">
        <v>430</v>
      </c>
      <c r="C60" s="4" t="s">
        <v>60</v>
      </c>
      <c r="D60" t="s">
        <v>492</v>
      </c>
      <c r="E60" t="s">
        <v>1549</v>
      </c>
      <c r="F60">
        <v>92.14249284505685</v>
      </c>
      <c r="G60">
        <v>0.61059105234897149</v>
      </c>
      <c r="H60">
        <v>2.73</v>
      </c>
      <c r="I60" t="s">
        <v>769</v>
      </c>
      <c r="J60">
        <v>4.9000000000000002E-2</v>
      </c>
      <c r="K60" s="210">
        <f t="shared" si="53"/>
        <v>8.0250111447743591E-2</v>
      </c>
      <c r="L60" s="210"/>
      <c r="M60" s="210">
        <f t="shared" si="54"/>
        <v>-1.0955543557940379</v>
      </c>
      <c r="N60">
        <v>54</v>
      </c>
      <c r="O60">
        <v>1.7323937598229686</v>
      </c>
      <c r="P60">
        <v>3.9351851851851855E-13</v>
      </c>
      <c r="Q60">
        <v>-12.405034825436639</v>
      </c>
      <c r="R60">
        <v>2.1250000000000001E-11</v>
      </c>
      <c r="S60">
        <v>-10.67264106561367</v>
      </c>
      <c r="X60" s="3"/>
      <c r="AA60" s="3"/>
      <c r="AB60" s="17"/>
      <c r="AF60" s="3"/>
      <c r="AI60" s="3"/>
      <c r="AJ60" s="17"/>
      <c r="AN60" s="3"/>
      <c r="BT60">
        <f>VLOOKUP(B60,Literatuur!$A:$B,2,FALSE)</f>
        <v>37</v>
      </c>
      <c r="BU60" s="138" t="str">
        <f t="shared" si="47"/>
        <v>Toluene</v>
      </c>
      <c r="BV60" s="138" t="str">
        <f t="shared" si="48"/>
        <v>LDPE</v>
      </c>
      <c r="BW60" s="138">
        <f t="shared" si="49"/>
        <v>4.9000000000000002E-2</v>
      </c>
      <c r="BX60" s="138">
        <f t="shared" si="50"/>
        <v>0.61059105234897149</v>
      </c>
      <c r="BY60" s="137">
        <f t="shared" si="55"/>
        <v>8.0250111447743591E-2</v>
      </c>
      <c r="BZ60" s="138">
        <f t="shared" si="51"/>
        <v>1.7323937598229686</v>
      </c>
      <c r="CA60" s="138">
        <f t="shared" si="52"/>
        <v>-12.405034825436639</v>
      </c>
      <c r="CB60" s="138">
        <f t="shared" si="56"/>
        <v>-10.67264106561367</v>
      </c>
    </row>
    <row r="61" spans="1:80" x14ac:dyDescent="0.2">
      <c r="A61" s="4" t="s">
        <v>1964</v>
      </c>
      <c r="B61" t="s">
        <v>430</v>
      </c>
      <c r="C61" s="4" t="s">
        <v>60</v>
      </c>
      <c r="D61" t="s">
        <v>492</v>
      </c>
      <c r="E61" t="s">
        <v>1549</v>
      </c>
      <c r="F61">
        <v>92.14249284505685</v>
      </c>
      <c r="G61">
        <v>0.61059105234897149</v>
      </c>
      <c r="H61">
        <v>2.73</v>
      </c>
      <c r="I61" t="s">
        <v>769</v>
      </c>
      <c r="J61">
        <v>3.1E-2</v>
      </c>
      <c r="K61" s="210">
        <f t="shared" si="53"/>
        <v>5.0770478671021455E-2</v>
      </c>
      <c r="L61" s="210"/>
      <c r="M61" s="210">
        <f t="shared" si="54"/>
        <v>-1.2943887419882789</v>
      </c>
      <c r="N61">
        <v>59.7</v>
      </c>
      <c r="O61">
        <v>1.7759743311293692</v>
      </c>
      <c r="P61">
        <v>3.9351851851851855E-13</v>
      </c>
      <c r="Q61">
        <v>-12.405034825436639</v>
      </c>
      <c r="R61">
        <v>2.3493055555555557E-11</v>
      </c>
      <c r="S61">
        <v>-10.62906049430727</v>
      </c>
      <c r="X61" s="3"/>
      <c r="AA61" s="3"/>
      <c r="AB61" s="17"/>
      <c r="AF61" s="3"/>
      <c r="AI61" s="3"/>
      <c r="AJ61" s="17"/>
      <c r="AN61" s="3"/>
      <c r="BT61">
        <f>VLOOKUP(B61,Literatuur!$A:$B,2,FALSE)</f>
        <v>37</v>
      </c>
      <c r="BU61" s="138" t="str">
        <f t="shared" si="47"/>
        <v>Toluene</v>
      </c>
      <c r="BV61" s="138" t="str">
        <f t="shared" si="48"/>
        <v>LDPE</v>
      </c>
      <c r="BW61" s="138">
        <f t="shared" si="49"/>
        <v>3.1E-2</v>
      </c>
      <c r="BX61" s="138">
        <f t="shared" si="50"/>
        <v>0.61059105234897149</v>
      </c>
      <c r="BY61" s="137">
        <f t="shared" si="55"/>
        <v>5.0770478671021455E-2</v>
      </c>
      <c r="BZ61" s="138">
        <f t="shared" si="51"/>
        <v>1.7759743311293692</v>
      </c>
      <c r="CA61" s="138">
        <f t="shared" si="52"/>
        <v>-12.405034825436639</v>
      </c>
      <c r="CB61" s="138">
        <f t="shared" si="56"/>
        <v>-10.62906049430727</v>
      </c>
    </row>
    <row r="62" spans="1:80" x14ac:dyDescent="0.2">
      <c r="A62" s="4" t="s">
        <v>1964</v>
      </c>
      <c r="B62" t="s">
        <v>430</v>
      </c>
      <c r="C62" s="4" t="s">
        <v>60</v>
      </c>
      <c r="D62" t="s">
        <v>492</v>
      </c>
      <c r="E62" t="s">
        <v>1549</v>
      </c>
      <c r="F62">
        <v>92.14249284505685</v>
      </c>
      <c r="G62">
        <v>0.61059105234897149</v>
      </c>
      <c r="H62">
        <v>2.73</v>
      </c>
      <c r="I62" t="s">
        <v>769</v>
      </c>
      <c r="J62">
        <v>8.6999999999999994E-3</v>
      </c>
      <c r="K62" s="210">
        <f t="shared" si="53"/>
        <v>1.4248489175415697E-2</v>
      </c>
      <c r="L62" s="210"/>
      <c r="M62" s="210">
        <f t="shared" si="54"/>
        <v>-1.8462311832039331</v>
      </c>
      <c r="N62">
        <v>22.2</v>
      </c>
      <c r="O62">
        <v>1.3463529744506386</v>
      </c>
      <c r="P62">
        <v>5.2083333333333335E-13</v>
      </c>
      <c r="Q62">
        <v>-12.28330122870355</v>
      </c>
      <c r="R62">
        <v>1.15625E-11</v>
      </c>
      <c r="S62">
        <v>-10.936948254252911</v>
      </c>
      <c r="X62" s="3"/>
      <c r="AA62" s="3"/>
      <c r="AB62" s="17"/>
      <c r="AF62" s="3"/>
      <c r="AI62" s="3"/>
      <c r="AJ62" s="17"/>
      <c r="AN62" s="3"/>
      <c r="BT62">
        <f>VLOOKUP(B62,Literatuur!$A:$B,2,FALSE)</f>
        <v>37</v>
      </c>
      <c r="BU62" s="138" t="str">
        <f t="shared" si="47"/>
        <v>Toluene</v>
      </c>
      <c r="BV62" s="138" t="str">
        <f t="shared" si="48"/>
        <v>LDPE</v>
      </c>
      <c r="BW62" s="138">
        <f t="shared" si="49"/>
        <v>8.6999999999999994E-3</v>
      </c>
      <c r="BX62" s="138">
        <f t="shared" si="50"/>
        <v>0.61059105234897149</v>
      </c>
      <c r="BY62" s="137">
        <f t="shared" si="55"/>
        <v>1.4248489175415697E-2</v>
      </c>
      <c r="BZ62" s="138">
        <f t="shared" si="51"/>
        <v>1.3463529744506386</v>
      </c>
      <c r="CA62" s="138">
        <f t="shared" si="52"/>
        <v>-12.28330122870355</v>
      </c>
      <c r="CB62" s="138">
        <f t="shared" si="56"/>
        <v>-10.936948254252911</v>
      </c>
    </row>
    <row r="63" spans="1:80" x14ac:dyDescent="0.2">
      <c r="A63" s="4" t="s">
        <v>1964</v>
      </c>
      <c r="B63" t="s">
        <v>430</v>
      </c>
      <c r="C63" s="4" t="s">
        <v>60</v>
      </c>
      <c r="D63" t="s">
        <v>492</v>
      </c>
      <c r="E63" t="s">
        <v>1549</v>
      </c>
      <c r="F63">
        <v>92.14249284505685</v>
      </c>
      <c r="G63">
        <v>0.61059105234897149</v>
      </c>
      <c r="H63">
        <v>2.73</v>
      </c>
      <c r="I63" t="s">
        <v>769</v>
      </c>
      <c r="J63">
        <v>2.8999999999999998E-3</v>
      </c>
      <c r="K63" s="210">
        <f t="shared" si="53"/>
        <v>4.7494963918052321E-3</v>
      </c>
      <c r="L63" s="210"/>
      <c r="M63" s="210">
        <f t="shared" si="54"/>
        <v>-2.3233524379235955</v>
      </c>
      <c r="N63">
        <v>39.1</v>
      </c>
      <c r="O63">
        <v>1.5921767573958667</v>
      </c>
      <c r="P63">
        <v>4.0509259259259265E-13</v>
      </c>
      <c r="Q63">
        <v>-12.392445698128618</v>
      </c>
      <c r="R63">
        <v>1.5839120370370374E-11</v>
      </c>
      <c r="S63">
        <v>-10.800268940732751</v>
      </c>
      <c r="X63" s="3"/>
      <c r="AA63" s="3"/>
      <c r="AB63" s="17"/>
      <c r="AF63" s="3"/>
      <c r="AI63" s="3"/>
      <c r="AJ63" s="17"/>
      <c r="AN63" s="3"/>
      <c r="BT63">
        <f>VLOOKUP(B63,Literatuur!$A:$B,2,FALSE)</f>
        <v>37</v>
      </c>
      <c r="BU63" s="138" t="str">
        <f t="shared" si="47"/>
        <v>Toluene</v>
      </c>
      <c r="BV63" s="138" t="str">
        <f t="shared" si="48"/>
        <v>LDPE</v>
      </c>
      <c r="BW63" s="138">
        <f t="shared" si="49"/>
        <v>2.8999999999999998E-3</v>
      </c>
      <c r="BX63" s="138">
        <f t="shared" si="50"/>
        <v>0.61059105234897149</v>
      </c>
      <c r="BY63" s="137">
        <f t="shared" si="55"/>
        <v>4.7494963918052321E-3</v>
      </c>
      <c r="BZ63" s="138">
        <f t="shared" si="51"/>
        <v>1.5921767573958667</v>
      </c>
      <c r="CA63" s="138">
        <f t="shared" si="52"/>
        <v>-12.392445698128618</v>
      </c>
      <c r="CB63" s="138">
        <f t="shared" si="56"/>
        <v>-10.800268940732751</v>
      </c>
    </row>
    <row r="64" spans="1:80" x14ac:dyDescent="0.2">
      <c r="K64" s="137"/>
      <c r="L64" s="137"/>
      <c r="M64" s="137"/>
      <c r="X64" s="3"/>
      <c r="AA64" s="3"/>
      <c r="AB64" s="17"/>
      <c r="AF64" s="3"/>
      <c r="AI64" s="3"/>
      <c r="AJ64" s="17"/>
      <c r="AN64" s="3"/>
      <c r="BU64" s="138"/>
      <c r="BV64" s="138"/>
      <c r="BW64" s="138"/>
      <c r="BX64" s="138"/>
      <c r="BZ64" s="138"/>
      <c r="CA64" s="138"/>
      <c r="CB64" s="138"/>
    </row>
    <row r="65" spans="1:80" x14ac:dyDescent="0.2">
      <c r="A65" s="4" t="s">
        <v>1971</v>
      </c>
      <c r="B65" s="4" t="s">
        <v>1939</v>
      </c>
      <c r="C65" s="4" t="s">
        <v>753</v>
      </c>
      <c r="D65" t="s">
        <v>539</v>
      </c>
      <c r="E65" t="s">
        <v>1891</v>
      </c>
      <c r="F65">
        <v>119.38</v>
      </c>
      <c r="G65">
        <v>7.95</v>
      </c>
      <c r="H65">
        <v>1.97</v>
      </c>
      <c r="I65" t="s">
        <v>717</v>
      </c>
      <c r="J65">
        <v>0.05</v>
      </c>
      <c r="K65" s="210">
        <f t="shared" ref="K65:K66" si="57">J65/G65</f>
        <v>6.2893081761006293E-3</v>
      </c>
      <c r="L65" s="210">
        <f>AVERAGE(K65:K66)</f>
        <v>9.4339622641509448E-3</v>
      </c>
      <c r="M65" s="210">
        <f t="shared" ref="M65:M66" si="58">LOG(K65)</f>
        <v>-2.2013971243204513</v>
      </c>
      <c r="N65">
        <v>56.66</v>
      </c>
      <c r="O65">
        <v>1.7532765701844184</v>
      </c>
      <c r="P65">
        <v>4.1900000000000008E-13</v>
      </c>
      <c r="Q65">
        <v>-12.377785977033705</v>
      </c>
      <c r="R65">
        <v>2.3740540000000002E-11</v>
      </c>
      <c r="S65">
        <v>-10.624509406849286</v>
      </c>
      <c r="T65" s="310"/>
      <c r="U65" s="310"/>
      <c r="V65" s="310"/>
      <c r="W65" s="310"/>
      <c r="X65" s="311"/>
      <c r="Y65" s="312"/>
      <c r="Z65" s="310"/>
      <c r="AA65" s="311"/>
      <c r="AB65" s="309"/>
      <c r="AC65" s="310"/>
      <c r="AD65" s="310"/>
      <c r="AE65" s="310"/>
      <c r="AF65" s="311"/>
      <c r="AG65" s="310"/>
      <c r="AH65" s="310"/>
      <c r="AI65" s="311"/>
      <c r="AJ65" s="309"/>
      <c r="AK65" s="310"/>
      <c r="AL65" s="310"/>
      <c r="AM65" s="310"/>
      <c r="AN65" s="311"/>
      <c r="AO65" s="312"/>
      <c r="AP65" s="310"/>
      <c r="AQ65" s="310"/>
      <c r="AR65" s="106"/>
      <c r="AS65" s="106"/>
      <c r="AT65" s="106"/>
      <c r="AU65" s="106"/>
      <c r="AV65" s="297"/>
      <c r="AW65" s="106"/>
      <c r="AX65" s="106"/>
      <c r="BT65">
        <f>VLOOKUP(B65,Literatuur!$A:$B,2,FALSE)</f>
        <v>15</v>
      </c>
      <c r="BU65" s="138" t="str">
        <f>D65</f>
        <v>Chloroform</v>
      </c>
      <c r="BV65" s="138" t="str">
        <f>I65</f>
        <v>HDPE</v>
      </c>
      <c r="BW65" s="138">
        <f>J65</f>
        <v>0.05</v>
      </c>
      <c r="BX65" s="138">
        <f>G65</f>
        <v>7.95</v>
      </c>
      <c r="BY65" s="137">
        <f>K65</f>
        <v>6.2893081761006293E-3</v>
      </c>
      <c r="BZ65" s="138">
        <f>IF(ISNUMBER(O65),O65,"")</f>
        <v>1.7532765701844184</v>
      </c>
      <c r="CA65" s="138">
        <f>IF(ISNUMBER(Q65),Q65,"")</f>
        <v>-12.377785977033705</v>
      </c>
      <c r="CB65" s="138">
        <f>IF(ISNUMBER(S65),S65,"")</f>
        <v>-10.624509406849286</v>
      </c>
    </row>
    <row r="66" spans="1:80" x14ac:dyDescent="0.2">
      <c r="A66" s="4" t="s">
        <v>1971</v>
      </c>
      <c r="B66" s="4" t="s">
        <v>1939</v>
      </c>
      <c r="C66" s="4" t="s">
        <v>753</v>
      </c>
      <c r="D66" t="s">
        <v>539</v>
      </c>
      <c r="E66" t="s">
        <v>1891</v>
      </c>
      <c r="F66">
        <v>119.38</v>
      </c>
      <c r="G66">
        <v>7.95</v>
      </c>
      <c r="H66">
        <v>1.97</v>
      </c>
      <c r="I66" t="s">
        <v>717</v>
      </c>
      <c r="J66">
        <v>0.1</v>
      </c>
      <c r="K66" s="210">
        <f t="shared" si="57"/>
        <v>1.2578616352201259E-2</v>
      </c>
      <c r="L66" s="210"/>
      <c r="M66" s="210">
        <f t="shared" si="58"/>
        <v>-1.9003671286564703</v>
      </c>
      <c r="N66">
        <v>63.01</v>
      </c>
      <c r="O66">
        <v>1.7994094796151268</v>
      </c>
      <c r="P66">
        <v>3.5100000000000002E-13</v>
      </c>
      <c r="Q66">
        <v>-12.454692883534175</v>
      </c>
      <c r="R66">
        <v>2.2116510000000002E-11</v>
      </c>
      <c r="S66">
        <v>-10.655283403919048</v>
      </c>
      <c r="X66" s="3"/>
      <c r="AA66" s="3"/>
      <c r="AB66" s="17"/>
      <c r="AF66" s="3"/>
      <c r="AI66" s="3"/>
      <c r="AJ66" s="17"/>
      <c r="AN66" s="3"/>
      <c r="BT66">
        <f>VLOOKUP(B66,Literatuur!$A:$B,2,FALSE)</f>
        <v>15</v>
      </c>
      <c r="BU66" s="138" t="str">
        <f>D66</f>
        <v>Chloroform</v>
      </c>
      <c r="BV66" s="138" t="str">
        <f>I66</f>
        <v>HDPE</v>
      </c>
      <c r="BW66" s="138">
        <f>J66</f>
        <v>0.1</v>
      </c>
      <c r="BX66" s="138">
        <f>G66</f>
        <v>7.95</v>
      </c>
      <c r="BY66" s="137">
        <f>K66</f>
        <v>1.2578616352201259E-2</v>
      </c>
      <c r="BZ66" s="138">
        <f>IF(ISNUMBER(O66),O66,"")</f>
        <v>1.7994094796151268</v>
      </c>
      <c r="CA66" s="138">
        <f>IF(ISNUMBER(Q66),Q66,"")</f>
        <v>-12.454692883534175</v>
      </c>
      <c r="CB66" s="138">
        <f>IF(ISNUMBER(S66),S66,"")</f>
        <v>-10.655283403919048</v>
      </c>
    </row>
    <row r="67" spans="1:80" x14ac:dyDescent="0.2">
      <c r="A67" s="4"/>
      <c r="B67" s="4"/>
      <c r="C67" s="4"/>
      <c r="K67" s="137"/>
      <c r="L67" s="137"/>
      <c r="M67" s="137"/>
      <c r="X67" s="3"/>
      <c r="AA67" s="3"/>
      <c r="AB67" s="17"/>
      <c r="AF67" s="3"/>
      <c r="AI67" s="3"/>
      <c r="AJ67" s="17"/>
      <c r="AN67" s="3"/>
      <c r="BU67" s="138"/>
      <c r="BV67" s="138"/>
      <c r="BW67" s="138"/>
      <c r="BX67" s="138"/>
      <c r="BZ67" s="138"/>
      <c r="CA67" s="138"/>
      <c r="CB67" s="138"/>
    </row>
    <row r="68" spans="1:80" x14ac:dyDescent="0.2">
      <c r="A68" s="4" t="s">
        <v>1749</v>
      </c>
      <c r="B68" s="4" t="s">
        <v>1939</v>
      </c>
      <c r="C68" s="4" t="s">
        <v>753</v>
      </c>
      <c r="D68" t="s">
        <v>694</v>
      </c>
      <c r="E68" t="s">
        <v>1549</v>
      </c>
      <c r="F68">
        <v>106.18666499232586</v>
      </c>
      <c r="G68">
        <v>0.15944942966652281</v>
      </c>
      <c r="H68">
        <v>3.15</v>
      </c>
      <c r="I68" t="s">
        <v>717</v>
      </c>
      <c r="J68">
        <v>0.05</v>
      </c>
      <c r="K68" s="210">
        <f t="shared" ref="K68:K69" si="59">J68/G68</f>
        <v>0.31357904574868323</v>
      </c>
      <c r="L68" s="210">
        <f>AVERAGE(K68:K69)</f>
        <v>0.47036856862302484</v>
      </c>
      <c r="M68" s="210">
        <f t="shared" ref="M68:M69" si="60">LOG(K68)</f>
        <v>-0.50365296582104024</v>
      </c>
      <c r="N68">
        <v>231.92</v>
      </c>
      <c r="O68">
        <v>2.3653382023469409</v>
      </c>
      <c r="P68">
        <v>2.1500000000000004E-13</v>
      </c>
      <c r="Q68">
        <v>-12.667561540084394</v>
      </c>
      <c r="R68">
        <v>4.986280000000001E-11</v>
      </c>
      <c r="S68">
        <v>-10.302223337737454</v>
      </c>
      <c r="T68" s="106">
        <f>SLOPE(O68:O69,$K68:$K69)</f>
        <v>0.20757646384670494</v>
      </c>
      <c r="U68" s="106">
        <f>INTERCEPT(O68:O69,$K68:$K69)</f>
        <v>2.3002465728940051</v>
      </c>
      <c r="V68" s="106">
        <f>RSQ(O68:O69,$K68:$K69)</f>
        <v>1</v>
      </c>
      <c r="W68" s="106"/>
      <c r="X68" s="296"/>
      <c r="Y68" s="297">
        <f>SLOPE(O68:O69,$M68:$M69)</f>
        <v>0.21622971262170509</v>
      </c>
      <c r="Z68" s="106">
        <f>INTERCEPT(O68:O69,$M68:$M69)</f>
        <v>2.4742429384074938</v>
      </c>
      <c r="AA68" s="296">
        <f>RSQ(O68:O69,$M68:$M69)</f>
        <v>1.0000000000000004</v>
      </c>
      <c r="AB68" s="295">
        <f>SLOPE(Q68:Q69,$K68:$K69)</f>
        <v>0.44747246764078952</v>
      </c>
      <c r="AC68" s="106">
        <f>INTERCEPT(Q68:Q69,$K68:$K69)</f>
        <v>-12.807879529486002</v>
      </c>
      <c r="AD68" s="106">
        <f>RSQ(Q68:Q69,$K68:$K69)</f>
        <v>1</v>
      </c>
      <c r="AE68" s="106"/>
      <c r="AF68" s="296"/>
      <c r="AG68" s="297">
        <f>SLOPE(Q68:Q69,$M68:$M69)</f>
        <v>0.46612627121130651</v>
      </c>
      <c r="AH68" s="106">
        <f>INTERCEPT(Q68:Q69,$M68:$M69)</f>
        <v>-12.432795661141718</v>
      </c>
      <c r="AI68" s="296">
        <f>RSQ(Q68:Q69,$M68:$M69)</f>
        <v>1.0000000000000004</v>
      </c>
      <c r="AJ68" s="295">
        <f>SLOPE(S68:S69,$K68:$K69)</f>
        <v>0.65504893148749177</v>
      </c>
      <c r="AK68" s="106">
        <f>INTERCEPT(S68:S69,$K68:$K69)</f>
        <v>-10.507632956591996</v>
      </c>
      <c r="AL68" s="106">
        <f>RSQ(S68:S69,$K68:$K69)</f>
        <v>1</v>
      </c>
      <c r="AM68" s="106"/>
      <c r="AN68" s="296"/>
      <c r="AO68" s="297">
        <f>SLOPE(S68:S69,$M68:$M69)</f>
        <v>0.68235598383300866</v>
      </c>
      <c r="AP68" s="106">
        <f>INTERCEPT(S68:S69,$M68:$M69)</f>
        <v>-9.9585527227342254</v>
      </c>
      <c r="AQ68" s="106">
        <f>RSQ(S68:S69,$M68:$M69)</f>
        <v>1</v>
      </c>
      <c r="AR68" s="106"/>
      <c r="AS68" s="106"/>
      <c r="AT68" s="106"/>
      <c r="AU68" s="106"/>
      <c r="AV68" s="297"/>
      <c r="AW68" s="106"/>
      <c r="AX68" s="106"/>
      <c r="BT68">
        <f>VLOOKUP(B68,Literatuur!$A:$B,2,FALSE)</f>
        <v>15</v>
      </c>
      <c r="BU68" s="138" t="str">
        <f>D68</f>
        <v>Ethylbenzene</v>
      </c>
      <c r="BV68" s="138" t="str">
        <f>I68</f>
        <v>HDPE</v>
      </c>
      <c r="BW68" s="138">
        <f>J68</f>
        <v>0.05</v>
      </c>
      <c r="BX68" s="138">
        <f>G68</f>
        <v>0.15944942966652281</v>
      </c>
      <c r="BY68" s="137">
        <f>K68</f>
        <v>0.31357904574868323</v>
      </c>
      <c r="BZ68" s="138">
        <f>IF(ISNUMBER(O68),O68,"")</f>
        <v>2.3653382023469409</v>
      </c>
      <c r="CA68" s="138">
        <f>IF(ISNUMBER(Q68),Q68,"")</f>
        <v>-12.667561540084394</v>
      </c>
      <c r="CB68" s="138">
        <f>IF(ISNUMBER(S68),S68,"")</f>
        <v>-10.302223337737454</v>
      </c>
    </row>
    <row r="69" spans="1:80" x14ac:dyDescent="0.2">
      <c r="A69" s="4" t="s">
        <v>1749</v>
      </c>
      <c r="B69" s="4" t="s">
        <v>1939</v>
      </c>
      <c r="C69" s="4" t="s">
        <v>753</v>
      </c>
      <c r="D69" t="s">
        <v>694</v>
      </c>
      <c r="E69" t="s">
        <v>1549</v>
      </c>
      <c r="F69">
        <v>106.18666499232586</v>
      </c>
      <c r="G69">
        <v>0.15944942966652281</v>
      </c>
      <c r="H69">
        <v>3.15</v>
      </c>
      <c r="I69" t="s">
        <v>717</v>
      </c>
      <c r="J69">
        <v>0.1</v>
      </c>
      <c r="K69" s="210">
        <f t="shared" si="59"/>
        <v>0.62715809149736645</v>
      </c>
      <c r="L69" s="210"/>
      <c r="M69" s="210">
        <f t="shared" si="60"/>
        <v>-0.20262297015705902</v>
      </c>
      <c r="N69">
        <v>269.42</v>
      </c>
      <c r="O69">
        <v>2.4304298317998767</v>
      </c>
      <c r="P69">
        <v>2.9700000000000005E-13</v>
      </c>
      <c r="Q69">
        <v>-12.527243550682787</v>
      </c>
      <c r="R69">
        <v>8.0017740000000012E-11</v>
      </c>
      <c r="S69">
        <v>-10.096813718882911</v>
      </c>
      <c r="X69" s="3"/>
      <c r="AA69" s="3"/>
      <c r="AB69" s="17"/>
      <c r="AF69" s="3"/>
      <c r="AI69" s="3"/>
      <c r="AJ69" s="17"/>
      <c r="AN69" s="3"/>
      <c r="BT69">
        <f>VLOOKUP(B69,Literatuur!$A:$B,2,FALSE)</f>
        <v>15</v>
      </c>
      <c r="BU69" s="138" t="str">
        <f>D69</f>
        <v>Ethylbenzene</v>
      </c>
      <c r="BV69" s="138" t="str">
        <f>I69</f>
        <v>HDPE</v>
      </c>
      <c r="BW69" s="138">
        <f>J69</f>
        <v>0.1</v>
      </c>
      <c r="BX69" s="138">
        <f>G69</f>
        <v>0.15944942966652281</v>
      </c>
      <c r="BY69" s="137">
        <f>K69</f>
        <v>0.62715809149736645</v>
      </c>
      <c r="BZ69" s="138">
        <f>IF(ISNUMBER(O69),O69,"")</f>
        <v>2.4304298317998767</v>
      </c>
      <c r="CA69" s="138">
        <f>IF(ISNUMBER(Q69),Q69,"")</f>
        <v>-12.527243550682787</v>
      </c>
      <c r="CB69" s="138">
        <f>IF(ISNUMBER(S69),S69,"")</f>
        <v>-10.096813718882911</v>
      </c>
    </row>
    <row r="70" spans="1:80" x14ac:dyDescent="0.2">
      <c r="A70" s="4"/>
      <c r="B70" s="4"/>
      <c r="C70" s="4"/>
      <c r="K70" s="137"/>
      <c r="L70" s="137"/>
      <c r="M70" s="137"/>
      <c r="X70" s="3"/>
      <c r="AA70" s="3"/>
      <c r="AB70" s="17"/>
      <c r="AF70" s="3"/>
      <c r="AI70" s="3"/>
      <c r="AJ70" s="17"/>
      <c r="AN70" s="3"/>
      <c r="BU70" s="138"/>
      <c r="BV70" s="138"/>
      <c r="BW70" s="138"/>
      <c r="BX70" s="138"/>
      <c r="BZ70" s="138"/>
      <c r="CA70" s="138"/>
      <c r="CB70" s="138"/>
    </row>
    <row r="71" spans="1:80" x14ac:dyDescent="0.2">
      <c r="A71" s="4" t="s">
        <v>1972</v>
      </c>
      <c r="B71" s="4" t="s">
        <v>1939</v>
      </c>
      <c r="C71" s="4" t="s">
        <v>753</v>
      </c>
      <c r="D71" t="s">
        <v>537</v>
      </c>
      <c r="E71" t="s">
        <v>1891</v>
      </c>
      <c r="F71">
        <v>84.93</v>
      </c>
      <c r="G71">
        <v>20</v>
      </c>
      <c r="H71">
        <v>1.25</v>
      </c>
      <c r="I71" t="s">
        <v>717</v>
      </c>
      <c r="J71">
        <v>0.05</v>
      </c>
      <c r="K71" s="210">
        <f t="shared" ref="K71:K72" si="61">J71/G71</f>
        <v>2.5000000000000001E-3</v>
      </c>
      <c r="L71" s="210">
        <f>AVERAGE(K71:K72)</f>
        <v>3.7499999999999999E-3</v>
      </c>
      <c r="M71" s="210">
        <f t="shared" ref="M71:M72" si="62">LOG(K71)</f>
        <v>-2.6020599913279625</v>
      </c>
      <c r="N71">
        <v>17.260000000000002</v>
      </c>
      <c r="O71">
        <v>1.2370407913791908</v>
      </c>
      <c r="P71">
        <v>5.0900000000000005E-13</v>
      </c>
      <c r="Q71">
        <v>-12.293282217663242</v>
      </c>
      <c r="R71">
        <v>8.785340000000001E-12</v>
      </c>
      <c r="S71">
        <v>-11.05624142628405</v>
      </c>
      <c r="T71" s="310"/>
      <c r="U71" s="310"/>
      <c r="V71" s="310"/>
      <c r="W71" s="310"/>
      <c r="X71" s="311"/>
      <c r="Y71" s="297">
        <f>SLOPE(O71:O72,$M71:$M72)</f>
        <v>-1.5969406151216444E-2</v>
      </c>
      <c r="Z71" s="106">
        <f>INTERCEPT(O71:O72,$M71:$M72)</f>
        <v>1.1954874385478438</v>
      </c>
      <c r="AA71" s="296">
        <f>RSQ(O71:O72,$M71:$M72)</f>
        <v>1</v>
      </c>
      <c r="AB71" s="309"/>
      <c r="AC71" s="310"/>
      <c r="AD71" s="310"/>
      <c r="AE71" s="310"/>
      <c r="AF71" s="311"/>
      <c r="AG71" s="297">
        <f>SLOPE(Q71:Q72,$M71:$M72)</f>
        <v>0.5023336031651312</v>
      </c>
      <c r="AH71" s="106">
        <f>INTERCEPT(Q71:Q72,$M71:$M72)</f>
        <v>-10.986180046567636</v>
      </c>
      <c r="AI71" s="296">
        <f>RSQ(Q71:Q72,$M71:$M72)</f>
        <v>1</v>
      </c>
      <c r="AJ71" s="309"/>
      <c r="AK71" s="310"/>
      <c r="AL71" s="310"/>
      <c r="AM71" s="310"/>
      <c r="AN71" s="311"/>
      <c r="AO71" s="297">
        <f>SLOPE(S71:S72,$M71:$M72)</f>
        <v>0.48636419701390737</v>
      </c>
      <c r="AP71" s="106">
        <f>INTERCEPT(S71:S72,$M71:$M72)</f>
        <v>-9.7906926080198105</v>
      </c>
      <c r="AQ71" s="106">
        <f>RSQ(S71:S72,$M71:$M72)</f>
        <v>1</v>
      </c>
      <c r="AR71" s="106"/>
      <c r="AS71" s="106"/>
      <c r="AT71" s="106"/>
      <c r="AU71" s="106"/>
      <c r="AV71" s="297"/>
      <c r="AW71" s="106"/>
      <c r="AX71" s="106"/>
      <c r="BT71">
        <f>VLOOKUP(B71,Literatuur!$A:$B,2,FALSE)</f>
        <v>15</v>
      </c>
      <c r="BU71" s="138" t="str">
        <f>D71</f>
        <v>Dichloromethane</v>
      </c>
      <c r="BV71" s="138" t="str">
        <f>I71</f>
        <v>HDPE</v>
      </c>
      <c r="BW71" s="138">
        <f>J71</f>
        <v>0.05</v>
      </c>
      <c r="BX71" s="138">
        <f>G71</f>
        <v>20</v>
      </c>
      <c r="BY71" s="137">
        <f>K71</f>
        <v>2.5000000000000001E-3</v>
      </c>
      <c r="BZ71" s="138">
        <f>IF(ISNUMBER(O71),O71,"")</f>
        <v>1.2370407913791908</v>
      </c>
      <c r="CA71" s="138">
        <f>IF(ISNUMBER(Q71),Q71,"")</f>
        <v>-12.293282217663242</v>
      </c>
      <c r="CB71" s="138">
        <f>IF(ISNUMBER(S71),S71,"")</f>
        <v>-11.05624142628405</v>
      </c>
    </row>
    <row r="72" spans="1:80" x14ac:dyDescent="0.2">
      <c r="A72" s="4" t="s">
        <v>1972</v>
      </c>
      <c r="B72" s="4" t="s">
        <v>1939</v>
      </c>
      <c r="C72" s="4" t="s">
        <v>753</v>
      </c>
      <c r="D72" t="s">
        <v>537</v>
      </c>
      <c r="E72" t="s">
        <v>1891</v>
      </c>
      <c r="F72">
        <v>84.93</v>
      </c>
      <c r="G72">
        <v>20</v>
      </c>
      <c r="H72">
        <v>1.25</v>
      </c>
      <c r="I72" t="s">
        <v>717</v>
      </c>
      <c r="J72">
        <v>0.1</v>
      </c>
      <c r="K72" s="210">
        <f t="shared" si="61"/>
        <v>5.0000000000000001E-3</v>
      </c>
      <c r="L72" s="210"/>
      <c r="M72" s="210">
        <f t="shared" si="62"/>
        <v>-2.3010299956639813</v>
      </c>
      <c r="N72">
        <v>17.07</v>
      </c>
      <c r="O72">
        <v>1.2322335211147337</v>
      </c>
      <c r="P72">
        <v>7.2100000000000006E-13</v>
      </c>
      <c r="Q72">
        <v>-12.14206473528057</v>
      </c>
      <c r="R72">
        <v>1.2307470000000001E-11</v>
      </c>
      <c r="S72">
        <v>-10.909831214165838</v>
      </c>
      <c r="X72" s="3"/>
      <c r="AA72" s="3"/>
      <c r="AB72" s="17"/>
      <c r="AF72" s="3"/>
      <c r="AI72" s="3"/>
      <c r="AJ72" s="17"/>
      <c r="AN72" s="3"/>
      <c r="BT72">
        <f>VLOOKUP(B72,Literatuur!$A:$B,2,FALSE)</f>
        <v>15</v>
      </c>
      <c r="BU72" s="138" t="str">
        <f>D72</f>
        <v>Dichloromethane</v>
      </c>
      <c r="BV72" s="138" t="str">
        <f>I72</f>
        <v>HDPE</v>
      </c>
      <c r="BW72" s="138">
        <f>J72</f>
        <v>0.1</v>
      </c>
      <c r="BX72" s="138">
        <f>G72</f>
        <v>20</v>
      </c>
      <c r="BY72" s="137">
        <f>K72</f>
        <v>5.0000000000000001E-3</v>
      </c>
      <c r="BZ72" s="138">
        <f>IF(ISNUMBER(O72),O72,"")</f>
        <v>1.2322335211147337</v>
      </c>
      <c r="CA72" s="138">
        <f>IF(ISNUMBER(Q72),Q72,"")</f>
        <v>-12.14206473528057</v>
      </c>
      <c r="CB72" s="138">
        <f>IF(ISNUMBER(S72),S72,"")</f>
        <v>-10.909831214165838</v>
      </c>
    </row>
    <row r="73" spans="1:80" x14ac:dyDescent="0.2">
      <c r="A73" s="4"/>
      <c r="B73" s="4"/>
      <c r="C73" s="4"/>
      <c r="K73" s="137"/>
      <c r="L73" s="137"/>
      <c r="M73" s="137"/>
      <c r="X73" s="3"/>
      <c r="AA73" s="3"/>
      <c r="AB73" s="17"/>
      <c r="AF73" s="3"/>
      <c r="AI73" s="3"/>
      <c r="AJ73" s="17"/>
      <c r="AN73" s="3"/>
      <c r="BU73" s="138"/>
      <c r="BV73" s="138"/>
      <c r="BW73" s="138"/>
      <c r="BX73" s="138"/>
      <c r="BZ73" s="138"/>
      <c r="CA73" s="138"/>
      <c r="CB73" s="138"/>
    </row>
    <row r="74" spans="1:80" x14ac:dyDescent="0.2">
      <c r="A74" s="4" t="s">
        <v>1750</v>
      </c>
      <c r="B74" s="4" t="s">
        <v>1939</v>
      </c>
      <c r="C74" s="4" t="s">
        <v>753</v>
      </c>
      <c r="D74" t="s">
        <v>695</v>
      </c>
      <c r="E74" t="s">
        <v>1891</v>
      </c>
      <c r="F74">
        <v>165.80749949115744</v>
      </c>
      <c r="G74">
        <v>0.11888250367033854</v>
      </c>
      <c r="H74">
        <v>3.4</v>
      </c>
      <c r="I74" t="s">
        <v>717</v>
      </c>
      <c r="J74">
        <v>0.05</v>
      </c>
      <c r="K74" s="210">
        <f t="shared" ref="K74:K75" si="63">J74/G74</f>
        <v>0.42058333612025972</v>
      </c>
      <c r="L74" s="210">
        <f>AVERAGE(K74:K75)</f>
        <v>0.63087500418038955</v>
      </c>
      <c r="M74" s="210">
        <f t="shared" ref="M74:M75" si="64">LOG(K74)</f>
        <v>-0.3761479384361579</v>
      </c>
      <c r="N74">
        <v>273.77</v>
      </c>
      <c r="O74">
        <v>2.4373858559663875</v>
      </c>
      <c r="P74">
        <v>2.3100000000000003E-13</v>
      </c>
      <c r="Q74">
        <v>-12.636388020107855</v>
      </c>
      <c r="R74">
        <v>6.3240870000000004E-11</v>
      </c>
      <c r="S74">
        <v>-10.199002164141469</v>
      </c>
      <c r="T74" s="106">
        <f>SLOPE(O74:O75,$K74:$K75)</f>
        <v>4.8166276345722944E-3</v>
      </c>
      <c r="U74" s="106">
        <f>INTERCEPT(O74:O75,$K74:$K75)</f>
        <v>2.43536006264699</v>
      </c>
      <c r="V74" s="106">
        <f>RSQ(O74:O75,$K74:$K75)</f>
        <v>1</v>
      </c>
      <c r="W74" s="106"/>
      <c r="X74" s="296"/>
      <c r="Y74" s="297">
        <f>SLOPE(O74:O75,$M74:$M75)</f>
        <v>6.7295397421415215E-3</v>
      </c>
      <c r="Z74" s="106">
        <f>INTERCEPT(O74:O75,$M74:$M75)</f>
        <v>2.4399171584670181</v>
      </c>
      <c r="AA74" s="296">
        <f>RSQ(O74:O75,$M74:$M75)</f>
        <v>1.0000000000000004</v>
      </c>
      <c r="AB74" s="295">
        <f>SLOPE(Q74:Q75,$K74:$K75)</f>
        <v>0.2455057811240545</v>
      </c>
      <c r="AC74" s="106">
        <f>INTERCEPT(Q74:Q75,$K74:$K75)</f>
        <v>-12.739643660569818</v>
      </c>
      <c r="AD74" s="106">
        <f>RSQ(Q74:Q75,$K74:$K75)</f>
        <v>1</v>
      </c>
      <c r="AE74" s="106"/>
      <c r="AF74" s="296"/>
      <c r="AG74" s="297">
        <f>SLOPE(Q74:Q75,$M74:$M75)</f>
        <v>0.34300781300619027</v>
      </c>
      <c r="AH74" s="106">
        <f>INTERCEPT(Q74:Q75,$M74:$M75)</f>
        <v>-12.50736633837808</v>
      </c>
      <c r="AI74" s="296">
        <f>RSQ(Q74:Q75,$M74:$M75)</f>
        <v>1.0000000000000004</v>
      </c>
      <c r="AJ74" s="295">
        <f>SLOPE(S74:S75,$K74:$K75)</f>
        <v>0.25032240875862677</v>
      </c>
      <c r="AK74" s="106">
        <f>INTERCEPT(S74:S75,$K74:$K75)</f>
        <v>-10.304283597922829</v>
      </c>
      <c r="AL74" s="106">
        <f>RSQ(S74:S75,$K74:$K75)</f>
        <v>1</v>
      </c>
      <c r="AM74" s="106"/>
      <c r="AN74" s="296"/>
      <c r="AO74" s="297">
        <f>SLOPE(S74:S75,$M74:$M75)</f>
        <v>0.34973735274833184</v>
      </c>
      <c r="AP74" s="106">
        <f>INTERCEPT(S74:S75,$M74:$M75)</f>
        <v>-10.067449179911064</v>
      </c>
      <c r="AQ74" s="106">
        <f>RSQ(S74:S75,$M74:$M75)</f>
        <v>1.0000000000000004</v>
      </c>
      <c r="AR74" s="106"/>
      <c r="AS74" s="106"/>
      <c r="AT74" s="106"/>
      <c r="AU74" s="106"/>
      <c r="AV74" s="297"/>
      <c r="AW74" s="106"/>
      <c r="AX74" s="106"/>
      <c r="BT74">
        <f>VLOOKUP(B74,Literatuur!$A:$B,2,FALSE)</f>
        <v>15</v>
      </c>
      <c r="BU74" s="138" t="str">
        <f>D74</f>
        <v>Tetrachloroethylene</v>
      </c>
      <c r="BV74" s="138" t="str">
        <f>I74</f>
        <v>HDPE</v>
      </c>
      <c r="BW74" s="138">
        <f>J74</f>
        <v>0.05</v>
      </c>
      <c r="BX74" s="138">
        <f>G74</f>
        <v>0.11888250367033854</v>
      </c>
      <c r="BY74" s="137">
        <f>K74</f>
        <v>0.42058333612025972</v>
      </c>
      <c r="BZ74" s="138">
        <f>IF(ISNUMBER(O74),O74,"")</f>
        <v>2.4373858559663875</v>
      </c>
      <c r="CA74" s="138">
        <f>IF(ISNUMBER(Q74),Q74,"")</f>
        <v>-12.636388020107855</v>
      </c>
      <c r="CB74" s="138">
        <f>IF(ISNUMBER(S74),S74,"")</f>
        <v>-10.199002164141469</v>
      </c>
    </row>
    <row r="75" spans="1:80" x14ac:dyDescent="0.2">
      <c r="A75" s="4" t="s">
        <v>1750</v>
      </c>
      <c r="B75" s="4" t="s">
        <v>1939</v>
      </c>
      <c r="C75" s="4" t="s">
        <v>753</v>
      </c>
      <c r="D75" t="s">
        <v>695</v>
      </c>
      <c r="E75" t="s">
        <v>1891</v>
      </c>
      <c r="F75">
        <v>165.80749949115744</v>
      </c>
      <c r="G75">
        <v>0.11888250367033854</v>
      </c>
      <c r="H75">
        <v>3.4</v>
      </c>
      <c r="I75" t="s">
        <v>717</v>
      </c>
      <c r="J75">
        <v>0.1</v>
      </c>
      <c r="K75" s="210">
        <f t="shared" si="63"/>
        <v>0.84116667224051944</v>
      </c>
      <c r="L75" s="210"/>
      <c r="M75" s="210">
        <f t="shared" si="64"/>
        <v>-7.5117942772176718E-2</v>
      </c>
      <c r="N75">
        <v>275.05</v>
      </c>
      <c r="O75">
        <v>2.4394116492857849</v>
      </c>
      <c r="P75">
        <v>2.9300000000000006E-13</v>
      </c>
      <c r="Q75">
        <v>-12.53313237964589</v>
      </c>
      <c r="R75">
        <v>8.0589650000000021E-11</v>
      </c>
      <c r="S75">
        <v>-10.093720730360106</v>
      </c>
      <c r="X75" s="3"/>
      <c r="AA75" s="3"/>
      <c r="AB75" s="17"/>
      <c r="AF75" s="3"/>
      <c r="AI75" s="3"/>
      <c r="AJ75" s="17"/>
      <c r="AN75" s="3"/>
      <c r="BT75">
        <f>VLOOKUP(B75,Literatuur!$A:$B,2,FALSE)</f>
        <v>15</v>
      </c>
      <c r="BU75" s="138" t="str">
        <f>D75</f>
        <v>Tetrachloroethylene</v>
      </c>
      <c r="BV75" s="138" t="str">
        <f>I75</f>
        <v>HDPE</v>
      </c>
      <c r="BW75" s="138">
        <f>J75</f>
        <v>0.1</v>
      </c>
      <c r="BX75" s="138">
        <f>G75</f>
        <v>0.11888250367033854</v>
      </c>
      <c r="BY75" s="137">
        <f>K75</f>
        <v>0.84116667224051944</v>
      </c>
      <c r="BZ75" s="138">
        <f>IF(ISNUMBER(O75),O75,"")</f>
        <v>2.4394116492857849</v>
      </c>
      <c r="CA75" s="138">
        <f>IF(ISNUMBER(Q75),Q75,"")</f>
        <v>-12.53313237964589</v>
      </c>
      <c r="CB75" s="138">
        <f>IF(ISNUMBER(S75),S75,"")</f>
        <v>-10.093720730360106</v>
      </c>
    </row>
    <row r="76" spans="1:80" x14ac:dyDescent="0.2">
      <c r="A76" s="4"/>
      <c r="B76" s="4"/>
      <c r="C76" s="4"/>
      <c r="K76" s="137"/>
      <c r="L76" s="137"/>
      <c r="M76" s="137"/>
      <c r="X76" s="3"/>
      <c r="AA76" s="3"/>
      <c r="AB76" s="17"/>
      <c r="AF76" s="3"/>
      <c r="AI76" s="3"/>
      <c r="AJ76" s="17"/>
      <c r="AN76" s="3"/>
      <c r="BU76" s="138"/>
      <c r="BV76" s="138"/>
      <c r="BW76" s="138"/>
      <c r="BX76" s="138"/>
      <c r="BZ76" s="138"/>
      <c r="CA76" s="138"/>
      <c r="CB76" s="138"/>
    </row>
    <row r="77" spans="1:80" x14ac:dyDescent="0.2">
      <c r="A77" s="4" t="s">
        <v>1973</v>
      </c>
      <c r="B77" s="4" t="s">
        <v>1939</v>
      </c>
      <c r="C77" s="4" t="s">
        <v>753</v>
      </c>
      <c r="D77" t="s">
        <v>1303</v>
      </c>
      <c r="E77" t="s">
        <v>1891</v>
      </c>
      <c r="F77">
        <v>133.4</v>
      </c>
      <c r="G77">
        <v>2.3433333333333333</v>
      </c>
      <c r="H77">
        <v>2.8000000000000003</v>
      </c>
      <c r="I77" t="s">
        <v>717</v>
      </c>
      <c r="J77">
        <v>0.05</v>
      </c>
      <c r="K77" s="210">
        <f t="shared" ref="K77:K78" si="65">J77/G77</f>
        <v>2.1337126600284497E-2</v>
      </c>
      <c r="L77" s="210">
        <f>AVERAGE(K77:K78)</f>
        <v>3.2005689900426744E-2</v>
      </c>
      <c r="M77" s="210">
        <f t="shared" ref="M77:M78" si="66">LOG(K77)</f>
        <v>-1.6708640659641427</v>
      </c>
      <c r="N77">
        <v>82.13</v>
      </c>
      <c r="O77">
        <v>1.9145018228273141</v>
      </c>
      <c r="P77">
        <v>1.9900000000000001E-13</v>
      </c>
      <c r="Q77">
        <v>-12.701146923590294</v>
      </c>
      <c r="R77">
        <v>1.634387E-11</v>
      </c>
      <c r="S77">
        <v>-10.786645100762978</v>
      </c>
      <c r="T77" s="310"/>
      <c r="U77" s="310"/>
      <c r="V77" s="310"/>
      <c r="W77" s="310"/>
      <c r="X77" s="311"/>
      <c r="Y77" s="297">
        <f>SLOPE(O77:O78,$M77:$M78)</f>
        <v>-0.15604893965452551</v>
      </c>
      <c r="Z77" s="106">
        <f>INTERCEPT(O77:O78,$M77:$M78)</f>
        <v>1.6537652570267605</v>
      </c>
      <c r="AA77" s="296">
        <f>RSQ(O77:O78,$M77:$M78)</f>
        <v>1.0000000000000004</v>
      </c>
      <c r="AB77" s="309"/>
      <c r="AC77" s="310"/>
      <c r="AD77" s="310"/>
      <c r="AE77" s="310"/>
      <c r="AF77" s="311"/>
      <c r="AG77" s="297">
        <f>SLOPE(Q77:Q78,$M77:$M78)</f>
        <v>1.0463699631380379</v>
      </c>
      <c r="AH77" s="106">
        <f>INTERCEPT(Q77:Q78,$M77:$M78)</f>
        <v>-10.95280495247872</v>
      </c>
      <c r="AI77" s="296">
        <f>RSQ(Q77:Q78,$M77:$M78)</f>
        <v>0.99999999999999978</v>
      </c>
      <c r="AJ77" s="309"/>
      <c r="AK77" s="310"/>
      <c r="AL77" s="310"/>
      <c r="AM77" s="310"/>
      <c r="AN77" s="311"/>
      <c r="AO77" s="297">
        <f>SLOPE(S77:S78,$M77:$M78)</f>
        <v>0.89032102348350595</v>
      </c>
      <c r="AP77" s="106">
        <f>INTERCEPT(S77:S78,$M77:$M78)</f>
        <v>-9.2990396954519703</v>
      </c>
      <c r="AQ77" s="106">
        <f>RSQ(S77:S78,$M77:$M78)</f>
        <v>1.0000000000000004</v>
      </c>
      <c r="AR77" s="106"/>
      <c r="AS77" s="106"/>
      <c r="AT77" s="106"/>
      <c r="AU77" s="106"/>
      <c r="AV77" s="297"/>
      <c r="AW77" s="106"/>
      <c r="AX77" s="106"/>
      <c r="BT77">
        <f>VLOOKUP(B77,Literatuur!$A:$B,2,FALSE)</f>
        <v>15</v>
      </c>
      <c r="BU77" s="138" t="str">
        <f>D77</f>
        <v>1,1,1-Trichloroethane</v>
      </c>
      <c r="BV77" s="138" t="str">
        <f>I77</f>
        <v>HDPE</v>
      </c>
      <c r="BW77" s="138">
        <f>J77</f>
        <v>0.05</v>
      </c>
      <c r="BX77" s="138">
        <f>G77</f>
        <v>2.3433333333333333</v>
      </c>
      <c r="BY77" s="137">
        <f>K77</f>
        <v>2.1337126600284497E-2</v>
      </c>
      <c r="BZ77" s="138">
        <f>IF(ISNUMBER(O77),O77,"")</f>
        <v>1.9145018228273141</v>
      </c>
      <c r="CA77" s="138">
        <f>IF(ISNUMBER(Q77),Q77,"")</f>
        <v>-12.701146923590294</v>
      </c>
      <c r="CB77" s="138">
        <f>IF(ISNUMBER(S77),S77,"")</f>
        <v>-10.786645100762978</v>
      </c>
    </row>
    <row r="78" spans="1:80" x14ac:dyDescent="0.2">
      <c r="A78" s="4" t="s">
        <v>1973</v>
      </c>
      <c r="B78" s="4" t="s">
        <v>1939</v>
      </c>
      <c r="C78" s="4" t="s">
        <v>753</v>
      </c>
      <c r="D78" t="s">
        <v>1303</v>
      </c>
      <c r="E78" t="s">
        <v>1891</v>
      </c>
      <c r="F78">
        <v>133.4</v>
      </c>
      <c r="G78">
        <v>2.3433333333333333</v>
      </c>
      <c r="H78">
        <v>2.8000000000000003</v>
      </c>
      <c r="I78" t="s">
        <v>717</v>
      </c>
      <c r="J78">
        <v>0.1</v>
      </c>
      <c r="K78" s="210">
        <f t="shared" si="65"/>
        <v>4.2674253200568994E-2</v>
      </c>
      <c r="L78" s="210"/>
      <c r="M78" s="210">
        <f t="shared" si="66"/>
        <v>-1.3698340703001615</v>
      </c>
      <c r="N78">
        <v>73.709999999999994</v>
      </c>
      <c r="O78">
        <v>1.8675264111997434</v>
      </c>
      <c r="P78">
        <v>4.1100000000000012E-13</v>
      </c>
      <c r="Q78">
        <v>-12.38615817812393</v>
      </c>
      <c r="R78">
        <v>3.0294810000000004E-11</v>
      </c>
      <c r="S78">
        <v>-10.518631766924187</v>
      </c>
      <c r="X78" s="3"/>
      <c r="AA78" s="3"/>
      <c r="AB78" s="17"/>
      <c r="AF78" s="3"/>
      <c r="AI78" s="3"/>
      <c r="AJ78" s="17"/>
      <c r="AN78" s="3"/>
      <c r="BT78">
        <f>VLOOKUP(B78,Literatuur!$A:$B,2,FALSE)</f>
        <v>15</v>
      </c>
      <c r="BU78" s="138" t="str">
        <f>D78</f>
        <v>1,1,1-Trichloroethane</v>
      </c>
      <c r="BV78" s="138" t="str">
        <f>I78</f>
        <v>HDPE</v>
      </c>
      <c r="BW78" s="138">
        <f>J78</f>
        <v>0.1</v>
      </c>
      <c r="BX78" s="138">
        <f>G78</f>
        <v>2.3433333333333333</v>
      </c>
      <c r="BY78" s="137">
        <f>K78</f>
        <v>4.2674253200568994E-2</v>
      </c>
      <c r="BZ78" s="138">
        <f>IF(ISNUMBER(O78),O78,"")</f>
        <v>1.8675264111997434</v>
      </c>
      <c r="CA78" s="138">
        <f>IF(ISNUMBER(Q78),Q78,"")</f>
        <v>-12.38615817812393</v>
      </c>
      <c r="CB78" s="138">
        <f>IF(ISNUMBER(S78),S78,"")</f>
        <v>-10.518631766924187</v>
      </c>
    </row>
    <row r="79" spans="1:80" x14ac:dyDescent="0.2">
      <c r="A79" s="4"/>
      <c r="B79" s="4"/>
      <c r="C79" s="4"/>
      <c r="K79" s="137"/>
      <c r="L79" s="137"/>
      <c r="M79" s="137"/>
      <c r="X79" s="3"/>
      <c r="AA79" s="3"/>
      <c r="AB79" s="17"/>
      <c r="AF79" s="3"/>
      <c r="AI79" s="3"/>
      <c r="AJ79" s="17"/>
      <c r="AN79" s="3"/>
      <c r="BU79" s="138"/>
      <c r="BV79" s="138"/>
      <c r="BW79" s="138"/>
      <c r="BX79" s="138"/>
      <c r="BZ79" s="138"/>
      <c r="CA79" s="138"/>
      <c r="CB79" s="138"/>
    </row>
    <row r="80" spans="1:80" x14ac:dyDescent="0.2">
      <c r="A80" s="4" t="s">
        <v>1974</v>
      </c>
      <c r="B80" s="4" t="s">
        <v>1939</v>
      </c>
      <c r="C80" s="4" t="s">
        <v>753</v>
      </c>
      <c r="D80" t="s">
        <v>540</v>
      </c>
      <c r="E80" t="s">
        <v>1891</v>
      </c>
      <c r="F80">
        <v>131.4</v>
      </c>
      <c r="G80">
        <v>1.1648441611748488</v>
      </c>
      <c r="H80">
        <v>2.61</v>
      </c>
      <c r="I80" t="s">
        <v>717</v>
      </c>
      <c r="J80">
        <v>0.05</v>
      </c>
      <c r="K80" s="210">
        <f t="shared" ref="K80:K81" si="67">J80/G80</f>
        <v>4.2924196786607541E-2</v>
      </c>
      <c r="L80" s="210">
        <f>AVERAGE(K80:K81)</f>
        <v>6.4386295179911318E-2</v>
      </c>
      <c r="M80" s="210">
        <f t="shared" ref="M80:M81" si="68">LOG(K80)</f>
        <v>-1.3672978227694419</v>
      </c>
      <c r="N80">
        <v>131.44</v>
      </c>
      <c r="O80">
        <v>2.1187275504270051</v>
      </c>
      <c r="P80">
        <v>2.8900000000000003E-13</v>
      </c>
      <c r="Q80">
        <v>-12.539102157243452</v>
      </c>
      <c r="R80">
        <v>3.7986160000000003E-11</v>
      </c>
      <c r="S80">
        <v>-10.420374606816447</v>
      </c>
      <c r="T80" s="106"/>
      <c r="U80" s="106"/>
      <c r="V80" s="106"/>
      <c r="W80" s="106"/>
      <c r="X80" s="296"/>
      <c r="Y80" s="297"/>
      <c r="Z80" s="106"/>
      <c r="AA80" s="296"/>
      <c r="AB80" s="295"/>
      <c r="AC80" s="106"/>
      <c r="AD80" s="106"/>
      <c r="AE80" s="106"/>
      <c r="AF80" s="296"/>
      <c r="AG80" s="297"/>
      <c r="AH80" s="106"/>
      <c r="AI80" s="296"/>
      <c r="AJ80" s="295"/>
      <c r="AK80" s="106"/>
      <c r="AL80" s="106"/>
      <c r="AM80" s="106"/>
      <c r="AN80" s="296"/>
      <c r="AO80" s="297"/>
      <c r="AP80" s="106"/>
      <c r="AQ80" s="106"/>
      <c r="AR80" s="106"/>
      <c r="AS80" s="106"/>
      <c r="AT80" s="106"/>
      <c r="AU80" s="106"/>
      <c r="AV80" s="297"/>
      <c r="AW80" s="106"/>
      <c r="AX80" s="106"/>
      <c r="BT80">
        <f>VLOOKUP(B80,Literatuur!$A:$B,2,FALSE)</f>
        <v>15</v>
      </c>
      <c r="BU80" s="138" t="str">
        <f>D80</f>
        <v>Trichloroethylene</v>
      </c>
      <c r="BV80" s="138" t="str">
        <f>I80</f>
        <v>HDPE</v>
      </c>
      <c r="BW80" s="138">
        <f>J80</f>
        <v>0.05</v>
      </c>
      <c r="BX80" s="138">
        <f>G80</f>
        <v>1.1648441611748488</v>
      </c>
      <c r="BY80" s="137">
        <f>K80</f>
        <v>4.2924196786607541E-2</v>
      </c>
      <c r="BZ80" s="138">
        <f>IF(ISNUMBER(O80),O80,"")</f>
        <v>2.1187275504270051</v>
      </c>
      <c r="CA80" s="138">
        <f>IF(ISNUMBER(Q80),Q80,"")</f>
        <v>-12.539102157243452</v>
      </c>
      <c r="CB80" s="138">
        <f>IF(ISNUMBER(S80),S80,"")</f>
        <v>-10.420374606816447</v>
      </c>
    </row>
    <row r="81" spans="1:80" x14ac:dyDescent="0.2">
      <c r="A81" s="4" t="s">
        <v>1974</v>
      </c>
      <c r="B81" s="4" t="s">
        <v>1939</v>
      </c>
      <c r="C81" s="4" t="s">
        <v>753</v>
      </c>
      <c r="D81" t="s">
        <v>540</v>
      </c>
      <c r="E81" t="s">
        <v>1891</v>
      </c>
      <c r="F81">
        <v>131.4</v>
      </c>
      <c r="G81">
        <v>1.1648441611748488</v>
      </c>
      <c r="H81">
        <v>2.61</v>
      </c>
      <c r="I81" t="s">
        <v>717</v>
      </c>
      <c r="J81">
        <v>0.1</v>
      </c>
      <c r="K81" s="210">
        <f t="shared" si="67"/>
        <v>8.5848393573215082E-2</v>
      </c>
      <c r="L81" s="210"/>
      <c r="M81" s="210">
        <f t="shared" si="68"/>
        <v>-1.0662678271054606</v>
      </c>
      <c r="N81">
        <v>148.91999999999999</v>
      </c>
      <c r="O81">
        <v>2.1729530275463547</v>
      </c>
      <c r="P81">
        <v>4.5400000000000008E-13</v>
      </c>
      <c r="Q81">
        <v>-12.342944147142896</v>
      </c>
      <c r="R81">
        <v>6.7609680000000009E-11</v>
      </c>
      <c r="S81">
        <v>-10.169991119596542</v>
      </c>
      <c r="X81" s="3"/>
      <c r="AA81" s="3"/>
      <c r="AB81" s="17"/>
      <c r="AF81" s="3"/>
      <c r="AI81" s="3"/>
      <c r="AJ81" s="17"/>
      <c r="AN81" s="3"/>
      <c r="BT81">
        <f>VLOOKUP(B81,Literatuur!$A:$B,2,FALSE)</f>
        <v>15</v>
      </c>
      <c r="BU81" s="138" t="str">
        <f>D81</f>
        <v>Trichloroethylene</v>
      </c>
      <c r="BV81" s="138" t="str">
        <f>I81</f>
        <v>HDPE</v>
      </c>
      <c r="BW81" s="138">
        <f>J81</f>
        <v>0.1</v>
      </c>
      <c r="BX81" s="138">
        <f>G81</f>
        <v>1.1648441611748488</v>
      </c>
      <c r="BY81" s="137">
        <f>K81</f>
        <v>8.5848393573215082E-2</v>
      </c>
      <c r="BZ81" s="138">
        <f>IF(ISNUMBER(O81),O81,"")</f>
        <v>2.1729530275463547</v>
      </c>
      <c r="CA81" s="138">
        <f>IF(ISNUMBER(Q81),Q81,"")</f>
        <v>-12.342944147142896</v>
      </c>
      <c r="CB81" s="138">
        <f>IF(ISNUMBER(S81),S81,"")</f>
        <v>-10.169991119596542</v>
      </c>
    </row>
    <row r="82" spans="1:80" x14ac:dyDescent="0.2">
      <c r="A82" s="4"/>
      <c r="B82" s="4"/>
      <c r="C82" s="4"/>
      <c r="K82" s="137"/>
      <c r="L82" s="137"/>
      <c r="M82" s="137"/>
      <c r="X82" s="3"/>
      <c r="AA82" s="3"/>
      <c r="AB82" s="17"/>
      <c r="AF82" s="3"/>
      <c r="AI82" s="3"/>
      <c r="AJ82" s="17"/>
      <c r="AN82" s="3"/>
      <c r="BU82" s="138"/>
      <c r="BV82" s="138"/>
      <c r="BW82" s="138"/>
      <c r="BX82" s="138"/>
      <c r="BZ82" s="138"/>
      <c r="CA82" s="138"/>
      <c r="CB82" s="138"/>
    </row>
    <row r="83" spans="1:80" x14ac:dyDescent="0.2">
      <c r="A83" s="4"/>
      <c r="B83" s="4"/>
      <c r="C83" s="4"/>
      <c r="K83" s="137"/>
      <c r="L83" s="137"/>
      <c r="M83" s="137"/>
      <c r="X83" s="3"/>
      <c r="AA83" s="3"/>
      <c r="AB83" s="17"/>
      <c r="AF83" s="3"/>
      <c r="AI83" s="3"/>
      <c r="AJ83" s="17"/>
      <c r="AN83" s="3"/>
      <c r="BU83" s="138"/>
      <c r="BV83" s="138"/>
      <c r="BW83" s="138"/>
      <c r="BX83" s="138"/>
      <c r="BZ83" s="138"/>
      <c r="CA83" s="138"/>
      <c r="CB83" s="138"/>
    </row>
    <row r="84" spans="1:80" x14ac:dyDescent="0.2">
      <c r="A84" s="4" t="s">
        <v>1751</v>
      </c>
      <c r="B84" s="4" t="s">
        <v>1939</v>
      </c>
      <c r="C84" s="4" t="s">
        <v>753</v>
      </c>
      <c r="D84" t="s">
        <v>872</v>
      </c>
      <c r="E84" t="s">
        <v>1549</v>
      </c>
      <c r="F84">
        <v>106.18666499232586</v>
      </c>
      <c r="G84">
        <v>0.21893359574593291</v>
      </c>
      <c r="H84">
        <v>3.12</v>
      </c>
      <c r="I84" t="s">
        <v>717</v>
      </c>
      <c r="J84">
        <v>0.05</v>
      </c>
      <c r="K84" s="210">
        <f t="shared" ref="K84:K85" si="69">J84/G84</f>
        <v>0.22837975062549917</v>
      </c>
      <c r="L84" s="210">
        <f>AVERAGE(K84:K85)</f>
        <v>0.34256962593824875</v>
      </c>
      <c r="M84" s="210">
        <f t="shared" ref="M84:M85" si="70">LOG(K84)</f>
        <v>-0.64134240559898414</v>
      </c>
      <c r="N84">
        <v>438.21</v>
      </c>
      <c r="O84">
        <v>2.6416822839852192</v>
      </c>
      <c r="P84">
        <v>1.25E-13</v>
      </c>
      <c r="Q84">
        <v>-12.903089986991944</v>
      </c>
      <c r="R84">
        <v>5.4776249999999997E-11</v>
      </c>
      <c r="S84">
        <v>-10.261407703006725</v>
      </c>
      <c r="T84" s="106">
        <f>SLOPE(O84:O85,$K84:$K85)</f>
        <v>-7.1302084111033552E-3</v>
      </c>
      <c r="U84" s="106">
        <f>INTERCEPT(O84:O85,$K84:$K85)</f>
        <v>2.6433106792040548</v>
      </c>
      <c r="V84" s="106">
        <f>RSQ(O84:O85,$K84:$K85)</f>
        <v>1</v>
      </c>
      <c r="W84" s="106"/>
      <c r="X84" s="296"/>
      <c r="Y84" s="297">
        <f>SLOPE(O84:O85,$M84:$M85)</f>
        <v>-5.4094118270303047E-3</v>
      </c>
      <c r="Z84" s="106">
        <f>INTERCEPT(O84:O85,$M84:$M85)</f>
        <v>2.6382129987911962</v>
      </c>
      <c r="AA84" s="296">
        <f>RSQ(O84:O85,$M84:$M85)</f>
        <v>1</v>
      </c>
      <c r="AB84" s="295">
        <f>SLOPE(Q84:Q85,$K84:$K85)</f>
        <v>0.70395278662318939</v>
      </c>
      <c r="AC84" s="106">
        <f>INTERCEPT(Q84:Q85,$K84:$K85)</f>
        <v>-13.063858548853073</v>
      </c>
      <c r="AD84" s="106">
        <f>RSQ(Q84:Q85,$K84:$K85)</f>
        <v>1.0000000000000004</v>
      </c>
      <c r="AE84" s="106"/>
      <c r="AF84" s="296"/>
      <c r="AG84" s="297">
        <f>SLOPE(Q84:Q85,$M84:$M85)</f>
        <v>0.53406160242112211</v>
      </c>
      <c r="AH84" s="106">
        <f>INTERCEPT(Q84:Q85,$M84:$M85)</f>
        <v>-12.560573634157134</v>
      </c>
      <c r="AI84" s="296">
        <f>RSQ(Q84:Q85,$M84:$M85)</f>
        <v>1</v>
      </c>
      <c r="AJ84" s="295">
        <f>SLOPE(S84:S85,$K84:$K85)</f>
        <v>0.69682257821208593</v>
      </c>
      <c r="AK84" s="106">
        <f>INTERCEPT(S84:S85,$K84:$K85)</f>
        <v>-10.420547869649017</v>
      </c>
      <c r="AL84" s="106">
        <f>RSQ(S84:S85,$K84:$K85)</f>
        <v>0.99999999999999956</v>
      </c>
      <c r="AM84" s="106"/>
      <c r="AN84" s="296"/>
      <c r="AO84" s="297">
        <f>SLOPE(S84:S85,$M84:$M85)</f>
        <v>0.52865219059409174</v>
      </c>
      <c r="AP84" s="106">
        <f>INTERCEPT(S84:S85,$M84:$M85)</f>
        <v>-9.922360635365937</v>
      </c>
      <c r="AQ84" s="106">
        <f>RSQ(S84:S85,$M84:$M85)</f>
        <v>0.99999999999999978</v>
      </c>
      <c r="AR84" s="106"/>
      <c r="AS84" s="106"/>
      <c r="AT84" s="106"/>
      <c r="AU84" s="106"/>
      <c r="AV84" s="297"/>
      <c r="AW84" s="106"/>
      <c r="AX84" s="106"/>
      <c r="BT84">
        <f>VLOOKUP(B84,Literatuur!$A:$B,2,FALSE)</f>
        <v>15</v>
      </c>
      <c r="BU84" s="138" t="str">
        <f>D84</f>
        <v>o-Xylene</v>
      </c>
      <c r="BV84" s="138" t="str">
        <f>I84</f>
        <v>HDPE</v>
      </c>
      <c r="BW84" s="138">
        <f>J84</f>
        <v>0.05</v>
      </c>
      <c r="BX84" s="138">
        <f>G84</f>
        <v>0.21893359574593291</v>
      </c>
      <c r="BY84" s="137">
        <f>K84</f>
        <v>0.22837975062549917</v>
      </c>
      <c r="BZ84" s="138">
        <f>IF(ISNUMBER(O84),O84,"")</f>
        <v>2.6416822839852192</v>
      </c>
      <c r="CA84" s="138">
        <f>IF(ISNUMBER(Q84),Q84,"")</f>
        <v>-12.903089986991944</v>
      </c>
      <c r="CB84" s="138">
        <f>IF(ISNUMBER(S84),S84,"")</f>
        <v>-10.261407703006725</v>
      </c>
    </row>
    <row r="85" spans="1:80" x14ac:dyDescent="0.2">
      <c r="A85" s="4" t="s">
        <v>1751</v>
      </c>
      <c r="B85" s="4" t="s">
        <v>1939</v>
      </c>
      <c r="C85" s="4" t="s">
        <v>753</v>
      </c>
      <c r="D85" t="s">
        <v>872</v>
      </c>
      <c r="E85" t="s">
        <v>1549</v>
      </c>
      <c r="F85">
        <v>106.18666499232586</v>
      </c>
      <c r="G85">
        <v>0.21893359574593291</v>
      </c>
      <c r="H85">
        <v>3.12</v>
      </c>
      <c r="I85" t="s">
        <v>717</v>
      </c>
      <c r="J85">
        <v>0.1</v>
      </c>
      <c r="K85" s="210">
        <f t="shared" si="69"/>
        <v>0.45675950125099835</v>
      </c>
      <c r="L85" s="210"/>
      <c r="M85" s="210">
        <f t="shared" si="70"/>
        <v>-0.340312409935003</v>
      </c>
      <c r="N85">
        <v>436.57</v>
      </c>
      <c r="O85">
        <v>2.6400538887663836</v>
      </c>
      <c r="P85">
        <v>1.8100000000000004E-13</v>
      </c>
      <c r="Q85">
        <v>-12.742321425130815</v>
      </c>
      <c r="R85">
        <v>7.9019170000000014E-11</v>
      </c>
      <c r="S85">
        <v>-10.102267536364431</v>
      </c>
      <c r="X85" s="3"/>
      <c r="AA85" s="3"/>
      <c r="AB85" s="17"/>
      <c r="AF85" s="3"/>
      <c r="AI85" s="3"/>
      <c r="AJ85" s="17"/>
      <c r="AN85" s="3"/>
      <c r="BT85">
        <f>VLOOKUP(B85,Literatuur!$A:$B,2,FALSE)</f>
        <v>15</v>
      </c>
      <c r="BU85" s="138" t="str">
        <f>D85</f>
        <v>o-Xylene</v>
      </c>
      <c r="BV85" s="138" t="str">
        <f>I85</f>
        <v>HDPE</v>
      </c>
      <c r="BW85" s="138">
        <f>J85</f>
        <v>0.1</v>
      </c>
      <c r="BX85" s="138">
        <f>G85</f>
        <v>0.21893359574593291</v>
      </c>
      <c r="BY85" s="137">
        <f>K85</f>
        <v>0.45675950125099835</v>
      </c>
      <c r="BZ85" s="138">
        <f>IF(ISNUMBER(O85),O85,"")</f>
        <v>2.6400538887663836</v>
      </c>
      <c r="CA85" s="138">
        <f>IF(ISNUMBER(Q85),Q85,"")</f>
        <v>-12.742321425130815</v>
      </c>
      <c r="CB85" s="138">
        <f>IF(ISNUMBER(S85),S85,"")</f>
        <v>-10.102267536364431</v>
      </c>
    </row>
    <row r="86" spans="1:80" x14ac:dyDescent="0.2">
      <c r="A86" s="4"/>
      <c r="B86" s="4"/>
      <c r="C86" s="4"/>
      <c r="K86" s="137"/>
      <c r="L86" s="137"/>
      <c r="M86" s="137"/>
      <c r="X86" s="3"/>
      <c r="AA86" s="3"/>
      <c r="AB86" s="17"/>
      <c r="AF86" s="3"/>
      <c r="AI86" s="3"/>
      <c r="AJ86" s="17"/>
      <c r="AN86" s="3"/>
      <c r="BU86" s="138"/>
      <c r="BV86" s="138"/>
      <c r="BW86" s="138"/>
      <c r="BX86" s="138"/>
      <c r="BZ86" s="138"/>
      <c r="CA86" s="138"/>
      <c r="CB86" s="138"/>
    </row>
    <row r="87" spans="1:80" x14ac:dyDescent="0.2">
      <c r="A87" s="4" t="s">
        <v>1752</v>
      </c>
      <c r="B87" s="4" t="s">
        <v>1939</v>
      </c>
      <c r="C87" s="4" t="s">
        <v>753</v>
      </c>
      <c r="D87" t="s">
        <v>493</v>
      </c>
      <c r="E87" t="s">
        <v>1549</v>
      </c>
      <c r="F87">
        <v>106.18666499232586</v>
      </c>
      <c r="G87">
        <v>0.21093846155625409</v>
      </c>
      <c r="H87">
        <v>3.15</v>
      </c>
      <c r="I87" t="s">
        <v>717</v>
      </c>
      <c r="J87">
        <v>0.05</v>
      </c>
      <c r="K87" s="210">
        <f t="shared" ref="K87:K88" si="71">J87/G87</f>
        <v>0.23703595651125842</v>
      </c>
      <c r="L87" s="210">
        <f>AVERAGE(K87:K88)</f>
        <v>0.35555393476688762</v>
      </c>
      <c r="M87" s="210">
        <f t="shared" ref="M87:M88" si="72">LOG(K87)</f>
        <v>-0.62518576989716657</v>
      </c>
      <c r="N87">
        <v>357.35</v>
      </c>
      <c r="O87">
        <v>2.5530937864371861</v>
      </c>
      <c r="P87">
        <v>1.9100000000000004E-13</v>
      </c>
      <c r="Q87">
        <v>-12.718966632752272</v>
      </c>
      <c r="R87">
        <v>6.8253850000000022E-11</v>
      </c>
      <c r="S87">
        <v>-10.165872846315086</v>
      </c>
      <c r="T87" s="106">
        <f>SLOPE(O87:O88,$K87:$K88)</f>
        <v>0.12887072052465254</v>
      </c>
      <c r="U87" s="106">
        <f>INTERCEPT(O87:O88,$K87:$K88)</f>
        <v>2.52254679193133</v>
      </c>
      <c r="V87" s="106">
        <f>RSQ(O87:O88,$K87:$K88)</f>
        <v>1</v>
      </c>
      <c r="W87" s="106"/>
      <c r="X87" s="296"/>
      <c r="Y87" s="297">
        <f>SLOPE(O87:O88,$M87:$M88)</f>
        <v>0.10147491926337318</v>
      </c>
      <c r="Z87" s="106">
        <f>INTERCEPT(O87:O88,$M87:$M88)</f>
        <v>2.6165344619621109</v>
      </c>
      <c r="AA87" s="296">
        <f>RSQ(O87:O88,$M87:$M88)</f>
        <v>1</v>
      </c>
      <c r="AB87" s="295">
        <f>SLOPE(Q87:Q88,$K87:$K88)</f>
        <v>0.62741077321581762</v>
      </c>
      <c r="AC87" s="106">
        <f>INTERCEPT(Q87:Q88,$K87:$K88)</f>
        <v>-12.867685545506953</v>
      </c>
      <c r="AD87" s="106">
        <f>RSQ(Q87:Q88,$K87:$K88)</f>
        <v>1</v>
      </c>
      <c r="AE87" s="106"/>
      <c r="AF87" s="296"/>
      <c r="AG87" s="297">
        <f>SLOPE(Q87:Q88,$M87:$M88)</f>
        <v>0.4940335345208724</v>
      </c>
      <c r="AH87" s="106">
        <f>INTERCEPT(Q87:Q88,$M87:$M88)</f>
        <v>-12.410103897117823</v>
      </c>
      <c r="AI87" s="296">
        <f>RSQ(Q87:Q88,$M87:$M88)</f>
        <v>1</v>
      </c>
      <c r="AJ87" s="295">
        <f>SLOPE(S87:S88,$K87:$K88)</f>
        <v>0.75628149374047193</v>
      </c>
      <c r="AK87" s="106">
        <f>INTERCEPT(S87:S88,$K87:$K88)</f>
        <v>-10.345138753575622</v>
      </c>
      <c r="AL87" s="106">
        <f>RSQ(S87:S88,$K87:$K88)</f>
        <v>0.99999999999999978</v>
      </c>
      <c r="AM87" s="106"/>
      <c r="AN87" s="296"/>
      <c r="AO87" s="297">
        <f>SLOPE(S87:S88,$M87:$M88)</f>
        <v>0.5955084537842471</v>
      </c>
      <c r="AP87" s="106">
        <f>INTERCEPT(S87:S88,$M87:$M88)</f>
        <v>-9.7935694351557103</v>
      </c>
      <c r="AQ87" s="106">
        <f>RSQ(S87:S88,$M87:$M88)</f>
        <v>1</v>
      </c>
      <c r="AR87" s="106"/>
      <c r="AS87" s="106"/>
      <c r="AT87" s="106"/>
      <c r="AU87" s="106"/>
      <c r="AV87" s="297"/>
      <c r="AW87" s="106"/>
      <c r="AX87" s="106"/>
      <c r="BT87">
        <f>VLOOKUP(B87,Literatuur!$A:$B,2,FALSE)</f>
        <v>15</v>
      </c>
      <c r="BU87" s="138" t="str">
        <f>D87</f>
        <v>p-Xylene</v>
      </c>
      <c r="BV87" s="138" t="str">
        <f>I87</f>
        <v>HDPE</v>
      </c>
      <c r="BW87" s="138">
        <f>J87</f>
        <v>0.05</v>
      </c>
      <c r="BX87" s="138">
        <f>G87</f>
        <v>0.21093846155625409</v>
      </c>
      <c r="BY87" s="137">
        <f>K87</f>
        <v>0.23703595651125842</v>
      </c>
      <c r="BZ87" s="138">
        <f>IF(ISNUMBER(O87),O87,"")</f>
        <v>2.5530937864371861</v>
      </c>
      <c r="CA87" s="138">
        <f>IF(ISNUMBER(Q87),Q87,"")</f>
        <v>-12.718966632752272</v>
      </c>
      <c r="CB87" s="138">
        <f>IF(ISNUMBER(S87),S87,"")</f>
        <v>-10.165872846315086</v>
      </c>
    </row>
    <row r="88" spans="1:80" x14ac:dyDescent="0.2">
      <c r="A88" s="4" t="s">
        <v>1752</v>
      </c>
      <c r="B88" s="4" t="s">
        <v>1939</v>
      </c>
      <c r="C88" s="4" t="s">
        <v>753</v>
      </c>
      <c r="D88" t="s">
        <v>493</v>
      </c>
      <c r="E88" t="s">
        <v>1549</v>
      </c>
      <c r="F88">
        <v>106.18666499232586</v>
      </c>
      <c r="G88">
        <v>0.21093846155625409</v>
      </c>
      <c r="H88">
        <v>3.15</v>
      </c>
      <c r="I88" t="s">
        <v>717</v>
      </c>
      <c r="J88">
        <v>0.1</v>
      </c>
      <c r="K88" s="210">
        <f t="shared" si="71"/>
        <v>0.47407191302251683</v>
      </c>
      <c r="L88" s="210"/>
      <c r="M88" s="210">
        <f t="shared" si="72"/>
        <v>-0.32415577423318537</v>
      </c>
      <c r="N88">
        <v>383.39</v>
      </c>
      <c r="O88">
        <v>2.5836407809430422</v>
      </c>
      <c r="P88">
        <v>2.6900000000000001E-13</v>
      </c>
      <c r="Q88">
        <v>-12.570247719997592</v>
      </c>
      <c r="R88">
        <v>1.0313191E-10</v>
      </c>
      <c r="S88">
        <v>-9.9866069390545498</v>
      </c>
      <c r="X88" s="3"/>
      <c r="AA88" s="3"/>
      <c r="AB88" s="17"/>
      <c r="AF88" s="3"/>
      <c r="AI88" s="3"/>
      <c r="AJ88" s="17"/>
      <c r="AN88" s="3"/>
      <c r="BT88">
        <f>VLOOKUP(B88,Literatuur!$A:$B,2,FALSE)</f>
        <v>15</v>
      </c>
      <c r="BU88" s="138" t="str">
        <f>D88</f>
        <v>p-Xylene</v>
      </c>
      <c r="BV88" s="138" t="str">
        <f>I88</f>
        <v>HDPE</v>
      </c>
      <c r="BW88" s="138">
        <f>J88</f>
        <v>0.1</v>
      </c>
      <c r="BX88" s="138">
        <f>G88</f>
        <v>0.21093846155625409</v>
      </c>
      <c r="BY88" s="137">
        <f>K88</f>
        <v>0.47407191302251683</v>
      </c>
      <c r="BZ88" s="138">
        <f>IF(ISNUMBER(O88),O88,"")</f>
        <v>2.5836407809430422</v>
      </c>
      <c r="CA88" s="138">
        <f>IF(ISNUMBER(Q88),Q88,"")</f>
        <v>-12.570247719997592</v>
      </c>
      <c r="CB88" s="138">
        <f>IF(ISNUMBER(S88),S88,"")</f>
        <v>-9.9866069390545498</v>
      </c>
    </row>
    <row r="89" spans="1:80" x14ac:dyDescent="0.2">
      <c r="K89" s="137"/>
      <c r="L89" s="137"/>
      <c r="M89" s="137"/>
      <c r="X89" s="3"/>
      <c r="AA89" s="3"/>
      <c r="AB89" s="17"/>
      <c r="AF89" s="3"/>
      <c r="AI89" s="3"/>
      <c r="AJ89" s="17"/>
      <c r="AN89" s="3"/>
      <c r="BU89" s="138"/>
      <c r="BV89" s="138"/>
      <c r="BW89" s="138"/>
      <c r="BX89" s="138"/>
      <c r="BZ89" s="138"/>
      <c r="CA89" s="138"/>
      <c r="CB89" s="138"/>
    </row>
    <row r="90" spans="1:80" x14ac:dyDescent="0.2">
      <c r="K90" s="137"/>
      <c r="L90" s="137"/>
      <c r="M90" s="137"/>
      <c r="T90" s="5"/>
      <c r="U90" s="5"/>
      <c r="V90" s="5"/>
      <c r="W90" s="5"/>
      <c r="X90" s="22"/>
      <c r="Y90" s="5"/>
      <c r="Z90" s="5"/>
      <c r="AA90" s="22"/>
      <c r="AB90" s="70"/>
      <c r="AC90" s="5"/>
      <c r="AD90" s="5"/>
      <c r="AE90" s="5"/>
      <c r="AF90" s="22"/>
      <c r="AG90" s="5"/>
      <c r="AH90" s="5"/>
      <c r="AI90" s="22"/>
      <c r="AJ90" s="70"/>
      <c r="AK90" s="5"/>
      <c r="AL90" s="5"/>
      <c r="AM90" s="5"/>
      <c r="AN90" s="22"/>
      <c r="AO90" s="5"/>
      <c r="AP90" s="5"/>
      <c r="AQ90" s="5"/>
      <c r="AR90" s="5"/>
      <c r="AS90" s="5"/>
      <c r="AT90" s="5"/>
      <c r="AU90" s="5"/>
      <c r="AV90" s="5"/>
      <c r="AW90" s="5"/>
      <c r="AX90" s="5"/>
      <c r="BU90" s="138"/>
      <c r="BV90" s="138"/>
      <c r="BW90" s="138"/>
      <c r="BX90" s="138"/>
      <c r="BZ90" s="138"/>
      <c r="CA90" s="138"/>
      <c r="CB90" s="138"/>
    </row>
    <row r="91" spans="1:80" x14ac:dyDescent="0.2">
      <c r="A91" s="1" t="s">
        <v>1581</v>
      </c>
      <c r="K91" s="137"/>
      <c r="L91" s="137"/>
      <c r="M91" s="137"/>
      <c r="T91" s="106"/>
      <c r="U91" s="106"/>
      <c r="V91" s="106"/>
      <c r="W91" s="106"/>
      <c r="X91" s="296"/>
      <c r="Y91" s="106"/>
      <c r="Z91" s="106"/>
      <c r="AA91" s="296"/>
      <c r="AB91" s="295"/>
      <c r="AC91" s="106"/>
      <c r="AD91" s="106"/>
      <c r="AE91" s="106"/>
      <c r="AF91" s="296"/>
      <c r="AG91" s="106"/>
      <c r="AH91" s="106"/>
      <c r="AI91" s="296"/>
      <c r="AJ91" s="295"/>
      <c r="AK91" s="106"/>
      <c r="AL91" s="106"/>
      <c r="AM91" s="106"/>
      <c r="AN91" s="296"/>
      <c r="AO91" s="106"/>
      <c r="AP91" s="106"/>
      <c r="AQ91" s="106"/>
      <c r="AR91" s="106"/>
      <c r="AS91" s="106"/>
      <c r="AT91" s="106"/>
      <c r="AU91" s="106"/>
      <c r="AV91" s="106"/>
      <c r="AW91" s="106"/>
      <c r="AX91" s="106"/>
      <c r="BU91" s="138"/>
      <c r="BV91" s="138"/>
      <c r="BW91" s="138"/>
      <c r="BX91" s="138"/>
      <c r="BZ91" s="138"/>
      <c r="CA91" s="138"/>
      <c r="CB91" s="138"/>
    </row>
    <row r="92" spans="1:80" x14ac:dyDescent="0.2">
      <c r="A92" s="4" t="s">
        <v>1975</v>
      </c>
      <c r="B92" s="4" t="s">
        <v>1817</v>
      </c>
      <c r="C92" s="4" t="s">
        <v>1461</v>
      </c>
      <c r="D92" t="s">
        <v>537</v>
      </c>
      <c r="E92" t="s">
        <v>1891</v>
      </c>
      <c r="F92">
        <v>84.93</v>
      </c>
      <c r="G92">
        <v>20</v>
      </c>
      <c r="H92">
        <v>1.25</v>
      </c>
      <c r="I92" t="s">
        <v>717</v>
      </c>
      <c r="J92">
        <v>0.1</v>
      </c>
      <c r="K92" s="210">
        <f t="shared" ref="K92:K98" si="73">J92/G92</f>
        <v>5.0000000000000001E-3</v>
      </c>
      <c r="L92" s="210">
        <f>AVERAGE(K92:K94)</f>
        <v>2.6666666666666666E-3</v>
      </c>
      <c r="M92" s="210">
        <f t="shared" ref="M92:M98" si="74">LOG(K92)</f>
        <v>-2.3010299956639813</v>
      </c>
      <c r="N92">
        <v>455</v>
      </c>
      <c r="O92">
        <v>2.6580113966571126</v>
      </c>
      <c r="P92">
        <v>3.6000000000000003E-13</v>
      </c>
      <c r="Q92">
        <v>-12.443697499232712</v>
      </c>
      <c r="R92">
        <v>1.6380000000000002E-10</v>
      </c>
      <c r="S92">
        <v>-9.7856861025755997</v>
      </c>
      <c r="T92" s="310"/>
      <c r="U92" s="310"/>
      <c r="V92" s="310"/>
      <c r="W92" s="310"/>
      <c r="X92" s="311"/>
      <c r="Y92" s="297">
        <f>SLOPE(O92:O93,$M92:$M93)</f>
        <v>1.5941543869022821E-2</v>
      </c>
      <c r="Z92" s="106">
        <f>INTERCEPT(O92:O93,$M92:$M93)</f>
        <v>2.6946933672769275</v>
      </c>
      <c r="AA92" s="296">
        <f>RSQ(O92:O93,$M92:$M93)</f>
        <v>1.0000000000000004</v>
      </c>
      <c r="AB92" s="309"/>
      <c r="AC92" s="310"/>
      <c r="AD92" s="310"/>
      <c r="AE92" s="310"/>
      <c r="AF92" s="311"/>
      <c r="AG92" s="297">
        <f>SLOPE(Q92:Q93,$M92:$M93)</f>
        <v>0.58496250072115641</v>
      </c>
      <c r="AH92" s="106">
        <f>INTERCEPT(Q92:Q93,$M92:$M93)</f>
        <v>-11.097681238734719</v>
      </c>
      <c r="AI92" s="296">
        <f>RSQ(Q92:Q93,$M92:$M93)</f>
        <v>1</v>
      </c>
      <c r="AJ92" s="309"/>
      <c r="AK92" s="310"/>
      <c r="AL92" s="310"/>
      <c r="AM92" s="310"/>
      <c r="AN92" s="311"/>
      <c r="AO92" s="297">
        <f>SLOPE(S92:S93,$M92:$M93)</f>
        <v>0.60090404459017777</v>
      </c>
      <c r="AP92" s="106">
        <f>INTERCEPT(S92:S93,$M92:$M93)</f>
        <v>-8.4029878714577944</v>
      </c>
      <c r="AQ92" s="106">
        <f>RSQ(S92:S93,$M92:$M93)</f>
        <v>1.0000000000000004</v>
      </c>
      <c r="AR92" s="106"/>
      <c r="AS92" s="106"/>
      <c r="AT92" s="106"/>
      <c r="AU92" s="106"/>
      <c r="AV92" s="297"/>
      <c r="AW92" s="106"/>
      <c r="AX92" s="106"/>
      <c r="BT92">
        <f>VLOOKUP(B92,Literatuur!$A:$B,2,FALSE)</f>
        <v>18</v>
      </c>
      <c r="BU92" s="138" t="str">
        <f t="shared" ref="BU92:BU98" si="75">D92</f>
        <v>Dichloromethane</v>
      </c>
      <c r="BV92" s="138" t="str">
        <f t="shared" ref="BV92:BW98" si="76">I92</f>
        <v>HDPE</v>
      </c>
      <c r="BW92" s="138">
        <f t="shared" si="76"/>
        <v>0.1</v>
      </c>
      <c r="BX92" s="138">
        <f t="shared" ref="BX92:BX98" si="77">G92</f>
        <v>20</v>
      </c>
      <c r="BY92" s="137">
        <f t="shared" ref="BY92:BY98" si="78">K92</f>
        <v>5.0000000000000001E-3</v>
      </c>
      <c r="BZ92" s="138">
        <f t="shared" ref="BZ92:BZ98" si="79">IF(ISNUMBER(O92),O92,"")</f>
        <v>2.6580113966571126</v>
      </c>
      <c r="CA92" s="138">
        <f t="shared" ref="CA92:CA98" si="80">IF(ISNUMBER(Q92),Q92,"")</f>
        <v>-12.443697499232712</v>
      </c>
      <c r="CB92" s="138">
        <f t="shared" ref="CB92:CB98" si="81">IF(ISNUMBER(S92),S92,"")</f>
        <v>-9.7856861025755997</v>
      </c>
    </row>
    <row r="93" spans="1:80" x14ac:dyDescent="0.2">
      <c r="A93" s="4" t="s">
        <v>1975</v>
      </c>
      <c r="B93" s="4" t="s">
        <v>1817</v>
      </c>
      <c r="C93" s="4" t="s">
        <v>1461</v>
      </c>
      <c r="D93" t="s">
        <v>537</v>
      </c>
      <c r="E93" t="s">
        <v>1891</v>
      </c>
      <c r="F93">
        <v>84.93</v>
      </c>
      <c r="G93">
        <v>20</v>
      </c>
      <c r="H93">
        <v>1.25</v>
      </c>
      <c r="I93" t="s">
        <v>717</v>
      </c>
      <c r="J93">
        <v>0.05</v>
      </c>
      <c r="K93" s="210">
        <f t="shared" si="73"/>
        <v>2.5000000000000001E-3</v>
      </c>
      <c r="L93" s="210"/>
      <c r="M93" s="210">
        <f t="shared" si="74"/>
        <v>-2.6020599913279625</v>
      </c>
      <c r="N93">
        <v>450</v>
      </c>
      <c r="O93">
        <v>2.6532125137753435</v>
      </c>
      <c r="P93">
        <v>2.3999999999999999E-13</v>
      </c>
      <c r="Q93">
        <v>-12.619788758288394</v>
      </c>
      <c r="R93">
        <v>1.0799999999999999E-10</v>
      </c>
      <c r="S93">
        <v>-9.9665762445130497</v>
      </c>
      <c r="X93" s="3"/>
      <c r="AA93" s="3"/>
      <c r="AB93" s="17"/>
      <c r="AF93" s="3"/>
      <c r="AI93" s="3"/>
      <c r="AJ93" s="17"/>
      <c r="AN93" s="3"/>
      <c r="BT93">
        <f>VLOOKUP(B93,Literatuur!$A:$B,2,FALSE)</f>
        <v>18</v>
      </c>
      <c r="BU93" s="138" t="str">
        <f t="shared" si="75"/>
        <v>Dichloromethane</v>
      </c>
      <c r="BV93" s="138" t="str">
        <f t="shared" si="76"/>
        <v>HDPE</v>
      </c>
      <c r="BW93" s="138">
        <f t="shared" si="76"/>
        <v>0.05</v>
      </c>
      <c r="BX93" s="138">
        <f t="shared" si="77"/>
        <v>20</v>
      </c>
      <c r="BY93" s="137">
        <f t="shared" si="78"/>
        <v>2.5000000000000001E-3</v>
      </c>
      <c r="BZ93" s="138">
        <f t="shared" si="79"/>
        <v>2.6532125137753435</v>
      </c>
      <c r="CA93" s="138">
        <f t="shared" si="80"/>
        <v>-12.619788758288394</v>
      </c>
      <c r="CB93" s="138">
        <f t="shared" si="81"/>
        <v>-9.9665762445130497</v>
      </c>
    </row>
    <row r="94" spans="1:80" x14ac:dyDescent="0.2">
      <c r="A94" s="4" t="s">
        <v>1975</v>
      </c>
      <c r="B94" s="4" t="s">
        <v>1817</v>
      </c>
      <c r="C94" s="4" t="s">
        <v>1461</v>
      </c>
      <c r="D94" t="s">
        <v>537</v>
      </c>
      <c r="E94" t="s">
        <v>1891</v>
      </c>
      <c r="F94">
        <v>84.93</v>
      </c>
      <c r="G94">
        <v>20</v>
      </c>
      <c r="H94">
        <v>1.25</v>
      </c>
      <c r="I94" t="s">
        <v>717</v>
      </c>
      <c r="J94">
        <v>0.01</v>
      </c>
      <c r="K94" s="210">
        <f t="shared" si="73"/>
        <v>5.0000000000000001E-4</v>
      </c>
      <c r="L94" s="210"/>
      <c r="M94" s="210">
        <f t="shared" si="74"/>
        <v>-3.3010299956639813</v>
      </c>
      <c r="N94">
        <v>440</v>
      </c>
      <c r="O94">
        <v>2.6434526764861874</v>
      </c>
      <c r="P94">
        <v>2.2000000000000005E-13</v>
      </c>
      <c r="Q94">
        <v>-12.657577319177793</v>
      </c>
      <c r="R94">
        <v>9.6800000000000017E-11</v>
      </c>
      <c r="S94">
        <v>-10.014124642691606</v>
      </c>
      <c r="X94" s="3"/>
      <c r="AA94" s="3"/>
      <c r="AB94" s="17"/>
      <c r="AF94" s="3"/>
      <c r="AI94" s="3"/>
      <c r="AJ94" s="17"/>
      <c r="AN94" s="3"/>
      <c r="BT94">
        <f>VLOOKUP(B94,Literatuur!$A:$B,2,FALSE)</f>
        <v>18</v>
      </c>
      <c r="BU94" s="138" t="str">
        <f t="shared" si="75"/>
        <v>Dichloromethane</v>
      </c>
      <c r="BV94" s="138" t="str">
        <f t="shared" si="76"/>
        <v>HDPE</v>
      </c>
      <c r="BW94" s="138">
        <f t="shared" si="76"/>
        <v>0.01</v>
      </c>
      <c r="BX94" s="138">
        <f t="shared" si="77"/>
        <v>20</v>
      </c>
      <c r="BY94" s="137">
        <f t="shared" si="78"/>
        <v>5.0000000000000001E-4</v>
      </c>
      <c r="BZ94" s="138">
        <f t="shared" si="79"/>
        <v>2.6434526764861874</v>
      </c>
      <c r="CA94" s="138">
        <f t="shared" si="80"/>
        <v>-12.657577319177793</v>
      </c>
      <c r="CB94" s="138">
        <f t="shared" si="81"/>
        <v>-10.014124642691606</v>
      </c>
    </row>
    <row r="95" spans="1:80" x14ac:dyDescent="0.2">
      <c r="A95" s="4" t="s">
        <v>1753</v>
      </c>
      <c r="B95" s="4" t="s">
        <v>1231</v>
      </c>
      <c r="C95" s="4" t="s">
        <v>1570</v>
      </c>
      <c r="D95" t="s">
        <v>537</v>
      </c>
      <c r="E95" t="s">
        <v>1891</v>
      </c>
      <c r="F95">
        <v>84.93</v>
      </c>
      <c r="G95">
        <v>20</v>
      </c>
      <c r="H95">
        <v>1.25</v>
      </c>
      <c r="I95" t="s">
        <v>717</v>
      </c>
      <c r="J95">
        <v>19.690000000000001</v>
      </c>
      <c r="K95" s="210">
        <f t="shared" si="73"/>
        <v>0.98450000000000004</v>
      </c>
      <c r="L95" s="210">
        <f>AVERAGE(K95:K98)</f>
        <v>0.61737500000000001</v>
      </c>
      <c r="M95" s="210">
        <f t="shared" si="74"/>
        <v>-6.7842795258629667E-3</v>
      </c>
      <c r="N95">
        <v>2.36</v>
      </c>
      <c r="O95">
        <v>0.37291200297010657</v>
      </c>
      <c r="P95">
        <v>2.2800000000000001E-11</v>
      </c>
      <c r="Q95">
        <v>-10.642065152999546</v>
      </c>
      <c r="R95">
        <v>5.3808000000000002E-11</v>
      </c>
      <c r="S95">
        <v>-10.269153150029439</v>
      </c>
      <c r="T95" s="106">
        <f>SLOPE(O95:O98,$K95:$K98)</f>
        <v>0.21778277198788129</v>
      </c>
      <c r="U95" s="106">
        <f>INTERCEPT(O95:O98,$K95:$K98)</f>
        <v>0.15289401326354798</v>
      </c>
      <c r="V95" s="106">
        <f>RSQ(O95:O98,$K95:$K98)</f>
        <v>0.85617826834915689</v>
      </c>
      <c r="W95" s="106">
        <f>STEYX(O95:O98,$K95:$K98)</f>
        <v>3.0541677731365076E-2</v>
      </c>
      <c r="X95" s="296">
        <f>_xlfn.T.INV.2T(0.05,COUNT($K95:$K98)-1)*W95</f>
        <v>9.7197249453348525E-2</v>
      </c>
      <c r="Y95" s="297">
        <f>SLOPE(O95:O98,$M95:$M98)</f>
        <v>0.2860622673694142</v>
      </c>
      <c r="Z95" s="106">
        <f>INTERCEPT(O95:O98,$M95:$M98)</f>
        <v>0.35701248228063687</v>
      </c>
      <c r="AA95" s="296">
        <f>RSQ(O95:O98,$M95:$M98)</f>
        <v>0.76003702200796686</v>
      </c>
      <c r="AB95" s="295">
        <f>SLOPE(Q95:Q98,$K95:$K98)</f>
        <v>0.35977624091733362</v>
      </c>
      <c r="AC95" s="106">
        <f>INTERCEPT(Q95:Q98,$K95:$K98)</f>
        <v>-10.992305851270682</v>
      </c>
      <c r="AD95" s="106">
        <f>RSQ(Q95:Q98,$K95:$K98)</f>
        <v>0.63555436379907959</v>
      </c>
      <c r="AE95" s="106">
        <f>STEYX(Q95:Q98,$K95:$K98)</f>
        <v>9.3220562014836833E-2</v>
      </c>
      <c r="AF95" s="296">
        <f>_xlfn.T.INV.2T(0.05,COUNT($K95:$K98)-1)*AE95</f>
        <v>0.29666943316058836</v>
      </c>
      <c r="AG95" s="297">
        <f>SLOPE(Q95:Q98,$M95:$M98)</f>
        <v>0.52148931243869601</v>
      </c>
      <c r="AH95" s="106">
        <f>INTERCEPT(Q95:Q98,$M95:$M98)</f>
        <v>-10.643190545154999</v>
      </c>
      <c r="AI95" s="296">
        <f>RSQ(Q95:Q98,$M95:$M98)</f>
        <v>0.68702890091301705</v>
      </c>
      <c r="AJ95" s="295">
        <f>SLOPE(S95:S98,$K95:$K98)</f>
        <v>0.57755901290521683</v>
      </c>
      <c r="AK95" s="106">
        <f>INTERCEPT(S95:S98,$K95:$K98)</f>
        <v>-10.839411838007134</v>
      </c>
      <c r="AL95" s="106">
        <f>RSQ(S95:S98,$K95:$K98)</f>
        <v>0.90503922728049879</v>
      </c>
      <c r="AM95" s="106">
        <f>STEYX(S95:S98,$K95:$K98)</f>
        <v>6.4013857120986714E-2</v>
      </c>
      <c r="AN95" s="296">
        <f>_xlfn.T.INV.2T(0.05,COUNT($K95:$K98)-1)*AM95</f>
        <v>0.20372066308164341</v>
      </c>
      <c r="AO95" s="297">
        <f>SLOPE(S95:S98,$M95:$M98)</f>
        <v>0.80755157980811276</v>
      </c>
      <c r="AP95" s="106">
        <f>INTERCEPT(S95:S98,$M95:$M98)</f>
        <v>-10.28617806287436</v>
      </c>
      <c r="AQ95" s="106">
        <f>RSQ(S95:S98,$M95:$M98)</f>
        <v>0.91035682238914972</v>
      </c>
      <c r="AR95" s="106"/>
      <c r="AS95" s="106"/>
      <c r="AT95" s="106"/>
      <c r="AU95" s="106"/>
      <c r="AV95" s="297"/>
      <c r="AW95" s="106"/>
      <c r="AX95" s="106"/>
      <c r="BT95">
        <f>VLOOKUP(B95,Literatuur!$A:$B,2,FALSE)</f>
        <v>19</v>
      </c>
      <c r="BU95" s="138" t="str">
        <f t="shared" si="75"/>
        <v>Dichloromethane</v>
      </c>
      <c r="BV95" s="138" t="str">
        <f t="shared" si="76"/>
        <v>HDPE</v>
      </c>
      <c r="BW95" s="138">
        <f t="shared" si="76"/>
        <v>19.690000000000001</v>
      </c>
      <c r="BX95" s="138">
        <f t="shared" si="77"/>
        <v>20</v>
      </c>
      <c r="BY95" s="137">
        <f t="shared" si="78"/>
        <v>0.98450000000000004</v>
      </c>
      <c r="BZ95" s="138">
        <f t="shared" si="79"/>
        <v>0.37291200297010657</v>
      </c>
      <c r="CA95" s="138">
        <f t="shared" si="80"/>
        <v>-10.642065152999546</v>
      </c>
      <c r="CB95" s="138">
        <f t="shared" si="81"/>
        <v>-10.269153150029439</v>
      </c>
    </row>
    <row r="96" spans="1:80" x14ac:dyDescent="0.2">
      <c r="A96" s="4" t="s">
        <v>1753</v>
      </c>
      <c r="B96" s="4" t="s">
        <v>1231</v>
      </c>
      <c r="C96" s="4" t="s">
        <v>1570</v>
      </c>
      <c r="D96" t="s">
        <v>537</v>
      </c>
      <c r="E96" t="s">
        <v>1891</v>
      </c>
      <c r="F96">
        <v>84.93</v>
      </c>
      <c r="G96">
        <v>20</v>
      </c>
      <c r="H96">
        <v>1.25</v>
      </c>
      <c r="I96" t="s">
        <v>717</v>
      </c>
      <c r="J96">
        <v>13.2</v>
      </c>
      <c r="K96" s="210">
        <f t="shared" si="73"/>
        <v>0.65999999999999992</v>
      </c>
      <c r="L96" s="210"/>
      <c r="M96" s="210">
        <f t="shared" si="74"/>
        <v>-0.18045606445813137</v>
      </c>
      <c r="N96">
        <v>2.0099999999999998</v>
      </c>
      <c r="O96">
        <v>0.30319605742048883</v>
      </c>
      <c r="P96">
        <v>1.5800000000000003E-11</v>
      </c>
      <c r="Q96">
        <v>-10.801342913045577</v>
      </c>
      <c r="R96">
        <v>3.1758000000000004E-11</v>
      </c>
      <c r="S96">
        <v>-10.498146855625089</v>
      </c>
      <c r="X96" s="3"/>
      <c r="AA96" s="3"/>
      <c r="AB96" s="17"/>
      <c r="AF96" s="3"/>
      <c r="AI96" s="3"/>
      <c r="AJ96" s="17"/>
      <c r="AN96" s="3"/>
      <c r="BT96">
        <f>VLOOKUP(B96,Literatuur!$A:$B,2,FALSE)</f>
        <v>19</v>
      </c>
      <c r="BU96" s="138" t="str">
        <f t="shared" si="75"/>
        <v>Dichloromethane</v>
      </c>
      <c r="BV96" s="138" t="str">
        <f t="shared" si="76"/>
        <v>HDPE</v>
      </c>
      <c r="BW96" s="138">
        <f t="shared" si="76"/>
        <v>13.2</v>
      </c>
      <c r="BX96" s="138">
        <f t="shared" si="77"/>
        <v>20</v>
      </c>
      <c r="BY96" s="137">
        <f t="shared" si="78"/>
        <v>0.65999999999999992</v>
      </c>
      <c r="BZ96" s="138">
        <f t="shared" si="79"/>
        <v>0.30319605742048883</v>
      </c>
      <c r="CA96" s="138">
        <f t="shared" si="80"/>
        <v>-10.801342913045577</v>
      </c>
      <c r="CB96" s="138">
        <f t="shared" si="81"/>
        <v>-10.498146855625089</v>
      </c>
    </row>
    <row r="97" spans="1:80" x14ac:dyDescent="0.2">
      <c r="A97" s="4" t="s">
        <v>1753</v>
      </c>
      <c r="B97" s="4" t="s">
        <v>1231</v>
      </c>
      <c r="C97" s="4" t="s">
        <v>1570</v>
      </c>
      <c r="D97" t="s">
        <v>537</v>
      </c>
      <c r="E97" t="s">
        <v>1891</v>
      </c>
      <c r="F97">
        <v>84.93</v>
      </c>
      <c r="G97">
        <v>20</v>
      </c>
      <c r="H97">
        <v>1.25</v>
      </c>
      <c r="I97" t="s">
        <v>717</v>
      </c>
      <c r="J97">
        <v>9.9</v>
      </c>
      <c r="K97" s="210">
        <f t="shared" si="73"/>
        <v>0.495</v>
      </c>
      <c r="L97" s="210"/>
      <c r="M97" s="210">
        <f t="shared" si="74"/>
        <v>-0.3053948010664313</v>
      </c>
      <c r="N97">
        <v>1.68</v>
      </c>
      <c r="O97">
        <v>0.22530928172586284</v>
      </c>
      <c r="P97">
        <v>1.97E-11</v>
      </c>
      <c r="Q97">
        <v>-10.705533773838408</v>
      </c>
      <c r="R97">
        <v>3.3095999999999999E-11</v>
      </c>
      <c r="S97">
        <v>-10.480224492112544</v>
      </c>
      <c r="X97" s="3"/>
      <c r="AA97" s="3"/>
      <c r="AB97" s="17"/>
      <c r="AF97" s="3"/>
      <c r="AI97" s="3"/>
      <c r="AJ97" s="17"/>
      <c r="AN97" s="3"/>
      <c r="BT97">
        <f>VLOOKUP(B97,Literatuur!$A:$B,2,FALSE)</f>
        <v>19</v>
      </c>
      <c r="BU97" s="138" t="str">
        <f t="shared" si="75"/>
        <v>Dichloromethane</v>
      </c>
      <c r="BV97" s="138" t="str">
        <f t="shared" si="76"/>
        <v>HDPE</v>
      </c>
      <c r="BW97" s="138">
        <f t="shared" si="76"/>
        <v>9.9</v>
      </c>
      <c r="BX97" s="138">
        <f t="shared" si="77"/>
        <v>20</v>
      </c>
      <c r="BY97" s="137">
        <f t="shared" si="78"/>
        <v>0.495</v>
      </c>
      <c r="BZ97" s="138">
        <f t="shared" si="79"/>
        <v>0.22530928172586284</v>
      </c>
      <c r="CA97" s="138">
        <f t="shared" si="80"/>
        <v>-10.705533773838408</v>
      </c>
      <c r="CB97" s="138">
        <f t="shared" si="81"/>
        <v>-10.480224492112544</v>
      </c>
    </row>
    <row r="98" spans="1:80" x14ac:dyDescent="0.2">
      <c r="A98" s="4" t="s">
        <v>1753</v>
      </c>
      <c r="B98" s="4" t="s">
        <v>1231</v>
      </c>
      <c r="C98" s="4" t="s">
        <v>1570</v>
      </c>
      <c r="D98" t="s">
        <v>537</v>
      </c>
      <c r="E98" t="s">
        <v>1891</v>
      </c>
      <c r="F98">
        <v>84.93</v>
      </c>
      <c r="G98">
        <v>20</v>
      </c>
      <c r="H98">
        <v>1.25</v>
      </c>
      <c r="I98" t="s">
        <v>717</v>
      </c>
      <c r="J98">
        <v>6.6</v>
      </c>
      <c r="K98" s="210">
        <f t="shared" si="73"/>
        <v>0.32999999999999996</v>
      </c>
      <c r="L98" s="210"/>
      <c r="M98" s="210">
        <f t="shared" si="74"/>
        <v>-0.48148606012211259</v>
      </c>
      <c r="N98">
        <v>1.77</v>
      </c>
      <c r="O98">
        <v>0.24797326636180664</v>
      </c>
      <c r="P98">
        <v>1.1699999999999999E-11</v>
      </c>
      <c r="Q98">
        <v>-10.931814138253838</v>
      </c>
      <c r="R98">
        <v>2.0709E-11</v>
      </c>
      <c r="S98">
        <v>-10.683840871892032</v>
      </c>
      <c r="X98" s="3"/>
      <c r="AA98" s="3"/>
      <c r="AB98" s="17"/>
      <c r="AF98" s="3"/>
      <c r="AI98" s="3"/>
      <c r="AJ98" s="17"/>
      <c r="AN98" s="3"/>
      <c r="BT98">
        <f>VLOOKUP(B98,Literatuur!$A:$B,2,FALSE)</f>
        <v>19</v>
      </c>
      <c r="BU98" s="138" t="str">
        <f t="shared" si="75"/>
        <v>Dichloromethane</v>
      </c>
      <c r="BV98" s="138" t="str">
        <f t="shared" si="76"/>
        <v>HDPE</v>
      </c>
      <c r="BW98" s="138">
        <f t="shared" si="76"/>
        <v>6.6</v>
      </c>
      <c r="BX98" s="138">
        <f t="shared" si="77"/>
        <v>20</v>
      </c>
      <c r="BY98" s="137">
        <f t="shared" si="78"/>
        <v>0.32999999999999996</v>
      </c>
      <c r="BZ98" s="138">
        <f t="shared" si="79"/>
        <v>0.24797326636180664</v>
      </c>
      <c r="CA98" s="138">
        <f t="shared" si="80"/>
        <v>-10.931814138253838</v>
      </c>
      <c r="CB98" s="138">
        <f t="shared" si="81"/>
        <v>-10.683840871892032</v>
      </c>
    </row>
    <row r="99" spans="1:80" x14ac:dyDescent="0.2">
      <c r="K99" s="137"/>
      <c r="L99" s="137"/>
      <c r="M99" s="137"/>
      <c r="T99" s="5"/>
      <c r="U99" s="5"/>
      <c r="V99" s="5"/>
      <c r="W99" s="5"/>
      <c r="X99" s="22"/>
      <c r="Y99" s="5"/>
      <c r="Z99" s="5"/>
      <c r="AA99" s="22"/>
      <c r="AB99" s="70"/>
      <c r="AC99" s="5"/>
      <c r="AD99" s="5"/>
      <c r="AE99" s="5"/>
      <c r="AF99" s="22"/>
      <c r="AG99" s="5"/>
      <c r="AH99" s="5"/>
      <c r="AI99" s="22"/>
      <c r="AJ99" s="70"/>
      <c r="AK99" s="5"/>
      <c r="AL99" s="5"/>
      <c r="AM99" s="5"/>
      <c r="AN99" s="22"/>
      <c r="AO99" s="5"/>
      <c r="AP99" s="5"/>
      <c r="AQ99" s="5"/>
      <c r="AR99" s="5"/>
      <c r="AS99" s="5"/>
      <c r="AT99" s="5"/>
      <c r="AU99" s="5"/>
      <c r="AV99" s="5"/>
      <c r="AW99" s="5"/>
      <c r="AX99" s="5"/>
      <c r="BU99" s="138"/>
      <c r="BV99" s="138"/>
      <c r="BW99" s="138"/>
      <c r="BX99" s="138"/>
      <c r="BZ99" s="138"/>
      <c r="CA99" s="138"/>
      <c r="CB99" s="138"/>
    </row>
    <row r="100" spans="1:80" x14ac:dyDescent="0.2">
      <c r="A100" s="1" t="s">
        <v>1580</v>
      </c>
      <c r="K100" s="137"/>
      <c r="L100" s="137"/>
      <c r="M100" s="137"/>
      <c r="T100" s="106"/>
      <c r="U100" s="106"/>
      <c r="V100" s="106"/>
      <c r="W100" s="106"/>
      <c r="X100" s="296"/>
      <c r="Y100" s="106"/>
      <c r="Z100" s="106"/>
      <c r="AA100" s="296"/>
      <c r="AB100" s="295"/>
      <c r="AC100" s="106"/>
      <c r="AD100" s="106"/>
      <c r="AE100" s="106"/>
      <c r="AF100" s="296"/>
      <c r="AG100" s="106"/>
      <c r="AH100" s="106"/>
      <c r="AI100" s="296"/>
      <c r="AJ100" s="295"/>
      <c r="AK100" s="106"/>
      <c r="AL100" s="106"/>
      <c r="AM100" s="106"/>
      <c r="AN100" s="296"/>
      <c r="AO100" s="106"/>
      <c r="AP100" s="106"/>
      <c r="AQ100" s="106"/>
      <c r="AR100" s="106"/>
      <c r="AS100" s="106"/>
      <c r="AT100" s="106"/>
      <c r="AU100" s="106"/>
      <c r="AV100" s="106"/>
      <c r="AW100" s="106"/>
      <c r="AX100" s="106"/>
      <c r="BU100" s="138"/>
      <c r="BV100" s="138"/>
      <c r="BW100" s="138"/>
      <c r="BX100" s="138"/>
      <c r="BZ100" s="138"/>
      <c r="CA100" s="138"/>
      <c r="CB100" s="138"/>
    </row>
    <row r="101" spans="1:80" x14ac:dyDescent="0.2">
      <c r="A101" s="4" t="s">
        <v>1754</v>
      </c>
      <c r="B101" s="4" t="s">
        <v>1817</v>
      </c>
      <c r="C101" s="4" t="s">
        <v>1461</v>
      </c>
      <c r="D101" t="s">
        <v>540</v>
      </c>
      <c r="E101" t="s">
        <v>1891</v>
      </c>
      <c r="F101">
        <v>131.4</v>
      </c>
      <c r="G101">
        <v>1.1648441611748488</v>
      </c>
      <c r="H101">
        <v>2.61</v>
      </c>
      <c r="I101" t="s">
        <v>717</v>
      </c>
      <c r="J101">
        <v>0.1</v>
      </c>
      <c r="K101" s="210">
        <f t="shared" ref="K101:K107" si="82">J101/G101</f>
        <v>8.5848393573215082E-2</v>
      </c>
      <c r="L101" s="210">
        <f>AVERAGE(K101:K103)</f>
        <v>4.5785809905714715E-2</v>
      </c>
      <c r="M101" s="210">
        <f t="shared" ref="M101:M107" si="83">LOG(K101)</f>
        <v>-1.0662678271054606</v>
      </c>
      <c r="N101">
        <v>113</v>
      </c>
      <c r="O101">
        <v>2.0530784434834195</v>
      </c>
      <c r="P101">
        <v>6.6000000000000012E-13</v>
      </c>
      <c r="Q101">
        <v>-12.180456064458131</v>
      </c>
      <c r="R101">
        <v>7.4580000000000015E-11</v>
      </c>
      <c r="S101">
        <v>-10.127377620974711</v>
      </c>
      <c r="T101" s="106">
        <f>SLOPE(O101:O103,$K101:$K103)</f>
        <v>4.7916600304685253E-2</v>
      </c>
      <c r="U101" s="106">
        <f>INTERCEPT(O101:O103,$K101:$K103)</f>
        <v>2.0495977361927946</v>
      </c>
      <c r="V101" s="106">
        <f>RSQ(O101:O103,$K101:$K103)</f>
        <v>0.69262295081967196</v>
      </c>
      <c r="W101" s="106">
        <f>STEYX(O101:O103,$K101:$K103)</f>
        <v>1.7475303918228463E-3</v>
      </c>
      <c r="X101" s="296">
        <f>_xlfn.T.INV.2T(0.05,COUNT($K101:$K103)-1)*W101</f>
        <v>7.5190164106967196E-3</v>
      </c>
      <c r="Y101" s="297">
        <f>SLOPE(O101:O103,$M101:$M103)</f>
        <v>4.1532611558709204E-3</v>
      </c>
      <c r="Z101" s="106">
        <f>INTERCEPT(O101:O103,$M101:$M103)</f>
        <v>2.0580212977416168</v>
      </c>
      <c r="AA101" s="296">
        <f>RSQ(O101:O103,$M101:$M103)</f>
        <v>0.91392447421814116</v>
      </c>
      <c r="AB101" s="295">
        <f>SLOPE(Q101:Q103,$K101:$K103)</f>
        <v>2.7071428033834763</v>
      </c>
      <c r="AC101" s="106">
        <f>INTERCEPT(Q101:Q103,$K101:$K103)</f>
        <v>-12.422473509050899</v>
      </c>
      <c r="AD101" s="106">
        <f>RSQ(Q101:Q103,$K101:$K103)</f>
        <v>0.96891361082508332</v>
      </c>
      <c r="AE101" s="106">
        <f>STEYX(Q101:Q103,$K101:$K103)</f>
        <v>2.6546375794184805E-2</v>
      </c>
      <c r="AF101" s="296">
        <f>_xlfn.T.INV.2T(0.05,COUNT($K101:$K103)-1)*AE101</f>
        <v>0.11421983627580434</v>
      </c>
      <c r="AG101" s="297">
        <f>SLOPE(Q101:Q103,$M101:$M103)</f>
        <v>0.18528909052942216</v>
      </c>
      <c r="AH101" s="106">
        <f>INTERCEPT(Q101:Q103,$M101:$M103)</f>
        <v>-12.020601432439713</v>
      </c>
      <c r="AI101" s="296">
        <f>RSQ(Q101:Q103,$M101:$M103)</f>
        <v>0.79720381384273264</v>
      </c>
      <c r="AJ101" s="295">
        <f>SLOPE(S101:S103,$K101:$K103)</f>
        <v>2.7550594036881617</v>
      </c>
      <c r="AK101" s="106">
        <f>INTERCEPT(S101:S103,$K101:$K103)</f>
        <v>-10.372875772858103</v>
      </c>
      <c r="AL101" s="106">
        <f>RSQ(S101:S103,$K101:$K103)</f>
        <v>0.97367832230634332</v>
      </c>
      <c r="AM101" s="106">
        <f>STEYX(S101:S103,$K101:$K103)</f>
        <v>2.4798845402362012E-2</v>
      </c>
      <c r="AN101" s="296">
        <f>_xlfn.T.INV.2T(0.05,COUNT($K101:$K103)-1)*AM101</f>
        <v>0.10670081986510785</v>
      </c>
      <c r="AO101" s="297">
        <f>SLOPE(S101:S103,$M101:$M103)</f>
        <v>0.18944235168529305</v>
      </c>
      <c r="AP101" s="106">
        <f>INTERCEPT(S101:S103,$M101:$M103)</f>
        <v>-9.9625801346980953</v>
      </c>
      <c r="AQ101" s="106">
        <f>RSQ(S101:S103,$M101:$M103)</f>
        <v>0.80856448549520843</v>
      </c>
      <c r="AR101" s="106"/>
      <c r="AS101" s="106"/>
      <c r="AT101" s="106"/>
      <c r="AU101" s="106"/>
      <c r="AV101" s="297"/>
      <c r="AW101" s="106"/>
      <c r="AX101" s="106"/>
      <c r="BT101">
        <f>VLOOKUP(B101,Literatuur!$A:$B,2,FALSE)</f>
        <v>18</v>
      </c>
      <c r="BU101" s="138" t="str">
        <f t="shared" ref="BU101:BU107" si="84">D101</f>
        <v>Trichloroethylene</v>
      </c>
      <c r="BV101" s="138" t="str">
        <f t="shared" ref="BV101:BW107" si="85">I101</f>
        <v>HDPE</v>
      </c>
      <c r="BW101" s="138">
        <f t="shared" si="85"/>
        <v>0.1</v>
      </c>
      <c r="BX101" s="138">
        <f t="shared" ref="BX101:BX107" si="86">G101</f>
        <v>1.1648441611748488</v>
      </c>
      <c r="BY101" s="137">
        <f t="shared" ref="BY101:BY107" si="87">K101</f>
        <v>8.5848393573215082E-2</v>
      </c>
      <c r="BZ101" s="138">
        <f t="shared" ref="BZ101:BZ107" si="88">IF(ISNUMBER(O101),O101,"")</f>
        <v>2.0530784434834195</v>
      </c>
      <c r="CA101" s="138">
        <f t="shared" ref="CA101:CA107" si="89">IF(ISNUMBER(Q101),Q101,"")</f>
        <v>-12.180456064458131</v>
      </c>
      <c r="CB101" s="138">
        <f t="shared" ref="CB101:CB107" si="90">IF(ISNUMBER(S101),S101,"")</f>
        <v>-10.127377620974711</v>
      </c>
    </row>
    <row r="102" spans="1:80" x14ac:dyDescent="0.2">
      <c r="A102" s="4" t="s">
        <v>1754</v>
      </c>
      <c r="B102" s="4" t="s">
        <v>1817</v>
      </c>
      <c r="C102" s="4" t="s">
        <v>1461</v>
      </c>
      <c r="D102" t="s">
        <v>540</v>
      </c>
      <c r="E102" t="s">
        <v>1891</v>
      </c>
      <c r="F102">
        <v>131.4</v>
      </c>
      <c r="G102">
        <v>1.1648441611748488</v>
      </c>
      <c r="H102">
        <v>2.61</v>
      </c>
      <c r="I102" t="s">
        <v>717</v>
      </c>
      <c r="J102">
        <v>0.05</v>
      </c>
      <c r="K102" s="210">
        <f t="shared" si="82"/>
        <v>4.2924196786607541E-2</v>
      </c>
      <c r="L102" s="210"/>
      <c r="M102" s="210">
        <f t="shared" si="83"/>
        <v>-1.3672978227694419</v>
      </c>
      <c r="N102">
        <v>113</v>
      </c>
      <c r="O102">
        <v>2.0530784434834195</v>
      </c>
      <c r="P102">
        <v>4.7000000000000012E-13</v>
      </c>
      <c r="Q102">
        <v>-12.327902142064282</v>
      </c>
      <c r="R102">
        <v>5.3110000000000011E-11</v>
      </c>
      <c r="S102">
        <v>-10.274823698580862</v>
      </c>
      <c r="X102" s="3"/>
      <c r="AA102" s="3"/>
      <c r="AB102" s="17"/>
      <c r="AF102" s="3"/>
      <c r="AI102" s="3"/>
      <c r="AJ102" s="17"/>
      <c r="AN102" s="3"/>
      <c r="BT102">
        <f>VLOOKUP(B102,Literatuur!$A:$B,2,FALSE)</f>
        <v>18</v>
      </c>
      <c r="BU102" s="138" t="str">
        <f t="shared" si="84"/>
        <v>Trichloroethylene</v>
      </c>
      <c r="BV102" s="138" t="str">
        <f t="shared" si="85"/>
        <v>HDPE</v>
      </c>
      <c r="BW102" s="138">
        <f t="shared" si="85"/>
        <v>0.05</v>
      </c>
      <c r="BX102" s="138">
        <f t="shared" si="86"/>
        <v>1.1648441611748488</v>
      </c>
      <c r="BY102" s="137">
        <f t="shared" si="87"/>
        <v>4.2924196786607541E-2</v>
      </c>
      <c r="BZ102" s="138">
        <f t="shared" si="88"/>
        <v>2.0530784434834195</v>
      </c>
      <c r="CA102" s="138">
        <f t="shared" si="89"/>
        <v>-12.327902142064282</v>
      </c>
      <c r="CB102" s="138">
        <f t="shared" si="90"/>
        <v>-10.274823698580862</v>
      </c>
    </row>
    <row r="103" spans="1:80" x14ac:dyDescent="0.2">
      <c r="A103" s="4" t="s">
        <v>1754</v>
      </c>
      <c r="B103" s="4" t="s">
        <v>1817</v>
      </c>
      <c r="C103" s="4" t="s">
        <v>1461</v>
      </c>
      <c r="D103" t="s">
        <v>540</v>
      </c>
      <c r="E103" t="s">
        <v>1891</v>
      </c>
      <c r="F103">
        <v>131.4</v>
      </c>
      <c r="G103">
        <v>1.1648441611748488</v>
      </c>
      <c r="H103">
        <v>2.61</v>
      </c>
      <c r="I103" t="s">
        <v>717</v>
      </c>
      <c r="J103">
        <v>0.01</v>
      </c>
      <c r="K103" s="210">
        <f t="shared" si="82"/>
        <v>8.5848393573215078E-3</v>
      </c>
      <c r="L103" s="210"/>
      <c r="M103" s="210">
        <f t="shared" si="83"/>
        <v>-2.0662678271054604</v>
      </c>
      <c r="N103">
        <v>112</v>
      </c>
      <c r="O103">
        <v>2.0492180226701815</v>
      </c>
      <c r="P103">
        <v>4.0999999999999997E-13</v>
      </c>
      <c r="Q103">
        <v>-12.387216143280265</v>
      </c>
      <c r="R103">
        <v>4.5919999999999995E-11</v>
      </c>
      <c r="S103">
        <v>-10.337998120610083</v>
      </c>
      <c r="X103" s="3"/>
      <c r="AA103" s="3"/>
      <c r="AB103" s="17"/>
      <c r="AF103" s="3"/>
      <c r="AI103" s="3"/>
      <c r="AJ103" s="17"/>
      <c r="AN103" s="3"/>
      <c r="BT103">
        <f>VLOOKUP(B103,Literatuur!$A:$B,2,FALSE)</f>
        <v>18</v>
      </c>
      <c r="BU103" s="138" t="str">
        <f t="shared" si="84"/>
        <v>Trichloroethylene</v>
      </c>
      <c r="BV103" s="138" t="str">
        <f t="shared" si="85"/>
        <v>HDPE</v>
      </c>
      <c r="BW103" s="138">
        <f t="shared" si="85"/>
        <v>0.01</v>
      </c>
      <c r="BX103" s="138">
        <f t="shared" si="86"/>
        <v>1.1648441611748488</v>
      </c>
      <c r="BY103" s="137">
        <f t="shared" si="87"/>
        <v>8.5848393573215078E-3</v>
      </c>
      <c r="BZ103" s="138">
        <f t="shared" si="88"/>
        <v>2.0492180226701815</v>
      </c>
      <c r="CA103" s="138">
        <f t="shared" si="89"/>
        <v>-12.387216143280265</v>
      </c>
      <c r="CB103" s="138">
        <f t="shared" si="90"/>
        <v>-10.337998120610083</v>
      </c>
    </row>
    <row r="104" spans="1:80" x14ac:dyDescent="0.2">
      <c r="A104" s="4" t="s">
        <v>1755</v>
      </c>
      <c r="B104" s="4" t="s">
        <v>1231</v>
      </c>
      <c r="C104" s="4" t="s">
        <v>1570</v>
      </c>
      <c r="D104" t="s">
        <v>540</v>
      </c>
      <c r="E104" t="s">
        <v>1891</v>
      </c>
      <c r="F104">
        <v>131.4</v>
      </c>
      <c r="G104">
        <v>1.1648441611748488</v>
      </c>
      <c r="H104">
        <v>2.61</v>
      </c>
      <c r="I104" t="s">
        <v>717</v>
      </c>
      <c r="J104">
        <v>1.0065</v>
      </c>
      <c r="K104" s="210">
        <f t="shared" si="82"/>
        <v>0.8640640813144097</v>
      </c>
      <c r="L104" s="210">
        <f>AVERAGE(K104:K107)</f>
        <v>0.42282480044647752</v>
      </c>
      <c r="M104" s="210">
        <f t="shared" si="83"/>
        <v>-6.3454047880787318E-2</v>
      </c>
      <c r="N104">
        <v>52.25</v>
      </c>
      <c r="O104">
        <v>1.7180862947830917</v>
      </c>
      <c r="P104">
        <v>7.5499999999999991E-12</v>
      </c>
      <c r="Q104">
        <v>-11.122053048370812</v>
      </c>
      <c r="R104">
        <v>3.9448749999999998E-10</v>
      </c>
      <c r="S104">
        <v>-9.4039667535877207</v>
      </c>
      <c r="T104" s="106">
        <f>SLOPE(O104:O107,$K104:$K107)</f>
        <v>-0.22405380447029555</v>
      </c>
      <c r="U104" s="106">
        <f>INTERCEPT(O104:O107,$K104:$K107)</f>
        <v>1.847836809996281</v>
      </c>
      <c r="V104" s="106">
        <f>RSQ(O104:O107,$K104:$K107)</f>
        <v>0.48414495599394436</v>
      </c>
      <c r="W104" s="106">
        <f>STEYX(O104:O107,$K104:$K107)</f>
        <v>0.10042061654855892</v>
      </c>
      <c r="X104" s="296">
        <f>_xlfn.T.INV.2T(0.05,COUNT($K104:$K107)-1)*W104</f>
        <v>0.31958322010927342</v>
      </c>
      <c r="Y104" s="297">
        <f>SLOPE(O104:O107,$M104:$M107)</f>
        <v>-0.17973505486860961</v>
      </c>
      <c r="Z104" s="106">
        <f>INTERCEPT(O104:O107,$M104:$M107)</f>
        <v>1.6493474459180817</v>
      </c>
      <c r="AA104" s="296">
        <f>RSQ(O104:O107,$M104:$M107)</f>
        <v>0.82580256975333199</v>
      </c>
      <c r="AB104" s="295">
        <f>SLOPE(Q104:Q107,$K104:$K107)</f>
        <v>0.30505802237453727</v>
      </c>
      <c r="AC104" s="106">
        <f>INTERCEPT(Q104:Q107,$K104:$K107)</f>
        <v>-11.358276816522743</v>
      </c>
      <c r="AD104" s="106">
        <f>RSQ(Q104:Q107,$K104:$K107)</f>
        <v>0.88679347025803568</v>
      </c>
      <c r="AE104" s="106">
        <f>STEYX(Q104:Q107,$K104:$K107)</f>
        <v>4.7326171355347772E-2</v>
      </c>
      <c r="AF104" s="296">
        <f>_xlfn.T.INV.2T(0.05,COUNT($K104:$K107)-1)*AE104</f>
        <v>0.15061299917305024</v>
      </c>
      <c r="AG104" s="297">
        <f>SLOPE(Q104:Q107,$M104:$M107)</f>
        <v>0.18107143569154355</v>
      </c>
      <c r="AH104" s="106">
        <f>INTERCEPT(Q104:Q107,$M104:$M107)</f>
        <v>-11.124765420971535</v>
      </c>
      <c r="AI104" s="296">
        <f>RSQ(Q104:Q107,$M104:$M107)</f>
        <v>0.82812779694508043</v>
      </c>
      <c r="AJ104" s="295">
        <f>SLOPE(S104:S107,$K104:$K107)</f>
        <v>8.100421790424138E-2</v>
      </c>
      <c r="AK104" s="106">
        <f>INTERCEPT(S104:S107,$K104:$K107)</f>
        <v>-9.510440006526462</v>
      </c>
      <c r="AL104" s="106">
        <f>RSQ(S104:S107,$K104:$K107)</f>
        <v>0.15566929272300048</v>
      </c>
      <c r="AM104" s="106">
        <f>STEYX(S104:S107,$K104:$K107)</f>
        <v>8.1913762604122073E-2</v>
      </c>
      <c r="AN104" s="296">
        <f>_xlfn.T.INV.2T(0.05,COUNT($K104:$K107)-1)*AM104</f>
        <v>0.26068615115137517</v>
      </c>
      <c r="AO104" s="297">
        <f>SLOPE(S104:S107,$M104:$M107)</f>
        <v>1.3363808229339775E-3</v>
      </c>
      <c r="AP104" s="106">
        <f>INTERCEPT(S104:S107,$M104:$M107)</f>
        <v>-9.4754179750534533</v>
      </c>
      <c r="AQ104" s="106">
        <f>RSQ(S104:S107,$M104:$M107)</f>
        <v>1.1230214258510641E-4</v>
      </c>
      <c r="AR104" s="106"/>
      <c r="AS104" s="106"/>
      <c r="AT104" s="106"/>
      <c r="AU104" s="106"/>
      <c r="AV104" s="297"/>
      <c r="AW104" s="106"/>
      <c r="AX104" s="106"/>
      <c r="BT104">
        <f>VLOOKUP(B104,Literatuur!$A:$B,2,FALSE)</f>
        <v>19</v>
      </c>
      <c r="BU104" s="138" t="str">
        <f t="shared" si="84"/>
        <v>Trichloroethylene</v>
      </c>
      <c r="BV104" s="138" t="str">
        <f t="shared" si="85"/>
        <v>HDPE</v>
      </c>
      <c r="BW104" s="138">
        <f t="shared" si="85"/>
        <v>1.0065</v>
      </c>
      <c r="BX104" s="138">
        <f t="shared" si="86"/>
        <v>1.1648441611748488</v>
      </c>
      <c r="BY104" s="137">
        <f t="shared" si="87"/>
        <v>0.8640640813144097</v>
      </c>
      <c r="BZ104" s="138">
        <f t="shared" si="88"/>
        <v>1.7180862947830917</v>
      </c>
      <c r="CA104" s="138">
        <f t="shared" si="89"/>
        <v>-11.122053048370812</v>
      </c>
      <c r="CB104" s="138">
        <f t="shared" si="90"/>
        <v>-9.4039667535877207</v>
      </c>
    </row>
    <row r="105" spans="1:80" x14ac:dyDescent="0.2">
      <c r="A105" s="4" t="s">
        <v>1755</v>
      </c>
      <c r="B105" s="4" t="s">
        <v>1231</v>
      </c>
      <c r="C105" s="4" t="s">
        <v>1570</v>
      </c>
      <c r="D105" t="s">
        <v>540</v>
      </c>
      <c r="E105" t="s">
        <v>1891</v>
      </c>
      <c r="F105">
        <v>131.4</v>
      </c>
      <c r="G105">
        <v>1.1648441611748488</v>
      </c>
      <c r="H105">
        <v>2.61</v>
      </c>
      <c r="I105" t="s">
        <v>717</v>
      </c>
      <c r="J105">
        <v>0.61214999999999997</v>
      </c>
      <c r="K105" s="210">
        <f t="shared" si="82"/>
        <v>0.52552094125843607</v>
      </c>
      <c r="L105" s="210"/>
      <c r="M105" s="210">
        <f t="shared" si="83"/>
        <v>-0.27940997327650846</v>
      </c>
      <c r="N105">
        <v>44.48</v>
      </c>
      <c r="O105">
        <v>1.648164778574001</v>
      </c>
      <c r="P105">
        <v>7.2200000000000003E-12</v>
      </c>
      <c r="Q105">
        <v>-11.141462802430361</v>
      </c>
      <c r="R105">
        <v>3.2114560000000002E-10</v>
      </c>
      <c r="S105">
        <v>-9.4932980238563598</v>
      </c>
      <c r="X105" s="3"/>
      <c r="AA105" s="3"/>
      <c r="AB105" s="17"/>
      <c r="AF105" s="3"/>
      <c r="AI105" s="3"/>
      <c r="AJ105" s="17"/>
      <c r="AN105" s="3"/>
      <c r="BT105">
        <f>VLOOKUP(B105,Literatuur!$A:$B,2,FALSE)</f>
        <v>19</v>
      </c>
      <c r="BU105" s="138" t="str">
        <f t="shared" si="84"/>
        <v>Trichloroethylene</v>
      </c>
      <c r="BV105" s="138" t="str">
        <f t="shared" si="85"/>
        <v>HDPE</v>
      </c>
      <c r="BW105" s="138">
        <f t="shared" si="85"/>
        <v>0.61214999999999997</v>
      </c>
      <c r="BX105" s="138">
        <f t="shared" si="86"/>
        <v>1.1648441611748488</v>
      </c>
      <c r="BY105" s="137">
        <f t="shared" si="87"/>
        <v>0.52552094125843607</v>
      </c>
      <c r="BZ105" s="138">
        <f t="shared" si="88"/>
        <v>1.648164778574001</v>
      </c>
      <c r="CA105" s="138">
        <f t="shared" si="89"/>
        <v>-11.141462802430361</v>
      </c>
      <c r="CB105" s="138">
        <f t="shared" si="90"/>
        <v>-9.4932980238563598</v>
      </c>
    </row>
    <row r="106" spans="1:80" x14ac:dyDescent="0.2">
      <c r="A106" s="4" t="s">
        <v>1755</v>
      </c>
      <c r="B106" s="4" t="s">
        <v>1231</v>
      </c>
      <c r="C106" s="4" t="s">
        <v>1570</v>
      </c>
      <c r="D106" t="s">
        <v>540</v>
      </c>
      <c r="E106" t="s">
        <v>1891</v>
      </c>
      <c r="F106">
        <v>131.4</v>
      </c>
      <c r="G106">
        <v>1.1648441611748488</v>
      </c>
      <c r="H106">
        <v>2.61</v>
      </c>
      <c r="I106" t="s">
        <v>717</v>
      </c>
      <c r="J106">
        <v>0.30304999999999993</v>
      </c>
      <c r="K106" s="210">
        <f t="shared" si="82"/>
        <v>0.26016355672362823</v>
      </c>
      <c r="L106" s="210"/>
      <c r="M106" s="210">
        <f t="shared" si="83"/>
        <v>-0.58475353875943181</v>
      </c>
      <c r="N106">
        <v>53.79</v>
      </c>
      <c r="O106">
        <v>1.7307015442818452</v>
      </c>
      <c r="P106">
        <v>4.9999999999999997E-12</v>
      </c>
      <c r="Q106">
        <v>-11.301029995663981</v>
      </c>
      <c r="R106">
        <v>2.6894999999999999E-10</v>
      </c>
      <c r="S106">
        <v>-9.5703284513821352</v>
      </c>
      <c r="X106" s="3"/>
      <c r="AA106" s="3"/>
      <c r="AB106" s="17"/>
      <c r="AF106" s="3"/>
      <c r="AI106" s="3"/>
      <c r="AJ106" s="17"/>
      <c r="AN106" s="3"/>
      <c r="BT106">
        <f>VLOOKUP(B106,Literatuur!$A:$B,2,FALSE)</f>
        <v>19</v>
      </c>
      <c r="BU106" s="138" t="str">
        <f t="shared" si="84"/>
        <v>Trichloroethylene</v>
      </c>
      <c r="BV106" s="138" t="str">
        <f t="shared" si="85"/>
        <v>HDPE</v>
      </c>
      <c r="BW106" s="138">
        <f t="shared" si="85"/>
        <v>0.30304999999999993</v>
      </c>
      <c r="BX106" s="138">
        <f t="shared" si="86"/>
        <v>1.1648441611748488</v>
      </c>
      <c r="BY106" s="137">
        <f t="shared" si="87"/>
        <v>0.26016355672362823</v>
      </c>
      <c r="BZ106" s="138">
        <f t="shared" si="88"/>
        <v>1.7307015442818452</v>
      </c>
      <c r="CA106" s="138">
        <f t="shared" si="89"/>
        <v>-11.301029995663981</v>
      </c>
      <c r="CB106" s="138">
        <f t="shared" si="90"/>
        <v>-9.5703284513821352</v>
      </c>
    </row>
    <row r="107" spans="1:80" x14ac:dyDescent="0.2">
      <c r="A107" s="4" t="s">
        <v>1755</v>
      </c>
      <c r="B107" s="4" t="s">
        <v>1231</v>
      </c>
      <c r="C107" s="4" t="s">
        <v>1570</v>
      </c>
      <c r="D107" t="s">
        <v>540</v>
      </c>
      <c r="E107" t="s">
        <v>1891</v>
      </c>
      <c r="F107">
        <v>131.4</v>
      </c>
      <c r="G107">
        <v>1.1648441611748488</v>
      </c>
      <c r="H107">
        <v>2.61</v>
      </c>
      <c r="I107" t="s">
        <v>717</v>
      </c>
      <c r="J107">
        <v>4.8399999999999999E-2</v>
      </c>
      <c r="K107" s="210">
        <f t="shared" si="82"/>
        <v>4.1550622489436098E-2</v>
      </c>
      <c r="L107" s="210"/>
      <c r="M107" s="210">
        <f t="shared" si="83"/>
        <v>-1.3814224654610481</v>
      </c>
      <c r="N107">
        <v>82.31</v>
      </c>
      <c r="O107">
        <v>1.9154526016884788</v>
      </c>
      <c r="P107">
        <v>4.4400000000000013E-12</v>
      </c>
      <c r="Q107">
        <v>-11.35261702988538</v>
      </c>
      <c r="R107">
        <v>3.6545640000000009E-10</v>
      </c>
      <c r="S107">
        <v>-9.4371644281969012</v>
      </c>
      <c r="X107" s="3"/>
      <c r="AA107" s="3"/>
      <c r="AB107" s="17"/>
      <c r="AF107" s="3"/>
      <c r="AI107" s="3"/>
      <c r="AJ107" s="17"/>
      <c r="AN107" s="3"/>
      <c r="BT107">
        <f>VLOOKUP(B107,Literatuur!$A:$B,2,FALSE)</f>
        <v>19</v>
      </c>
      <c r="BU107" s="138" t="str">
        <f t="shared" si="84"/>
        <v>Trichloroethylene</v>
      </c>
      <c r="BV107" s="138" t="str">
        <f t="shared" si="85"/>
        <v>HDPE</v>
      </c>
      <c r="BW107" s="138">
        <f t="shared" si="85"/>
        <v>4.8399999999999999E-2</v>
      </c>
      <c r="BX107" s="138">
        <f t="shared" si="86"/>
        <v>1.1648441611748488</v>
      </c>
      <c r="BY107" s="137">
        <f t="shared" si="87"/>
        <v>4.1550622489436098E-2</v>
      </c>
      <c r="BZ107" s="138">
        <f t="shared" si="88"/>
        <v>1.9154526016884788</v>
      </c>
      <c r="CA107" s="138">
        <f t="shared" si="89"/>
        <v>-11.35261702988538</v>
      </c>
      <c r="CB107" s="138">
        <f t="shared" si="90"/>
        <v>-9.4371644281969012</v>
      </c>
    </row>
    <row r="108" spans="1:80" x14ac:dyDescent="0.2">
      <c r="K108" s="137"/>
      <c r="L108" s="137"/>
      <c r="M108" s="137"/>
      <c r="T108" s="5"/>
      <c r="U108" s="5"/>
      <c r="V108" s="5"/>
      <c r="W108" s="5"/>
      <c r="X108" s="22"/>
      <c r="Y108" s="5"/>
      <c r="Z108" s="5"/>
      <c r="AA108" s="22"/>
      <c r="AB108" s="70"/>
      <c r="AC108" s="5"/>
      <c r="AD108" s="5"/>
      <c r="AE108" s="5"/>
      <c r="AF108" s="22"/>
      <c r="AG108" s="5"/>
      <c r="AH108" s="5"/>
      <c r="AI108" s="22"/>
      <c r="AJ108" s="70"/>
      <c r="AK108" s="5"/>
      <c r="AL108" s="5"/>
      <c r="AM108" s="5"/>
      <c r="AN108" s="22"/>
      <c r="AO108" s="5"/>
      <c r="AP108" s="5"/>
      <c r="AQ108" s="5"/>
      <c r="AR108" s="5"/>
      <c r="AS108" s="5"/>
      <c r="AT108" s="5"/>
      <c r="AU108" s="5"/>
      <c r="AV108" s="5"/>
      <c r="AW108" s="5"/>
      <c r="AX108" s="5"/>
      <c r="BU108" s="138"/>
      <c r="BV108" s="138"/>
      <c r="BW108" s="138"/>
      <c r="BX108" s="138"/>
      <c r="BZ108" s="138"/>
      <c r="CA108" s="138"/>
      <c r="CB108" s="138"/>
    </row>
    <row r="109" spans="1:80" x14ac:dyDescent="0.2">
      <c r="A109" s="1" t="s">
        <v>1579</v>
      </c>
      <c r="K109" s="137"/>
      <c r="L109" s="137"/>
      <c r="M109" s="137"/>
      <c r="T109" s="106"/>
      <c r="U109" s="106"/>
      <c r="V109" s="106"/>
      <c r="W109" s="106"/>
      <c r="X109" s="296"/>
      <c r="Y109" s="106"/>
      <c r="Z109" s="106"/>
      <c r="AA109" s="296"/>
      <c r="AB109" s="295"/>
      <c r="AC109" s="106"/>
      <c r="AD109" s="106"/>
      <c r="AE109" s="106"/>
      <c r="AF109" s="296"/>
      <c r="AG109" s="106"/>
      <c r="AH109" s="106"/>
      <c r="AI109" s="296"/>
      <c r="AJ109" s="295"/>
      <c r="AK109" s="106"/>
      <c r="AL109" s="106"/>
      <c r="AM109" s="106"/>
      <c r="AN109" s="296"/>
      <c r="AO109" s="106"/>
      <c r="AP109" s="106"/>
      <c r="AQ109" s="106"/>
      <c r="AR109" s="106"/>
      <c r="AS109" s="106"/>
      <c r="AT109" s="106"/>
      <c r="AU109" s="106"/>
      <c r="AV109" s="106"/>
      <c r="AW109" s="106"/>
      <c r="AX109" s="106"/>
      <c r="BU109" s="138"/>
      <c r="BV109" s="138"/>
      <c r="BW109" s="138"/>
      <c r="BX109" s="138"/>
      <c r="BZ109" s="138"/>
      <c r="CA109" s="138"/>
      <c r="CB109" s="138"/>
    </row>
    <row r="110" spans="1:80" x14ac:dyDescent="0.2">
      <c r="A110" s="4" t="s">
        <v>1756</v>
      </c>
      <c r="B110" s="4" t="s">
        <v>1817</v>
      </c>
      <c r="C110" s="4" t="s">
        <v>1461</v>
      </c>
      <c r="D110" t="s">
        <v>762</v>
      </c>
      <c r="E110" t="s">
        <v>1549</v>
      </c>
      <c r="F110">
        <v>106.18999905823263</v>
      </c>
      <c r="G110">
        <v>0.1974065205245514</v>
      </c>
      <c r="H110">
        <v>3.2</v>
      </c>
      <c r="I110" t="s">
        <v>717</v>
      </c>
      <c r="J110">
        <v>0.1</v>
      </c>
      <c r="K110" s="210">
        <f t="shared" ref="K110:K116" si="91">J110/G110</f>
        <v>0.50656887996545696</v>
      </c>
      <c r="L110" s="210">
        <f>AVERAGE(K110:K112)</f>
        <v>0.27017006931491033</v>
      </c>
      <c r="M110" s="210">
        <f t="shared" ref="M110:M116" si="92">LOG(K110)</f>
        <v>-0.29536149372907028</v>
      </c>
      <c r="N110">
        <v>6.3</v>
      </c>
      <c r="O110">
        <v>0.79934054945358168</v>
      </c>
      <c r="P110">
        <v>9.5999999999999995E-13</v>
      </c>
      <c r="Q110">
        <v>-12.017728766960431</v>
      </c>
      <c r="R110">
        <v>6.0479999999999993E-12</v>
      </c>
      <c r="S110">
        <v>-11.218388217506851</v>
      </c>
      <c r="T110" s="106">
        <f>SLOPE(O110:O112,$K110:$K112)</f>
        <v>-2.1961972467091626E-3</v>
      </c>
      <c r="U110" s="106">
        <f>INTERCEPT(O110:O112,$K110:$K112)</f>
        <v>0.80445816527904568</v>
      </c>
      <c r="V110" s="106">
        <f>RSQ(O110:O112,$K110:$K112)</f>
        <v>4.0983606557377121E-3</v>
      </c>
      <c r="W110" s="106">
        <f>STEYX(O110:O112,$K110:$K112)</f>
        <v>1.1059418022949541E-2</v>
      </c>
      <c r="X110" s="296">
        <f>_xlfn.T.INV.2T(0.05,COUNT($K110:$K112)-1)*W110</f>
        <v>4.7584835145884262E-2</v>
      </c>
      <c r="Y110" s="297">
        <f>SLOPE(O110:O112,$M110:$M112)</f>
        <v>3.4202367194930824E-3</v>
      </c>
      <c r="Z110" s="106">
        <f>INTERCEPT(O110:O112,$M110:$M112)</f>
        <v>0.80635830159782684</v>
      </c>
      <c r="AA110" s="296">
        <f>RSQ(O110:O112,$M110:$M112)</f>
        <v>5.0138818404901794E-2</v>
      </c>
      <c r="AB110" s="295">
        <f>SLOPE(Q110:Q112,$K110:$K112)</f>
        <v>0.56797029912659347</v>
      </c>
      <c r="AC110" s="106">
        <f>INTERCEPT(Q110:Q112,$K110:$K112)</f>
        <v>-12.309241273303448</v>
      </c>
      <c r="AD110" s="106">
        <f>RSQ(Q110:Q112,$K110:$K112)</f>
        <v>0.99674607236288637</v>
      </c>
      <c r="AE110" s="106">
        <f>STEYX(Q110:Q112,$K110:$K112)</f>
        <v>1.0483229626863513E-2</v>
      </c>
      <c r="AF110" s="296">
        <f>_xlfn.T.INV.2T(0.05,COUNT($K110:$K112)-1)*AE110</f>
        <v>4.5105696570614744E-2</v>
      </c>
      <c r="AG110" s="297">
        <f>SLOPE(Q110:Q112,$M110:$M112)</f>
        <v>0.23820591792768123</v>
      </c>
      <c r="AH110" s="106">
        <f>INTERCEPT(Q110:Q112,$M110:$M112)</f>
        <v>-11.982131494362518</v>
      </c>
      <c r="AI110" s="296">
        <f>RSQ(Q110:Q112,$M110:$M112)</f>
        <v>0.8843672501143115</v>
      </c>
      <c r="AJ110" s="295">
        <f>SLOPE(S110:S112,$K110:$K112)</f>
        <v>0.56577410187988042</v>
      </c>
      <c r="AK110" s="106">
        <f>INTERCEPT(S110:S112,$K110:$K112)</f>
        <v>-11.504783108024402</v>
      </c>
      <c r="AL110" s="106">
        <f>RSQ(S110:S112,$K110:$K112)</f>
        <v>0.99999006145100777</v>
      </c>
      <c r="AM110" s="106">
        <f>STEYX(S110:S112,$K110:$K112)</f>
        <v>5.7618839608844356E-4</v>
      </c>
      <c r="AN110" s="296">
        <f>_xlfn.T.INV.2T(0.05,COUNT($K110:$K112)-1)*AM110</f>
        <v>2.4791385752799067E-3</v>
      </c>
      <c r="AO110" s="297">
        <f>SLOPE(S110:S112,$M110:$M112)</f>
        <v>0.2416261546471728</v>
      </c>
      <c r="AP110" s="106">
        <f>INTERCEPT(S110:S112,$M110:$M112)</f>
        <v>-11.175773192764694</v>
      </c>
      <c r="AQ110" s="106">
        <f>RSQ(S110:S112,$M110:$M112)</f>
        <v>0.92000823983128699</v>
      </c>
      <c r="AR110" s="106"/>
      <c r="AS110" s="106"/>
      <c r="AT110" s="106"/>
      <c r="AU110" s="106"/>
      <c r="AV110" s="297"/>
      <c r="AW110" s="106"/>
      <c r="AX110" s="106"/>
      <c r="BT110">
        <f>VLOOKUP(B110,Literatuur!$A:$B,2,FALSE)</f>
        <v>18</v>
      </c>
      <c r="BU110" s="138" t="str">
        <f t="shared" ref="BU110:BU116" si="93">D110</f>
        <v>m-Xylene</v>
      </c>
      <c r="BV110" s="138" t="str">
        <f t="shared" ref="BV110:BW116" si="94">I110</f>
        <v>HDPE</v>
      </c>
      <c r="BW110" s="138">
        <f t="shared" si="94"/>
        <v>0.1</v>
      </c>
      <c r="BX110" s="138">
        <f t="shared" ref="BX110:BX116" si="95">G110</f>
        <v>0.1974065205245514</v>
      </c>
      <c r="BY110" s="137">
        <f t="shared" ref="BY110:BY116" si="96">K110</f>
        <v>0.50656887996545696</v>
      </c>
      <c r="BZ110" s="138">
        <f t="shared" ref="BZ110:BZ116" si="97">IF(ISNUMBER(O110),O110,"")</f>
        <v>0.79934054945358168</v>
      </c>
      <c r="CA110" s="138">
        <f t="shared" ref="CA110:CA116" si="98">IF(ISNUMBER(Q110),Q110,"")</f>
        <v>-12.017728766960431</v>
      </c>
      <c r="CB110" s="138">
        <f t="shared" ref="CB110:CB116" si="99">IF(ISNUMBER(S110),S110,"")</f>
        <v>-11.218388217506851</v>
      </c>
    </row>
    <row r="111" spans="1:80" x14ac:dyDescent="0.2">
      <c r="A111" s="4" t="s">
        <v>1756</v>
      </c>
      <c r="B111" s="4" t="s">
        <v>1817</v>
      </c>
      <c r="C111" s="4" t="s">
        <v>1461</v>
      </c>
      <c r="D111" t="s">
        <v>762</v>
      </c>
      <c r="E111" t="s">
        <v>1549</v>
      </c>
      <c r="F111">
        <v>106.18999905823263</v>
      </c>
      <c r="G111">
        <v>0.1974065205245514</v>
      </c>
      <c r="H111">
        <v>3.2</v>
      </c>
      <c r="I111" t="s">
        <v>717</v>
      </c>
      <c r="J111">
        <v>0.05</v>
      </c>
      <c r="K111" s="210">
        <f t="shared" si="91"/>
        <v>0.25328443998272848</v>
      </c>
      <c r="L111" s="210"/>
      <c r="M111" s="210">
        <f t="shared" si="92"/>
        <v>-0.59639148939305153</v>
      </c>
      <c r="N111">
        <v>6.5</v>
      </c>
      <c r="O111">
        <v>0.81291335664285558</v>
      </c>
      <c r="P111">
        <v>6.7000000000000007E-13</v>
      </c>
      <c r="Q111">
        <v>-12.173925197299173</v>
      </c>
      <c r="R111">
        <v>4.3550000000000007E-12</v>
      </c>
      <c r="S111">
        <v>-11.361011840656317</v>
      </c>
      <c r="X111" s="3"/>
      <c r="AA111" s="3"/>
      <c r="AB111" s="17"/>
      <c r="AF111" s="3"/>
      <c r="AI111" s="3"/>
      <c r="AJ111" s="17"/>
      <c r="AN111" s="3"/>
      <c r="BT111">
        <f>VLOOKUP(B111,Literatuur!$A:$B,2,FALSE)</f>
        <v>18</v>
      </c>
      <c r="BU111" s="138" t="str">
        <f t="shared" si="93"/>
        <v>m-Xylene</v>
      </c>
      <c r="BV111" s="138" t="str">
        <f t="shared" si="94"/>
        <v>HDPE</v>
      </c>
      <c r="BW111" s="138">
        <f t="shared" si="94"/>
        <v>0.05</v>
      </c>
      <c r="BX111" s="138">
        <f t="shared" si="95"/>
        <v>0.1974065205245514</v>
      </c>
      <c r="BY111" s="137">
        <f t="shared" si="96"/>
        <v>0.25328443998272848</v>
      </c>
      <c r="BZ111" s="138">
        <f t="shared" si="97"/>
        <v>0.81291335664285558</v>
      </c>
      <c r="CA111" s="138">
        <f t="shared" si="98"/>
        <v>-12.173925197299173</v>
      </c>
      <c r="CB111" s="138">
        <f t="shared" si="99"/>
        <v>-11.361011840656317</v>
      </c>
    </row>
    <row r="112" spans="1:80" x14ac:dyDescent="0.2">
      <c r="A112" s="4" t="s">
        <v>1756</v>
      </c>
      <c r="B112" s="4" t="s">
        <v>1817</v>
      </c>
      <c r="C112" s="4" t="s">
        <v>1461</v>
      </c>
      <c r="D112" t="s">
        <v>762</v>
      </c>
      <c r="E112" t="s">
        <v>1549</v>
      </c>
      <c r="F112">
        <v>106.18999905823263</v>
      </c>
      <c r="G112">
        <v>0.1974065205245514</v>
      </c>
      <c r="H112">
        <v>3.2</v>
      </c>
      <c r="I112" t="s">
        <v>717</v>
      </c>
      <c r="J112">
        <v>0.01</v>
      </c>
      <c r="K112" s="210">
        <f t="shared" si="91"/>
        <v>5.0656887996545698E-2</v>
      </c>
      <c r="L112" s="210"/>
      <c r="M112" s="210">
        <f t="shared" si="92"/>
        <v>-1.2953614937290703</v>
      </c>
      <c r="N112">
        <v>6.3</v>
      </c>
      <c r="O112">
        <v>0.79934054945358168</v>
      </c>
      <c r="P112">
        <v>5.3000000000000006E-13</v>
      </c>
      <c r="Q112">
        <v>-12.275724130399212</v>
      </c>
      <c r="R112">
        <v>3.3390000000000002E-12</v>
      </c>
      <c r="S112">
        <v>-11.47638358094563</v>
      </c>
      <c r="X112" s="3"/>
      <c r="AA112" s="3"/>
      <c r="AB112" s="17"/>
      <c r="AF112" s="3"/>
      <c r="AI112" s="3"/>
      <c r="AJ112" s="17"/>
      <c r="AN112" s="3"/>
      <c r="BT112">
        <f>VLOOKUP(B112,Literatuur!$A:$B,2,FALSE)</f>
        <v>18</v>
      </c>
      <c r="BU112" s="138" t="str">
        <f t="shared" si="93"/>
        <v>m-Xylene</v>
      </c>
      <c r="BV112" s="138" t="str">
        <f t="shared" si="94"/>
        <v>HDPE</v>
      </c>
      <c r="BW112" s="138">
        <f t="shared" si="94"/>
        <v>0.01</v>
      </c>
      <c r="BX112" s="138">
        <f t="shared" si="95"/>
        <v>0.1974065205245514</v>
      </c>
      <c r="BY112" s="137">
        <f t="shared" si="96"/>
        <v>5.0656887996545698E-2</v>
      </c>
      <c r="BZ112" s="138">
        <f t="shared" si="97"/>
        <v>0.79934054945358168</v>
      </c>
      <c r="CA112" s="138">
        <f t="shared" si="98"/>
        <v>-12.275724130399212</v>
      </c>
      <c r="CB112" s="138">
        <f t="shared" si="99"/>
        <v>-11.47638358094563</v>
      </c>
    </row>
    <row r="113" spans="1:80" x14ac:dyDescent="0.2">
      <c r="A113" s="4" t="s">
        <v>1757</v>
      </c>
      <c r="B113" s="4" t="s">
        <v>1231</v>
      </c>
      <c r="C113" s="4" t="s">
        <v>1570</v>
      </c>
      <c r="D113" t="s">
        <v>762</v>
      </c>
      <c r="E113" t="s">
        <v>1549</v>
      </c>
      <c r="F113">
        <v>106.18999905823263</v>
      </c>
      <c r="G113">
        <v>0.1974065205245514</v>
      </c>
      <c r="H113">
        <v>3.2</v>
      </c>
      <c r="I113" t="s">
        <v>717</v>
      </c>
      <c r="J113">
        <v>0.14000000000000001</v>
      </c>
      <c r="K113" s="210">
        <f t="shared" si="91"/>
        <v>0.70919643195163984</v>
      </c>
      <c r="L113" s="210">
        <f>AVERAGE(K113:K116)</f>
        <v>0.37359454897452454</v>
      </c>
      <c r="M113" s="210">
        <f t="shared" si="92"/>
        <v>-0.14923345805083221</v>
      </c>
      <c r="N113">
        <v>201.32</v>
      </c>
      <c r="O113">
        <v>2.3038869217251019</v>
      </c>
      <c r="P113">
        <v>3.3300000000000001E-12</v>
      </c>
      <c r="Q113">
        <v>-11.47755576649368</v>
      </c>
      <c r="R113">
        <v>6.7039560000000003E-10</v>
      </c>
      <c r="S113">
        <v>-9.1736688447685779</v>
      </c>
      <c r="T113" s="106">
        <f>SLOPE(O113:O116,$K113:$K116)</f>
        <v>-0.26824742854038591</v>
      </c>
      <c r="U113" s="106">
        <f>INTERCEPT(O113:O116,$K113:$K116)</f>
        <v>2.453803828231794</v>
      </c>
      <c r="V113" s="106">
        <f>RSQ(O113:O116,$K113:$K116)</f>
        <v>0.62478669616231119</v>
      </c>
      <c r="W113" s="106">
        <f>STEYX(O113:O116,$K113:$K116)</f>
        <v>7.0721852319640122E-2</v>
      </c>
      <c r="X113" s="296">
        <f>_xlfn.T.INV.2T(0.05,COUNT($K113:$K116)-1)*W113</f>
        <v>0.22506849761745881</v>
      </c>
      <c r="Y113" s="297">
        <f>SLOPE(O113:O116,$M113:$M116)</f>
        <v>-0.20726695777998311</v>
      </c>
      <c r="Z113" s="106">
        <f>INTERCEPT(O113:O116,$M113:$M116)</f>
        <v>2.2383817701225053</v>
      </c>
      <c r="AA113" s="296">
        <f>RSQ(O113:O116,$M113:$M116)</f>
        <v>0.87538387370529003</v>
      </c>
      <c r="AB113" s="295">
        <f>SLOPE(Q113:Q116,$K113:$K116)</f>
        <v>7.6001950660513767E-2</v>
      </c>
      <c r="AC113" s="106">
        <f>INTERCEPT(Q113:Q116,$K113:$K116)</f>
        <v>-11.513785601748099</v>
      </c>
      <c r="AD113" s="106">
        <f>RSQ(Q113:Q116,$K113:$K116)</f>
        <v>0.41609336520066759</v>
      </c>
      <c r="AE113" s="106">
        <f>STEYX(Q113:Q116,$K113:$K116)</f>
        <v>3.0629921273023247E-2</v>
      </c>
      <c r="AF113" s="296">
        <f>_xlfn.T.INV.2T(0.05,COUNT($K113:$K116)-1)*AE113</f>
        <v>9.7478079786463723E-2</v>
      </c>
      <c r="AG113" s="297">
        <f>SLOPE(Q113:Q116,$M113:$M116)</f>
        <v>5.1053809445827478E-2</v>
      </c>
      <c r="AH113" s="106">
        <f>INTERCEPT(Q113:Q116,$M113:$M116)</f>
        <v>-11.457014180398206</v>
      </c>
      <c r="AI113" s="296">
        <f>RSQ(Q113:Q116,$M113:$M116)</f>
        <v>0.44063133307046171</v>
      </c>
      <c r="AJ113" s="295">
        <f>SLOPE(S113:S116,$K113:$K116)</f>
        <v>-0.19224547787987084</v>
      </c>
      <c r="AK113" s="106">
        <f>INTERCEPT(S113:S116,$K113:$K116)</f>
        <v>-9.0599817735163057</v>
      </c>
      <c r="AL113" s="106">
        <f>RSQ(S113:S116,$K113:$K116)</f>
        <v>0.46800869352757962</v>
      </c>
      <c r="AM113" s="106">
        <f>STEYX(S113:S116,$K113:$K116)</f>
        <v>6.973106082919564E-2</v>
      </c>
      <c r="AN113" s="296">
        <f>_xlfn.T.INV.2T(0.05,COUNT($K113:$K116)-1)*AM113</f>
        <v>0.22191535689938724</v>
      </c>
      <c r="AO113" s="297">
        <f>SLOPE(S113:S116,$M113:$M116)</f>
        <v>-0.15621314833415484</v>
      </c>
      <c r="AP113" s="106">
        <f>INTERCEPT(S113:S116,$M113:$M116)</f>
        <v>-9.2186324102757009</v>
      </c>
      <c r="AQ113" s="106">
        <f>RSQ(S113:S116,$M113:$M116)</f>
        <v>0.72519463531411954</v>
      </c>
      <c r="AR113" s="106"/>
      <c r="AS113" s="106"/>
      <c r="AT113" s="106"/>
      <c r="AU113" s="106"/>
      <c r="AV113" s="297"/>
      <c r="AW113" s="106"/>
      <c r="AX113" s="106"/>
      <c r="BT113">
        <f>VLOOKUP(B113,Literatuur!$A:$B,2,FALSE)</f>
        <v>19</v>
      </c>
      <c r="BU113" s="138" t="str">
        <f t="shared" si="93"/>
        <v>m-Xylene</v>
      </c>
      <c r="BV113" s="138" t="str">
        <f t="shared" si="94"/>
        <v>HDPE</v>
      </c>
      <c r="BW113" s="138">
        <f t="shared" si="94"/>
        <v>0.14000000000000001</v>
      </c>
      <c r="BX113" s="138">
        <f t="shared" si="95"/>
        <v>0.1974065205245514</v>
      </c>
      <c r="BY113" s="137">
        <f t="shared" si="96"/>
        <v>0.70919643195163984</v>
      </c>
      <c r="BZ113" s="138">
        <f t="shared" si="97"/>
        <v>2.3038869217251019</v>
      </c>
      <c r="CA113" s="138">
        <f t="shared" si="98"/>
        <v>-11.47755576649368</v>
      </c>
      <c r="CB113" s="138">
        <f t="shared" si="99"/>
        <v>-9.1736688447685779</v>
      </c>
    </row>
    <row r="114" spans="1:80" x14ac:dyDescent="0.2">
      <c r="A114" s="4" t="s">
        <v>1757</v>
      </c>
      <c r="B114" s="4" t="s">
        <v>1231</v>
      </c>
      <c r="C114" s="4" t="s">
        <v>1570</v>
      </c>
      <c r="D114" t="s">
        <v>762</v>
      </c>
      <c r="E114" t="s">
        <v>1549</v>
      </c>
      <c r="F114">
        <v>106.18999905823263</v>
      </c>
      <c r="G114">
        <v>0.1974065205245514</v>
      </c>
      <c r="H114">
        <v>3.2</v>
      </c>
      <c r="I114" t="s">
        <v>717</v>
      </c>
      <c r="J114">
        <v>9.4E-2</v>
      </c>
      <c r="K114" s="210">
        <f t="shared" si="91"/>
        <v>0.47617474716752956</v>
      </c>
      <c r="L114" s="210"/>
      <c r="M114" s="210">
        <f t="shared" si="92"/>
        <v>-0.32223364012937161</v>
      </c>
      <c r="N114">
        <v>192.63</v>
      </c>
      <c r="O114">
        <v>2.284723924636157</v>
      </c>
      <c r="P114">
        <v>3.6100000000000002E-12</v>
      </c>
      <c r="Q114">
        <v>-11.442492798094342</v>
      </c>
      <c r="R114">
        <v>6.9539430000000004E-10</v>
      </c>
      <c r="S114">
        <v>-9.1577688734581848</v>
      </c>
      <c r="X114" s="3"/>
      <c r="AA114" s="3"/>
      <c r="AB114" s="17"/>
      <c r="AF114" s="3"/>
      <c r="AI114" s="3"/>
      <c r="AJ114" s="17"/>
      <c r="AN114" s="3"/>
      <c r="BT114">
        <f>VLOOKUP(B114,Literatuur!$A:$B,2,FALSE)</f>
        <v>19</v>
      </c>
      <c r="BU114" s="138" t="str">
        <f t="shared" si="93"/>
        <v>m-Xylene</v>
      </c>
      <c r="BV114" s="138" t="str">
        <f t="shared" si="94"/>
        <v>HDPE</v>
      </c>
      <c r="BW114" s="138">
        <f t="shared" si="94"/>
        <v>9.4E-2</v>
      </c>
      <c r="BX114" s="138">
        <f t="shared" si="95"/>
        <v>0.1974065205245514</v>
      </c>
      <c r="BY114" s="137">
        <f t="shared" si="96"/>
        <v>0.47617474716752956</v>
      </c>
      <c r="BZ114" s="138">
        <f t="shared" si="97"/>
        <v>2.284723924636157</v>
      </c>
      <c r="CA114" s="138">
        <f t="shared" si="98"/>
        <v>-11.442492798094342</v>
      </c>
      <c r="CB114" s="138">
        <f t="shared" si="99"/>
        <v>-9.1577688734581848</v>
      </c>
    </row>
    <row r="115" spans="1:80" x14ac:dyDescent="0.2">
      <c r="A115" s="4" t="s">
        <v>1757</v>
      </c>
      <c r="B115" s="4" t="s">
        <v>1231</v>
      </c>
      <c r="C115" s="4" t="s">
        <v>1570</v>
      </c>
      <c r="D115" t="s">
        <v>762</v>
      </c>
      <c r="E115" t="s">
        <v>1549</v>
      </c>
      <c r="F115">
        <v>106.18999905823263</v>
      </c>
      <c r="G115">
        <v>0.1974065205245514</v>
      </c>
      <c r="H115">
        <v>3.2</v>
      </c>
      <c r="I115" t="s">
        <v>717</v>
      </c>
      <c r="J115">
        <v>4.5999999999999999E-2</v>
      </c>
      <c r="K115" s="210">
        <f t="shared" si="91"/>
        <v>0.2330216847841102</v>
      </c>
      <c r="L115" s="210"/>
      <c r="M115" s="210">
        <f t="shared" si="92"/>
        <v>-0.63260366204749618</v>
      </c>
      <c r="N115">
        <v>215.81</v>
      </c>
      <c r="O115">
        <v>2.334071564740765</v>
      </c>
      <c r="P115">
        <v>3.0600000000000003E-12</v>
      </c>
      <c r="Q115">
        <v>-11.514278573518419</v>
      </c>
      <c r="R115">
        <v>6.6037860000000012E-10</v>
      </c>
      <c r="S115">
        <v>-9.1802070087776553</v>
      </c>
      <c r="X115" s="3"/>
      <c r="AA115" s="3"/>
      <c r="AB115" s="17"/>
      <c r="AF115" s="3"/>
      <c r="AI115" s="3"/>
      <c r="AJ115" s="17"/>
      <c r="AN115" s="3"/>
      <c r="BT115">
        <f>VLOOKUP(B115,Literatuur!$A:$B,2,FALSE)</f>
        <v>19</v>
      </c>
      <c r="BU115" s="138" t="str">
        <f t="shared" si="93"/>
        <v>m-Xylene</v>
      </c>
      <c r="BV115" s="138" t="str">
        <f t="shared" si="94"/>
        <v>HDPE</v>
      </c>
      <c r="BW115" s="138">
        <f t="shared" si="94"/>
        <v>4.5999999999999999E-2</v>
      </c>
      <c r="BX115" s="138">
        <f t="shared" si="95"/>
        <v>0.1974065205245514</v>
      </c>
      <c r="BY115" s="137">
        <f t="shared" si="96"/>
        <v>0.2330216847841102</v>
      </c>
      <c r="BZ115" s="138">
        <f t="shared" si="97"/>
        <v>2.334071564740765</v>
      </c>
      <c r="CA115" s="138">
        <f t="shared" si="98"/>
        <v>-11.514278573518419</v>
      </c>
      <c r="CB115" s="138">
        <f t="shared" si="99"/>
        <v>-9.1802070087776553</v>
      </c>
    </row>
    <row r="116" spans="1:80" x14ac:dyDescent="0.2">
      <c r="A116" s="4" t="s">
        <v>1757</v>
      </c>
      <c r="B116" s="4" t="s">
        <v>1231</v>
      </c>
      <c r="C116" s="4" t="s">
        <v>1570</v>
      </c>
      <c r="D116" t="s">
        <v>762</v>
      </c>
      <c r="E116" t="s">
        <v>1549</v>
      </c>
      <c r="F116">
        <v>106.18999905823263</v>
      </c>
      <c r="G116">
        <v>0.1974065205245514</v>
      </c>
      <c r="H116">
        <v>3.2</v>
      </c>
      <c r="I116" t="s">
        <v>717</v>
      </c>
      <c r="J116">
        <v>1.5000000000000001E-2</v>
      </c>
      <c r="K116" s="210">
        <f t="shared" si="91"/>
        <v>7.598533199481855E-2</v>
      </c>
      <c r="L116" s="210"/>
      <c r="M116" s="210">
        <f t="shared" si="92"/>
        <v>-1.1192702346733889</v>
      </c>
      <c r="N116">
        <v>310.22000000000003</v>
      </c>
      <c r="O116">
        <v>2.4916697935086654</v>
      </c>
      <c r="P116">
        <v>3.1100000000000003E-12</v>
      </c>
      <c r="Q116">
        <v>-11.507239610973162</v>
      </c>
      <c r="R116">
        <v>9.6478420000000015E-10</v>
      </c>
      <c r="S116">
        <v>-9.0155698174644971</v>
      </c>
      <c r="T116" s="13"/>
      <c r="U116" s="13"/>
      <c r="V116" s="13"/>
      <c r="W116" s="13"/>
      <c r="X116" s="15"/>
      <c r="Y116" s="13"/>
      <c r="Z116" s="13"/>
      <c r="AA116" s="15"/>
      <c r="AB116" s="12"/>
      <c r="AC116" s="13"/>
      <c r="AD116" s="13"/>
      <c r="AE116" s="13"/>
      <c r="AF116" s="15"/>
      <c r="AG116" s="13"/>
      <c r="AH116" s="13"/>
      <c r="AI116" s="15"/>
      <c r="AJ116" s="12"/>
      <c r="AK116" s="13"/>
      <c r="AL116" s="13"/>
      <c r="AM116" s="13"/>
      <c r="AN116" s="15"/>
      <c r="AO116" s="13"/>
      <c r="AP116" s="13"/>
      <c r="AQ116" s="13"/>
      <c r="BT116">
        <f>VLOOKUP(B116,Literatuur!$A:$B,2,FALSE)</f>
        <v>19</v>
      </c>
      <c r="BU116" s="138" t="str">
        <f t="shared" si="93"/>
        <v>m-Xylene</v>
      </c>
      <c r="BV116" s="138" t="str">
        <f t="shared" si="94"/>
        <v>HDPE</v>
      </c>
      <c r="BW116" s="138">
        <f t="shared" si="94"/>
        <v>1.5000000000000001E-2</v>
      </c>
      <c r="BX116" s="138">
        <f t="shared" si="95"/>
        <v>0.1974065205245514</v>
      </c>
      <c r="BY116" s="137">
        <f t="shared" si="96"/>
        <v>7.598533199481855E-2</v>
      </c>
      <c r="BZ116" s="138">
        <f t="shared" si="97"/>
        <v>2.4916697935086654</v>
      </c>
      <c r="CA116" s="138">
        <f t="shared" si="98"/>
        <v>-11.507239610973162</v>
      </c>
      <c r="CB116" s="138">
        <f t="shared" si="99"/>
        <v>-9.0155698174644971</v>
      </c>
    </row>
    <row r="117" spans="1:80" x14ac:dyDescent="0.2">
      <c r="BT117" s="4" t="s">
        <v>2088</v>
      </c>
      <c r="BU117" s="138"/>
      <c r="BV117" s="138"/>
      <c r="BW117" s="138"/>
      <c r="BX117" s="138"/>
      <c r="BZ117" s="138"/>
      <c r="CA117" s="138"/>
      <c r="CB117" s="138"/>
    </row>
    <row r="118" spans="1:80" x14ac:dyDescent="0.2">
      <c r="A118" s="1" t="s">
        <v>1747</v>
      </c>
      <c r="BU118" s="138"/>
      <c r="BV118" s="138"/>
      <c r="BW118" s="138"/>
      <c r="BX118" s="138"/>
      <c r="BZ118" s="138"/>
      <c r="CA118" s="138"/>
      <c r="CB118" s="138"/>
    </row>
    <row r="119" spans="1:80" x14ac:dyDescent="0.2">
      <c r="A119" s="348"/>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5"/>
      <c r="Y119" s="224"/>
      <c r="Z119" s="224"/>
      <c r="AA119" s="224"/>
      <c r="AB119" s="107" t="s">
        <v>1582</v>
      </c>
      <c r="AC119" s="110"/>
      <c r="AD119" s="110"/>
      <c r="AE119" s="110"/>
      <c r="AF119" s="111"/>
      <c r="AG119" s="224"/>
      <c r="AH119" s="224"/>
      <c r="AI119" s="224"/>
      <c r="AJ119" s="132" t="s">
        <v>1759</v>
      </c>
      <c r="AK119" s="134"/>
      <c r="AL119" s="135"/>
      <c r="BT119" s="4" t="s">
        <v>2089</v>
      </c>
      <c r="BU119" s="138"/>
      <c r="BV119" s="138"/>
      <c r="BW119" s="138"/>
      <c r="BX119" s="138"/>
      <c r="BZ119" s="138"/>
      <c r="CA119" s="138"/>
      <c r="CB119" s="138"/>
    </row>
    <row r="120" spans="1:80" x14ac:dyDescent="0.2">
      <c r="A120" s="62"/>
      <c r="B120" s="65"/>
      <c r="C120" s="65"/>
      <c r="D120" s="65"/>
      <c r="E120" s="65"/>
      <c r="F120" s="65"/>
      <c r="G120" s="65"/>
      <c r="H120" s="65"/>
      <c r="I120" s="65"/>
      <c r="J120" s="65"/>
      <c r="K120" s="65"/>
      <c r="L120" s="65"/>
      <c r="M120" s="65"/>
      <c r="N120" s="65"/>
      <c r="O120" s="65"/>
      <c r="P120" s="65"/>
      <c r="Q120" s="65"/>
      <c r="R120" s="65"/>
      <c r="S120" s="65"/>
      <c r="T120" s="98" t="s">
        <v>1584</v>
      </c>
      <c r="U120" s="65"/>
      <c r="V120" s="65"/>
      <c r="W120" s="65"/>
      <c r="X120" s="55"/>
      <c r="Y120" s="65"/>
      <c r="Z120" s="65"/>
      <c r="AA120" s="65"/>
      <c r="AB120" s="61" t="s">
        <v>1567</v>
      </c>
      <c r="AC120" s="123"/>
      <c r="AD120" s="123"/>
      <c r="AE120" s="65"/>
      <c r="AF120" s="130"/>
      <c r="AG120" s="65"/>
      <c r="AH120" s="65"/>
      <c r="AI120" s="65"/>
      <c r="AJ120" s="62"/>
      <c r="AK120" s="65"/>
      <c r="AL120" s="55"/>
      <c r="BU120" s="138"/>
      <c r="BV120" s="138"/>
      <c r="BW120" s="112" t="s">
        <v>1584</v>
      </c>
      <c r="BX120" s="138"/>
      <c r="BZ120" s="112" t="s">
        <v>1567</v>
      </c>
      <c r="CA120" s="138"/>
      <c r="CB120" s="138"/>
    </row>
    <row r="121" spans="1:80" x14ac:dyDescent="0.2">
      <c r="A121" s="340"/>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6"/>
      <c r="Y121" s="341"/>
      <c r="Z121" s="341"/>
      <c r="AA121" s="341"/>
      <c r="AB121" s="342" t="s">
        <v>1569</v>
      </c>
      <c r="AC121" s="343" t="s">
        <v>1565</v>
      </c>
      <c r="AD121" s="343" t="s">
        <v>1450</v>
      </c>
      <c r="AE121" s="341"/>
      <c r="AF121" s="346"/>
      <c r="AG121" s="341"/>
      <c r="AH121" s="341"/>
      <c r="AI121" s="341"/>
      <c r="AJ121" s="347" t="s">
        <v>1760</v>
      </c>
      <c r="AK121" s="344" t="s">
        <v>1761</v>
      </c>
      <c r="AL121" s="345" t="s">
        <v>1748</v>
      </c>
      <c r="BU121" s="138"/>
      <c r="BV121" s="138"/>
      <c r="BW121" s="112" t="s">
        <v>2050</v>
      </c>
      <c r="BX121" s="112" t="s">
        <v>2054</v>
      </c>
      <c r="BY121" s="277" t="s">
        <v>1450</v>
      </c>
      <c r="BZ121" s="112" t="s">
        <v>2050</v>
      </c>
      <c r="CA121" s="112" t="s">
        <v>2054</v>
      </c>
      <c r="CB121" s="112" t="s">
        <v>1450</v>
      </c>
    </row>
    <row r="122" spans="1:80" x14ac:dyDescent="0.2">
      <c r="A122" s="17" t="s">
        <v>1575</v>
      </c>
      <c r="D122" s="138" t="s">
        <v>548</v>
      </c>
      <c r="F122" s="138">
        <v>78.106666524406961</v>
      </c>
      <c r="G122" s="138">
        <v>1.9888988259336799</v>
      </c>
      <c r="I122" s="4" t="s">
        <v>717</v>
      </c>
      <c r="T122" s="138">
        <f>T8</f>
        <v>0.33845485373132284</v>
      </c>
      <c r="U122" s="138">
        <f>U8</f>
        <v>1.4083434786439524</v>
      </c>
      <c r="V122" s="138">
        <f>V8</f>
        <v>0.2341163564693951</v>
      </c>
      <c r="X122" s="3"/>
      <c r="AB122" s="267">
        <f>AB8</f>
        <v>1.2092246468642611</v>
      </c>
      <c r="AC122" s="138">
        <f>AC8</f>
        <v>-12.463327759405756</v>
      </c>
      <c r="AD122" s="138">
        <f>AD8</f>
        <v>0.94130096283526465</v>
      </c>
      <c r="AF122" s="3"/>
      <c r="AJ122" s="267">
        <f>AC122</f>
        <v>-12.463327759405756</v>
      </c>
      <c r="AK122" s="138">
        <f>AJ122+AB122</f>
        <v>-11.254103112541495</v>
      </c>
      <c r="AL122" s="3">
        <f>-12.03-F122*0.004</f>
        <v>-12.342426666097627</v>
      </c>
      <c r="BU122" s="138" t="str">
        <f t="shared" ref="BU122:BU138" si="100">D122</f>
        <v>Benzene</v>
      </c>
      <c r="BV122" s="138" t="str">
        <f t="shared" ref="BV122:BV138" si="101">I122</f>
        <v>HDPE</v>
      </c>
      <c r="BW122" s="138">
        <f t="shared" ref="BW122:BY124" si="102">T122</f>
        <v>0.33845485373132284</v>
      </c>
      <c r="BX122" s="138">
        <f t="shared" si="102"/>
        <v>1.4083434786439524</v>
      </c>
      <c r="BY122" s="137">
        <f t="shared" si="102"/>
        <v>0.2341163564693951</v>
      </c>
      <c r="BZ122" s="138">
        <f t="shared" ref="BZ122:CB124" si="103">AB122</f>
        <v>1.2092246468642611</v>
      </c>
      <c r="CA122" s="138">
        <f t="shared" si="103"/>
        <v>-12.463327759405756</v>
      </c>
      <c r="CB122" s="138">
        <f t="shared" si="103"/>
        <v>0.94130096283526465</v>
      </c>
    </row>
    <row r="123" spans="1:80" x14ac:dyDescent="0.2">
      <c r="A123" s="17" t="s">
        <v>1576</v>
      </c>
      <c r="D123" s="138" t="s">
        <v>492</v>
      </c>
      <c r="F123" s="138">
        <v>92.14249284505685</v>
      </c>
      <c r="G123" s="138">
        <v>0.61059105234897149</v>
      </c>
      <c r="I123" s="4" t="s">
        <v>717</v>
      </c>
      <c r="T123" s="138">
        <f>T24</f>
        <v>0.18332265274813428</v>
      </c>
      <c r="U123" s="138">
        <f>U24</f>
        <v>2.0353003487186108</v>
      </c>
      <c r="V123" s="138">
        <f>V24</f>
        <v>0.30125203183330168</v>
      </c>
      <c r="X123" s="3"/>
      <c r="AB123" s="267">
        <f>AB24</f>
        <v>1.2009113084662855</v>
      </c>
      <c r="AC123" s="138">
        <f>AC24</f>
        <v>-12.557355864302934</v>
      </c>
      <c r="AD123" s="138">
        <f>AD24</f>
        <v>0.92292702744021826</v>
      </c>
      <c r="AF123" s="3"/>
      <c r="AJ123" s="267">
        <f t="shared" ref="AJ123:AJ124" si="104">AC123</f>
        <v>-12.557355864302934</v>
      </c>
      <c r="AK123" s="138">
        <f t="shared" ref="AK123:AK124" si="105">AJ123+AB123</f>
        <v>-11.356444555836649</v>
      </c>
      <c r="AL123" s="3">
        <f>-12.03-F123*0.004</f>
        <v>-12.398569971380226</v>
      </c>
      <c r="BU123" s="138" t="str">
        <f t="shared" si="100"/>
        <v>Toluene</v>
      </c>
      <c r="BV123" s="138" t="str">
        <f t="shared" si="101"/>
        <v>HDPE</v>
      </c>
      <c r="BW123" s="138">
        <f t="shared" si="102"/>
        <v>0.18332265274813428</v>
      </c>
      <c r="BX123" s="138">
        <f t="shared" si="102"/>
        <v>2.0353003487186108</v>
      </c>
      <c r="BY123" s="137">
        <f t="shared" si="102"/>
        <v>0.30125203183330168</v>
      </c>
      <c r="BZ123" s="138">
        <f t="shared" si="103"/>
        <v>1.2009113084662855</v>
      </c>
      <c r="CA123" s="138">
        <f t="shared" si="103"/>
        <v>-12.557355864302934</v>
      </c>
      <c r="CB123" s="138">
        <f t="shared" si="103"/>
        <v>0.92292702744021826</v>
      </c>
    </row>
    <row r="124" spans="1:80" x14ac:dyDescent="0.2">
      <c r="A124" s="17" t="s">
        <v>1574</v>
      </c>
      <c r="D124" s="138" t="s">
        <v>492</v>
      </c>
      <c r="F124" s="138">
        <v>92.14249284505685</v>
      </c>
      <c r="G124" s="138">
        <v>0.61059105234897149</v>
      </c>
      <c r="I124" s="4" t="s">
        <v>769</v>
      </c>
      <c r="T124" s="138">
        <f>T52</f>
        <v>0.62046718608409102</v>
      </c>
      <c r="U124" s="138">
        <f>U52</f>
        <v>1.5409707270388968</v>
      </c>
      <c r="V124" s="138">
        <f>V52</f>
        <v>0.69262852996495194</v>
      </c>
      <c r="X124" s="3"/>
      <c r="AB124" s="267">
        <f>AB52</f>
        <v>0.95849943643014424</v>
      </c>
      <c r="AC124" s="138">
        <f>AC52</f>
        <v>-12.42522055695283</v>
      </c>
      <c r="AD124" s="138">
        <f>AD52</f>
        <v>0.95065039088509473</v>
      </c>
      <c r="AF124" s="3"/>
      <c r="AJ124" s="267">
        <f t="shared" si="104"/>
        <v>-12.42522055695283</v>
      </c>
      <c r="AK124" s="138">
        <f t="shared" si="105"/>
        <v>-11.466721120522685</v>
      </c>
      <c r="AL124" s="3">
        <f>-12.03-F124*0.004</f>
        <v>-12.398569971380226</v>
      </c>
      <c r="BU124" s="138" t="str">
        <f t="shared" si="100"/>
        <v>Toluene</v>
      </c>
      <c r="BV124" s="138" t="str">
        <f t="shared" si="101"/>
        <v>LDPE</v>
      </c>
      <c r="BW124" s="138">
        <f t="shared" si="102"/>
        <v>0.62046718608409102</v>
      </c>
      <c r="BX124" s="138">
        <f t="shared" si="102"/>
        <v>1.5409707270388968</v>
      </c>
      <c r="BY124" s="137">
        <f t="shared" si="102"/>
        <v>0.69262852996495194</v>
      </c>
      <c r="BZ124" s="138">
        <f t="shared" si="103"/>
        <v>0.95849943643014424</v>
      </c>
      <c r="CA124" s="138">
        <f t="shared" si="103"/>
        <v>-12.42522055695283</v>
      </c>
      <c r="CB124" s="138">
        <f t="shared" si="103"/>
        <v>0.95065039088509473</v>
      </c>
    </row>
    <row r="125" spans="1:80" outlineLevel="1" x14ac:dyDescent="0.2">
      <c r="A125" s="6" t="s">
        <v>1971</v>
      </c>
      <c r="D125" s="138" t="s">
        <v>539</v>
      </c>
      <c r="F125" s="138"/>
      <c r="G125" s="138"/>
      <c r="I125" s="4" t="s">
        <v>717</v>
      </c>
      <c r="T125" s="138"/>
      <c r="U125" s="138"/>
      <c r="V125" s="138"/>
      <c r="X125" s="3"/>
      <c r="AB125" s="267"/>
      <c r="AC125" s="138"/>
      <c r="AD125" s="138"/>
      <c r="AE125" s="138">
        <f>AE66</f>
        <v>0</v>
      </c>
      <c r="AF125" s="3"/>
      <c r="AJ125" s="17"/>
      <c r="AL125" s="3"/>
      <c r="BU125" s="138" t="str">
        <f t="shared" si="100"/>
        <v>Chloroform</v>
      </c>
      <c r="BV125" s="138" t="str">
        <f t="shared" si="101"/>
        <v>HDPE</v>
      </c>
      <c r="BW125" s="138"/>
      <c r="BX125" s="138"/>
      <c r="BZ125" s="138"/>
      <c r="CA125" s="138"/>
      <c r="CB125" s="138"/>
    </row>
    <row r="126" spans="1:80" x14ac:dyDescent="0.2">
      <c r="A126" s="17" t="s">
        <v>1749</v>
      </c>
      <c r="D126" s="138" t="s">
        <v>694</v>
      </c>
      <c r="F126" s="138">
        <v>106.18666499232586</v>
      </c>
      <c r="G126" s="138">
        <v>0.15944942966652281</v>
      </c>
      <c r="I126" s="4" t="s">
        <v>717</v>
      </c>
      <c r="T126" s="138">
        <f>T68</f>
        <v>0.20757646384670494</v>
      </c>
      <c r="U126" s="138">
        <f>U68</f>
        <v>2.3002465728940051</v>
      </c>
      <c r="V126" s="138">
        <f>V68</f>
        <v>1</v>
      </c>
      <c r="X126" s="3"/>
      <c r="AB126" s="267">
        <f>AB68</f>
        <v>0.44747246764078952</v>
      </c>
      <c r="AC126" s="138">
        <f>AC68</f>
        <v>-12.807879529486002</v>
      </c>
      <c r="AD126" s="138">
        <f>AD68</f>
        <v>1</v>
      </c>
      <c r="AF126" s="3"/>
      <c r="AJ126" s="267">
        <f>AC126</f>
        <v>-12.807879529486002</v>
      </c>
      <c r="AK126" s="138">
        <f>AJ126+AB126</f>
        <v>-12.360407061845212</v>
      </c>
      <c r="AL126" s="3">
        <f>-12.03-F126*0.004</f>
        <v>-12.454746659969302</v>
      </c>
      <c r="BU126" s="138" t="str">
        <f t="shared" si="100"/>
        <v>Ethylbenzene</v>
      </c>
      <c r="BV126" s="138" t="str">
        <f t="shared" si="101"/>
        <v>HDPE</v>
      </c>
      <c r="BW126" s="138">
        <f>T126</f>
        <v>0.20757646384670494</v>
      </c>
      <c r="BX126" s="138">
        <f>U126</f>
        <v>2.3002465728940051</v>
      </c>
      <c r="BY126" s="137">
        <f>V126</f>
        <v>1</v>
      </c>
      <c r="BZ126" s="138">
        <f>AB126</f>
        <v>0.44747246764078952</v>
      </c>
      <c r="CA126" s="138">
        <f>AC126</f>
        <v>-12.807879529486002</v>
      </c>
      <c r="CB126" s="138">
        <f>AD126</f>
        <v>1</v>
      </c>
    </row>
    <row r="127" spans="1:80" outlineLevel="1" x14ac:dyDescent="0.2">
      <c r="A127" s="6" t="s">
        <v>1972</v>
      </c>
      <c r="D127" s="138" t="s">
        <v>537</v>
      </c>
      <c r="F127" s="138"/>
      <c r="G127" s="138"/>
      <c r="I127" s="4" t="s">
        <v>717</v>
      </c>
      <c r="T127" s="138"/>
      <c r="U127" s="138"/>
      <c r="V127" s="138"/>
      <c r="X127" s="3"/>
      <c r="AB127" s="267"/>
      <c r="AC127" s="138"/>
      <c r="AD127" s="138"/>
      <c r="AE127" s="138">
        <f>AE71</f>
        <v>0</v>
      </c>
      <c r="AF127" s="3"/>
      <c r="AJ127" s="17"/>
      <c r="AL127" s="3"/>
      <c r="BU127" s="138" t="str">
        <f t="shared" si="100"/>
        <v>Dichloromethane</v>
      </c>
      <c r="BV127" s="138" t="str">
        <f t="shared" si="101"/>
        <v>HDPE</v>
      </c>
      <c r="BW127" s="138"/>
      <c r="BX127" s="138"/>
      <c r="BZ127" s="138"/>
      <c r="CA127" s="138"/>
      <c r="CB127" s="138"/>
    </row>
    <row r="128" spans="1:80" x14ac:dyDescent="0.2">
      <c r="A128" s="17" t="s">
        <v>1750</v>
      </c>
      <c r="D128" s="138" t="s">
        <v>695</v>
      </c>
      <c r="F128" s="138">
        <v>165.80749949115744</v>
      </c>
      <c r="G128" s="138">
        <v>0.11888250367033854</v>
      </c>
      <c r="I128" s="4" t="s">
        <v>717</v>
      </c>
      <c r="T128" s="138">
        <f>T74</f>
        <v>4.8166276345722944E-3</v>
      </c>
      <c r="U128" s="138">
        <f>U74</f>
        <v>2.43536006264699</v>
      </c>
      <c r="V128" s="138">
        <f>V74</f>
        <v>1</v>
      </c>
      <c r="X128" s="3"/>
      <c r="AB128" s="267">
        <f>AB74</f>
        <v>0.2455057811240545</v>
      </c>
      <c r="AC128" s="138">
        <f>AC74</f>
        <v>-12.739643660569818</v>
      </c>
      <c r="AD128" s="138">
        <f>AD74</f>
        <v>1</v>
      </c>
      <c r="AF128" s="3"/>
      <c r="AJ128" s="267">
        <f>AC128</f>
        <v>-12.739643660569818</v>
      </c>
      <c r="AK128" s="138">
        <f>AJ128+AB128</f>
        <v>-12.494137879445764</v>
      </c>
      <c r="AL128" s="3">
        <f>-12.03-F128*0.004</f>
        <v>-12.693229997964629</v>
      </c>
      <c r="BU128" s="138" t="str">
        <f t="shared" si="100"/>
        <v>Tetrachloroethylene</v>
      </c>
      <c r="BV128" s="138" t="str">
        <f t="shared" si="101"/>
        <v>HDPE</v>
      </c>
      <c r="BW128" s="138">
        <f>T128</f>
        <v>4.8166276345722944E-3</v>
      </c>
      <c r="BX128" s="138">
        <f>U128</f>
        <v>2.43536006264699</v>
      </c>
      <c r="BY128" s="137">
        <f>V128</f>
        <v>1</v>
      </c>
      <c r="BZ128" s="138">
        <f>AB128</f>
        <v>0.2455057811240545</v>
      </c>
      <c r="CA128" s="138">
        <f>AC128</f>
        <v>-12.739643660569818</v>
      </c>
      <c r="CB128" s="138">
        <f>AD128</f>
        <v>1</v>
      </c>
    </row>
    <row r="129" spans="1:80" outlineLevel="1" x14ac:dyDescent="0.2">
      <c r="A129" s="6" t="s">
        <v>1973</v>
      </c>
      <c r="D129" s="138" t="s">
        <v>1303</v>
      </c>
      <c r="F129" s="138"/>
      <c r="G129" s="138"/>
      <c r="I129" s="4" t="s">
        <v>717</v>
      </c>
      <c r="T129" s="138"/>
      <c r="U129" s="138"/>
      <c r="V129" s="138"/>
      <c r="X129" s="3"/>
      <c r="AB129" s="267"/>
      <c r="AC129" s="138"/>
      <c r="AD129" s="138"/>
      <c r="AE129" s="138">
        <f>AE77</f>
        <v>0</v>
      </c>
      <c r="AF129" s="3"/>
      <c r="AJ129" s="17"/>
      <c r="AL129" s="3"/>
      <c r="BU129" s="138" t="str">
        <f t="shared" si="100"/>
        <v>1,1,1-Trichloroethane</v>
      </c>
      <c r="BV129" s="138" t="str">
        <f t="shared" si="101"/>
        <v>HDPE</v>
      </c>
      <c r="BW129" s="138"/>
      <c r="BX129" s="138"/>
      <c r="BZ129" s="138"/>
      <c r="CA129" s="138"/>
      <c r="CB129" s="138"/>
    </row>
    <row r="130" spans="1:80" outlineLevel="1" x14ac:dyDescent="0.2">
      <c r="A130" s="6" t="s">
        <v>1974</v>
      </c>
      <c r="D130" s="138" t="s">
        <v>540</v>
      </c>
      <c r="F130" s="138"/>
      <c r="G130" s="138"/>
      <c r="I130" s="4" t="s">
        <v>717</v>
      </c>
      <c r="T130" s="138"/>
      <c r="U130" s="138"/>
      <c r="V130" s="138"/>
      <c r="X130" s="3"/>
      <c r="AB130" s="267"/>
      <c r="AC130" s="138"/>
      <c r="AD130" s="138"/>
      <c r="AE130" s="138">
        <f>AE80</f>
        <v>0</v>
      </c>
      <c r="AF130" s="3"/>
      <c r="AJ130" s="17"/>
      <c r="AL130" s="3"/>
      <c r="BU130" s="138" t="str">
        <f t="shared" si="100"/>
        <v>Trichloroethylene</v>
      </c>
      <c r="BV130" s="138" t="str">
        <f t="shared" si="101"/>
        <v>HDPE</v>
      </c>
      <c r="BW130" s="138"/>
      <c r="BX130" s="138"/>
      <c r="BZ130" s="138"/>
      <c r="CA130" s="138"/>
      <c r="CB130" s="138"/>
    </row>
    <row r="131" spans="1:80" x14ac:dyDescent="0.2">
      <c r="A131" s="17" t="s">
        <v>1751</v>
      </c>
      <c r="D131" s="138" t="s">
        <v>872</v>
      </c>
      <c r="F131" s="138">
        <v>106.18666499232586</v>
      </c>
      <c r="G131" s="138">
        <v>0.21893359574593291</v>
      </c>
      <c r="I131" s="4" t="s">
        <v>717</v>
      </c>
      <c r="T131" s="138">
        <f>T84</f>
        <v>-7.1302084111033552E-3</v>
      </c>
      <c r="U131" s="138">
        <f>U84</f>
        <v>2.6433106792040548</v>
      </c>
      <c r="V131" s="138">
        <f>V84</f>
        <v>1</v>
      </c>
      <c r="X131" s="3"/>
      <c r="AB131" s="267">
        <f>AB84</f>
        <v>0.70395278662318939</v>
      </c>
      <c r="AC131" s="138">
        <f>AC84</f>
        <v>-13.063858548853073</v>
      </c>
      <c r="AD131" s="138">
        <f>AD84</f>
        <v>1.0000000000000004</v>
      </c>
      <c r="AF131" s="3"/>
      <c r="AJ131" s="267">
        <f t="shared" ref="AJ131:AJ132" si="106">AC131</f>
        <v>-13.063858548853073</v>
      </c>
      <c r="AK131" s="138">
        <f t="shared" ref="AK131:AK132" si="107">AJ131+AB131</f>
        <v>-12.359905762229884</v>
      </c>
      <c r="AL131" s="3">
        <f>-12.03-F131*0.004</f>
        <v>-12.454746659969302</v>
      </c>
      <c r="BU131" s="138" t="str">
        <f t="shared" si="100"/>
        <v>o-Xylene</v>
      </c>
      <c r="BV131" s="138" t="str">
        <f t="shared" si="101"/>
        <v>HDPE</v>
      </c>
      <c r="BW131" s="138">
        <f t="shared" ref="BW131:BY132" si="108">T131</f>
        <v>-7.1302084111033552E-3</v>
      </c>
      <c r="BX131" s="138">
        <f t="shared" si="108"/>
        <v>2.6433106792040548</v>
      </c>
      <c r="BY131" s="137">
        <f t="shared" si="108"/>
        <v>1</v>
      </c>
      <c r="BZ131" s="138">
        <f t="shared" ref="BZ131:CB132" si="109">AB131</f>
        <v>0.70395278662318939</v>
      </c>
      <c r="CA131" s="138">
        <f t="shared" si="109"/>
        <v>-13.063858548853073</v>
      </c>
      <c r="CB131" s="138">
        <f t="shared" si="109"/>
        <v>1.0000000000000004</v>
      </c>
    </row>
    <row r="132" spans="1:80" x14ac:dyDescent="0.2">
      <c r="A132" s="17" t="s">
        <v>1752</v>
      </c>
      <c r="D132" s="138" t="s">
        <v>493</v>
      </c>
      <c r="F132" s="138">
        <v>106.18666499232586</v>
      </c>
      <c r="G132" s="138">
        <v>0.21093846155625409</v>
      </c>
      <c r="I132" s="4" t="s">
        <v>717</v>
      </c>
      <c r="T132" s="138">
        <f>T87</f>
        <v>0.12887072052465254</v>
      </c>
      <c r="U132" s="138">
        <f>U87</f>
        <v>2.52254679193133</v>
      </c>
      <c r="V132" s="138">
        <f>V87</f>
        <v>1</v>
      </c>
      <c r="X132" s="3"/>
      <c r="AB132" s="267">
        <f>AB87</f>
        <v>0.62741077321581762</v>
      </c>
      <c r="AC132" s="138">
        <f>AC87</f>
        <v>-12.867685545506953</v>
      </c>
      <c r="AD132" s="138">
        <f>AD87</f>
        <v>1</v>
      </c>
      <c r="AF132" s="3"/>
      <c r="AJ132" s="267">
        <f t="shared" si="106"/>
        <v>-12.867685545506953</v>
      </c>
      <c r="AK132" s="138">
        <f t="shared" si="107"/>
        <v>-12.240274772291135</v>
      </c>
      <c r="AL132" s="3">
        <f>-12.03-F132*0.004</f>
        <v>-12.454746659969302</v>
      </c>
      <c r="BU132" s="138" t="str">
        <f t="shared" si="100"/>
        <v>p-Xylene</v>
      </c>
      <c r="BV132" s="138" t="str">
        <f t="shared" si="101"/>
        <v>HDPE</v>
      </c>
      <c r="BW132" s="138">
        <f t="shared" si="108"/>
        <v>0.12887072052465254</v>
      </c>
      <c r="BX132" s="138">
        <f t="shared" si="108"/>
        <v>2.52254679193133</v>
      </c>
      <c r="BY132" s="137">
        <f t="shared" si="108"/>
        <v>1</v>
      </c>
      <c r="BZ132" s="138">
        <f t="shared" si="109"/>
        <v>0.62741077321581762</v>
      </c>
      <c r="CA132" s="138">
        <f t="shared" si="109"/>
        <v>-12.867685545506953</v>
      </c>
      <c r="CB132" s="138">
        <f t="shared" si="109"/>
        <v>1</v>
      </c>
    </row>
    <row r="133" spans="1:80" outlineLevel="1" x14ac:dyDescent="0.2">
      <c r="A133" s="17" t="s">
        <v>1975</v>
      </c>
      <c r="D133" s="138" t="s">
        <v>537</v>
      </c>
      <c r="F133" s="138"/>
      <c r="G133" s="138"/>
      <c r="I133" s="4" t="s">
        <v>717</v>
      </c>
      <c r="T133" s="138"/>
      <c r="U133" s="138"/>
      <c r="V133" s="138"/>
      <c r="X133" s="3"/>
      <c r="AB133" s="267"/>
      <c r="AC133" s="138"/>
      <c r="AD133" s="138"/>
      <c r="AE133" s="138">
        <f>AE93</f>
        <v>0</v>
      </c>
      <c r="AF133" s="3"/>
      <c r="AJ133" s="17"/>
      <c r="AL133" s="3"/>
      <c r="BU133" s="138" t="str">
        <f t="shared" si="100"/>
        <v>Dichloromethane</v>
      </c>
      <c r="BV133" s="138" t="str">
        <f t="shared" si="101"/>
        <v>HDPE</v>
      </c>
      <c r="BW133" s="138"/>
      <c r="BX133" s="138"/>
      <c r="BZ133" s="138"/>
      <c r="CA133" s="138"/>
      <c r="CB133" s="138"/>
    </row>
    <row r="134" spans="1:80" x14ac:dyDescent="0.2">
      <c r="A134" s="17" t="s">
        <v>1753</v>
      </c>
      <c r="D134" s="138" t="s">
        <v>537</v>
      </c>
      <c r="F134" s="138">
        <v>84.93</v>
      </c>
      <c r="G134" s="138">
        <v>20</v>
      </c>
      <c r="I134" s="4" t="s">
        <v>717</v>
      </c>
      <c r="T134" s="138">
        <f>T95</f>
        <v>0.21778277198788129</v>
      </c>
      <c r="U134" s="138">
        <f>U95</f>
        <v>0.15289401326354798</v>
      </c>
      <c r="V134" s="138">
        <f>V95</f>
        <v>0.85617826834915689</v>
      </c>
      <c r="X134" s="3"/>
      <c r="AB134" s="267">
        <f>AB95</f>
        <v>0.35977624091733362</v>
      </c>
      <c r="AC134" s="138">
        <f>AC95</f>
        <v>-10.992305851270682</v>
      </c>
      <c r="AD134" s="138">
        <f>AD95</f>
        <v>0.63555436379907959</v>
      </c>
      <c r="AF134" s="3"/>
      <c r="AJ134" s="267">
        <f t="shared" ref="AJ134:AJ138" si="110">AC134</f>
        <v>-10.992305851270682</v>
      </c>
      <c r="AK134" s="138">
        <f t="shared" ref="AK134:AK138" si="111">AJ134+AB134</f>
        <v>-10.632529610353348</v>
      </c>
      <c r="AL134" s="3">
        <f t="shared" ref="AL134:AL138" si="112">-12.03-F134*0.004</f>
        <v>-12.369719999999999</v>
      </c>
      <c r="BU134" s="138" t="str">
        <f t="shared" si="100"/>
        <v>Dichloromethane</v>
      </c>
      <c r="BV134" s="138" t="str">
        <f t="shared" si="101"/>
        <v>HDPE</v>
      </c>
      <c r="BW134" s="138">
        <f t="shared" ref="BW134:BY138" si="113">T134</f>
        <v>0.21778277198788129</v>
      </c>
      <c r="BX134" s="138">
        <f t="shared" si="113"/>
        <v>0.15289401326354798</v>
      </c>
      <c r="BY134" s="137">
        <f t="shared" si="113"/>
        <v>0.85617826834915689</v>
      </c>
      <c r="BZ134" s="138">
        <f t="shared" ref="BZ134:CB138" si="114">AB134</f>
        <v>0.35977624091733362</v>
      </c>
      <c r="CA134" s="138">
        <f t="shared" si="114"/>
        <v>-10.992305851270682</v>
      </c>
      <c r="CB134" s="138">
        <f t="shared" si="114"/>
        <v>0.63555436379907959</v>
      </c>
    </row>
    <row r="135" spans="1:80" x14ac:dyDescent="0.2">
      <c r="A135" s="17" t="s">
        <v>1754</v>
      </c>
      <c r="D135" s="138" t="s">
        <v>540</v>
      </c>
      <c r="F135" s="138">
        <v>131.4</v>
      </c>
      <c r="G135" s="138">
        <v>1.1648441611748488</v>
      </c>
      <c r="I135" s="4" t="s">
        <v>717</v>
      </c>
      <c r="T135" s="138">
        <f>T101</f>
        <v>4.7916600304685253E-2</v>
      </c>
      <c r="U135" s="138">
        <f>U101</f>
        <v>2.0495977361927946</v>
      </c>
      <c r="V135" s="138">
        <f>V101</f>
        <v>0.69262295081967196</v>
      </c>
      <c r="X135" s="3"/>
      <c r="AB135" s="267">
        <f>AB101</f>
        <v>2.7071428033834763</v>
      </c>
      <c r="AC135" s="138">
        <f>AC101</f>
        <v>-12.422473509050899</v>
      </c>
      <c r="AD135" s="138">
        <f>AD101</f>
        <v>0.96891361082508332</v>
      </c>
      <c r="AF135" s="3"/>
      <c r="AJ135" s="267">
        <f t="shared" si="110"/>
        <v>-12.422473509050899</v>
      </c>
      <c r="AK135" s="138">
        <f t="shared" si="111"/>
        <v>-9.715330705667423</v>
      </c>
      <c r="AL135" s="3">
        <f t="shared" si="112"/>
        <v>-12.5556</v>
      </c>
      <c r="BU135" s="138" t="str">
        <f t="shared" si="100"/>
        <v>Trichloroethylene</v>
      </c>
      <c r="BV135" s="138" t="str">
        <f t="shared" si="101"/>
        <v>HDPE</v>
      </c>
      <c r="BW135" s="138">
        <f t="shared" si="113"/>
        <v>4.7916600304685253E-2</v>
      </c>
      <c r="BX135" s="138">
        <f t="shared" si="113"/>
        <v>2.0495977361927946</v>
      </c>
      <c r="BY135" s="137">
        <f t="shared" si="113"/>
        <v>0.69262295081967196</v>
      </c>
      <c r="BZ135" s="138">
        <f t="shared" si="114"/>
        <v>2.7071428033834763</v>
      </c>
      <c r="CA135" s="138">
        <f t="shared" si="114"/>
        <v>-12.422473509050899</v>
      </c>
      <c r="CB135" s="138">
        <f t="shared" si="114"/>
        <v>0.96891361082508332</v>
      </c>
    </row>
    <row r="136" spans="1:80" x14ac:dyDescent="0.2">
      <c r="A136" s="17" t="s">
        <v>1755</v>
      </c>
      <c r="D136" s="138" t="s">
        <v>540</v>
      </c>
      <c r="F136" s="138">
        <v>131.4</v>
      </c>
      <c r="G136" s="138">
        <v>1.1648441611748488</v>
      </c>
      <c r="I136" s="4" t="s">
        <v>717</v>
      </c>
      <c r="T136" s="138">
        <f>T104</f>
        <v>-0.22405380447029555</v>
      </c>
      <c r="U136" s="138">
        <f>U104</f>
        <v>1.847836809996281</v>
      </c>
      <c r="V136" s="138">
        <f>V104</f>
        <v>0.48414495599394436</v>
      </c>
      <c r="X136" s="3"/>
      <c r="AB136" s="267">
        <f>AB104</f>
        <v>0.30505802237453727</v>
      </c>
      <c r="AC136" s="138">
        <f>AC104</f>
        <v>-11.358276816522743</v>
      </c>
      <c r="AD136" s="138">
        <f>AD104</f>
        <v>0.88679347025803568</v>
      </c>
      <c r="AF136" s="3"/>
      <c r="AJ136" s="267">
        <f t="shared" si="110"/>
        <v>-11.358276816522743</v>
      </c>
      <c r="AK136" s="138">
        <f t="shared" si="111"/>
        <v>-11.053218794148206</v>
      </c>
      <c r="AL136" s="3">
        <f t="shared" si="112"/>
        <v>-12.5556</v>
      </c>
      <c r="BU136" s="138" t="str">
        <f t="shared" si="100"/>
        <v>Trichloroethylene</v>
      </c>
      <c r="BV136" s="138" t="str">
        <f t="shared" si="101"/>
        <v>HDPE</v>
      </c>
      <c r="BW136" s="138">
        <f t="shared" si="113"/>
        <v>-0.22405380447029555</v>
      </c>
      <c r="BX136" s="138">
        <f t="shared" si="113"/>
        <v>1.847836809996281</v>
      </c>
      <c r="BY136" s="137">
        <f t="shared" si="113"/>
        <v>0.48414495599394436</v>
      </c>
      <c r="BZ136" s="138">
        <f t="shared" si="114"/>
        <v>0.30505802237453727</v>
      </c>
      <c r="CA136" s="138">
        <f t="shared" si="114"/>
        <v>-11.358276816522743</v>
      </c>
      <c r="CB136" s="138">
        <f t="shared" si="114"/>
        <v>0.88679347025803568</v>
      </c>
    </row>
    <row r="137" spans="1:80" x14ac:dyDescent="0.2">
      <c r="A137" s="17" t="s">
        <v>1756</v>
      </c>
      <c r="D137" s="138" t="s">
        <v>762</v>
      </c>
      <c r="F137" s="138">
        <v>106.18999905823263</v>
      </c>
      <c r="G137" s="138">
        <v>0.1974065205245514</v>
      </c>
      <c r="I137" s="4" t="s">
        <v>717</v>
      </c>
      <c r="T137" s="138">
        <f>T110</f>
        <v>-2.1961972467091626E-3</v>
      </c>
      <c r="U137" s="138">
        <f>U110</f>
        <v>0.80445816527904568</v>
      </c>
      <c r="V137" s="138">
        <f>V110</f>
        <v>4.0983606557377121E-3</v>
      </c>
      <c r="X137" s="3"/>
      <c r="AB137" s="267">
        <f>AB110</f>
        <v>0.56797029912659347</v>
      </c>
      <c r="AC137" s="138">
        <f>AC110</f>
        <v>-12.309241273303448</v>
      </c>
      <c r="AD137" s="138">
        <f>AD110</f>
        <v>0.99674607236288637</v>
      </c>
      <c r="AF137" s="3"/>
      <c r="AJ137" s="267">
        <f t="shared" si="110"/>
        <v>-12.309241273303448</v>
      </c>
      <c r="AK137" s="138">
        <f t="shared" si="111"/>
        <v>-11.741270974176855</v>
      </c>
      <c r="AL137" s="3">
        <f t="shared" si="112"/>
        <v>-12.45475999623293</v>
      </c>
      <c r="BU137" s="138" t="str">
        <f t="shared" si="100"/>
        <v>m-Xylene</v>
      </c>
      <c r="BV137" s="138" t="str">
        <f t="shared" si="101"/>
        <v>HDPE</v>
      </c>
      <c r="BW137" s="138">
        <f t="shared" si="113"/>
        <v>-2.1961972467091626E-3</v>
      </c>
      <c r="BX137" s="138">
        <f t="shared" si="113"/>
        <v>0.80445816527904568</v>
      </c>
      <c r="BY137" s="137">
        <f t="shared" si="113"/>
        <v>4.0983606557377121E-3</v>
      </c>
      <c r="BZ137" s="138">
        <f t="shared" si="114"/>
        <v>0.56797029912659347</v>
      </c>
      <c r="CA137" s="138">
        <f t="shared" si="114"/>
        <v>-12.309241273303448</v>
      </c>
      <c r="CB137" s="138">
        <f t="shared" si="114"/>
        <v>0.99674607236288637</v>
      </c>
    </row>
    <row r="138" spans="1:80" x14ac:dyDescent="0.2">
      <c r="A138" s="12" t="s">
        <v>1757</v>
      </c>
      <c r="B138" s="13"/>
      <c r="C138" s="13"/>
      <c r="D138" s="335" t="s">
        <v>762</v>
      </c>
      <c r="E138" s="13"/>
      <c r="F138" s="335">
        <v>106.18999905823263</v>
      </c>
      <c r="G138" s="335">
        <v>0.1974065205245514</v>
      </c>
      <c r="H138" s="13"/>
      <c r="I138" s="4" t="s">
        <v>717</v>
      </c>
      <c r="J138" s="13"/>
      <c r="K138" s="13"/>
      <c r="L138" s="13"/>
      <c r="M138" s="13"/>
      <c r="N138" s="13"/>
      <c r="O138" s="13"/>
      <c r="P138" s="13"/>
      <c r="Q138" s="13"/>
      <c r="R138" s="13"/>
      <c r="S138" s="13"/>
      <c r="T138" s="335">
        <f>T113</f>
        <v>-0.26824742854038591</v>
      </c>
      <c r="U138" s="335">
        <f>U113</f>
        <v>2.453803828231794</v>
      </c>
      <c r="V138" s="335">
        <f>V113</f>
        <v>0.62478669616231119</v>
      </c>
      <c r="W138" s="13"/>
      <c r="X138" s="15"/>
      <c r="AB138" s="334">
        <f>AB113</f>
        <v>7.6001950660513767E-2</v>
      </c>
      <c r="AC138" s="335">
        <f>AC113</f>
        <v>-11.513785601748099</v>
      </c>
      <c r="AD138" s="335">
        <f>AD113</f>
        <v>0.41609336520066759</v>
      </c>
      <c r="AE138" s="13"/>
      <c r="AF138" s="15"/>
      <c r="AJ138" s="334">
        <f t="shared" si="110"/>
        <v>-11.513785601748099</v>
      </c>
      <c r="AK138" s="335">
        <f t="shared" si="111"/>
        <v>-11.437783651087585</v>
      </c>
      <c r="AL138" s="15">
        <f t="shared" si="112"/>
        <v>-12.45475999623293</v>
      </c>
      <c r="BU138" s="138" t="str">
        <f t="shared" si="100"/>
        <v>m-Xylene</v>
      </c>
      <c r="BV138" s="138" t="str">
        <f t="shared" si="101"/>
        <v>HDPE</v>
      </c>
      <c r="BW138" s="138">
        <f t="shared" si="113"/>
        <v>-0.26824742854038591</v>
      </c>
      <c r="BX138" s="138">
        <f t="shared" si="113"/>
        <v>2.453803828231794</v>
      </c>
      <c r="BY138" s="137">
        <f t="shared" si="113"/>
        <v>0.62478669616231119</v>
      </c>
      <c r="BZ138" s="138">
        <f t="shared" si="114"/>
        <v>7.6001950660513767E-2</v>
      </c>
      <c r="CA138" s="138">
        <f t="shared" si="114"/>
        <v>-11.513785601748099</v>
      </c>
      <c r="CB138" s="138">
        <f t="shared" si="114"/>
        <v>0.41609336520066759</v>
      </c>
    </row>
    <row r="139" spans="1:80" x14ac:dyDescent="0.2">
      <c r="D139" s="138"/>
      <c r="F139" s="138"/>
      <c r="G139" s="138"/>
      <c r="T139" s="138"/>
      <c r="U139" s="138"/>
      <c r="V139" s="138"/>
      <c r="AB139" s="138"/>
      <c r="AC139" s="138"/>
      <c r="AD139" s="138"/>
      <c r="AJ139" s="138"/>
      <c r="AK139" s="138"/>
      <c r="BU139" s="138"/>
      <c r="BV139" s="138"/>
      <c r="BW139" s="138"/>
      <c r="BX139" s="138"/>
      <c r="BZ139" s="138"/>
      <c r="CA139" s="138"/>
      <c r="CB139" s="138"/>
    </row>
    <row r="140" spans="1:80" x14ac:dyDescent="0.2">
      <c r="S140" s="4" t="s">
        <v>784</v>
      </c>
      <c r="T140" s="138">
        <f>AVERAGE(T122:T138)</f>
        <v>0.10396501984946256</v>
      </c>
      <c r="U140" s="138">
        <f>AVERAGE(U122:U138)</f>
        <v>1.8495557678367753</v>
      </c>
      <c r="V140" s="138">
        <f>AVERAGE(V122:V138)</f>
        <v>0.65748567918737255</v>
      </c>
      <c r="AB140" s="138">
        <f>AVERAGE(AB122:AB138)</f>
        <v>0.78407720973558293</v>
      </c>
      <c r="AC140" s="138">
        <f>AVERAGE(AC122:AC138)</f>
        <v>-12.293421209747772</v>
      </c>
      <c r="AD140" s="138">
        <f>AVERAGE(AD122:AD138)</f>
        <v>0.89324827196719436</v>
      </c>
      <c r="BT140" s="4"/>
      <c r="BU140" s="112" t="s">
        <v>784</v>
      </c>
      <c r="BV140" s="138"/>
      <c r="BW140" s="138">
        <f>T140</f>
        <v>0.10396501984946256</v>
      </c>
      <c r="BX140" s="138">
        <f>U140</f>
        <v>1.8495557678367753</v>
      </c>
      <c r="BY140" s="137">
        <f>V140</f>
        <v>0.65748567918737255</v>
      </c>
      <c r="BZ140" s="138">
        <f>AB140</f>
        <v>0.78407720973558293</v>
      </c>
      <c r="CA140" s="138">
        <f>AC140</f>
        <v>-12.293421209747772</v>
      </c>
      <c r="CB140" s="138">
        <f>AD140</f>
        <v>0.89324827196719436</v>
      </c>
    </row>
    <row r="141" spans="1:80" x14ac:dyDescent="0.2">
      <c r="S141" s="4"/>
      <c r="BT141" s="4"/>
      <c r="BU141" s="4"/>
      <c r="BV141" s="4"/>
      <c r="BW141" s="4"/>
      <c r="BX141" s="4"/>
      <c r="BY141" s="277"/>
      <c r="BZ141" s="4"/>
      <c r="CA141" s="4"/>
      <c r="CB141" s="4"/>
    </row>
    <row r="142" spans="1:80" x14ac:dyDescent="0.2">
      <c r="A142" s="1" t="s">
        <v>1758</v>
      </c>
    </row>
    <row r="143" spans="1:80" x14ac:dyDescent="0.2">
      <c r="A143" t="s">
        <v>1751</v>
      </c>
      <c r="D143" t="s">
        <v>872</v>
      </c>
      <c r="F143">
        <v>106.18666499232586</v>
      </c>
      <c r="AB143">
        <v>0.70395278662318939</v>
      </c>
      <c r="AC143">
        <v>-13.063858548853073</v>
      </c>
      <c r="AD143">
        <v>1.0000000000000004</v>
      </c>
      <c r="AJ143">
        <v>-13.063858548853073</v>
      </c>
      <c r="AK143">
        <v>-12.359905762229884</v>
      </c>
      <c r="AL143">
        <v>-12.454746659969302</v>
      </c>
    </row>
    <row r="144" spans="1:80" x14ac:dyDescent="0.2">
      <c r="A144" t="s">
        <v>1752</v>
      </c>
      <c r="D144" t="s">
        <v>493</v>
      </c>
      <c r="F144">
        <v>106.18666499232586</v>
      </c>
      <c r="AB144">
        <v>0.62741077321581762</v>
      </c>
      <c r="AC144">
        <v>-12.867685545506953</v>
      </c>
      <c r="AD144">
        <v>1</v>
      </c>
      <c r="AJ144">
        <v>-12.867685545506953</v>
      </c>
      <c r="AK144">
        <v>-12.240274772291135</v>
      </c>
      <c r="AL144">
        <v>-12.454746659969302</v>
      </c>
    </row>
    <row r="145" spans="1:38" x14ac:dyDescent="0.2">
      <c r="A145" t="s">
        <v>1749</v>
      </c>
      <c r="D145" t="s">
        <v>694</v>
      </c>
      <c r="F145">
        <v>106.18666499232586</v>
      </c>
      <c r="AB145">
        <v>0.44747246764078952</v>
      </c>
      <c r="AC145">
        <v>-12.807879529486002</v>
      </c>
      <c r="AD145">
        <v>1</v>
      </c>
      <c r="AJ145">
        <v>-12.807879529486002</v>
      </c>
      <c r="AK145">
        <v>-12.360407061845212</v>
      </c>
      <c r="AL145">
        <v>-12.454746659969302</v>
      </c>
    </row>
    <row r="146" spans="1:38" x14ac:dyDescent="0.2">
      <c r="A146" t="s">
        <v>1750</v>
      </c>
      <c r="D146" t="s">
        <v>695</v>
      </c>
      <c r="F146">
        <v>165.80749949115744</v>
      </c>
      <c r="AB146">
        <v>0.2455057811240545</v>
      </c>
      <c r="AC146">
        <v>-12.739643660569818</v>
      </c>
      <c r="AD146">
        <v>1</v>
      </c>
      <c r="AJ146">
        <v>-12.739643660569818</v>
      </c>
      <c r="AK146">
        <v>-12.494137879445764</v>
      </c>
      <c r="AL146">
        <v>-12.693229997964629</v>
      </c>
    </row>
    <row r="147" spans="1:38" x14ac:dyDescent="0.2">
      <c r="A147" t="s">
        <v>1576</v>
      </c>
      <c r="D147" t="s">
        <v>492</v>
      </c>
      <c r="F147">
        <v>92.14249284505685</v>
      </c>
      <c r="AB147">
        <v>1.2009113084662855</v>
      </c>
      <c r="AC147">
        <v>-12.557355864302934</v>
      </c>
      <c r="AD147">
        <v>0.92292702744021826</v>
      </c>
      <c r="AJ147">
        <v>-12.557355864302934</v>
      </c>
      <c r="AK147">
        <v>-11.356444555836649</v>
      </c>
      <c r="AL147">
        <v>-12.398569971380226</v>
      </c>
    </row>
    <row r="148" spans="1:38" x14ac:dyDescent="0.2">
      <c r="A148" t="s">
        <v>1575</v>
      </c>
      <c r="D148" t="s">
        <v>548</v>
      </c>
      <c r="F148">
        <v>78.106666524406961</v>
      </c>
      <c r="AB148">
        <v>1.2092246468642611</v>
      </c>
      <c r="AC148">
        <v>-12.463327759405756</v>
      </c>
      <c r="AD148">
        <v>0.94130096283526465</v>
      </c>
      <c r="AJ148">
        <v>-12.463327759405756</v>
      </c>
      <c r="AK148">
        <v>-11.254103112541495</v>
      </c>
      <c r="AL148">
        <v>-12.342426666097627</v>
      </c>
    </row>
    <row r="149" spans="1:38" x14ac:dyDescent="0.2">
      <c r="A149" t="s">
        <v>1574</v>
      </c>
      <c r="D149" t="s">
        <v>492</v>
      </c>
      <c r="F149">
        <v>92.14249284505685</v>
      </c>
      <c r="AB149">
        <v>0.95849943643014424</v>
      </c>
      <c r="AC149">
        <v>-12.42522055695283</v>
      </c>
      <c r="AD149">
        <v>0.95065039088509473</v>
      </c>
      <c r="AJ149">
        <v>-12.42522055695283</v>
      </c>
      <c r="AK149">
        <v>-11.466721120522685</v>
      </c>
      <c r="AL149">
        <v>-12.398569971380226</v>
      </c>
    </row>
    <row r="150" spans="1:38" x14ac:dyDescent="0.2">
      <c r="A150" t="s">
        <v>1754</v>
      </c>
      <c r="D150" t="s">
        <v>540</v>
      </c>
      <c r="F150">
        <v>131.4</v>
      </c>
      <c r="AB150">
        <v>2.7071428033834763</v>
      </c>
      <c r="AC150">
        <v>-12.422473509050899</v>
      </c>
      <c r="AD150">
        <v>0.96891361082508332</v>
      </c>
      <c r="AJ150">
        <v>-12.422473509050899</v>
      </c>
      <c r="AK150">
        <v>-9.715330705667423</v>
      </c>
      <c r="AL150">
        <v>-12.5556</v>
      </c>
    </row>
    <row r="151" spans="1:38" x14ac:dyDescent="0.2">
      <c r="A151" t="s">
        <v>1756</v>
      </c>
      <c r="D151" t="s">
        <v>762</v>
      </c>
      <c r="F151">
        <v>106.18999905823263</v>
      </c>
      <c r="AB151">
        <v>0.56797029912659347</v>
      </c>
      <c r="AC151">
        <v>-12.309241273303448</v>
      </c>
      <c r="AD151">
        <v>0.99674607236288637</v>
      </c>
      <c r="AJ151">
        <v>-12.309241273303448</v>
      </c>
      <c r="AK151">
        <v>-11.741270974176855</v>
      </c>
      <c r="AL151">
        <v>-12.45475999623293</v>
      </c>
    </row>
    <row r="152" spans="1:38" x14ac:dyDescent="0.2">
      <c r="A152" t="s">
        <v>1757</v>
      </c>
      <c r="D152" t="s">
        <v>762</v>
      </c>
      <c r="F152">
        <v>106.18999905823263</v>
      </c>
      <c r="AB152">
        <v>7.6001950660513767E-2</v>
      </c>
      <c r="AC152">
        <v>-11.513785601748099</v>
      </c>
      <c r="AD152">
        <v>0.41609336520066759</v>
      </c>
      <c r="AJ152">
        <v>-11.513785601748099</v>
      </c>
      <c r="AK152">
        <v>-11.437783651087585</v>
      </c>
      <c r="AL152">
        <v>-12.45475999623293</v>
      </c>
    </row>
    <row r="153" spans="1:38" x14ac:dyDescent="0.2">
      <c r="A153" t="s">
        <v>1755</v>
      </c>
      <c r="D153" t="s">
        <v>540</v>
      </c>
      <c r="F153">
        <v>131.4</v>
      </c>
      <c r="AB153">
        <v>0.30505802237453727</v>
      </c>
      <c r="AC153">
        <v>-11.358276816522743</v>
      </c>
      <c r="AD153">
        <v>0.88679347025803568</v>
      </c>
      <c r="AJ153">
        <v>-11.358276816522743</v>
      </c>
      <c r="AK153">
        <v>-11.053218794148206</v>
      </c>
      <c r="AL153">
        <v>-12.5556</v>
      </c>
    </row>
    <row r="154" spans="1:38" x14ac:dyDescent="0.2">
      <c r="A154" t="s">
        <v>1753</v>
      </c>
      <c r="D154" t="s">
        <v>537</v>
      </c>
      <c r="F154">
        <v>84.93</v>
      </c>
      <c r="AB154">
        <v>0.35977624091733362</v>
      </c>
      <c r="AC154">
        <v>-10.992305851270682</v>
      </c>
      <c r="AD154">
        <v>0.63555436379907959</v>
      </c>
      <c r="AJ154">
        <v>-10.992305851270682</v>
      </c>
      <c r="AK154">
        <v>-10.632529610353348</v>
      </c>
      <c r="AL154">
        <v>-12.369719999999999</v>
      </c>
    </row>
  </sheetData>
  <sortState xmlns:xlrd2="http://schemas.microsoft.com/office/spreadsheetml/2017/richdata2" ref="A141:BI152">
    <sortCondition ref="AJ141:AJ152"/>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A1:AG45"/>
  <sheetViews>
    <sheetView zoomScale="80" zoomScaleNormal="80" workbookViewId="0">
      <pane xSplit="4" ySplit="4" topLeftCell="E5" activePane="bottomRight" state="frozen"/>
      <selection pane="topRight" activeCell="E1" sqref="E1"/>
      <selection pane="bottomLeft" activeCell="A5" sqref="A5"/>
      <selection pane="bottomRight" activeCell="U5" sqref="U5:U15"/>
    </sheetView>
  </sheetViews>
  <sheetFormatPr defaultRowHeight="12.75" x14ac:dyDescent="0.2"/>
  <cols>
    <col min="3" max="3" width="18.5703125" customWidth="1"/>
    <col min="7" max="7" width="11.5703125" bestFit="1" customWidth="1"/>
    <col min="10" max="10" width="9.140625" customWidth="1"/>
  </cols>
  <sheetData>
    <row r="1" spans="1:33" x14ac:dyDescent="0.2">
      <c r="A1" s="279"/>
      <c r="B1" s="279"/>
      <c r="C1" s="279"/>
      <c r="D1" s="279"/>
      <c r="E1" s="386" t="s">
        <v>1842</v>
      </c>
      <c r="F1" s="387"/>
      <c r="G1" s="387"/>
      <c r="H1" s="386" t="s">
        <v>1847</v>
      </c>
      <c r="I1" s="387"/>
      <c r="J1" s="387"/>
      <c r="K1" s="384" t="s">
        <v>1864</v>
      </c>
      <c r="L1" s="388"/>
      <c r="M1" s="389"/>
      <c r="N1" s="388" t="s">
        <v>1842</v>
      </c>
      <c r="O1" s="388"/>
      <c r="P1" s="388"/>
      <c r="Q1" s="384" t="s">
        <v>1847</v>
      </c>
      <c r="R1" s="388"/>
      <c r="S1" s="389"/>
      <c r="T1" s="388" t="s">
        <v>1867</v>
      </c>
      <c r="U1" s="388"/>
      <c r="V1" s="389"/>
    </row>
    <row r="2" spans="1:33" x14ac:dyDescent="0.2">
      <c r="A2" s="53"/>
      <c r="B2" s="53"/>
      <c r="C2" s="53"/>
      <c r="D2" s="53"/>
      <c r="E2" s="78" t="s">
        <v>526</v>
      </c>
      <c r="F2" s="53" t="s">
        <v>398</v>
      </c>
      <c r="G2" s="53" t="s">
        <v>397</v>
      </c>
      <c r="H2" s="78" t="s">
        <v>526</v>
      </c>
      <c r="I2" s="53" t="s">
        <v>398</v>
      </c>
      <c r="J2" s="53" t="s">
        <v>397</v>
      </c>
      <c r="K2" s="78" t="s">
        <v>526</v>
      </c>
      <c r="L2" s="53" t="s">
        <v>398</v>
      </c>
      <c r="M2" s="67" t="s">
        <v>397</v>
      </c>
      <c r="N2" s="53" t="s">
        <v>774</v>
      </c>
      <c r="O2" s="53" t="s">
        <v>1559</v>
      </c>
      <c r="P2" s="53" t="s">
        <v>1656</v>
      </c>
      <c r="Q2" s="53" t="s">
        <v>774</v>
      </c>
      <c r="R2" s="53" t="s">
        <v>1559</v>
      </c>
      <c r="S2" s="53" t="s">
        <v>1656</v>
      </c>
      <c r="T2" s="53" t="s">
        <v>526</v>
      </c>
      <c r="U2" s="53" t="s">
        <v>398</v>
      </c>
      <c r="V2" s="53" t="s">
        <v>397</v>
      </c>
      <c r="Y2" s="4" t="s">
        <v>2060</v>
      </c>
      <c r="Z2" s="4" t="s">
        <v>742</v>
      </c>
      <c r="AA2" s="4" t="s">
        <v>1050</v>
      </c>
      <c r="AB2" s="4" t="s">
        <v>2069</v>
      </c>
      <c r="AE2" s="4" t="s">
        <v>1853</v>
      </c>
    </row>
    <row r="3" spans="1:33" x14ac:dyDescent="0.2">
      <c r="A3" s="53"/>
      <c r="B3" s="53"/>
      <c r="C3" s="53"/>
      <c r="D3" s="53"/>
      <c r="E3" s="78" t="s">
        <v>1788</v>
      </c>
      <c r="F3" s="53" t="s">
        <v>1829</v>
      </c>
      <c r="G3" s="53" t="s">
        <v>1846</v>
      </c>
      <c r="H3" s="78" t="s">
        <v>1788</v>
      </c>
      <c r="I3" s="53" t="s">
        <v>1829</v>
      </c>
      <c r="J3" s="53" t="s">
        <v>1846</v>
      </c>
      <c r="K3" s="78"/>
      <c r="L3" s="53"/>
      <c r="M3" s="67"/>
      <c r="N3" s="53"/>
      <c r="O3" s="53"/>
      <c r="P3" s="53"/>
      <c r="Q3" s="53"/>
      <c r="R3" s="53"/>
      <c r="S3" s="53"/>
      <c r="T3" s="53"/>
      <c r="U3" s="53"/>
      <c r="V3" s="53"/>
      <c r="AB3" s="4" t="s">
        <v>774</v>
      </c>
      <c r="AC3" s="4" t="s">
        <v>1559</v>
      </c>
      <c r="AD3" s="4" t="s">
        <v>1656</v>
      </c>
      <c r="AE3" s="4" t="s">
        <v>774</v>
      </c>
      <c r="AF3" s="4" t="s">
        <v>1559</v>
      </c>
      <c r="AG3" s="4" t="s">
        <v>1656</v>
      </c>
    </row>
    <row r="4" spans="1:33" x14ac:dyDescent="0.2">
      <c r="A4" s="57"/>
      <c r="B4" s="57"/>
      <c r="C4" s="57"/>
      <c r="D4" s="57"/>
      <c r="E4" s="115" t="s">
        <v>289</v>
      </c>
      <c r="F4" s="57" t="s">
        <v>1845</v>
      </c>
      <c r="G4" s="57" t="s">
        <v>1845</v>
      </c>
      <c r="H4" s="115" t="s">
        <v>289</v>
      </c>
      <c r="I4" s="57" t="s">
        <v>1845</v>
      </c>
      <c r="J4" s="57" t="s">
        <v>1845</v>
      </c>
      <c r="K4" s="115"/>
      <c r="L4" s="57"/>
      <c r="M4" s="120"/>
      <c r="N4" s="57"/>
      <c r="O4" s="57" t="s">
        <v>1233</v>
      </c>
      <c r="P4" s="57" t="s">
        <v>1229</v>
      </c>
      <c r="Q4" s="57"/>
      <c r="R4" s="57" t="s">
        <v>1233</v>
      </c>
      <c r="S4" s="57" t="s">
        <v>1229</v>
      </c>
      <c r="T4" s="57"/>
      <c r="U4" s="57"/>
      <c r="V4" s="57"/>
    </row>
    <row r="5" spans="1:33" x14ac:dyDescent="0.2">
      <c r="A5" s="4" t="s">
        <v>1859</v>
      </c>
      <c r="B5" s="4" t="s">
        <v>717</v>
      </c>
      <c r="C5" s="4" t="s">
        <v>1860</v>
      </c>
      <c r="D5" s="4" t="s">
        <v>548</v>
      </c>
      <c r="E5">
        <v>55</v>
      </c>
      <c r="F5">
        <v>0.24</v>
      </c>
      <c r="G5">
        <v>13</v>
      </c>
      <c r="H5">
        <v>45</v>
      </c>
      <c r="I5">
        <v>0.18</v>
      </c>
      <c r="J5">
        <v>7.9</v>
      </c>
      <c r="K5" s="288">
        <f>H5/$E5</f>
        <v>0.81818181818181823</v>
      </c>
      <c r="L5" s="288">
        <f>I5/$F5</f>
        <v>0.75</v>
      </c>
      <c r="M5" s="288">
        <f>J5/$G5</f>
        <v>0.60769230769230775</v>
      </c>
      <c r="N5" s="288">
        <f>LOG(E5)</f>
        <v>1.7403626894942439</v>
      </c>
      <c r="O5" s="288">
        <f>LOG(F5*10^-12)</f>
        <v>-12.619788758288394</v>
      </c>
      <c r="P5" s="288">
        <f t="shared" ref="P5:P9" si="0">LOG(G5)</f>
        <v>1.1139433523068367</v>
      </c>
      <c r="Q5" s="288">
        <f>LOG(H5)</f>
        <v>1.6532125137753437</v>
      </c>
      <c r="R5" s="288">
        <f>LOG(I5*10^-12)</f>
        <v>-12.744727494896694</v>
      </c>
      <c r="S5" s="288">
        <f t="shared" ref="S5:S9" si="1">LOG(J5)</f>
        <v>0.89762709129044149</v>
      </c>
      <c r="T5" s="288">
        <f>Q5-N5</f>
        <v>-8.7150175718900158E-2</v>
      </c>
      <c r="U5" s="288">
        <f t="shared" ref="U5:U9" si="2">R5-O5</f>
        <v>-0.12493873660829991</v>
      </c>
      <c r="V5" s="288">
        <f t="shared" ref="V5:V9" si="3">S5-P5</f>
        <v>-0.21631626101639523</v>
      </c>
      <c r="Y5">
        <f>VLOOKUP(A5,Literatuur!$A:$B,2,FALSE)</f>
        <v>14</v>
      </c>
      <c r="Z5" t="str">
        <f>D5</f>
        <v>Benzene</v>
      </c>
      <c r="AA5" t="str">
        <f>B5</f>
        <v>HDPE</v>
      </c>
      <c r="AB5" s="138">
        <f>N5</f>
        <v>1.7403626894942439</v>
      </c>
      <c r="AC5" s="138">
        <f t="shared" ref="AC5" si="4">O5</f>
        <v>-12.619788758288394</v>
      </c>
      <c r="AD5" s="138">
        <f t="shared" ref="AD5" si="5">P5</f>
        <v>1.1139433523068367</v>
      </c>
      <c r="AE5" s="138">
        <f t="shared" ref="AE5" si="6">Q5</f>
        <v>1.6532125137753437</v>
      </c>
      <c r="AF5" s="138">
        <f t="shared" ref="AF5" si="7">R5</f>
        <v>-12.744727494896694</v>
      </c>
      <c r="AG5" s="138">
        <f t="shared" ref="AG5" si="8">S5</f>
        <v>0.89762709129044149</v>
      </c>
    </row>
    <row r="6" spans="1:33" x14ac:dyDescent="0.2">
      <c r="A6" s="4" t="s">
        <v>1859</v>
      </c>
      <c r="B6" s="4" t="s">
        <v>717</v>
      </c>
      <c r="C6" s="4" t="s">
        <v>1860</v>
      </c>
      <c r="D6" s="4" t="s">
        <v>539</v>
      </c>
      <c r="E6">
        <v>125</v>
      </c>
      <c r="F6">
        <v>0.22</v>
      </c>
      <c r="G6">
        <v>28</v>
      </c>
      <c r="H6">
        <v>100</v>
      </c>
      <c r="I6">
        <v>0.18</v>
      </c>
      <c r="J6">
        <v>18</v>
      </c>
      <c r="K6" s="288">
        <f>H6/$E6</f>
        <v>0.8</v>
      </c>
      <c r="L6" s="288">
        <f>I6/$F6</f>
        <v>0.81818181818181812</v>
      </c>
      <c r="M6" s="288">
        <f>J6/$G6</f>
        <v>0.6428571428571429</v>
      </c>
      <c r="N6" s="288">
        <f t="shared" ref="N6:N9" si="9">LOG(E6)</f>
        <v>2.0969100130080562</v>
      </c>
      <c r="O6" s="288">
        <f t="shared" ref="O6:O9" si="10">LOG(F6*10^-12)</f>
        <v>-12.657577319177793</v>
      </c>
      <c r="P6" s="288">
        <f t="shared" si="0"/>
        <v>1.4471580313422192</v>
      </c>
      <c r="Q6" s="288">
        <f t="shared" ref="Q6:Q9" si="11">LOG(H6)</f>
        <v>2</v>
      </c>
      <c r="R6" s="288">
        <f t="shared" ref="R6:R9" si="12">LOG(I6*10^-12)</f>
        <v>-12.744727494896694</v>
      </c>
      <c r="S6" s="288">
        <f t="shared" si="1"/>
        <v>1.255272505103306</v>
      </c>
      <c r="T6" s="288">
        <f t="shared" ref="T6:T9" si="13">Q6-N6</f>
        <v>-9.6910013008056239E-2</v>
      </c>
      <c r="U6" s="288">
        <f t="shared" si="2"/>
        <v>-8.7150175718900158E-2</v>
      </c>
      <c r="V6" s="288">
        <f t="shared" si="3"/>
        <v>-0.1918855262389132</v>
      </c>
      <c r="Y6">
        <f>VLOOKUP(A6,Literatuur!$A:$B,2,FALSE)</f>
        <v>14</v>
      </c>
      <c r="Z6" t="str">
        <f t="shared" ref="Z6:Z9" si="14">D6</f>
        <v>Chloroform</v>
      </c>
      <c r="AA6" t="str">
        <f t="shared" ref="AA6:AA9" si="15">B6</f>
        <v>HDPE</v>
      </c>
      <c r="AB6" s="138">
        <f t="shared" ref="AB6:AB9" si="16">N6</f>
        <v>2.0969100130080562</v>
      </c>
      <c r="AC6" s="138">
        <f t="shared" ref="AC6:AC9" si="17">O6</f>
        <v>-12.657577319177793</v>
      </c>
      <c r="AD6" s="138">
        <f t="shared" ref="AD6:AD9" si="18">P6</f>
        <v>1.4471580313422192</v>
      </c>
      <c r="AE6" s="138">
        <f t="shared" ref="AE6:AE9" si="19">Q6</f>
        <v>2</v>
      </c>
      <c r="AF6" s="138">
        <f t="shared" ref="AF6:AF9" si="20">R6</f>
        <v>-12.744727494896694</v>
      </c>
      <c r="AG6" s="138">
        <f t="shared" ref="AG6:AG9" si="21">S6</f>
        <v>1.255272505103306</v>
      </c>
    </row>
    <row r="7" spans="1:33" x14ac:dyDescent="0.2">
      <c r="A7" s="4" t="s">
        <v>1859</v>
      </c>
      <c r="B7" s="4" t="s">
        <v>717</v>
      </c>
      <c r="C7" s="4" t="s">
        <v>1860</v>
      </c>
      <c r="D7" s="4" t="s">
        <v>694</v>
      </c>
      <c r="E7">
        <v>345</v>
      </c>
      <c r="F7">
        <v>0.18</v>
      </c>
      <c r="G7">
        <v>62</v>
      </c>
      <c r="H7">
        <v>300</v>
      </c>
      <c r="I7">
        <v>0.14000000000000001</v>
      </c>
      <c r="J7">
        <v>42</v>
      </c>
      <c r="K7" s="288">
        <f>H7/$E7</f>
        <v>0.86956521739130432</v>
      </c>
      <c r="L7" s="288">
        <f>I7/$F7</f>
        <v>0.7777777777777779</v>
      </c>
      <c r="M7" s="288">
        <f>J7/$G7</f>
        <v>0.67741935483870963</v>
      </c>
      <c r="N7" s="288">
        <f t="shared" si="9"/>
        <v>2.537819095073274</v>
      </c>
      <c r="O7" s="288">
        <f t="shared" si="10"/>
        <v>-12.744727494896694</v>
      </c>
      <c r="P7" s="288">
        <f t="shared" si="0"/>
        <v>1.7923916894982539</v>
      </c>
      <c r="Q7" s="288">
        <f t="shared" si="11"/>
        <v>2.4771212547196626</v>
      </c>
      <c r="R7" s="288">
        <f t="shared" si="12"/>
        <v>-12.853871964321762</v>
      </c>
      <c r="S7" s="288">
        <f t="shared" si="1"/>
        <v>1.6232492903979006</v>
      </c>
      <c r="T7" s="288">
        <f t="shared" si="13"/>
        <v>-6.0697840353611365E-2</v>
      </c>
      <c r="U7" s="288">
        <f t="shared" si="2"/>
        <v>-0.10914446942506828</v>
      </c>
      <c r="V7" s="288">
        <f t="shared" si="3"/>
        <v>-0.16914239910035334</v>
      </c>
      <c r="Y7">
        <f>VLOOKUP(A7,Literatuur!$A:$B,2,FALSE)</f>
        <v>14</v>
      </c>
      <c r="Z7" t="str">
        <f t="shared" si="14"/>
        <v>Ethylbenzene</v>
      </c>
      <c r="AA7" t="str">
        <f t="shared" si="15"/>
        <v>HDPE</v>
      </c>
      <c r="AB7" s="138">
        <f t="shared" si="16"/>
        <v>2.537819095073274</v>
      </c>
      <c r="AC7" s="138">
        <f t="shared" si="17"/>
        <v>-12.744727494896694</v>
      </c>
      <c r="AD7" s="138">
        <f t="shared" si="18"/>
        <v>1.7923916894982539</v>
      </c>
      <c r="AE7" s="138">
        <f t="shared" si="19"/>
        <v>2.4771212547196626</v>
      </c>
      <c r="AF7" s="138">
        <f t="shared" si="20"/>
        <v>-12.853871964321762</v>
      </c>
      <c r="AG7" s="138">
        <f t="shared" si="21"/>
        <v>1.6232492903979006</v>
      </c>
    </row>
    <row r="8" spans="1:33" x14ac:dyDescent="0.2">
      <c r="A8" s="4" t="s">
        <v>1859</v>
      </c>
      <c r="B8" s="4" t="s">
        <v>717</v>
      </c>
      <c r="C8" s="4" t="s">
        <v>1860</v>
      </c>
      <c r="D8" s="4" t="s">
        <v>1843</v>
      </c>
      <c r="E8">
        <v>440</v>
      </c>
      <c r="F8">
        <v>0.17</v>
      </c>
      <c r="G8">
        <v>75</v>
      </c>
      <c r="H8">
        <v>350</v>
      </c>
      <c r="I8">
        <v>0.13</v>
      </c>
      <c r="J8">
        <v>46</v>
      </c>
      <c r="K8" s="288">
        <f>H8/$E8</f>
        <v>0.79545454545454541</v>
      </c>
      <c r="L8" s="288">
        <f>I8/$F8</f>
        <v>0.76470588235294112</v>
      </c>
      <c r="M8" s="288">
        <f>J8/$G8</f>
        <v>0.61333333333333329</v>
      </c>
      <c r="N8" s="288">
        <f t="shared" si="9"/>
        <v>2.6434526764861874</v>
      </c>
      <c r="O8" s="288">
        <f t="shared" si="10"/>
        <v>-12.769551078621726</v>
      </c>
      <c r="P8" s="288">
        <f t="shared" si="0"/>
        <v>1.8750612633917001</v>
      </c>
      <c r="Q8" s="288">
        <f t="shared" si="11"/>
        <v>2.5440680443502757</v>
      </c>
      <c r="R8" s="288">
        <f t="shared" si="12"/>
        <v>-12.886056647693163</v>
      </c>
      <c r="S8" s="288">
        <f t="shared" si="1"/>
        <v>1.6627578316815741</v>
      </c>
      <c r="T8" s="288">
        <f t="shared" si="13"/>
        <v>-9.9384632135911755E-2</v>
      </c>
      <c r="U8" s="288">
        <f t="shared" si="2"/>
        <v>-0.11650556907143717</v>
      </c>
      <c r="V8" s="288">
        <f t="shared" si="3"/>
        <v>-0.212303431710126</v>
      </c>
      <c r="Y8">
        <f>VLOOKUP(A8,Literatuur!$A:$B,2,FALSE)</f>
        <v>14</v>
      </c>
      <c r="Z8" t="str">
        <f t="shared" si="14"/>
        <v>M&amp;p-xylenes</v>
      </c>
      <c r="AA8" t="str">
        <f t="shared" si="15"/>
        <v>HDPE</v>
      </c>
      <c r="AB8" s="138">
        <f t="shared" si="16"/>
        <v>2.6434526764861874</v>
      </c>
      <c r="AC8" s="138">
        <f t="shared" si="17"/>
        <v>-12.769551078621726</v>
      </c>
      <c r="AD8" s="138">
        <f t="shared" si="18"/>
        <v>1.8750612633917001</v>
      </c>
      <c r="AE8" s="138">
        <f t="shared" si="19"/>
        <v>2.5440680443502757</v>
      </c>
      <c r="AF8" s="138">
        <f t="shared" si="20"/>
        <v>-12.886056647693163</v>
      </c>
      <c r="AG8" s="138">
        <f t="shared" si="21"/>
        <v>1.6627578316815741</v>
      </c>
    </row>
    <row r="9" spans="1:33" x14ac:dyDescent="0.2">
      <c r="A9" s="4" t="s">
        <v>1859</v>
      </c>
      <c r="B9" s="4" t="s">
        <v>717</v>
      </c>
      <c r="C9" s="4" t="s">
        <v>1860</v>
      </c>
      <c r="D9" s="4" t="s">
        <v>1844</v>
      </c>
      <c r="E9">
        <v>320</v>
      </c>
      <c r="F9">
        <v>0.17</v>
      </c>
      <c r="G9">
        <v>54</v>
      </c>
      <c r="H9">
        <v>290</v>
      </c>
      <c r="I9">
        <v>0.12</v>
      </c>
      <c r="J9">
        <v>35</v>
      </c>
      <c r="K9" s="288">
        <f>H9/$E9</f>
        <v>0.90625</v>
      </c>
      <c r="L9" s="288">
        <f>I9/$F9</f>
        <v>0.70588235294117641</v>
      </c>
      <c r="M9" s="288">
        <f>J9/$G9</f>
        <v>0.64814814814814814</v>
      </c>
      <c r="N9" s="288">
        <f t="shared" si="9"/>
        <v>2.5051499783199058</v>
      </c>
      <c r="O9" s="288">
        <f t="shared" si="10"/>
        <v>-12.769551078621726</v>
      </c>
      <c r="P9" s="288">
        <f t="shared" si="0"/>
        <v>1.7323937598229686</v>
      </c>
      <c r="Q9" s="288">
        <f t="shared" si="11"/>
        <v>2.4623979978989561</v>
      </c>
      <c r="R9" s="288">
        <f t="shared" si="12"/>
        <v>-12.920818753952375</v>
      </c>
      <c r="S9" s="288">
        <f t="shared" si="1"/>
        <v>1.5440680443502757</v>
      </c>
      <c r="T9" s="288">
        <f t="shared" si="13"/>
        <v>-4.2751980420949742E-2</v>
      </c>
      <c r="U9" s="288">
        <f t="shared" si="2"/>
        <v>-0.151267675330649</v>
      </c>
      <c r="V9" s="288">
        <f t="shared" si="3"/>
        <v>-0.18832571547269294</v>
      </c>
      <c r="Y9">
        <f>VLOOKUP(A9,Literatuur!$A:$B,2,FALSE)</f>
        <v>14</v>
      </c>
      <c r="Z9" t="str">
        <f t="shared" si="14"/>
        <v>a-xylenes</v>
      </c>
      <c r="AA9" t="str">
        <f t="shared" si="15"/>
        <v>HDPE</v>
      </c>
      <c r="AB9" s="138">
        <f t="shared" si="16"/>
        <v>2.5051499783199058</v>
      </c>
      <c r="AC9" s="138">
        <f t="shared" si="17"/>
        <v>-12.769551078621726</v>
      </c>
      <c r="AD9" s="138">
        <f t="shared" si="18"/>
        <v>1.7323937598229686</v>
      </c>
      <c r="AE9" s="138">
        <f t="shared" si="19"/>
        <v>2.4623979978989561</v>
      </c>
      <c r="AF9" s="138">
        <f t="shared" si="20"/>
        <v>-12.920818753952375</v>
      </c>
      <c r="AG9" s="138">
        <f t="shared" si="21"/>
        <v>1.5440680443502757</v>
      </c>
    </row>
    <row r="11" spans="1:33" x14ac:dyDescent="0.2">
      <c r="A11" s="4" t="s">
        <v>1859</v>
      </c>
      <c r="B11" s="4" t="s">
        <v>717</v>
      </c>
      <c r="C11" s="4" t="s">
        <v>1861</v>
      </c>
      <c r="D11" s="4" t="s">
        <v>548</v>
      </c>
      <c r="E11">
        <v>50</v>
      </c>
      <c r="F11">
        <v>0.19</v>
      </c>
      <c r="G11">
        <v>9.5</v>
      </c>
      <c r="H11">
        <v>40</v>
      </c>
      <c r="I11">
        <v>0.15</v>
      </c>
      <c r="J11">
        <v>5.7</v>
      </c>
      <c r="K11" s="288">
        <f>H11/$E11</f>
        <v>0.8</v>
      </c>
      <c r="L11" s="288">
        <f>I11/$F11</f>
        <v>0.78947368421052633</v>
      </c>
      <c r="M11" s="288">
        <f>J11/$G11</f>
        <v>0.6</v>
      </c>
      <c r="N11" s="288">
        <f t="shared" ref="N11:N15" si="22">LOG(E11)</f>
        <v>1.6989700043360187</v>
      </c>
      <c r="O11" s="288">
        <f t="shared" ref="O11:O15" si="23">LOG(F11*10^-12)</f>
        <v>-12.721246399047171</v>
      </c>
      <c r="P11" s="288">
        <f t="shared" ref="P11:P15" si="24">LOG(G11)</f>
        <v>0.97772360528884772</v>
      </c>
      <c r="Q11" s="288">
        <f t="shared" ref="Q11:Q15" si="25">LOG(H11)</f>
        <v>1.6020599913279623</v>
      </c>
      <c r="R11" s="288">
        <f t="shared" ref="R11:R15" si="26">LOG(I11*10^-12)</f>
        <v>-12.823908740944319</v>
      </c>
      <c r="S11" s="288">
        <f t="shared" ref="S11:S15" si="27">LOG(J11)</f>
        <v>0.75587485567249146</v>
      </c>
      <c r="T11" s="288">
        <f>Q11-N11</f>
        <v>-9.6910013008056461E-2</v>
      </c>
      <c r="U11" s="288">
        <f t="shared" ref="U11:U15" si="28">R11-O11</f>
        <v>-0.10266234189714751</v>
      </c>
      <c r="V11" s="288">
        <f t="shared" ref="V11:V15" si="29">S11-P11</f>
        <v>-0.22184874961635626</v>
      </c>
      <c r="Y11">
        <f>VLOOKUP(A11,Literatuur!$A:$B,2,FALSE)</f>
        <v>14</v>
      </c>
      <c r="Z11" t="str">
        <f t="shared" ref="Z11:Z15" si="30">D11</f>
        <v>Benzene</v>
      </c>
      <c r="AA11" t="str">
        <f t="shared" ref="AA11:AA15" si="31">B11</f>
        <v>HDPE</v>
      </c>
      <c r="AB11" s="138">
        <f t="shared" ref="AB11:AB15" si="32">N11</f>
        <v>1.6989700043360187</v>
      </c>
      <c r="AC11" s="138">
        <f t="shared" ref="AC11:AC15" si="33">O11</f>
        <v>-12.721246399047171</v>
      </c>
      <c r="AD11" s="138">
        <f t="shared" ref="AD11:AD15" si="34">P11</f>
        <v>0.97772360528884772</v>
      </c>
      <c r="AE11" s="138">
        <f t="shared" ref="AE11:AE15" si="35">Q11</f>
        <v>1.6020599913279623</v>
      </c>
      <c r="AF11" s="138">
        <f t="shared" ref="AF11:AF15" si="36">R11</f>
        <v>-12.823908740944319</v>
      </c>
      <c r="AG11" s="138">
        <f t="shared" ref="AG11:AG15" si="37">S11</f>
        <v>0.75587485567249146</v>
      </c>
    </row>
    <row r="12" spans="1:33" x14ac:dyDescent="0.2">
      <c r="A12" s="4" t="s">
        <v>1859</v>
      </c>
      <c r="B12" s="4" t="s">
        <v>717</v>
      </c>
      <c r="C12" s="4" t="s">
        <v>1861</v>
      </c>
      <c r="D12" s="4" t="s">
        <v>539</v>
      </c>
      <c r="E12">
        <v>100</v>
      </c>
      <c r="F12">
        <v>0.19</v>
      </c>
      <c r="G12">
        <v>19</v>
      </c>
      <c r="H12">
        <v>80</v>
      </c>
      <c r="I12">
        <v>0.15</v>
      </c>
      <c r="J12">
        <v>12</v>
      </c>
      <c r="K12" s="288">
        <f>H12/$E12</f>
        <v>0.8</v>
      </c>
      <c r="L12" s="288">
        <f>I12/$F12</f>
        <v>0.78947368421052633</v>
      </c>
      <c r="M12" s="288">
        <f>J12/$G12</f>
        <v>0.63157894736842102</v>
      </c>
      <c r="N12" s="288">
        <f t="shared" si="22"/>
        <v>2</v>
      </c>
      <c r="O12" s="288">
        <f t="shared" si="23"/>
        <v>-12.721246399047171</v>
      </c>
      <c r="P12" s="288">
        <f t="shared" si="24"/>
        <v>1.2787536009528289</v>
      </c>
      <c r="Q12" s="288">
        <f t="shared" si="25"/>
        <v>1.9030899869919435</v>
      </c>
      <c r="R12" s="288">
        <f t="shared" si="26"/>
        <v>-12.823908740944319</v>
      </c>
      <c r="S12" s="288">
        <f t="shared" si="27"/>
        <v>1.0791812460476249</v>
      </c>
      <c r="T12" s="288">
        <f t="shared" ref="T12:T15" si="38">Q12-N12</f>
        <v>-9.6910013008056461E-2</v>
      </c>
      <c r="U12" s="288">
        <f t="shared" si="28"/>
        <v>-0.10266234189714751</v>
      </c>
      <c r="V12" s="288">
        <f t="shared" si="29"/>
        <v>-0.19957235490520397</v>
      </c>
      <c r="Y12">
        <f>VLOOKUP(A12,Literatuur!$A:$B,2,FALSE)</f>
        <v>14</v>
      </c>
      <c r="Z12" t="str">
        <f t="shared" si="30"/>
        <v>Chloroform</v>
      </c>
      <c r="AA12" t="str">
        <f t="shared" si="31"/>
        <v>HDPE</v>
      </c>
      <c r="AB12" s="138">
        <f t="shared" si="32"/>
        <v>2</v>
      </c>
      <c r="AC12" s="138">
        <f t="shared" si="33"/>
        <v>-12.721246399047171</v>
      </c>
      <c r="AD12" s="138">
        <f t="shared" si="34"/>
        <v>1.2787536009528289</v>
      </c>
      <c r="AE12" s="138">
        <f t="shared" si="35"/>
        <v>1.9030899869919435</v>
      </c>
      <c r="AF12" s="138">
        <f t="shared" si="36"/>
        <v>-12.823908740944319</v>
      </c>
      <c r="AG12" s="138">
        <f t="shared" si="37"/>
        <v>1.0791812460476249</v>
      </c>
    </row>
    <row r="13" spans="1:33" x14ac:dyDescent="0.2">
      <c r="A13" s="4" t="s">
        <v>1859</v>
      </c>
      <c r="B13" s="4" t="s">
        <v>717</v>
      </c>
      <c r="C13" s="4" t="s">
        <v>1861</v>
      </c>
      <c r="D13" s="4" t="s">
        <v>694</v>
      </c>
      <c r="E13">
        <v>310</v>
      </c>
      <c r="F13">
        <v>0.16</v>
      </c>
      <c r="G13">
        <v>50</v>
      </c>
      <c r="H13">
        <v>270</v>
      </c>
      <c r="I13">
        <v>0.12</v>
      </c>
      <c r="J13">
        <v>32</v>
      </c>
      <c r="K13" s="288">
        <f>H13/$E13</f>
        <v>0.87096774193548387</v>
      </c>
      <c r="L13" s="288">
        <f>I13/$F13</f>
        <v>0.75</v>
      </c>
      <c r="M13" s="288">
        <f>J13/$G13</f>
        <v>0.64</v>
      </c>
      <c r="N13" s="288">
        <f t="shared" si="22"/>
        <v>2.4913616938342726</v>
      </c>
      <c r="O13" s="288">
        <f t="shared" si="23"/>
        <v>-12.795880017344075</v>
      </c>
      <c r="P13" s="288">
        <f t="shared" si="24"/>
        <v>1.6989700043360187</v>
      </c>
      <c r="Q13" s="288">
        <f t="shared" si="25"/>
        <v>2.4313637641589874</v>
      </c>
      <c r="R13" s="288">
        <f t="shared" si="26"/>
        <v>-12.920818753952375</v>
      </c>
      <c r="S13" s="288">
        <f t="shared" si="27"/>
        <v>1.505149978319906</v>
      </c>
      <c r="T13" s="288">
        <f t="shared" si="38"/>
        <v>-5.9997929675285278E-2</v>
      </c>
      <c r="U13" s="288">
        <f t="shared" si="28"/>
        <v>-0.12493873660829991</v>
      </c>
      <c r="V13" s="288">
        <f t="shared" si="29"/>
        <v>-0.1938200260161127</v>
      </c>
      <c r="Y13">
        <f>VLOOKUP(A13,Literatuur!$A:$B,2,FALSE)</f>
        <v>14</v>
      </c>
      <c r="Z13" t="str">
        <f t="shared" si="30"/>
        <v>Ethylbenzene</v>
      </c>
      <c r="AA13" t="str">
        <f t="shared" si="31"/>
        <v>HDPE</v>
      </c>
      <c r="AB13" s="138">
        <f t="shared" si="32"/>
        <v>2.4913616938342726</v>
      </c>
      <c r="AC13" s="138">
        <f t="shared" si="33"/>
        <v>-12.795880017344075</v>
      </c>
      <c r="AD13" s="138">
        <f t="shared" si="34"/>
        <v>1.6989700043360187</v>
      </c>
      <c r="AE13" s="138">
        <f t="shared" si="35"/>
        <v>2.4313637641589874</v>
      </c>
      <c r="AF13" s="138">
        <f t="shared" si="36"/>
        <v>-12.920818753952375</v>
      </c>
      <c r="AG13" s="138">
        <f t="shared" si="37"/>
        <v>1.505149978319906</v>
      </c>
    </row>
    <row r="14" spans="1:33" x14ac:dyDescent="0.2">
      <c r="A14" s="4" t="s">
        <v>1859</v>
      </c>
      <c r="B14" s="4" t="s">
        <v>717</v>
      </c>
      <c r="C14" s="4" t="s">
        <v>1861</v>
      </c>
      <c r="D14" s="4" t="s">
        <v>1843</v>
      </c>
      <c r="E14">
        <v>340</v>
      </c>
      <c r="F14">
        <v>0.15</v>
      </c>
      <c r="G14">
        <v>51</v>
      </c>
      <c r="H14">
        <v>290</v>
      </c>
      <c r="I14">
        <v>0.11</v>
      </c>
      <c r="J14">
        <v>32</v>
      </c>
      <c r="K14" s="288">
        <f>H14/$E14</f>
        <v>0.8529411764705882</v>
      </c>
      <c r="L14" s="288">
        <f>I14/$F14</f>
        <v>0.73333333333333339</v>
      </c>
      <c r="M14" s="288">
        <f>J14/$G14</f>
        <v>0.62745098039215685</v>
      </c>
      <c r="N14" s="288">
        <f t="shared" si="22"/>
        <v>2.5314789170422549</v>
      </c>
      <c r="O14" s="288">
        <f t="shared" si="23"/>
        <v>-12.823908740944319</v>
      </c>
      <c r="P14" s="288">
        <f t="shared" si="24"/>
        <v>1.7075701760979363</v>
      </c>
      <c r="Q14" s="288">
        <f t="shared" si="25"/>
        <v>2.4623979978989561</v>
      </c>
      <c r="R14" s="288">
        <f t="shared" si="26"/>
        <v>-12.958607314841775</v>
      </c>
      <c r="S14" s="288">
        <f t="shared" si="27"/>
        <v>1.505149978319906</v>
      </c>
      <c r="T14" s="288">
        <f t="shared" si="38"/>
        <v>-6.9080919143298836E-2</v>
      </c>
      <c r="U14" s="288">
        <f t="shared" si="28"/>
        <v>-0.13469857389745599</v>
      </c>
      <c r="V14" s="288">
        <f t="shared" si="29"/>
        <v>-0.20242019777803022</v>
      </c>
      <c r="Y14">
        <f>VLOOKUP(A14,Literatuur!$A:$B,2,FALSE)</f>
        <v>14</v>
      </c>
      <c r="Z14" t="str">
        <f t="shared" si="30"/>
        <v>M&amp;p-xylenes</v>
      </c>
      <c r="AA14" t="str">
        <f t="shared" si="31"/>
        <v>HDPE</v>
      </c>
      <c r="AB14" s="138">
        <f t="shared" si="32"/>
        <v>2.5314789170422549</v>
      </c>
      <c r="AC14" s="138">
        <f t="shared" si="33"/>
        <v>-12.823908740944319</v>
      </c>
      <c r="AD14" s="138">
        <f t="shared" si="34"/>
        <v>1.7075701760979363</v>
      </c>
      <c r="AE14" s="138">
        <f t="shared" si="35"/>
        <v>2.4623979978989561</v>
      </c>
      <c r="AF14" s="138">
        <f t="shared" si="36"/>
        <v>-12.958607314841775</v>
      </c>
      <c r="AG14" s="138">
        <f t="shared" si="37"/>
        <v>1.505149978319906</v>
      </c>
    </row>
    <row r="15" spans="1:33" x14ac:dyDescent="0.2">
      <c r="A15" s="4" t="s">
        <v>1859</v>
      </c>
      <c r="B15" s="4" t="s">
        <v>717</v>
      </c>
      <c r="C15" s="4" t="s">
        <v>1861</v>
      </c>
      <c r="D15" s="4" t="s">
        <v>1844</v>
      </c>
      <c r="E15">
        <v>295</v>
      </c>
      <c r="F15">
        <v>0.14000000000000001</v>
      </c>
      <c r="G15">
        <v>41</v>
      </c>
      <c r="H15">
        <v>255</v>
      </c>
      <c r="I15">
        <v>0.11</v>
      </c>
      <c r="J15">
        <v>28</v>
      </c>
      <c r="K15" s="288">
        <f>H15/$E15</f>
        <v>0.86440677966101698</v>
      </c>
      <c r="L15" s="288">
        <f>I15/$F15</f>
        <v>0.7857142857142857</v>
      </c>
      <c r="M15" s="288">
        <f>J15/$G15</f>
        <v>0.68292682926829273</v>
      </c>
      <c r="N15" s="288">
        <f t="shared" si="22"/>
        <v>2.469822015978163</v>
      </c>
      <c r="O15" s="288">
        <f t="shared" si="23"/>
        <v>-12.853871964321762</v>
      </c>
      <c r="P15" s="288">
        <f t="shared" si="24"/>
        <v>1.6127838567197355</v>
      </c>
      <c r="Q15" s="288">
        <f t="shared" si="25"/>
        <v>2.406540180433955</v>
      </c>
      <c r="R15" s="288">
        <f t="shared" si="26"/>
        <v>-12.958607314841775</v>
      </c>
      <c r="S15" s="288">
        <f t="shared" si="27"/>
        <v>1.4471580313422192</v>
      </c>
      <c r="T15" s="288">
        <f t="shared" si="38"/>
        <v>-6.3281835544207965E-2</v>
      </c>
      <c r="U15" s="288">
        <f t="shared" si="28"/>
        <v>-0.10473535052001282</v>
      </c>
      <c r="V15" s="288">
        <f t="shared" si="29"/>
        <v>-0.16562582537751624</v>
      </c>
      <c r="Y15">
        <f>VLOOKUP(A15,Literatuur!$A:$B,2,FALSE)</f>
        <v>14</v>
      </c>
      <c r="Z15" t="str">
        <f t="shared" si="30"/>
        <v>a-xylenes</v>
      </c>
      <c r="AA15" t="str">
        <f t="shared" si="31"/>
        <v>HDPE</v>
      </c>
      <c r="AB15" s="138">
        <f t="shared" si="32"/>
        <v>2.469822015978163</v>
      </c>
      <c r="AC15" s="138">
        <f t="shared" si="33"/>
        <v>-12.853871964321762</v>
      </c>
      <c r="AD15" s="138">
        <f t="shared" si="34"/>
        <v>1.6127838567197355</v>
      </c>
      <c r="AE15" s="138">
        <f t="shared" si="35"/>
        <v>2.406540180433955</v>
      </c>
      <c r="AF15" s="138">
        <f t="shared" si="36"/>
        <v>-12.958607314841775</v>
      </c>
      <c r="AG15" s="138">
        <f t="shared" si="37"/>
        <v>1.4471580313422192</v>
      </c>
    </row>
    <row r="17" spans="1:33" x14ac:dyDescent="0.2">
      <c r="D17" s="4" t="s">
        <v>784</v>
      </c>
      <c r="H17" s="138">
        <f t="shared" ref="H17:S17" si="39">AVERAGE(H5:H15)</f>
        <v>202</v>
      </c>
      <c r="I17" s="138">
        <f t="shared" si="39"/>
        <v>0.13900000000000001</v>
      </c>
      <c r="J17" s="138">
        <f t="shared" si="39"/>
        <v>25.860000000000003</v>
      </c>
      <c r="K17" s="138">
        <f t="shared" si="39"/>
        <v>0.83777672790947566</v>
      </c>
      <c r="L17" s="138">
        <f t="shared" si="39"/>
        <v>0.76645428187223863</v>
      </c>
      <c r="M17" s="138">
        <f t="shared" si="39"/>
        <v>0.63714070438985115</v>
      </c>
      <c r="N17" s="138">
        <f t="shared" si="39"/>
        <v>2.2715327083572374</v>
      </c>
      <c r="O17" s="138">
        <f t="shared" si="39"/>
        <v>-12.747734925031082</v>
      </c>
      <c r="P17" s="138">
        <f t="shared" si="39"/>
        <v>1.5236749339757345</v>
      </c>
      <c r="Q17" s="138">
        <f t="shared" si="39"/>
        <v>2.1942251731556039</v>
      </c>
      <c r="R17" s="138">
        <f t="shared" si="39"/>
        <v>-12.863605322128524</v>
      </c>
      <c r="S17" s="138">
        <f t="shared" si="39"/>
        <v>1.3275488852525645</v>
      </c>
      <c r="Z17" s="4" t="s">
        <v>784</v>
      </c>
      <c r="AB17" s="138">
        <f t="shared" ref="AB17:AG17" si="40">N17</f>
        <v>2.2715327083572374</v>
      </c>
      <c r="AC17" s="138">
        <f t="shared" si="40"/>
        <v>-12.747734925031082</v>
      </c>
      <c r="AD17" s="138">
        <f t="shared" si="40"/>
        <v>1.5236749339757345</v>
      </c>
      <c r="AE17" s="138">
        <f t="shared" si="40"/>
        <v>2.1942251731556039</v>
      </c>
      <c r="AF17" s="138">
        <f t="shared" si="40"/>
        <v>-12.863605322128524</v>
      </c>
      <c r="AG17" s="138">
        <f t="shared" si="40"/>
        <v>1.3275488852525645</v>
      </c>
    </row>
    <row r="18" spans="1:33" x14ac:dyDescent="0.2">
      <c r="D18" s="4" t="s">
        <v>1933</v>
      </c>
      <c r="H18" s="138"/>
      <c r="I18" s="138"/>
      <c r="J18" s="138"/>
      <c r="K18" s="138">
        <f>K17-H17</f>
        <v>-201.16222327209053</v>
      </c>
      <c r="L18" s="138">
        <f t="shared" ref="L18" si="41">L17-I17</f>
        <v>0.62745428187223862</v>
      </c>
      <c r="M18" s="138">
        <f t="shared" ref="M18" si="42">M17-J17</f>
        <v>-25.222859295610153</v>
      </c>
      <c r="N18" s="138"/>
      <c r="O18" s="138"/>
      <c r="P18" s="138"/>
      <c r="Q18" s="138">
        <f>Q17-N17</f>
        <v>-7.730753520163347E-2</v>
      </c>
      <c r="R18" s="138">
        <f t="shared" ref="R18:S18" si="43">R17-O17</f>
        <v>-0.11587039709744218</v>
      </c>
      <c r="S18" s="138">
        <f t="shared" si="43"/>
        <v>-0.19612604872316997</v>
      </c>
    </row>
    <row r="19" spans="1:33" x14ac:dyDescent="0.2">
      <c r="J19" s="4"/>
    </row>
    <row r="20" spans="1:33" x14ac:dyDescent="0.2">
      <c r="A20" s="136"/>
      <c r="B20" s="110"/>
      <c r="C20" s="110"/>
      <c r="D20" s="111"/>
      <c r="E20" s="107" t="s">
        <v>1866</v>
      </c>
      <c r="F20" s="110"/>
      <c r="G20" s="111"/>
      <c r="H20" s="384" t="s">
        <v>1863</v>
      </c>
      <c r="I20" s="110"/>
      <c r="J20" s="110"/>
      <c r="K20" s="384"/>
      <c r="L20" s="388"/>
      <c r="M20" s="389"/>
      <c r="N20" s="388" t="s">
        <v>1866</v>
      </c>
      <c r="O20" s="388"/>
      <c r="P20" s="388"/>
      <c r="Q20" s="384" t="s">
        <v>1863</v>
      </c>
      <c r="R20" s="388"/>
      <c r="S20" s="388"/>
      <c r="T20" s="388" t="s">
        <v>1867</v>
      </c>
      <c r="U20" s="388"/>
      <c r="V20" s="389"/>
    </row>
    <row r="21" spans="1:33" x14ac:dyDescent="0.2">
      <c r="A21" s="53"/>
      <c r="B21" s="53"/>
      <c r="C21" s="53"/>
      <c r="D21" s="53"/>
      <c r="E21" s="53" t="s">
        <v>44</v>
      </c>
      <c r="F21" s="53" t="s">
        <v>398</v>
      </c>
      <c r="G21" s="53" t="s">
        <v>1865</v>
      </c>
      <c r="H21" s="53" t="s">
        <v>44</v>
      </c>
      <c r="I21" s="53" t="s">
        <v>398</v>
      </c>
      <c r="J21" s="53" t="s">
        <v>1865</v>
      </c>
      <c r="K21" s="53"/>
      <c r="L21" s="53"/>
      <c r="M21" s="53"/>
      <c r="N21" s="53" t="s">
        <v>1928</v>
      </c>
      <c r="O21" s="53" t="s">
        <v>1559</v>
      </c>
      <c r="P21" s="53" t="s">
        <v>1930</v>
      </c>
      <c r="Q21" s="53" t="s">
        <v>1928</v>
      </c>
      <c r="R21" s="53" t="s">
        <v>1559</v>
      </c>
      <c r="S21" s="53" t="s">
        <v>1930</v>
      </c>
      <c r="T21" s="53"/>
      <c r="U21" s="53"/>
      <c r="V21" s="53"/>
      <c r="Y21" s="4" t="s">
        <v>2060</v>
      </c>
      <c r="Z21" s="4" t="s">
        <v>742</v>
      </c>
      <c r="AA21" s="4" t="s">
        <v>1050</v>
      </c>
      <c r="AB21" s="4" t="s">
        <v>1852</v>
      </c>
      <c r="AC21" s="4"/>
      <c r="AD21" s="4"/>
      <c r="AE21" s="4" t="s">
        <v>2070</v>
      </c>
      <c r="AF21" s="4"/>
      <c r="AG21" s="4"/>
    </row>
    <row r="22" spans="1:33" x14ac:dyDescent="0.2">
      <c r="A22" s="53"/>
      <c r="B22" s="53"/>
      <c r="C22" s="53"/>
      <c r="D22" s="53"/>
      <c r="E22" s="53" t="s">
        <v>1862</v>
      </c>
      <c r="F22" s="53" t="s">
        <v>1829</v>
      </c>
      <c r="G22" s="53" t="s">
        <v>1846</v>
      </c>
      <c r="H22" s="53" t="s">
        <v>1862</v>
      </c>
      <c r="I22" s="53" t="s">
        <v>1829</v>
      </c>
      <c r="J22" s="53" t="s">
        <v>1846</v>
      </c>
      <c r="K22" s="53"/>
      <c r="L22" s="53"/>
      <c r="M22" s="53"/>
      <c r="N22" s="53" t="s">
        <v>1862</v>
      </c>
      <c r="O22" s="53" t="s">
        <v>1929</v>
      </c>
      <c r="P22" s="53" t="s">
        <v>1659</v>
      </c>
      <c r="Q22" s="53" t="s">
        <v>1862</v>
      </c>
      <c r="R22" s="53" t="s">
        <v>1929</v>
      </c>
      <c r="S22" s="53" t="s">
        <v>1659</v>
      </c>
      <c r="T22" s="53"/>
      <c r="U22" s="53"/>
      <c r="V22" s="53"/>
      <c r="AB22" s="4" t="s">
        <v>2071</v>
      </c>
      <c r="AC22" s="4" t="s">
        <v>1559</v>
      </c>
      <c r="AD22" s="4" t="s">
        <v>2072</v>
      </c>
      <c r="AE22" s="4" t="s">
        <v>2071</v>
      </c>
      <c r="AF22" s="4" t="s">
        <v>1559</v>
      </c>
      <c r="AG22" s="4" t="s">
        <v>2072</v>
      </c>
    </row>
    <row r="23" spans="1:33" x14ac:dyDescent="0.2">
      <c r="A23" s="53"/>
      <c r="B23" s="53"/>
      <c r="C23" s="53"/>
      <c r="D23" s="53"/>
      <c r="E23" s="53"/>
      <c r="F23" s="53" t="s">
        <v>1229</v>
      </c>
      <c r="G23" s="53" t="s">
        <v>1229</v>
      </c>
      <c r="H23" s="53"/>
      <c r="I23" s="53" t="s">
        <v>1229</v>
      </c>
      <c r="J23" s="53" t="s">
        <v>1229</v>
      </c>
      <c r="K23" s="53"/>
      <c r="L23" s="53"/>
      <c r="M23" s="53"/>
      <c r="N23" s="53"/>
      <c r="O23" s="53" t="s">
        <v>1229</v>
      </c>
      <c r="P23" s="53" t="s">
        <v>1229</v>
      </c>
      <c r="Q23" s="53"/>
      <c r="R23" s="53" t="s">
        <v>1229</v>
      </c>
      <c r="S23" s="53" t="s">
        <v>1229</v>
      </c>
      <c r="T23" s="53"/>
      <c r="U23" s="53"/>
      <c r="V23" s="53"/>
    </row>
    <row r="24" spans="1:33" x14ac:dyDescent="0.2">
      <c r="A24" s="4" t="s">
        <v>1402</v>
      </c>
      <c r="B24" s="4" t="s">
        <v>717</v>
      </c>
      <c r="D24" t="s">
        <v>925</v>
      </c>
      <c r="E24">
        <v>1.4E-3</v>
      </c>
      <c r="F24">
        <v>1.1500000000000001E-12</v>
      </c>
      <c r="N24">
        <f>LOG(E24)</f>
        <v>-2.8538719643217618</v>
      </c>
      <c r="O24">
        <f>LOG(F24)</f>
        <v>-11.939302159646388</v>
      </c>
      <c r="Y24">
        <f>VLOOKUP(A24,Literatuur!$A:$B,2,FALSE)</f>
        <v>38</v>
      </c>
      <c r="Z24" t="str">
        <f t="shared" ref="Z24" si="44">D24</f>
        <v>Acetonitrile</v>
      </c>
      <c r="AA24" t="str">
        <f t="shared" ref="AA24" si="45">B24</f>
        <v>HDPE</v>
      </c>
      <c r="AB24">
        <f>N24</f>
        <v>-2.8538719643217618</v>
      </c>
      <c r="AC24">
        <f t="shared" ref="AC24:AG25" si="46">O24</f>
        <v>-11.939302159646388</v>
      </c>
    </row>
    <row r="25" spans="1:33" x14ac:dyDescent="0.2">
      <c r="A25" s="4" t="s">
        <v>1402</v>
      </c>
      <c r="B25" s="4" t="s">
        <v>717</v>
      </c>
      <c r="D25" t="s">
        <v>926</v>
      </c>
      <c r="E25">
        <v>1.01E-2</v>
      </c>
      <c r="F25">
        <v>1.0500000000000002E-12</v>
      </c>
      <c r="G25">
        <f>E25*F25</f>
        <v>1.0605000000000001E-14</v>
      </c>
      <c r="H25">
        <v>1.0699999999999999E-2</v>
      </c>
      <c r="I25">
        <v>1.9720000000000001E-12</v>
      </c>
      <c r="J25">
        <f t="shared" ref="J25:J30" si="47">H25*I25</f>
        <v>2.11004E-14</v>
      </c>
      <c r="K25" s="288">
        <f t="shared" ref="K25:M30" si="48">H25/E25</f>
        <v>1.0594059405940595</v>
      </c>
      <c r="L25" s="288">
        <f t="shared" si="48"/>
        <v>1.8780952380952378</v>
      </c>
      <c r="M25" s="288">
        <f t="shared" si="48"/>
        <v>1.9896652522395095</v>
      </c>
      <c r="N25">
        <f t="shared" ref="N25:S25" si="49">LOG(E25)</f>
        <v>-1.9956786262173574</v>
      </c>
      <c r="O25">
        <f t="shared" si="49"/>
        <v>-11.978810700930062</v>
      </c>
      <c r="P25">
        <f t="shared" si="49"/>
        <v>-13.974489327147419</v>
      </c>
      <c r="Q25">
        <f t="shared" si="49"/>
        <v>-1.9706162223147903</v>
      </c>
      <c r="R25">
        <f t="shared" si="49"/>
        <v>-11.705093089394808</v>
      </c>
      <c r="S25">
        <f t="shared" si="49"/>
        <v>-13.675709311709598</v>
      </c>
      <c r="T25" s="288">
        <f t="shared" ref="T25:T30" si="50">Q25-N25</f>
        <v>2.5062403902567087E-2</v>
      </c>
      <c r="U25" s="288">
        <f t="shared" ref="U25:U30" si="51">R25-O25</f>
        <v>0.27371761153525398</v>
      </c>
      <c r="V25" s="288">
        <f t="shared" ref="V25:V30" si="52">S25-P25</f>
        <v>0.29878001543782062</v>
      </c>
      <c r="Y25">
        <f>VLOOKUP(A25,Literatuur!$A:$B,2,FALSE)</f>
        <v>38</v>
      </c>
      <c r="Z25" t="str">
        <f t="shared" ref="Z25" si="53">D25</f>
        <v>Propanone</v>
      </c>
      <c r="AA25" t="str">
        <f t="shared" ref="AA25" si="54">B25</f>
        <v>HDPE</v>
      </c>
      <c r="AB25">
        <f>N25</f>
        <v>-1.9956786262173574</v>
      </c>
      <c r="AC25">
        <f t="shared" si="46"/>
        <v>-11.978810700930062</v>
      </c>
      <c r="AD25">
        <f t="shared" si="46"/>
        <v>-13.974489327147419</v>
      </c>
      <c r="AE25">
        <f t="shared" si="46"/>
        <v>-1.9706162223147903</v>
      </c>
      <c r="AF25">
        <f t="shared" si="46"/>
        <v>-11.705093089394808</v>
      </c>
      <c r="AG25">
        <f t="shared" si="46"/>
        <v>-13.675709311709598</v>
      </c>
    </row>
    <row r="26" spans="1:33" x14ac:dyDescent="0.2">
      <c r="A26" s="4" t="s">
        <v>1402</v>
      </c>
      <c r="B26" s="4" t="s">
        <v>717</v>
      </c>
      <c r="D26" t="s">
        <v>927</v>
      </c>
      <c r="E26">
        <v>2.1600000000000001E-2</v>
      </c>
      <c r="F26">
        <v>4.7699999999999999E-13</v>
      </c>
      <c r="G26">
        <f t="shared" ref="G26:G30" si="55">E26*F26</f>
        <v>1.0303200000000001E-14</v>
      </c>
      <c r="H26">
        <v>2.1600000000000001E-2</v>
      </c>
      <c r="I26">
        <v>6.0400000000000005E-13</v>
      </c>
      <c r="J26">
        <f t="shared" si="47"/>
        <v>1.3046400000000002E-14</v>
      </c>
      <c r="K26" s="288">
        <f t="shared" si="48"/>
        <v>1</v>
      </c>
      <c r="L26" s="288">
        <f t="shared" si="48"/>
        <v>1.2662473794549267</v>
      </c>
      <c r="M26" s="288">
        <f t="shared" si="48"/>
        <v>1.2662473794549267</v>
      </c>
      <c r="N26">
        <f t="shared" ref="N26:N30" si="56">LOG(E26)</f>
        <v>-1.6655462488490691</v>
      </c>
      <c r="O26">
        <f t="shared" ref="O26:O30" si="57">LOG(F26)</f>
        <v>-12.321481620959887</v>
      </c>
      <c r="P26">
        <f t="shared" ref="P26:P30" si="58">LOG(G26)</f>
        <v>-13.987027869808955</v>
      </c>
      <c r="Q26">
        <f t="shared" ref="Q26:Q30" si="59">LOG(H26)</f>
        <v>-1.6655462488490691</v>
      </c>
      <c r="R26">
        <f t="shared" ref="R26:R30" si="60">LOG(I26)</f>
        <v>-12.218963061378869</v>
      </c>
      <c r="S26">
        <f t="shared" ref="S26:S30" si="61">LOG(J26)</f>
        <v>-13.884509310227937</v>
      </c>
      <c r="T26" s="288">
        <f t="shared" si="50"/>
        <v>0</v>
      </c>
      <c r="U26" s="288">
        <f t="shared" si="51"/>
        <v>0.10251855958101785</v>
      </c>
      <c r="V26" s="288">
        <f t="shared" si="52"/>
        <v>0.10251855958101785</v>
      </c>
      <c r="Y26">
        <f>VLOOKUP(A26,Literatuur!$A:$B,2,FALSE)</f>
        <v>38</v>
      </c>
      <c r="Z26" t="str">
        <f t="shared" ref="Z26:Z30" si="62">D26</f>
        <v>Benzaldehyde</v>
      </c>
      <c r="AA26" t="str">
        <f t="shared" ref="AA26:AA30" si="63">B26</f>
        <v>HDPE</v>
      </c>
      <c r="AB26">
        <f t="shared" ref="AB26:AB30" si="64">N26</f>
        <v>-1.6655462488490691</v>
      </c>
      <c r="AC26">
        <f t="shared" ref="AC26:AC30" si="65">O26</f>
        <v>-12.321481620959887</v>
      </c>
      <c r="AD26">
        <f t="shared" ref="AD26:AD30" si="66">P26</f>
        <v>-13.987027869808955</v>
      </c>
      <c r="AE26">
        <f t="shared" ref="AE26:AE30" si="67">Q26</f>
        <v>-1.6655462488490691</v>
      </c>
      <c r="AF26">
        <f t="shared" ref="AF26:AF30" si="68">R26</f>
        <v>-12.218963061378869</v>
      </c>
      <c r="AG26">
        <f t="shared" ref="AG26:AG30" si="69">S26</f>
        <v>-13.884509310227937</v>
      </c>
    </row>
    <row r="27" spans="1:33" x14ac:dyDescent="0.2">
      <c r="A27" s="4" t="s">
        <v>1402</v>
      </c>
      <c r="B27" s="4" t="s">
        <v>717</v>
      </c>
      <c r="D27" t="s">
        <v>928</v>
      </c>
      <c r="E27">
        <v>1.9E-2</v>
      </c>
      <c r="F27">
        <v>7.9000000000000017E-13</v>
      </c>
      <c r="G27">
        <f t="shared" si="55"/>
        <v>1.5010000000000004E-14</v>
      </c>
      <c r="H27">
        <v>1.9900000000000001E-2</v>
      </c>
      <c r="I27">
        <v>1.2320000000000002E-12</v>
      </c>
      <c r="J27">
        <f t="shared" si="47"/>
        <v>2.4516800000000004E-14</v>
      </c>
      <c r="K27" s="288">
        <f t="shared" si="48"/>
        <v>1.0473684210526317</v>
      </c>
      <c r="L27" s="288">
        <f t="shared" si="48"/>
        <v>1.5594936708860758</v>
      </c>
      <c r="M27" s="288">
        <f t="shared" si="48"/>
        <v>1.6333644237175216</v>
      </c>
      <c r="N27">
        <f t="shared" si="56"/>
        <v>-1.7212463990471711</v>
      </c>
      <c r="O27">
        <f t="shared" si="57"/>
        <v>-12.102372908709558</v>
      </c>
      <c r="P27">
        <f t="shared" si="58"/>
        <v>-13.823619307756729</v>
      </c>
      <c r="Q27">
        <f t="shared" si="59"/>
        <v>-1.7011469235902934</v>
      </c>
      <c r="R27">
        <f t="shared" si="60"/>
        <v>-11.909389292171593</v>
      </c>
      <c r="S27">
        <f t="shared" si="61"/>
        <v>-13.610536215761886</v>
      </c>
      <c r="T27" s="288">
        <f t="shared" si="50"/>
        <v>2.0099475456877736E-2</v>
      </c>
      <c r="U27" s="288">
        <f t="shared" si="51"/>
        <v>0.19298361653796547</v>
      </c>
      <c r="V27" s="288">
        <f t="shared" si="52"/>
        <v>0.21308309199484299</v>
      </c>
      <c r="Y27">
        <f>VLOOKUP(A27,Literatuur!$A:$B,2,FALSE)</f>
        <v>38</v>
      </c>
      <c r="Z27" t="str">
        <f t="shared" si="62"/>
        <v>Butanone</v>
      </c>
      <c r="AA27" t="str">
        <f t="shared" si="63"/>
        <v>HDPE</v>
      </c>
      <c r="AB27">
        <f t="shared" si="64"/>
        <v>-1.7212463990471711</v>
      </c>
      <c r="AC27">
        <f t="shared" si="65"/>
        <v>-12.102372908709558</v>
      </c>
      <c r="AD27">
        <f t="shared" si="66"/>
        <v>-13.823619307756729</v>
      </c>
      <c r="AE27">
        <f t="shared" si="67"/>
        <v>-1.7011469235902934</v>
      </c>
      <c r="AF27">
        <f t="shared" si="68"/>
        <v>-11.909389292171593</v>
      </c>
      <c r="AG27">
        <f t="shared" si="69"/>
        <v>-13.610536215761886</v>
      </c>
    </row>
    <row r="28" spans="1:33" x14ac:dyDescent="0.2">
      <c r="A28" s="4" t="s">
        <v>1402</v>
      </c>
      <c r="B28" s="4" t="s">
        <v>717</v>
      </c>
      <c r="D28" s="4" t="s">
        <v>936</v>
      </c>
      <c r="E28">
        <v>4.7999999999999996E-3</v>
      </c>
      <c r="F28">
        <v>5.5200000000000007E-13</v>
      </c>
      <c r="G28">
        <f t="shared" si="55"/>
        <v>2.6496000000000003E-15</v>
      </c>
      <c r="H28">
        <v>3.5999999999999999E-3</v>
      </c>
      <c r="I28">
        <v>9.9200000000000001E-13</v>
      </c>
      <c r="J28">
        <f t="shared" si="47"/>
        <v>3.5712000000000001E-15</v>
      </c>
      <c r="K28" s="288">
        <f t="shared" si="48"/>
        <v>0.75</v>
      </c>
      <c r="L28" s="288">
        <f t="shared" si="48"/>
        <v>1.7971014492753621</v>
      </c>
      <c r="M28" s="288">
        <f t="shared" si="48"/>
        <v>1.3478260869565217</v>
      </c>
      <c r="N28">
        <f t="shared" si="56"/>
        <v>-2.3187587626244128</v>
      </c>
      <c r="O28">
        <f t="shared" si="57"/>
        <v>-12.258060922270801</v>
      </c>
      <c r="P28">
        <f t="shared" si="58"/>
        <v>-14.576819684895213</v>
      </c>
      <c r="Q28">
        <f t="shared" si="59"/>
        <v>-2.4436974992327127</v>
      </c>
      <c r="R28">
        <f t="shared" si="60"/>
        <v>-12.003488327845821</v>
      </c>
      <c r="S28">
        <f t="shared" si="61"/>
        <v>-14.447185827078535</v>
      </c>
      <c r="T28" s="288">
        <f t="shared" si="50"/>
        <v>-0.12493873660829991</v>
      </c>
      <c r="U28" s="288">
        <f t="shared" si="51"/>
        <v>0.25457259442497993</v>
      </c>
      <c r="V28" s="288">
        <f t="shared" si="52"/>
        <v>0.12963385781667824</v>
      </c>
      <c r="Y28">
        <f>VLOOKUP(A28,Literatuur!$A:$B,2,FALSE)</f>
        <v>38</v>
      </c>
      <c r="Z28" t="str">
        <f t="shared" si="62"/>
        <v>Benzyl alcohol</v>
      </c>
      <c r="AA28" t="str">
        <f t="shared" si="63"/>
        <v>HDPE</v>
      </c>
      <c r="AB28">
        <f t="shared" si="64"/>
        <v>-2.3187587626244128</v>
      </c>
      <c r="AC28">
        <f t="shared" si="65"/>
        <v>-12.258060922270801</v>
      </c>
      <c r="AD28">
        <f t="shared" si="66"/>
        <v>-14.576819684895213</v>
      </c>
      <c r="AE28">
        <f t="shared" si="67"/>
        <v>-2.4436974992327127</v>
      </c>
      <c r="AF28">
        <f t="shared" si="68"/>
        <v>-12.003488327845821</v>
      </c>
      <c r="AG28">
        <f t="shared" si="69"/>
        <v>-14.447185827078535</v>
      </c>
    </row>
    <row r="29" spans="1:33" x14ac:dyDescent="0.2">
      <c r="A29" s="4" t="s">
        <v>1402</v>
      </c>
      <c r="B29" s="4" t="s">
        <v>717</v>
      </c>
      <c r="D29" t="s">
        <v>929</v>
      </c>
      <c r="E29">
        <v>5.3E-3</v>
      </c>
      <c r="F29">
        <v>9.900000000000002E-14</v>
      </c>
      <c r="G29">
        <f t="shared" si="55"/>
        <v>5.2470000000000012E-16</v>
      </c>
      <c r="H29">
        <v>6.1999999999999998E-3</v>
      </c>
      <c r="I29">
        <v>2.61E-13</v>
      </c>
      <c r="J29">
        <f t="shared" si="47"/>
        <v>1.6181999999999999E-15</v>
      </c>
      <c r="K29" s="288">
        <f t="shared" si="48"/>
        <v>1.1698113207547169</v>
      </c>
      <c r="L29" s="288">
        <f t="shared" si="48"/>
        <v>2.6363636363636358</v>
      </c>
      <c r="M29" s="288">
        <f t="shared" si="48"/>
        <v>3.0840480274442532</v>
      </c>
      <c r="N29">
        <f t="shared" si="56"/>
        <v>-2.2757241303992108</v>
      </c>
      <c r="O29">
        <f t="shared" si="57"/>
        <v>-13.004364805402449</v>
      </c>
      <c r="P29">
        <f t="shared" si="58"/>
        <v>-15.280088935801661</v>
      </c>
      <c r="Q29">
        <f t="shared" si="59"/>
        <v>-2.2076083105017461</v>
      </c>
      <c r="R29">
        <f t="shared" si="60"/>
        <v>-12.583359492661719</v>
      </c>
      <c r="S29">
        <f t="shared" si="61"/>
        <v>-14.790967803163465</v>
      </c>
      <c r="T29" s="288">
        <f t="shared" si="50"/>
        <v>6.8115819897464736E-2</v>
      </c>
      <c r="U29" s="288">
        <f t="shared" si="51"/>
        <v>0.42100531274073028</v>
      </c>
      <c r="V29" s="288">
        <f t="shared" si="52"/>
        <v>0.48912113263819634</v>
      </c>
      <c r="Y29">
        <f>VLOOKUP(A29,Literatuur!$A:$B,2,FALSE)</f>
        <v>38</v>
      </c>
      <c r="Z29" t="str">
        <f t="shared" si="62"/>
        <v>1-butanol</v>
      </c>
      <c r="AA29" t="str">
        <f t="shared" si="63"/>
        <v>HDPE</v>
      </c>
      <c r="AB29">
        <f t="shared" si="64"/>
        <v>-2.2757241303992108</v>
      </c>
      <c r="AC29">
        <f t="shared" si="65"/>
        <v>-13.004364805402449</v>
      </c>
      <c r="AD29">
        <f t="shared" si="66"/>
        <v>-15.280088935801661</v>
      </c>
      <c r="AE29">
        <f t="shared" si="67"/>
        <v>-2.2076083105017461</v>
      </c>
      <c r="AF29">
        <f t="shared" si="68"/>
        <v>-12.583359492661719</v>
      </c>
      <c r="AG29">
        <f t="shared" si="69"/>
        <v>-14.790967803163465</v>
      </c>
    </row>
    <row r="30" spans="1:33" x14ac:dyDescent="0.2">
      <c r="A30" s="4" t="s">
        <v>1402</v>
      </c>
      <c r="B30" s="4" t="s">
        <v>717</v>
      </c>
      <c r="D30" t="s">
        <v>930</v>
      </c>
      <c r="E30">
        <v>3.5000000000000001E-3</v>
      </c>
      <c r="F30">
        <v>4.97E-13</v>
      </c>
      <c r="G30">
        <f t="shared" si="55"/>
        <v>1.7395E-15</v>
      </c>
      <c r="H30">
        <v>3.0000000000000001E-3</v>
      </c>
      <c r="I30">
        <v>4.0300000000000005E-13</v>
      </c>
      <c r="J30">
        <f t="shared" si="47"/>
        <v>1.2090000000000001E-15</v>
      </c>
      <c r="K30" s="288">
        <f t="shared" si="48"/>
        <v>0.8571428571428571</v>
      </c>
      <c r="L30" s="288">
        <f t="shared" si="48"/>
        <v>0.81086519114688138</v>
      </c>
      <c r="M30" s="288">
        <f t="shared" si="48"/>
        <v>0.69502730669732693</v>
      </c>
      <c r="N30">
        <f t="shared" si="56"/>
        <v>-2.4559319556497243</v>
      </c>
      <c r="O30">
        <f t="shared" si="57"/>
        <v>-12.303643611266669</v>
      </c>
      <c r="P30">
        <f t="shared" si="58"/>
        <v>-14.759575566916393</v>
      </c>
      <c r="Q30">
        <f t="shared" si="59"/>
        <v>-2.5228787452803374</v>
      </c>
      <c r="R30">
        <f t="shared" si="60"/>
        <v>-12.39469495385889</v>
      </c>
      <c r="S30">
        <f t="shared" si="61"/>
        <v>-14.917573699139227</v>
      </c>
      <c r="T30" s="288">
        <f t="shared" si="50"/>
        <v>-6.6946789630613068E-2</v>
      </c>
      <c r="U30" s="288">
        <f t="shared" si="51"/>
        <v>-9.1051342592221474E-2</v>
      </c>
      <c r="V30" s="288">
        <f t="shared" si="52"/>
        <v>-0.15799813222283454</v>
      </c>
      <c r="Y30">
        <f>VLOOKUP(A30,Literatuur!$A:$B,2,FALSE)</f>
        <v>38</v>
      </c>
      <c r="Z30" t="str">
        <f t="shared" si="62"/>
        <v>2-propanol</v>
      </c>
      <c r="AA30" t="str">
        <f t="shared" si="63"/>
        <v>HDPE</v>
      </c>
      <c r="AB30">
        <f t="shared" si="64"/>
        <v>-2.4559319556497243</v>
      </c>
      <c r="AC30">
        <f t="shared" si="65"/>
        <v>-12.303643611266669</v>
      </c>
      <c r="AD30">
        <f t="shared" si="66"/>
        <v>-14.759575566916393</v>
      </c>
      <c r="AE30">
        <f t="shared" si="67"/>
        <v>-2.5228787452803374</v>
      </c>
      <c r="AF30">
        <f t="shared" si="68"/>
        <v>-12.39469495385889</v>
      </c>
      <c r="AG30">
        <f t="shared" si="69"/>
        <v>-14.917573699139227</v>
      </c>
    </row>
    <row r="31" spans="1:33" x14ac:dyDescent="0.2">
      <c r="D31" s="4"/>
    </row>
    <row r="32" spans="1:33" x14ac:dyDescent="0.2">
      <c r="A32" s="4" t="s">
        <v>1402</v>
      </c>
      <c r="B32" s="4" t="s">
        <v>717</v>
      </c>
      <c r="D32" t="s">
        <v>537</v>
      </c>
      <c r="E32">
        <v>8.6499999999999994E-2</v>
      </c>
      <c r="F32">
        <v>6.4400000000000008E-12</v>
      </c>
      <c r="N32">
        <f>LOG(E32)</f>
        <v>-1.0629838925351858</v>
      </c>
      <c r="O32">
        <f>LOG(F32)</f>
        <v>-11.191114132640188</v>
      </c>
      <c r="Y32">
        <f>VLOOKUP(A32,Literatuur!$A:$B,2,FALSE)</f>
        <v>38</v>
      </c>
      <c r="Z32" t="str">
        <f t="shared" ref="Z32:Z37" si="70">D32</f>
        <v>Dichloromethane</v>
      </c>
      <c r="AA32" t="str">
        <f t="shared" ref="AA32:AA37" si="71">B32</f>
        <v>HDPE</v>
      </c>
      <c r="AB32">
        <f t="shared" ref="AB32:AB37" si="72">N32</f>
        <v>-1.0629838925351858</v>
      </c>
      <c r="AC32">
        <f t="shared" ref="AC32:AC37" si="73">O32</f>
        <v>-11.191114132640188</v>
      </c>
    </row>
    <row r="33" spans="1:33" x14ac:dyDescent="0.2">
      <c r="A33" s="4" t="s">
        <v>1402</v>
      </c>
      <c r="B33" s="4" t="s">
        <v>717</v>
      </c>
      <c r="D33" t="s">
        <v>931</v>
      </c>
      <c r="E33">
        <v>5.4600000000000003E-2</v>
      </c>
      <c r="F33">
        <v>6.6500000000000009E-13</v>
      </c>
      <c r="G33">
        <f t="shared" ref="G33:G36" si="74">E33*F33</f>
        <v>3.6309000000000008E-14</v>
      </c>
      <c r="H33">
        <v>5.7500000000000002E-2</v>
      </c>
      <c r="I33">
        <v>7.5100000000000013E-13</v>
      </c>
      <c r="J33">
        <f t="shared" ref="J33:J36" si="75">H33*I33</f>
        <v>4.3182500000000009E-14</v>
      </c>
      <c r="K33" s="288">
        <f t="shared" ref="K33:M36" si="76">H33/E33</f>
        <v>1.0531135531135531</v>
      </c>
      <c r="L33" s="288">
        <f t="shared" si="76"/>
        <v>1.1293233082706768</v>
      </c>
      <c r="M33" s="288">
        <f t="shared" si="76"/>
        <v>1.1893056817868848</v>
      </c>
      <c r="N33">
        <f t="shared" ref="N33:N36" si="77">LOG(E33)</f>
        <v>-1.2628073572952627</v>
      </c>
      <c r="O33">
        <f t="shared" ref="O33:O36" si="78">LOG(F33)</f>
        <v>-12.177178354696895</v>
      </c>
      <c r="P33">
        <f t="shared" ref="P33:P36" si="79">LOG(G33)</f>
        <v>-13.439985711992158</v>
      </c>
      <c r="Q33">
        <f t="shared" ref="Q33:Q36" si="80">LOG(H33)</f>
        <v>-1.2403321553103694</v>
      </c>
      <c r="R33">
        <f t="shared" ref="R33:R36" si="81">LOG(I33)</f>
        <v>-12.124360062995832</v>
      </c>
      <c r="S33">
        <f t="shared" ref="S33:S36" si="82">LOG(J33)</f>
        <v>-13.364692218306201</v>
      </c>
      <c r="T33" s="288">
        <f t="shared" ref="T33:T36" si="83">Q33-N33</f>
        <v>2.2475201984893278E-2</v>
      </c>
      <c r="U33" s="288">
        <f t="shared" ref="U33:U36" si="84">R33-O33</f>
        <v>5.2818291701063558E-2</v>
      </c>
      <c r="V33" s="288">
        <f t="shared" ref="V33:V36" si="85">S33-P33</f>
        <v>7.5293493685956392E-2</v>
      </c>
      <c r="Y33">
        <f>VLOOKUP(A33,Literatuur!$A:$B,2,FALSE)</f>
        <v>38</v>
      </c>
      <c r="Z33" t="str">
        <f t="shared" si="70"/>
        <v>MTBE</v>
      </c>
      <c r="AA33" t="str">
        <f t="shared" si="71"/>
        <v>HDPE</v>
      </c>
      <c r="AB33">
        <f t="shared" si="72"/>
        <v>-1.2628073572952627</v>
      </c>
      <c r="AC33">
        <f t="shared" si="73"/>
        <v>-12.177178354696895</v>
      </c>
      <c r="AD33">
        <f t="shared" ref="AD33:AD36" si="86">P33</f>
        <v>-13.439985711992158</v>
      </c>
      <c r="AE33">
        <f t="shared" ref="AE33:AE36" si="87">Q33</f>
        <v>-1.2403321553103694</v>
      </c>
      <c r="AF33">
        <f t="shared" ref="AF33:AF36" si="88">R33</f>
        <v>-12.124360062995832</v>
      </c>
      <c r="AG33">
        <f t="shared" ref="AG33:AG36" si="89">S33</f>
        <v>-13.364692218306201</v>
      </c>
    </row>
    <row r="34" spans="1:33" x14ac:dyDescent="0.2">
      <c r="A34" s="4" t="s">
        <v>1402</v>
      </c>
      <c r="B34" s="4" t="s">
        <v>717</v>
      </c>
      <c r="D34" t="s">
        <v>932</v>
      </c>
      <c r="E34">
        <v>0.14280000000000001</v>
      </c>
      <c r="F34">
        <v>5.8200000000000006E-12</v>
      </c>
      <c r="G34">
        <f t="shared" si="74"/>
        <v>8.3109600000000018E-13</v>
      </c>
      <c r="H34">
        <v>0.14249999999999999</v>
      </c>
      <c r="I34">
        <v>6.1420000000000003E-12</v>
      </c>
      <c r="J34">
        <f t="shared" si="75"/>
        <v>8.7523499999999996E-13</v>
      </c>
      <c r="K34" s="288">
        <f t="shared" si="76"/>
        <v>0.99789915966386544</v>
      </c>
      <c r="L34" s="288">
        <f t="shared" si="76"/>
        <v>1.0553264604810997</v>
      </c>
      <c r="M34" s="288">
        <f t="shared" si="76"/>
        <v>1.0531093880851308</v>
      </c>
      <c r="N34">
        <f t="shared" si="77"/>
        <v>-0.84527179255984441</v>
      </c>
      <c r="O34">
        <f t="shared" si="78"/>
        <v>-11.235077015350111</v>
      </c>
      <c r="P34">
        <f t="shared" si="79"/>
        <v>-12.080348807909957</v>
      </c>
      <c r="Q34">
        <f t="shared" si="80"/>
        <v>-0.84618513565547104</v>
      </c>
      <c r="R34">
        <f t="shared" si="81"/>
        <v>-11.21169018789295</v>
      </c>
      <c r="S34">
        <f t="shared" si="82"/>
        <v>-12.057875323548421</v>
      </c>
      <c r="T34" s="288">
        <f t="shared" si="83"/>
        <v>-9.1334309562662863E-4</v>
      </c>
      <c r="U34" s="288">
        <f t="shared" si="84"/>
        <v>2.3386827457160919E-2</v>
      </c>
      <c r="V34" s="288">
        <f t="shared" si="85"/>
        <v>2.2473484361535512E-2</v>
      </c>
      <c r="Y34">
        <f>VLOOKUP(A34,Literatuur!$A:$B,2,FALSE)</f>
        <v>38</v>
      </c>
      <c r="Z34" t="str">
        <f t="shared" si="70"/>
        <v>Trichloromethane</v>
      </c>
      <c r="AA34" t="str">
        <f t="shared" si="71"/>
        <v>HDPE</v>
      </c>
      <c r="AB34">
        <f t="shared" si="72"/>
        <v>-0.84527179255984441</v>
      </c>
      <c r="AC34">
        <f t="shared" si="73"/>
        <v>-11.235077015350111</v>
      </c>
      <c r="AD34">
        <f t="shared" si="86"/>
        <v>-12.080348807909957</v>
      </c>
      <c r="AE34">
        <f t="shared" si="87"/>
        <v>-0.84618513565547104</v>
      </c>
      <c r="AF34">
        <f t="shared" si="88"/>
        <v>-11.21169018789295</v>
      </c>
      <c r="AG34">
        <f t="shared" si="89"/>
        <v>-12.057875323548421</v>
      </c>
    </row>
    <row r="35" spans="1:33" x14ac:dyDescent="0.2">
      <c r="A35" s="4" t="s">
        <v>1402</v>
      </c>
      <c r="B35" s="4" t="s">
        <v>717</v>
      </c>
      <c r="D35" t="s">
        <v>492</v>
      </c>
      <c r="E35">
        <v>8.5199999999999998E-2</v>
      </c>
      <c r="F35">
        <v>5.6900000000000002E-12</v>
      </c>
      <c r="G35">
        <f t="shared" si="74"/>
        <v>4.8478800000000005E-13</v>
      </c>
      <c r="H35">
        <v>8.5300000000000001E-2</v>
      </c>
      <c r="I35">
        <v>6.8820000000000008E-12</v>
      </c>
      <c r="J35">
        <f t="shared" si="75"/>
        <v>5.870346000000001E-13</v>
      </c>
      <c r="K35" s="288">
        <f t="shared" si="76"/>
        <v>1.0011737089201878</v>
      </c>
      <c r="L35" s="288">
        <f t="shared" si="76"/>
        <v>1.2094903339191565</v>
      </c>
      <c r="M35" s="288">
        <f t="shared" si="76"/>
        <v>1.2109099235129583</v>
      </c>
      <c r="N35">
        <f t="shared" si="77"/>
        <v>-1.0695604052332999</v>
      </c>
      <c r="O35">
        <f t="shared" si="78"/>
        <v>-11.244887733604928</v>
      </c>
      <c r="P35">
        <f t="shared" si="79"/>
        <v>-12.314448138838229</v>
      </c>
      <c r="Q35">
        <f t="shared" si="80"/>
        <v>-1.069050968832477</v>
      </c>
      <c r="R35">
        <f t="shared" si="81"/>
        <v>-11.162285331715088</v>
      </c>
      <c r="S35">
        <f t="shared" si="82"/>
        <v>-12.231336300547566</v>
      </c>
      <c r="T35" s="288">
        <f t="shared" si="83"/>
        <v>5.0943640082290464E-4</v>
      </c>
      <c r="U35" s="288">
        <f t="shared" si="84"/>
        <v>8.2602401889840138E-2</v>
      </c>
      <c r="V35" s="288">
        <f t="shared" si="85"/>
        <v>8.3111838290662376E-2</v>
      </c>
      <c r="Y35">
        <f>VLOOKUP(A35,Literatuur!$A:$B,2,FALSE)</f>
        <v>38</v>
      </c>
      <c r="Z35" t="str">
        <f t="shared" si="70"/>
        <v>Toluene</v>
      </c>
      <c r="AA35" t="str">
        <f t="shared" si="71"/>
        <v>HDPE</v>
      </c>
      <c r="AB35">
        <f t="shared" si="72"/>
        <v>-1.0695604052332999</v>
      </c>
      <c r="AC35">
        <f t="shared" si="73"/>
        <v>-11.244887733604928</v>
      </c>
      <c r="AD35">
        <f t="shared" si="86"/>
        <v>-12.314448138838229</v>
      </c>
      <c r="AE35">
        <f t="shared" si="87"/>
        <v>-1.069050968832477</v>
      </c>
      <c r="AF35">
        <f t="shared" si="88"/>
        <v>-11.162285331715088</v>
      </c>
      <c r="AG35">
        <f t="shared" si="89"/>
        <v>-12.231336300547566</v>
      </c>
    </row>
    <row r="36" spans="1:33" x14ac:dyDescent="0.2">
      <c r="A36" s="4" t="s">
        <v>1402</v>
      </c>
      <c r="B36" s="4" t="s">
        <v>717</v>
      </c>
      <c r="D36" t="s">
        <v>933</v>
      </c>
      <c r="E36">
        <v>8.7499999999999994E-2</v>
      </c>
      <c r="F36">
        <v>3.7100000000000001E-12</v>
      </c>
      <c r="G36">
        <f t="shared" si="74"/>
        <v>3.2462499999999999E-13</v>
      </c>
      <c r="H36">
        <v>8.7400000000000005E-2</v>
      </c>
      <c r="I36">
        <v>4.4040000000000002E-12</v>
      </c>
      <c r="J36">
        <f t="shared" si="75"/>
        <v>3.8490960000000004E-13</v>
      </c>
      <c r="K36" s="288">
        <f t="shared" si="76"/>
        <v>0.998857142857143</v>
      </c>
      <c r="L36" s="288">
        <f t="shared" si="76"/>
        <v>1.1870619946091645</v>
      </c>
      <c r="M36" s="288">
        <f t="shared" si="76"/>
        <v>1.1857053523296113</v>
      </c>
      <c r="N36">
        <f t="shared" si="77"/>
        <v>-1.0579919469776868</v>
      </c>
      <c r="O36">
        <f t="shared" si="78"/>
        <v>-11.430626090384955</v>
      </c>
      <c r="P36">
        <f t="shared" si="79"/>
        <v>-12.488618037362642</v>
      </c>
      <c r="Q36">
        <f t="shared" si="80"/>
        <v>-1.058488567365597</v>
      </c>
      <c r="R36">
        <f t="shared" si="81"/>
        <v>-11.356152689700286</v>
      </c>
      <c r="S36">
        <f t="shared" si="82"/>
        <v>-12.414641257065883</v>
      </c>
      <c r="T36" s="288">
        <f t="shared" si="83"/>
        <v>-4.9662038791020713E-4</v>
      </c>
      <c r="U36" s="288">
        <f t="shared" si="84"/>
        <v>7.4473400684668789E-2</v>
      </c>
      <c r="V36" s="288">
        <f t="shared" si="85"/>
        <v>7.3976780296758804E-2</v>
      </c>
      <c r="Y36">
        <f>VLOOKUP(A36,Literatuur!$A:$B,2,FALSE)</f>
        <v>38</v>
      </c>
      <c r="Z36" t="str">
        <f t="shared" si="70"/>
        <v>m-xylene</v>
      </c>
      <c r="AA36" t="str">
        <f t="shared" si="71"/>
        <v>HDPE</v>
      </c>
      <c r="AB36">
        <f t="shared" si="72"/>
        <v>-1.0579919469776868</v>
      </c>
      <c r="AC36">
        <f t="shared" si="73"/>
        <v>-11.430626090384955</v>
      </c>
      <c r="AD36">
        <f t="shared" si="86"/>
        <v>-12.488618037362642</v>
      </c>
      <c r="AE36">
        <f t="shared" si="87"/>
        <v>-1.058488567365597</v>
      </c>
      <c r="AF36">
        <f t="shared" si="88"/>
        <v>-11.356152689700286</v>
      </c>
      <c r="AG36">
        <f t="shared" si="89"/>
        <v>-12.414641257065883</v>
      </c>
    </row>
    <row r="37" spans="1:33" x14ac:dyDescent="0.2">
      <c r="A37" s="4" t="s">
        <v>1402</v>
      </c>
      <c r="B37" s="4" t="s">
        <v>717</v>
      </c>
      <c r="D37" t="s">
        <v>699</v>
      </c>
      <c r="E37">
        <v>8.8800000000000004E-2</v>
      </c>
      <c r="F37">
        <v>5.4900000000000002E-12</v>
      </c>
      <c r="N37">
        <f>LOG(E37)</f>
        <v>-1.0515870342213989</v>
      </c>
      <c r="O37">
        <f>LOG(F37)</f>
        <v>-11.260427655549908</v>
      </c>
      <c r="Y37">
        <f>VLOOKUP(A37,Literatuur!$A:$B,2,FALSE)</f>
        <v>38</v>
      </c>
      <c r="Z37" t="str">
        <f t="shared" si="70"/>
        <v>p-xylene</v>
      </c>
      <c r="AA37" t="str">
        <f t="shared" si="71"/>
        <v>HDPE</v>
      </c>
      <c r="AB37">
        <f t="shared" si="72"/>
        <v>-1.0515870342213989</v>
      </c>
      <c r="AC37">
        <f t="shared" si="73"/>
        <v>-11.260427655549908</v>
      </c>
    </row>
    <row r="39" spans="1:33" x14ac:dyDescent="0.2">
      <c r="D39" s="4" t="s">
        <v>784</v>
      </c>
      <c r="E39">
        <f t="shared" ref="E39:J39" si="90">AVERAGE(E25:E30,E33:E36)</f>
        <v>4.3439999999999999E-2</v>
      </c>
      <c r="F39">
        <f t="shared" si="90"/>
        <v>1.9350000000000001E-12</v>
      </c>
      <c r="G39">
        <f t="shared" si="90"/>
        <v>1.71765E-13</v>
      </c>
      <c r="H39">
        <f t="shared" si="90"/>
        <v>4.3769999999999996E-2</v>
      </c>
      <c r="I39">
        <f t="shared" si="90"/>
        <v>2.3643000000000003E-12</v>
      </c>
      <c r="J39">
        <f t="shared" si="90"/>
        <v>1.9554236999999998E-13</v>
      </c>
      <c r="N39">
        <f t="shared" ref="N39:S39" si="91">AVERAGE(N25:N30,N33:N36)</f>
        <v>-1.6668517624853039</v>
      </c>
      <c r="O39">
        <f t="shared" si="91"/>
        <v>-12.005650376357631</v>
      </c>
      <c r="P39">
        <f t="shared" si="91"/>
        <v>-13.672502138842935</v>
      </c>
      <c r="Q39">
        <f t="shared" si="91"/>
        <v>-1.6725550776932863</v>
      </c>
      <c r="R39">
        <f t="shared" si="91"/>
        <v>-11.866947648961586</v>
      </c>
      <c r="S39">
        <f t="shared" si="91"/>
        <v>-13.53950272665487</v>
      </c>
      <c r="Z39" s="4" t="s">
        <v>2073</v>
      </c>
      <c r="AB39" s="138">
        <f t="shared" ref="AB39:AG39" si="92">N39</f>
        <v>-1.6668517624853039</v>
      </c>
      <c r="AC39" s="138">
        <f t="shared" si="92"/>
        <v>-12.005650376357631</v>
      </c>
      <c r="AD39" s="138">
        <f t="shared" si="92"/>
        <v>-13.672502138842935</v>
      </c>
      <c r="AE39" s="138">
        <f t="shared" si="92"/>
        <v>-1.6725550776932863</v>
      </c>
      <c r="AF39" s="138">
        <f t="shared" si="92"/>
        <v>-11.866947648961586</v>
      </c>
      <c r="AG39" s="138">
        <f t="shared" si="92"/>
        <v>-13.53950272665487</v>
      </c>
    </row>
    <row r="40" spans="1:33" x14ac:dyDescent="0.2">
      <c r="D40" s="4" t="s">
        <v>1933</v>
      </c>
      <c r="E40" s="138"/>
      <c r="F40" s="138"/>
      <c r="G40" s="138"/>
      <c r="H40" s="137">
        <f>H39-E39</f>
        <v>3.2999999999999696E-4</v>
      </c>
      <c r="I40" s="137">
        <f t="shared" ref="I40" si="93">I39-F39</f>
        <v>4.293000000000002E-13</v>
      </c>
      <c r="J40" s="137">
        <f t="shared" ref="J40" si="94">J39-G39</f>
        <v>2.3777369999999982E-14</v>
      </c>
      <c r="K40" s="138"/>
      <c r="L40" s="138"/>
      <c r="M40" s="138"/>
      <c r="N40" s="138"/>
      <c r="O40" s="138"/>
      <c r="P40" s="138"/>
      <c r="Q40" s="138">
        <f>Q39-N39</f>
        <v>-5.7033152079823957E-3</v>
      </c>
      <c r="R40" s="138">
        <f t="shared" ref="R40" si="95">R39-O39</f>
        <v>0.13870272739604417</v>
      </c>
      <c r="S40" s="138">
        <f t="shared" ref="S40" si="96">S39-P39</f>
        <v>0.13299941218806488</v>
      </c>
    </row>
    <row r="41" spans="1:33" x14ac:dyDescent="0.2">
      <c r="Z41" s="4" t="s">
        <v>2129</v>
      </c>
    </row>
    <row r="44" spans="1:33" x14ac:dyDescent="0.2">
      <c r="T44" s="138"/>
      <c r="U44" s="138"/>
      <c r="V44" s="138"/>
    </row>
    <row r="45" spans="1:33" x14ac:dyDescent="0.2">
      <c r="T45" s="138"/>
      <c r="U45" s="138"/>
      <c r="V45" s="13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tabColor rgb="FFC00000"/>
  </sheetPr>
  <dimension ref="A1:FL1132"/>
  <sheetViews>
    <sheetView topLeftCell="CQ1" zoomScale="80" zoomScaleNormal="80" workbookViewId="0">
      <selection activeCell="DG46" sqref="DG46"/>
    </sheetView>
  </sheetViews>
  <sheetFormatPr defaultRowHeight="12.75" outlineLevelCol="1" x14ac:dyDescent="0.2"/>
  <cols>
    <col min="2" max="2" width="16.28515625" customWidth="1"/>
    <col min="3" max="3" width="16.28515625" customWidth="1" outlineLevel="1"/>
    <col min="4" max="4" width="22.140625" customWidth="1" outlineLevel="1"/>
    <col min="5" max="5" width="12.5703125" customWidth="1" outlineLevel="1"/>
    <col min="6" max="6" width="19.7109375" customWidth="1"/>
    <col min="7" max="7" width="13.5703125" style="95" customWidth="1"/>
    <col min="8" max="8" width="10.5703125" style="95" customWidth="1"/>
    <col min="9" max="9" width="11.140625" style="95" customWidth="1"/>
    <col min="10" max="10" width="10.7109375" style="95" customWidth="1"/>
    <col min="11" max="11" width="8.140625" style="95" customWidth="1"/>
    <col min="13" max="13" width="11" style="416" customWidth="1" outlineLevel="1"/>
    <col min="14" max="14" width="12.42578125" style="416" customWidth="1" outlineLevel="1"/>
    <col min="15" max="15" width="13.7109375" customWidth="1"/>
    <col min="16" max="17" width="9.140625" customWidth="1" outlineLevel="1"/>
    <col min="18" max="18" width="9.140625" style="289" customWidth="1" outlineLevel="1"/>
    <col min="19" max="19" width="9.140625" customWidth="1" outlineLevel="1"/>
    <col min="21" max="22" width="9.140625" customWidth="1" outlineLevel="1"/>
    <col min="23" max="23" width="11.5703125" customWidth="1" outlineLevel="1"/>
    <col min="24" max="24" width="11.5703125" customWidth="1"/>
    <col min="25" max="25" width="9.140625" customWidth="1" outlineLevel="1"/>
    <col min="27" max="28" width="8.5703125" customWidth="1" outlineLevel="1"/>
    <col min="29" max="30" width="8.5703125" customWidth="1"/>
    <col min="33" max="37" width="9.140625" customWidth="1" outlineLevel="1"/>
    <col min="38" max="38" width="21.42578125" customWidth="1" outlineLevel="1"/>
    <col min="39" max="110" width="9.140625" customWidth="1" outlineLevel="1"/>
    <col min="111" max="116" width="9.140625" customWidth="1"/>
    <col min="117" max="117" width="19.5703125" customWidth="1"/>
    <col min="118" max="119" width="9.140625" customWidth="1"/>
    <col min="121" max="121" width="22" bestFit="1" customWidth="1"/>
    <col min="122" max="134" width="9.140625" customWidth="1" outlineLevel="1"/>
    <col min="162" max="162" width="15.85546875" customWidth="1"/>
    <col min="163" max="163" width="9.140625" style="408"/>
    <col min="164" max="167" width="9.140625" style="138"/>
  </cols>
  <sheetData>
    <row r="1" spans="1:119" x14ac:dyDescent="0.2">
      <c r="A1" s="351" t="s">
        <v>1888</v>
      </c>
      <c r="B1" s="350"/>
      <c r="C1" s="350"/>
      <c r="D1" s="350"/>
      <c r="E1" s="350"/>
      <c r="F1" s="350"/>
      <c r="G1" s="350"/>
      <c r="H1" s="350"/>
      <c r="I1" s="350"/>
      <c r="J1" s="350"/>
      <c r="BW1" s="4" t="s">
        <v>2021</v>
      </c>
      <c r="DC1" t="s">
        <v>2044</v>
      </c>
    </row>
    <row r="2" spans="1:119" x14ac:dyDescent="0.2">
      <c r="A2" s="350"/>
      <c r="B2" s="350"/>
      <c r="C2" s="350"/>
      <c r="D2" s="350"/>
      <c r="E2" s="350"/>
      <c r="F2" s="350"/>
      <c r="G2" s="350"/>
      <c r="H2" s="350"/>
      <c r="I2" s="350"/>
      <c r="J2" s="350"/>
      <c r="AL2" s="4" t="s">
        <v>2063</v>
      </c>
      <c r="AM2" s="4" t="s">
        <v>2063</v>
      </c>
      <c r="AN2" s="4" t="s">
        <v>2063</v>
      </c>
      <c r="BW2" s="4"/>
      <c r="DM2" s="4" t="s">
        <v>2063</v>
      </c>
      <c r="DN2" s="4" t="s">
        <v>2063</v>
      </c>
      <c r="DO2" s="4" t="s">
        <v>2063</v>
      </c>
    </row>
    <row r="3" spans="1:119" x14ac:dyDescent="0.2">
      <c r="A3" s="350"/>
      <c r="B3" s="350" t="s">
        <v>1887</v>
      </c>
      <c r="C3" s="350"/>
      <c r="D3" s="350"/>
      <c r="E3" s="350"/>
      <c r="F3" s="350" t="s">
        <v>1592</v>
      </c>
      <c r="G3" s="350"/>
      <c r="H3" s="350"/>
      <c r="I3" s="350"/>
      <c r="J3" s="350"/>
      <c r="AF3" s="1" t="s">
        <v>1765</v>
      </c>
      <c r="BV3" s="1" t="s">
        <v>1765</v>
      </c>
      <c r="DF3" s="1" t="s">
        <v>1765</v>
      </c>
    </row>
    <row r="4" spans="1:119" x14ac:dyDescent="0.2">
      <c r="A4" s="350"/>
      <c r="B4" s="350" t="s">
        <v>11</v>
      </c>
      <c r="C4" s="350"/>
      <c r="D4" s="350" t="s">
        <v>12</v>
      </c>
      <c r="E4" s="350"/>
      <c r="F4" s="350" t="s">
        <v>11</v>
      </c>
      <c r="G4" s="350"/>
      <c r="H4" s="350"/>
      <c r="I4" s="350" t="s">
        <v>12</v>
      </c>
      <c r="J4" s="350"/>
      <c r="AF4" s="4" t="s">
        <v>1437</v>
      </c>
      <c r="AG4" s="4" t="s">
        <v>1994</v>
      </c>
      <c r="AH4" s="4" t="s">
        <v>1994</v>
      </c>
      <c r="AI4" s="4" t="s">
        <v>1994</v>
      </c>
      <c r="AJ4" s="4" t="s">
        <v>1994</v>
      </c>
      <c r="AK4" s="4" t="s">
        <v>1994</v>
      </c>
      <c r="AL4" s="4" t="s">
        <v>1994</v>
      </c>
      <c r="AM4" s="4" t="s">
        <v>1994</v>
      </c>
      <c r="AN4" s="4" t="s">
        <v>1994</v>
      </c>
      <c r="AO4" s="4" t="s">
        <v>1994</v>
      </c>
      <c r="AP4" s="4" t="s">
        <v>1994</v>
      </c>
      <c r="AQ4" s="4" t="s">
        <v>1994</v>
      </c>
      <c r="BV4" s="4" t="s">
        <v>1437</v>
      </c>
      <c r="BW4" s="4" t="s">
        <v>1994</v>
      </c>
      <c r="BX4" s="4" t="s">
        <v>1994</v>
      </c>
      <c r="BY4" s="4" t="s">
        <v>1994</v>
      </c>
      <c r="BZ4" s="4" t="s">
        <v>1994</v>
      </c>
      <c r="CA4" s="4" t="s">
        <v>1994</v>
      </c>
      <c r="CB4" s="4" t="s">
        <v>1994</v>
      </c>
      <c r="CC4" s="4" t="s">
        <v>1994</v>
      </c>
      <c r="CD4" s="4" t="s">
        <v>1994</v>
      </c>
      <c r="CE4" s="4" t="s">
        <v>1994</v>
      </c>
      <c r="CF4" s="4" t="s">
        <v>1994</v>
      </c>
      <c r="CG4" s="4" t="s">
        <v>1994</v>
      </c>
      <c r="DF4" s="4" t="s">
        <v>1437</v>
      </c>
      <c r="DG4" s="4" t="s">
        <v>1994</v>
      </c>
      <c r="DH4" s="4" t="s">
        <v>1994</v>
      </c>
      <c r="DI4" s="4" t="s">
        <v>1994</v>
      </c>
      <c r="DJ4" s="4" t="s">
        <v>1994</v>
      </c>
      <c r="DK4" s="4" t="s">
        <v>1994</v>
      </c>
      <c r="DL4" s="4" t="s">
        <v>1994</v>
      </c>
      <c r="DM4" s="4" t="s">
        <v>1994</v>
      </c>
      <c r="DN4" s="4" t="s">
        <v>1994</v>
      </c>
      <c r="DO4" s="4" t="s">
        <v>1994</v>
      </c>
    </row>
    <row r="5" spans="1:119" x14ac:dyDescent="0.2">
      <c r="A5" s="350"/>
      <c r="B5" s="350" t="s">
        <v>2015</v>
      </c>
      <c r="C5" s="350" t="s">
        <v>2016</v>
      </c>
      <c r="D5" s="350" t="s">
        <v>2015</v>
      </c>
      <c r="E5" s="350" t="s">
        <v>2016</v>
      </c>
      <c r="F5" s="350" t="s">
        <v>2015</v>
      </c>
      <c r="G5" s="350" t="s">
        <v>2016</v>
      </c>
      <c r="H5" s="350" t="s">
        <v>2056</v>
      </c>
      <c r="I5" s="350" t="s">
        <v>2015</v>
      </c>
      <c r="J5" s="350" t="s">
        <v>2056</v>
      </c>
      <c r="AF5" s="4" t="s">
        <v>1592</v>
      </c>
      <c r="AG5" s="4" t="s">
        <v>1996</v>
      </c>
      <c r="AH5" s="4" t="s">
        <v>1996</v>
      </c>
      <c r="AI5" s="4" t="s">
        <v>1996</v>
      </c>
      <c r="AJ5" s="4" t="s">
        <v>1996</v>
      </c>
      <c r="AK5" s="4" t="s">
        <v>1996</v>
      </c>
      <c r="AL5" s="4" t="s">
        <v>1996</v>
      </c>
      <c r="AM5" s="4" t="s">
        <v>1996</v>
      </c>
      <c r="AN5" s="4" t="s">
        <v>1996</v>
      </c>
      <c r="AO5" s="4" t="s">
        <v>1996</v>
      </c>
      <c r="AP5" s="4" t="s">
        <v>1996</v>
      </c>
      <c r="AQ5" s="4" t="s">
        <v>1996</v>
      </c>
      <c r="BV5" s="4" t="s">
        <v>1592</v>
      </c>
      <c r="BW5" s="4" t="s">
        <v>1996</v>
      </c>
      <c r="BX5" s="4" t="s">
        <v>1996</v>
      </c>
      <c r="BY5" s="4" t="s">
        <v>1996</v>
      </c>
      <c r="BZ5" s="4" t="s">
        <v>1996</v>
      </c>
      <c r="CA5" s="4" t="s">
        <v>1996</v>
      </c>
      <c r="CB5" s="4" t="s">
        <v>1996</v>
      </c>
      <c r="CC5" s="4" t="s">
        <v>1996</v>
      </c>
      <c r="CD5" s="4" t="s">
        <v>1996</v>
      </c>
      <c r="CE5" s="4" t="s">
        <v>1996</v>
      </c>
      <c r="CF5" s="4" t="s">
        <v>1996</v>
      </c>
      <c r="CG5" s="4" t="s">
        <v>1996</v>
      </c>
      <c r="DF5" s="1" t="s">
        <v>2024</v>
      </c>
      <c r="DG5" s="4" t="s">
        <v>1996</v>
      </c>
      <c r="DH5" s="4" t="s">
        <v>1996</v>
      </c>
      <c r="DI5" s="4" t="s">
        <v>1996</v>
      </c>
      <c r="DJ5" s="4" t="s">
        <v>1996</v>
      </c>
      <c r="DK5" s="4" t="s">
        <v>1996</v>
      </c>
      <c r="DL5" s="4" t="s">
        <v>1996</v>
      </c>
      <c r="DM5" s="4" t="s">
        <v>1996</v>
      </c>
      <c r="DN5" s="4" t="s">
        <v>1996</v>
      </c>
      <c r="DO5" s="4" t="s">
        <v>1996</v>
      </c>
    </row>
    <row r="6" spans="1:119" x14ac:dyDescent="0.2">
      <c r="A6" s="350" t="s">
        <v>2053</v>
      </c>
      <c r="B6" s="355" t="str">
        <f>CONCATENATE(ROUND(DM19,3)," (±",ROUND(DM20,3),")")</f>
        <v>-0.011 (±0.159)</v>
      </c>
      <c r="C6" s="355" t="str">
        <f>CONCATENATE(ROUND(DN19,3)," (±",ROUND(DN20,3),")")</f>
        <v>-0.006 (±0.05)</v>
      </c>
      <c r="D6" s="355">
        <f>DP33</f>
        <v>-1.123425399420711E-2</v>
      </c>
      <c r="E6" s="355" t="e">
        <f>CONCATENATE(ROUND(DN33,3)," (±",ROUND(DN34,3),")")</f>
        <v>#DIV/0!</v>
      </c>
      <c r="F6" s="355" t="str">
        <f>CONCATENATE(ROUND(AL19,3)," (±",ROUND(AL20,3),")")</f>
        <v>1.095 (±0.108)</v>
      </c>
      <c r="G6" s="355" t="str">
        <f>CONCATENATE(ROUND(AM19,3)," (±",ROUND(AM20,3),")")</f>
        <v>1.059 (±0.159)</v>
      </c>
      <c r="H6" s="355" t="str">
        <f>CONCATENATE(ROUND(AN19,3)," (±",ROUND(AN20,3),")")</f>
        <v>0.979 (±0.391)</v>
      </c>
      <c r="I6" s="355" t="str">
        <f>CONCATENATE(ROUND(AL33,3)," (±",ROUND(AL34,3),")")</f>
        <v>1.172 (±0.333)</v>
      </c>
      <c r="J6" s="355" t="str">
        <f>CONCATENATE(ROUND(AN33,3)," (±",ROUND(AN34,3),")")</f>
        <v>1.231 (±0.373)</v>
      </c>
      <c r="AF6" s="4" t="s">
        <v>408</v>
      </c>
      <c r="AH6" s="4" t="s">
        <v>1997</v>
      </c>
      <c r="AI6" s="4" t="s">
        <v>1997</v>
      </c>
      <c r="AJ6" s="4" t="s">
        <v>1997</v>
      </c>
      <c r="AK6" s="4" t="s">
        <v>1997</v>
      </c>
      <c r="AL6" s="4" t="s">
        <v>1997</v>
      </c>
      <c r="AM6" s="4" t="s">
        <v>1997</v>
      </c>
      <c r="AN6" s="4" t="s">
        <v>1997</v>
      </c>
      <c r="AO6" s="4" t="s">
        <v>1997</v>
      </c>
      <c r="AP6" s="4" t="s">
        <v>1997</v>
      </c>
      <c r="AQ6" s="4" t="s">
        <v>1997</v>
      </c>
      <c r="BV6" s="4" t="s">
        <v>2022</v>
      </c>
      <c r="BX6" s="4" t="s">
        <v>1997</v>
      </c>
      <c r="BY6" s="4" t="s">
        <v>1997</v>
      </c>
      <c r="BZ6" s="4" t="s">
        <v>1997</v>
      </c>
      <c r="CA6" s="4" t="s">
        <v>1997</v>
      </c>
      <c r="CB6" s="4" t="s">
        <v>1997</v>
      </c>
      <c r="CC6" s="4" t="s">
        <v>1997</v>
      </c>
      <c r="CD6" s="4" t="s">
        <v>1997</v>
      </c>
      <c r="CE6" s="4" t="s">
        <v>1997</v>
      </c>
      <c r="CF6" s="4" t="s">
        <v>1997</v>
      </c>
      <c r="CG6" s="4" t="s">
        <v>1997</v>
      </c>
      <c r="DF6" s="4" t="s">
        <v>43</v>
      </c>
      <c r="DH6" s="4" t="s">
        <v>1997</v>
      </c>
      <c r="DI6" s="4" t="s">
        <v>1997</v>
      </c>
      <c r="DJ6" s="4" t="s">
        <v>1997</v>
      </c>
      <c r="DK6" s="4" t="s">
        <v>1997</v>
      </c>
      <c r="DL6" s="4" t="s">
        <v>1997</v>
      </c>
      <c r="DM6" s="4" t="s">
        <v>1997</v>
      </c>
      <c r="DN6" s="4" t="s">
        <v>1997</v>
      </c>
      <c r="DO6" s="4" t="s">
        <v>1997</v>
      </c>
    </row>
    <row r="7" spans="1:119" x14ac:dyDescent="0.2">
      <c r="A7" s="350" t="s">
        <v>2054</v>
      </c>
      <c r="B7" s="355" t="str">
        <f>CONCATENATE(ROUND(DM21,3)," (±",ROUND(DM22,3),")")</f>
        <v>-10.688 (±0.001)</v>
      </c>
      <c r="C7" s="355" t="str">
        <f>CONCATENATE(ROUND(DN21,4)," (±",ROUND(DN22,4),")")</f>
        <v>-11.0002 (±0.0002)</v>
      </c>
      <c r="D7" s="355">
        <f>DP35</f>
        <v>-11.18834533786805</v>
      </c>
      <c r="E7" s="355" t="e">
        <f>CONCATENATE(ROUND(DN35,3)," (±",ROUND(DN36,3),")")</f>
        <v>#DIV/0!</v>
      </c>
      <c r="F7" s="355" t="str">
        <f>CONCATENATE(ROUND(AL21,3)," (±",ROUND(AL22,3),")")</f>
        <v>-0.681 (±0.023)</v>
      </c>
      <c r="G7" s="355" t="str">
        <f>CONCATENATE(ROUND(AM21,3)," (±",ROUND(AM22,3),")")</f>
        <v>-0.67 (±0.025)</v>
      </c>
      <c r="H7" s="355" t="str">
        <f>CONCATENATE(ROUND(AN21,3)," (±",ROUND(AN22,3),")")</f>
        <v>-1.796 (±0.143)</v>
      </c>
      <c r="I7" s="355" t="str">
        <f>CONCATENATE(ROUND(AL35,3)," (±",ROUND(AL36,3),")")</f>
        <v>-1.416 (±0.109)</v>
      </c>
      <c r="J7" s="355" t="str">
        <f>CONCATENATE(ROUND(AN35,3)," (±",ROUND(AN36,3),")")</f>
        <v>-2.606 (±0.173)</v>
      </c>
      <c r="O7" s="435" t="s">
        <v>2055</v>
      </c>
      <c r="AF7" s="4" t="s">
        <v>2010</v>
      </c>
      <c r="AI7" s="4" t="s">
        <v>1990</v>
      </c>
      <c r="AJ7" s="4" t="s">
        <v>1990</v>
      </c>
      <c r="AK7" s="4" t="s">
        <v>1990</v>
      </c>
      <c r="AL7" s="4" t="s">
        <v>1990</v>
      </c>
      <c r="AM7" s="4" t="s">
        <v>1990</v>
      </c>
      <c r="AN7" s="4" t="s">
        <v>1990</v>
      </c>
      <c r="AO7" s="4" t="s">
        <v>1990</v>
      </c>
      <c r="AP7" s="4" t="s">
        <v>1990</v>
      </c>
      <c r="AQ7" s="4" t="s">
        <v>1990</v>
      </c>
      <c r="BV7" s="4" t="s">
        <v>2010</v>
      </c>
      <c r="BY7" s="4" t="s">
        <v>1990</v>
      </c>
      <c r="BZ7" s="4" t="s">
        <v>1990</v>
      </c>
      <c r="CA7" s="4" t="s">
        <v>1990</v>
      </c>
      <c r="CB7" s="4" t="s">
        <v>1990</v>
      </c>
      <c r="CC7" s="4" t="s">
        <v>1990</v>
      </c>
      <c r="CD7" s="4" t="s">
        <v>1990</v>
      </c>
      <c r="CE7" s="4" t="s">
        <v>1990</v>
      </c>
      <c r="CF7" s="4" t="s">
        <v>1990</v>
      </c>
      <c r="CG7" s="4" t="s">
        <v>1990</v>
      </c>
      <c r="DF7" s="4" t="s">
        <v>2026</v>
      </c>
      <c r="DI7" s="4" t="s">
        <v>1990</v>
      </c>
      <c r="DJ7" s="4" t="s">
        <v>1990</v>
      </c>
      <c r="DK7" s="4" t="s">
        <v>1990</v>
      </c>
      <c r="DL7" s="4" t="s">
        <v>1990</v>
      </c>
      <c r="DM7" s="4" t="s">
        <v>1990</v>
      </c>
      <c r="DN7" s="4" t="s">
        <v>1990</v>
      </c>
      <c r="DO7" s="4" t="s">
        <v>1990</v>
      </c>
    </row>
    <row r="8" spans="1:119" x14ac:dyDescent="0.2">
      <c r="A8" s="350" t="s">
        <v>1412</v>
      </c>
      <c r="B8" s="352">
        <f t="shared" ref="B8:C11" si="0">DM23</f>
        <v>21</v>
      </c>
      <c r="C8" s="352">
        <f t="shared" si="0"/>
        <v>39</v>
      </c>
      <c r="D8" s="352"/>
      <c r="E8" s="352">
        <f>DN37</f>
        <v>0</v>
      </c>
      <c r="F8" s="352">
        <f t="shared" ref="F8:H11" si="1">AL23</f>
        <v>126</v>
      </c>
      <c r="G8" s="352">
        <f t="shared" si="1"/>
        <v>138</v>
      </c>
      <c r="H8" s="352">
        <f t="shared" si="1"/>
        <v>16</v>
      </c>
      <c r="I8" s="352">
        <f>AL37</f>
        <v>101</v>
      </c>
      <c r="J8" s="352">
        <f>AN37</f>
        <v>28</v>
      </c>
      <c r="AF8" s="4" t="s">
        <v>2062</v>
      </c>
      <c r="AI8" s="4"/>
      <c r="AJ8" s="4"/>
      <c r="AK8" s="4"/>
      <c r="AL8" s="4"/>
      <c r="AM8" s="4"/>
      <c r="AN8" s="4"/>
      <c r="AO8" s="4" t="s">
        <v>1990</v>
      </c>
      <c r="AP8" s="4" t="s">
        <v>1990</v>
      </c>
      <c r="AQ8" s="4" t="s">
        <v>1990</v>
      </c>
      <c r="BV8" s="4" t="s">
        <v>2062</v>
      </c>
      <c r="BY8" s="4"/>
      <c r="BZ8" s="4"/>
      <c r="CA8" s="4"/>
      <c r="CB8" s="4"/>
      <c r="CC8" s="4"/>
      <c r="CD8" s="4"/>
      <c r="CE8" s="4" t="s">
        <v>1990</v>
      </c>
      <c r="CF8" s="4" t="s">
        <v>1990</v>
      </c>
      <c r="CG8" s="4" t="s">
        <v>1990</v>
      </c>
      <c r="DF8" s="4"/>
      <c r="DI8" s="4"/>
      <c r="DJ8" s="4"/>
      <c r="DK8" s="4"/>
      <c r="DL8" s="4"/>
      <c r="DM8" s="4"/>
      <c r="DN8" s="4"/>
      <c r="DO8" s="4"/>
    </row>
    <row r="9" spans="1:119" x14ac:dyDescent="0.2">
      <c r="A9" s="350" t="s">
        <v>1649</v>
      </c>
      <c r="B9" s="355">
        <f t="shared" si="0"/>
        <v>0.90732961282386893</v>
      </c>
      <c r="C9" s="355">
        <f t="shared" si="0"/>
        <v>0.97806364913564958</v>
      </c>
      <c r="D9" s="355"/>
      <c r="E9" s="355" t="e">
        <f>DN38</f>
        <v>#DIV/0!</v>
      </c>
      <c r="F9" s="355">
        <f t="shared" si="1"/>
        <v>0.94863854371039369</v>
      </c>
      <c r="G9" s="355">
        <f t="shared" si="1"/>
        <v>0.93021072257084847</v>
      </c>
      <c r="H9" s="355">
        <f t="shared" si="1"/>
        <v>0.75901175666770659</v>
      </c>
      <c r="I9" s="355">
        <f>AL38</f>
        <v>0.53770725775283434</v>
      </c>
      <c r="J9" s="355">
        <f>AN38</f>
        <v>0.65139253178519874</v>
      </c>
      <c r="AF9" t="s">
        <v>2013</v>
      </c>
      <c r="AI9" s="4" t="s">
        <v>1990</v>
      </c>
      <c r="AJ9" s="4" t="s">
        <v>1990</v>
      </c>
      <c r="AK9" s="4" t="s">
        <v>1990</v>
      </c>
      <c r="AL9" s="4" t="s">
        <v>1990</v>
      </c>
      <c r="AM9" s="4" t="s">
        <v>1990</v>
      </c>
      <c r="AN9" s="4" t="s">
        <v>1990</v>
      </c>
      <c r="AO9" s="4" t="s">
        <v>1990</v>
      </c>
      <c r="AP9" s="4" t="s">
        <v>1990</v>
      </c>
      <c r="AQ9" s="4" t="s">
        <v>1990</v>
      </c>
      <c r="BV9" t="s">
        <v>2013</v>
      </c>
      <c r="BY9" s="4" t="s">
        <v>1990</v>
      </c>
      <c r="BZ9" s="4" t="s">
        <v>1990</v>
      </c>
      <c r="CA9" s="4" t="s">
        <v>1990</v>
      </c>
      <c r="CB9" s="4" t="s">
        <v>1990</v>
      </c>
      <c r="CC9" s="4" t="s">
        <v>1990</v>
      </c>
      <c r="CD9" s="4" t="s">
        <v>1990</v>
      </c>
      <c r="CE9" s="4" t="s">
        <v>1990</v>
      </c>
      <c r="CF9" s="4" t="s">
        <v>1990</v>
      </c>
      <c r="CG9" s="4" t="s">
        <v>1990</v>
      </c>
      <c r="DF9" t="s">
        <v>2013</v>
      </c>
      <c r="DI9" s="4" t="s">
        <v>1990</v>
      </c>
      <c r="DJ9" s="4" t="s">
        <v>1990</v>
      </c>
      <c r="DK9" s="4" t="s">
        <v>1990</v>
      </c>
      <c r="DL9" s="4" t="s">
        <v>1990</v>
      </c>
      <c r="DM9" s="4" t="s">
        <v>1990</v>
      </c>
      <c r="DN9" s="4" t="s">
        <v>1990</v>
      </c>
      <c r="DO9" s="4" t="s">
        <v>1990</v>
      </c>
    </row>
    <row r="10" spans="1:119" x14ac:dyDescent="0.2">
      <c r="A10" s="350" t="s">
        <v>2045</v>
      </c>
      <c r="B10" s="355">
        <f t="shared" si="0"/>
        <v>0.19572319998707396</v>
      </c>
      <c r="C10" s="355">
        <f t="shared" si="0"/>
        <v>4.9484973476397062E-2</v>
      </c>
      <c r="D10" s="355"/>
      <c r="E10" s="355" t="e">
        <f>DN39</f>
        <v>#DIV/0!</v>
      </c>
      <c r="F10" s="355">
        <f t="shared" si="1"/>
        <v>0.31397265933858859</v>
      </c>
      <c r="G10" s="355">
        <f t="shared" si="1"/>
        <v>0.21271029410287909</v>
      </c>
      <c r="H10" s="355">
        <f t="shared" si="1"/>
        <v>0.81445266740438382</v>
      </c>
      <c r="I10" s="355">
        <f>AL39</f>
        <v>0.97913346548943903</v>
      </c>
      <c r="J10" s="355">
        <f>AN39</f>
        <v>1.3416057126953678</v>
      </c>
      <c r="AF10" s="4" t="s">
        <v>1041</v>
      </c>
      <c r="AI10" s="4" t="s">
        <v>2000</v>
      </c>
      <c r="AJ10" s="4" t="s">
        <v>1999</v>
      </c>
      <c r="AK10" s="4" t="s">
        <v>1082</v>
      </c>
      <c r="AL10" s="4" t="s">
        <v>2000</v>
      </c>
      <c r="AM10" s="4" t="s">
        <v>2000</v>
      </c>
      <c r="AN10" s="4" t="s">
        <v>2000</v>
      </c>
      <c r="AO10" s="4" t="s">
        <v>2000</v>
      </c>
      <c r="AP10" s="4" t="s">
        <v>2000</v>
      </c>
      <c r="AQ10" s="4" t="s">
        <v>2000</v>
      </c>
      <c r="BV10" s="4" t="s">
        <v>1041</v>
      </c>
      <c r="BY10" s="4" t="s">
        <v>2000</v>
      </c>
      <c r="BZ10" s="4" t="s">
        <v>1999</v>
      </c>
      <c r="CA10" s="4" t="s">
        <v>1082</v>
      </c>
      <c r="CB10" s="4" t="s">
        <v>2000</v>
      </c>
      <c r="CC10" s="4" t="s">
        <v>2000</v>
      </c>
      <c r="CD10" s="4" t="s">
        <v>2000</v>
      </c>
      <c r="CE10" s="4" t="s">
        <v>2000</v>
      </c>
      <c r="CF10" s="4" t="s">
        <v>2000</v>
      </c>
      <c r="CG10" s="4" t="s">
        <v>2000</v>
      </c>
      <c r="DF10" s="4" t="s">
        <v>1041</v>
      </c>
      <c r="DI10" s="4" t="s">
        <v>2000</v>
      </c>
      <c r="DJ10" s="4" t="s">
        <v>1999</v>
      </c>
      <c r="DK10" s="4" t="s">
        <v>1082</v>
      </c>
      <c r="DL10" s="4" t="s">
        <v>1740</v>
      </c>
      <c r="DM10" s="4" t="s">
        <v>2025</v>
      </c>
      <c r="DN10" s="4" t="s">
        <v>2000</v>
      </c>
      <c r="DO10" s="4" t="s">
        <v>2000</v>
      </c>
    </row>
    <row r="11" spans="1:119" x14ac:dyDescent="0.2">
      <c r="A11" s="350" t="s">
        <v>2047</v>
      </c>
      <c r="B11" s="355">
        <f t="shared" si="0"/>
        <v>0.20032908191629797</v>
      </c>
      <c r="C11" s="355">
        <f t="shared" si="0"/>
        <v>5.0115380718638393E-2</v>
      </c>
      <c r="D11" s="355"/>
      <c r="E11" s="355" t="e">
        <f>DN40</f>
        <v>#DIV/0!</v>
      </c>
      <c r="F11" s="355">
        <f t="shared" si="1"/>
        <v>0.31521612028139939</v>
      </c>
      <c r="G11" s="355">
        <f t="shared" si="1"/>
        <v>0.21347959243350376</v>
      </c>
      <c r="H11" s="355">
        <f t="shared" si="1"/>
        <v>0.83951859369358106</v>
      </c>
      <c r="I11" s="355">
        <f>AL40</f>
        <v>0.98396872188585793</v>
      </c>
      <c r="J11" s="355">
        <f>AN40</f>
        <v>1.3653527901211955</v>
      </c>
      <c r="AF11" s="4" t="s">
        <v>1555</v>
      </c>
      <c r="AL11" s="4" t="s">
        <v>2006</v>
      </c>
      <c r="AM11" s="4" t="s">
        <v>1552</v>
      </c>
      <c r="AN11" s="4" t="s">
        <v>2014</v>
      </c>
      <c r="AO11" s="4" t="s">
        <v>2006</v>
      </c>
      <c r="AP11" s="4" t="s">
        <v>1552</v>
      </c>
      <c r="AQ11" s="4" t="s">
        <v>2014</v>
      </c>
      <c r="BV11" s="4" t="s">
        <v>1555</v>
      </c>
      <c r="CB11" s="4" t="s">
        <v>2006</v>
      </c>
      <c r="CC11" s="4" t="s">
        <v>1552</v>
      </c>
      <c r="CD11" s="4" t="s">
        <v>2014</v>
      </c>
      <c r="CE11" s="4" t="s">
        <v>2006</v>
      </c>
      <c r="CF11" s="4" t="s">
        <v>1552</v>
      </c>
      <c r="CG11" s="4" t="s">
        <v>2014</v>
      </c>
      <c r="DF11" s="4" t="s">
        <v>1555</v>
      </c>
      <c r="DM11" s="4" t="s">
        <v>2006</v>
      </c>
      <c r="DN11" s="4" t="s">
        <v>1552</v>
      </c>
      <c r="DO11" s="4" t="s">
        <v>2014</v>
      </c>
    </row>
    <row r="12" spans="1:119" x14ac:dyDescent="0.2">
      <c r="A12" s="350"/>
      <c r="B12" s="355"/>
      <c r="C12" s="355"/>
      <c r="D12" s="355"/>
      <c r="E12" s="352"/>
      <c r="F12" s="355"/>
      <c r="G12" s="355"/>
      <c r="H12" s="355"/>
      <c r="I12" s="355"/>
      <c r="J12" s="353"/>
      <c r="AF12" s="4"/>
      <c r="AO12" s="4"/>
      <c r="AP12" s="4"/>
      <c r="AQ12" s="4"/>
      <c r="BV12" s="4"/>
      <c r="CE12" s="4"/>
      <c r="CF12" s="4"/>
      <c r="CG12" s="4"/>
      <c r="DF12" s="4"/>
      <c r="DM12" s="4"/>
      <c r="DN12" s="4"/>
    </row>
    <row r="14" spans="1:119" x14ac:dyDescent="0.2">
      <c r="DM14" s="4" t="s">
        <v>2032</v>
      </c>
      <c r="DN14" s="4" t="s">
        <v>2033</v>
      </c>
      <c r="DO14" s="4" t="s">
        <v>2034</v>
      </c>
    </row>
    <row r="15" spans="1:119" x14ac:dyDescent="0.2">
      <c r="AF15" s="350" t="s">
        <v>1763</v>
      </c>
      <c r="AH15" s="4" t="s">
        <v>1453</v>
      </c>
      <c r="AI15" s="4" t="s">
        <v>1453</v>
      </c>
      <c r="AJ15" s="4" t="s">
        <v>1453</v>
      </c>
      <c r="AK15" s="4" t="s">
        <v>1453</v>
      </c>
      <c r="AL15" s="286" t="s">
        <v>2018</v>
      </c>
      <c r="AM15" s="286" t="s">
        <v>2020</v>
      </c>
      <c r="AN15" s="286" t="s">
        <v>2019</v>
      </c>
      <c r="AO15" s="4" t="s">
        <v>1453</v>
      </c>
      <c r="AP15" s="4" t="s">
        <v>1453</v>
      </c>
      <c r="AQ15" s="4" t="s">
        <v>1453</v>
      </c>
      <c r="AS15" s="350" t="s">
        <v>1896</v>
      </c>
      <c r="AT15" s="350" t="s">
        <v>1897</v>
      </c>
      <c r="BV15" s="350" t="s">
        <v>1763</v>
      </c>
      <c r="BX15" s="4" t="s">
        <v>1453</v>
      </c>
      <c r="BY15" s="286" t="s">
        <v>1453</v>
      </c>
      <c r="BZ15" s="4" t="s">
        <v>1453</v>
      </c>
      <c r="CA15" s="4" t="s">
        <v>1453</v>
      </c>
      <c r="CB15" s="4" t="s">
        <v>2018</v>
      </c>
      <c r="CC15" s="4" t="s">
        <v>2020</v>
      </c>
      <c r="CD15" s="4" t="s">
        <v>2019</v>
      </c>
      <c r="CE15" s="4" t="s">
        <v>1453</v>
      </c>
      <c r="CF15" s="4" t="s">
        <v>1453</v>
      </c>
      <c r="CG15" s="4" t="s">
        <v>1453</v>
      </c>
      <c r="CI15" s="350" t="s">
        <v>1896</v>
      </c>
      <c r="DF15" s="350" t="s">
        <v>1763</v>
      </c>
      <c r="DH15" s="4" t="s">
        <v>1453</v>
      </c>
      <c r="DI15" s="4" t="s">
        <v>1453</v>
      </c>
      <c r="DJ15" s="4" t="s">
        <v>1453</v>
      </c>
      <c r="DK15" s="4" t="s">
        <v>1453</v>
      </c>
      <c r="DL15" s="4" t="s">
        <v>1453</v>
      </c>
      <c r="DM15" s="286" t="s">
        <v>2029</v>
      </c>
      <c r="DN15" s="286" t="s">
        <v>2030</v>
      </c>
      <c r="DO15" s="286" t="s">
        <v>2031</v>
      </c>
    </row>
    <row r="16" spans="1:119" x14ac:dyDescent="0.2">
      <c r="AF16" s="350">
        <v>-4</v>
      </c>
      <c r="AH16" s="350">
        <f>AH19*$AF16+AH21</f>
        <v>-5.8813471502610843</v>
      </c>
      <c r="AI16" s="350">
        <f>AI19*$AF16+AI21</f>
        <v>-5.6782252896005012</v>
      </c>
      <c r="AJ16" s="350"/>
      <c r="AK16" s="350">
        <f t="shared" ref="AK16:AQ16" si="2">AK19*$AF16+AK21</f>
        <v>-2.5273948106662769</v>
      </c>
      <c r="AL16" s="350">
        <f t="shared" si="2"/>
        <v>-5.0625365869571315</v>
      </c>
      <c r="AM16" s="350">
        <f t="shared" si="2"/>
        <v>-4.9043554161533507</v>
      </c>
      <c r="AN16" s="350">
        <f t="shared" si="2"/>
        <v>-5.7140427603647321</v>
      </c>
      <c r="AO16" s="350">
        <f t="shared" si="2"/>
        <v>-4.8998450451938229</v>
      </c>
      <c r="AP16" s="350">
        <f t="shared" si="2"/>
        <v>-5.861898704893445</v>
      </c>
      <c r="AQ16" s="350">
        <f t="shared" si="2"/>
        <v>-5.7140427603647321</v>
      </c>
      <c r="AS16" s="350">
        <f>AS19*$AF16+AS21</f>
        <v>-4.03</v>
      </c>
      <c r="AT16" s="350">
        <f>AT19*$AF16+AT21</f>
        <v>-5.6999999999999993</v>
      </c>
      <c r="BV16" s="350">
        <v>-10</v>
      </c>
      <c r="BX16" s="350">
        <f>BX19*$BV16+BX21</f>
        <v>15.487374819069439</v>
      </c>
      <c r="BY16" s="350">
        <f>BY19*$BV16+BY21</f>
        <v>15.329231647186067</v>
      </c>
      <c r="BZ16" s="350"/>
      <c r="CA16" s="350">
        <f t="shared" ref="CA16:CG16" si="3">CA19*$BV16+CA21</f>
        <v>6.7777314137525764</v>
      </c>
      <c r="CB16" s="350">
        <f t="shared" si="3"/>
        <v>14.071325367588424</v>
      </c>
      <c r="CC16" s="350">
        <f t="shared" si="3"/>
        <v>15.274014042281507</v>
      </c>
      <c r="CD16" s="350">
        <f t="shared" si="3"/>
        <v>13.196579202820971</v>
      </c>
      <c r="CE16" s="350">
        <f t="shared" si="3"/>
        <v>14.03280204318761</v>
      </c>
      <c r="CF16" s="350">
        <f t="shared" si="3"/>
        <v>14.048915499538941</v>
      </c>
      <c r="CG16" s="350">
        <f t="shared" si="3"/>
        <v>13.196579202820971</v>
      </c>
      <c r="CI16" s="350">
        <f>CI24*$BV16+CI25</f>
        <v>15.000000000000002</v>
      </c>
      <c r="DF16" s="350">
        <v>0</v>
      </c>
      <c r="DH16" s="350">
        <f>DH19*$DF16+DH21</f>
        <v>-11.544039442954228</v>
      </c>
      <c r="DI16" s="350">
        <f>DI19*$DF16+DI21</f>
        <v>-11.144149973159493</v>
      </c>
      <c r="DJ16" s="350"/>
      <c r="DK16" s="350">
        <f>DK19*$DF16+DK21</f>
        <v>-11.831797114778391</v>
      </c>
      <c r="DL16" s="350">
        <f>DL19*$DF16+DL21</f>
        <v>-11.688825593282482</v>
      </c>
      <c r="DM16" s="350">
        <f>DM19*$DF16+DM21</f>
        <v>-10.68834533786805</v>
      </c>
      <c r="DN16" s="350">
        <f>DN19*$DF16+DN21</f>
        <v>-11.000207624215786</v>
      </c>
      <c r="DO16" s="350">
        <f>DO19*$DF16+DO21</f>
        <v>-12.281718730545032</v>
      </c>
    </row>
    <row r="17" spans="1:121" x14ac:dyDescent="0.2">
      <c r="AF17" s="350">
        <v>9</v>
      </c>
      <c r="AH17" s="350">
        <f>AH19*$AF17+AH21</f>
        <v>9.0943009893807023</v>
      </c>
      <c r="AI17" s="350">
        <f>AI19*$AF17+AI21</f>
        <v>9.0355429684696489</v>
      </c>
      <c r="AJ17" s="350"/>
      <c r="AK17" s="350">
        <f t="shared" ref="AK17:AQ17" si="4">AK19*$AF17+AK21</f>
        <v>4.5105033928622582</v>
      </c>
      <c r="AL17" s="350">
        <f t="shared" si="4"/>
        <v>9.1777394449022172</v>
      </c>
      <c r="AM17" s="350">
        <f t="shared" si="4"/>
        <v>8.8580530089497316</v>
      </c>
      <c r="AN17" s="350">
        <f t="shared" si="4"/>
        <v>7.0181413501348366</v>
      </c>
      <c r="AO17" s="350">
        <f t="shared" si="4"/>
        <v>9.104451433742927</v>
      </c>
      <c r="AP17" s="350">
        <f t="shared" si="4"/>
        <v>9.1238355557095581</v>
      </c>
      <c r="AQ17" s="350">
        <f t="shared" si="4"/>
        <v>7.0181413501348366</v>
      </c>
      <c r="AS17" s="350">
        <f>AS19*$AF17+AS21</f>
        <v>8.84</v>
      </c>
      <c r="AT17" s="350">
        <f>AT19*$AF17+AT21</f>
        <v>9.1199999999999992</v>
      </c>
      <c r="BV17" s="350">
        <v>10</v>
      </c>
      <c r="BX17" s="350">
        <f>BX19*$BV17+BX21</f>
        <v>-6.0672996923058857</v>
      </c>
      <c r="BY17" s="350">
        <f>BY19*$BV17+BY21</f>
        <v>-5.8831448753514017</v>
      </c>
      <c r="BZ17" s="350"/>
      <c r="CA17" s="350">
        <f t="shared" ref="CA17:CG17" si="5">CA19*$BV17+CA21</f>
        <v>-2.0636404503445207</v>
      </c>
      <c r="CB17" s="350">
        <f t="shared" si="5"/>
        <v>-4.4757611845500289</v>
      </c>
      <c r="CC17" s="350">
        <f t="shared" si="5"/>
        <v>-5.841515013369226</v>
      </c>
      <c r="CD17" s="350">
        <f t="shared" si="5"/>
        <v>-5.8417396942388713</v>
      </c>
      <c r="CE17" s="350">
        <f t="shared" si="5"/>
        <v>-4.4135940378887195</v>
      </c>
      <c r="CF17" s="350">
        <f t="shared" si="5"/>
        <v>-4.5347718485257662</v>
      </c>
      <c r="CG17" s="350">
        <f t="shared" si="5"/>
        <v>-5.8417396942388713</v>
      </c>
      <c r="CI17" s="350">
        <f>CI24*$BV17+CI25</f>
        <v>-6.2000000000000011</v>
      </c>
      <c r="DF17" s="350">
        <v>600</v>
      </c>
      <c r="DH17" s="350">
        <f>DH19*$DF17+DH21</f>
        <v>-15.028093183488229</v>
      </c>
      <c r="DI17" s="350">
        <f>DI19*$DF17+DI21</f>
        <v>-15.529668467354284</v>
      </c>
      <c r="DJ17" s="350"/>
      <c r="DK17" s="350">
        <f>DK19*$DF17+DK21</f>
        <v>-14.137465233690699</v>
      </c>
      <c r="DL17" s="350">
        <f>DL19*$DF17+DL21</f>
        <v>-14.669393634959858</v>
      </c>
      <c r="DM17" s="350">
        <f>DM19*$DF17+DM21</f>
        <v>-17.428897734392315</v>
      </c>
      <c r="DN17" s="350">
        <f>DN19*$DF17+DN21</f>
        <v>-14.7770119958968</v>
      </c>
      <c r="DO17" s="350">
        <f>DO19*$DF17+DO21</f>
        <v>-13.528760677327998</v>
      </c>
    </row>
    <row r="19" spans="1:121" x14ac:dyDescent="0.2">
      <c r="T19" s="4"/>
      <c r="AE19" s="4" t="s">
        <v>769</v>
      </c>
      <c r="AF19" s="351" t="s">
        <v>2050</v>
      </c>
      <c r="AG19" s="1" t="s">
        <v>1899</v>
      </c>
      <c r="AH19" s="432">
        <f>SLOPE($AG47:$AG619,AH47:AH619)</f>
        <v>1.1519729338185991</v>
      </c>
      <c r="AI19" s="432">
        <f t="shared" ref="AI19:AQ19" si="6">SLOPE($AG47:$AG619,AI47:AI619)</f>
        <v>1.1318283275438576</v>
      </c>
      <c r="AJ19" s="432" t="e">
        <f t="shared" si="6"/>
        <v>#DIV/0!</v>
      </c>
      <c r="AK19" s="432">
        <f t="shared" si="6"/>
        <v>0.5413767848868104</v>
      </c>
      <c r="AL19" s="432">
        <f t="shared" si="6"/>
        <v>1.0954058486045652</v>
      </c>
      <c r="AM19" s="432">
        <f t="shared" si="6"/>
        <v>1.0586468019310062</v>
      </c>
      <c r="AN19" s="432">
        <f t="shared" si="6"/>
        <v>0.97939877773073614</v>
      </c>
      <c r="AO19" s="432">
        <f t="shared" si="6"/>
        <v>1.0772535753028269</v>
      </c>
      <c r="AP19" s="432">
        <f t="shared" si="6"/>
        <v>1.152748789277154</v>
      </c>
      <c r="AQ19" s="432">
        <f t="shared" si="6"/>
        <v>0.97939877773073614</v>
      </c>
      <c r="AS19" s="350">
        <v>0.99</v>
      </c>
      <c r="AT19" s="350">
        <v>1.1399999999999999</v>
      </c>
      <c r="BV19" s="351" t="s">
        <v>2050</v>
      </c>
      <c r="BW19" s="1" t="s">
        <v>1899</v>
      </c>
      <c r="BX19" s="432">
        <f>SLOPE($AG47:$AG619,BX47:BX619)</f>
        <v>-1.0777337255687662</v>
      </c>
      <c r="BY19" s="432">
        <f t="shared" ref="BY19:CG19" si="7">SLOPE($AG47:$AG619,BY47:BY619)</f>
        <v>-1.0606188261268734</v>
      </c>
      <c r="BZ19" s="432" t="e">
        <f t="shared" si="7"/>
        <v>#DIV/0!</v>
      </c>
      <c r="CA19" s="432">
        <f t="shared" si="7"/>
        <v>-0.44206859320485486</v>
      </c>
      <c r="CB19" s="432">
        <f t="shared" si="7"/>
        <v>-0.92735432760692271</v>
      </c>
      <c r="CC19" s="432">
        <f t="shared" si="7"/>
        <v>-1.0557764527825366</v>
      </c>
      <c r="CD19" s="432">
        <f t="shared" si="7"/>
        <v>-0.95191594485299214</v>
      </c>
      <c r="CE19" s="432">
        <f t="shared" si="7"/>
        <v>-0.92231980405381642</v>
      </c>
      <c r="CF19" s="432">
        <f t="shared" si="7"/>
        <v>-0.9291843674032354</v>
      </c>
      <c r="CG19" s="432">
        <f t="shared" si="7"/>
        <v>-0.95191594485299214</v>
      </c>
      <c r="DF19" s="351" t="s">
        <v>2050</v>
      </c>
      <c r="DG19" s="1"/>
      <c r="DH19" s="432">
        <f t="shared" ref="DH19:DO19" si="8">SLOPE($DG47:$DG619,DH47:DH619)</f>
        <v>-5.8067562342233358E-3</v>
      </c>
      <c r="DI19" s="432">
        <f t="shared" si="8"/>
        <v>-7.3091974903246506E-3</v>
      </c>
      <c r="DJ19" s="432" t="e">
        <f t="shared" si="8"/>
        <v>#DIV/0!</v>
      </c>
      <c r="DK19" s="432">
        <f t="shared" si="8"/>
        <v>-3.8427801981871811E-3</v>
      </c>
      <c r="DL19" s="432">
        <f t="shared" si="8"/>
        <v>-4.9676134027956276E-3</v>
      </c>
      <c r="DM19" s="509">
        <f>SLOPE($DG47:$DG619,DM47:DM619)</f>
        <v>-1.123425399420711E-2</v>
      </c>
      <c r="DN19" s="433">
        <f t="shared" si="8"/>
        <v>-6.2946739528016871E-3</v>
      </c>
      <c r="DO19" s="433">
        <f t="shared" si="8"/>
        <v>-2.0784032446382753E-3</v>
      </c>
    </row>
    <row r="20" spans="1:121" x14ac:dyDescent="0.2">
      <c r="AF20" s="350" t="s">
        <v>2046</v>
      </c>
      <c r="AH20" s="137">
        <f t="shared" ref="AH20:AQ20" si="9">AH25/SQRT(AH23)*SQRT(1+AVERAGE(AH47:AH619)^2/VAR(AH47:AH619))</f>
        <v>0.1019418173416619</v>
      </c>
      <c r="AI20" s="137">
        <f t="shared" si="9"/>
        <v>0.11227022075157074</v>
      </c>
      <c r="AJ20" s="137" t="e">
        <f t="shared" si="9"/>
        <v>#DIV/0!</v>
      </c>
      <c r="AK20" s="137">
        <f t="shared" si="9"/>
        <v>0.46597231647021231</v>
      </c>
      <c r="AL20" s="137">
        <f t="shared" si="9"/>
        <v>0.10778228657555629</v>
      </c>
      <c r="AM20" s="137">
        <f t="shared" si="9"/>
        <v>0.15901345499940706</v>
      </c>
      <c r="AN20" s="137">
        <f t="shared" si="9"/>
        <v>0.39055962479906597</v>
      </c>
      <c r="AO20" s="137">
        <f t="shared" si="9"/>
        <v>0.15132686933438858</v>
      </c>
      <c r="AP20" s="137">
        <f t="shared" si="9"/>
        <v>0.52179857023008913</v>
      </c>
      <c r="AQ20" s="137">
        <f t="shared" si="9"/>
        <v>0.39055962479906597</v>
      </c>
      <c r="BV20" s="350" t="s">
        <v>2046</v>
      </c>
      <c r="BX20" s="137">
        <f t="shared" ref="BX20:CG20" si="10">BX25/SQRT(BX23)*SQRT(1+AVERAGE(BX47:BX619)^2/VAR(BX47:BX619))</f>
        <v>2.5886020388358782E-2</v>
      </c>
      <c r="BY20" s="137">
        <f t="shared" si="10"/>
        <v>2.6685943279798129E-2</v>
      </c>
      <c r="BZ20" s="137" t="e">
        <f t="shared" si="10"/>
        <v>#DIV/0!</v>
      </c>
      <c r="CA20" s="137">
        <f t="shared" si="10"/>
        <v>0.39347809287181751</v>
      </c>
      <c r="CB20" s="137">
        <f t="shared" si="10"/>
        <v>2.6285008495743757E-2</v>
      </c>
      <c r="CC20" s="137">
        <f t="shared" si="10"/>
        <v>4.892394102359892E-2</v>
      </c>
      <c r="CD20" s="137">
        <f t="shared" si="10"/>
        <v>0.33689862369357554</v>
      </c>
      <c r="CE20" s="137">
        <f t="shared" si="10"/>
        <v>4.8801898028899511E-2</v>
      </c>
      <c r="CF20" s="137">
        <f t="shared" si="10"/>
        <v>0.30500795589229468</v>
      </c>
      <c r="CG20" s="137">
        <f t="shared" si="10"/>
        <v>0.33689862369357554</v>
      </c>
      <c r="DF20" s="350" t="s">
        <v>2046</v>
      </c>
      <c r="DH20" s="137">
        <f t="shared" ref="DH20:DO20" si="11">DH25/SQRT(DH23)*SQRT(1+AVERAGE(DH47:DH619)^2/VAR(DH47:DH619))</f>
        <v>5.9421380512820685E-2</v>
      </c>
      <c r="DI20" s="137">
        <f t="shared" si="11"/>
        <v>0.43796781246314709</v>
      </c>
      <c r="DJ20" s="137" t="e">
        <f t="shared" si="11"/>
        <v>#DIV/0!</v>
      </c>
      <c r="DK20" s="137">
        <f t="shared" si="11"/>
        <v>0.30639980351488855</v>
      </c>
      <c r="DL20" s="137">
        <f>DL25/SQRT(DL23)*SQRT(1+AVERAGE(DL47:DL619)^2/VAR(DL47:DL619))</f>
        <v>0.20001720906355261</v>
      </c>
      <c r="DM20" s="510">
        <f>DM25/SQRT(DM23)*SQRT(1+AVERAGE(DM47:DM619)^2/VAR(DM47:DM619))</f>
        <v>0.15915938714518915</v>
      </c>
      <c r="DN20" s="137">
        <f t="shared" si="11"/>
        <v>5.0294382558565498E-2</v>
      </c>
      <c r="DO20" s="137" t="e">
        <f t="shared" si="11"/>
        <v>#DIV/0!</v>
      </c>
      <c r="DQ20" s="507">
        <f>DM20^2</f>
        <v>2.5331710516432203E-2</v>
      </c>
    </row>
    <row r="21" spans="1:121" x14ac:dyDescent="0.2">
      <c r="AF21" s="351" t="s">
        <v>2051</v>
      </c>
      <c r="AG21" s="1"/>
      <c r="AH21" s="432">
        <f>INTERCEPT($AG47:$AG619,AH47:AH619)</f>
        <v>-1.2734554149866879</v>
      </c>
      <c r="AI21" s="432">
        <f t="shared" ref="AI21:AQ21" si="12">INTERCEPT($AG47:$AG619,AI47:AI619)</f>
        <v>-1.1509119794250706</v>
      </c>
      <c r="AJ21" s="432" t="e">
        <f t="shared" si="12"/>
        <v>#DIV/0!</v>
      </c>
      <c r="AK21" s="432">
        <f t="shared" si="12"/>
        <v>-0.3618876711190353</v>
      </c>
      <c r="AL21" s="432">
        <f t="shared" si="12"/>
        <v>-0.6809131925388705</v>
      </c>
      <c r="AM21" s="432">
        <f t="shared" si="12"/>
        <v>-0.66976820842932572</v>
      </c>
      <c r="AN21" s="432">
        <f t="shared" si="12"/>
        <v>-1.7964476494417876</v>
      </c>
      <c r="AO21" s="432">
        <f t="shared" si="12"/>
        <v>-0.59083074398251512</v>
      </c>
      <c r="AP21" s="432">
        <f t="shared" si="12"/>
        <v>-1.2509035477848292</v>
      </c>
      <c r="AQ21" s="432">
        <f t="shared" si="12"/>
        <v>-1.7964476494417876</v>
      </c>
      <c r="AS21" s="350">
        <v>-7.0000000000000007E-2</v>
      </c>
      <c r="AT21" s="350">
        <v>-1.1399999999999999</v>
      </c>
      <c r="BV21" s="351" t="s">
        <v>2051</v>
      </c>
      <c r="BW21" s="1"/>
      <c r="BX21" s="432">
        <f>INTERCEPT($AG47:$AG619,BX47:BX619)</f>
        <v>4.7100375633817766</v>
      </c>
      <c r="BY21" s="432">
        <f t="shared" ref="BY21:CG21" si="13">INTERCEPT($AG47:$AG619,BY47:BY619)</f>
        <v>4.7230433859173324</v>
      </c>
      <c r="BZ21" s="432" t="e">
        <f t="shared" si="13"/>
        <v>#DIV/0!</v>
      </c>
      <c r="CA21" s="432">
        <f t="shared" si="13"/>
        <v>2.3570454817040276</v>
      </c>
      <c r="CB21" s="432">
        <f t="shared" si="13"/>
        <v>4.7977820915191973</v>
      </c>
      <c r="CC21" s="432">
        <f t="shared" si="13"/>
        <v>4.7162495144561403</v>
      </c>
      <c r="CD21" s="432">
        <f t="shared" si="13"/>
        <v>3.6774197542910492</v>
      </c>
      <c r="CE21" s="432">
        <f t="shared" si="13"/>
        <v>4.8096040026494453</v>
      </c>
      <c r="CF21" s="432">
        <f t="shared" si="13"/>
        <v>4.7570718255065874</v>
      </c>
      <c r="CG21" s="432">
        <f t="shared" si="13"/>
        <v>3.6774197542910492</v>
      </c>
      <c r="DF21" s="351" t="s">
        <v>2051</v>
      </c>
      <c r="DG21" s="1"/>
      <c r="DH21" s="432">
        <f t="shared" ref="DH21:DO21" si="14">INTERCEPT($DG47:$DG619,DH47:DH619)</f>
        <v>-11.544039442954228</v>
      </c>
      <c r="DI21" s="432">
        <f t="shared" si="14"/>
        <v>-11.144149973159493</v>
      </c>
      <c r="DJ21" s="432" t="e">
        <f t="shared" si="14"/>
        <v>#DIV/0!</v>
      </c>
      <c r="DK21" s="432">
        <f t="shared" si="14"/>
        <v>-11.831797114778391</v>
      </c>
      <c r="DL21" s="432">
        <f t="shared" si="14"/>
        <v>-11.688825593282482</v>
      </c>
      <c r="DM21" s="508">
        <f>INTERCEPT($DG47:$DG619,DM47:DM619)</f>
        <v>-10.68834533786805</v>
      </c>
      <c r="DN21" s="432">
        <f t="shared" si="14"/>
        <v>-11.000207624215786</v>
      </c>
      <c r="DO21" s="432">
        <f t="shared" si="14"/>
        <v>-12.281718730545032</v>
      </c>
    </row>
    <row r="22" spans="1:121" x14ac:dyDescent="0.2">
      <c r="AF22" s="350" t="s">
        <v>2048</v>
      </c>
      <c r="AG22" s="4"/>
      <c r="AH22" s="434">
        <f t="shared" ref="AH22:AQ22" si="15">AH25/SQRT(AH23)/STDEV(AH47:AH619)</f>
        <v>1.8474152522392168E-2</v>
      </c>
      <c r="AI22" s="434">
        <f t="shared" si="15"/>
        <v>2.0374769432146014E-2</v>
      </c>
      <c r="AJ22" s="434" t="e">
        <f t="shared" si="15"/>
        <v>#DIV/0!</v>
      </c>
      <c r="AK22" s="434">
        <f t="shared" si="15"/>
        <v>0.14511638913647854</v>
      </c>
      <c r="AL22" s="434">
        <f t="shared" si="15"/>
        <v>2.2798287609682614E-2</v>
      </c>
      <c r="AM22" s="434">
        <f t="shared" si="15"/>
        <v>2.4774566060929031E-2</v>
      </c>
      <c r="AN22" s="434">
        <f t="shared" si="15"/>
        <v>0.14280876208457813</v>
      </c>
      <c r="AO22" s="434">
        <f t="shared" si="15"/>
        <v>3.9056076346998536E-2</v>
      </c>
      <c r="AP22" s="434">
        <f t="shared" si="15"/>
        <v>8.1783178781447363E-2</v>
      </c>
      <c r="AQ22" s="434">
        <f t="shared" si="15"/>
        <v>0.14280876208457813</v>
      </c>
      <c r="BV22" s="350" t="s">
        <v>2048</v>
      </c>
      <c r="BW22" s="4"/>
      <c r="BX22" s="434">
        <f t="shared" ref="BX22:CG22" si="16">BX25/SQRT(BX23)/STDEV(BX47:BX619)</f>
        <v>1.4188250266493934E-2</v>
      </c>
      <c r="BY22" s="434">
        <f t="shared" si="16"/>
        <v>1.4710191773628745E-2</v>
      </c>
      <c r="BZ22" s="434" t="e">
        <f t="shared" si="16"/>
        <v>#DIV/0!</v>
      </c>
      <c r="CA22" s="434">
        <f t="shared" si="16"/>
        <v>0.13475972808542905</v>
      </c>
      <c r="CB22" s="434">
        <f t="shared" si="16"/>
        <v>1.609555306748715E-2</v>
      </c>
      <c r="CC22" s="434">
        <f t="shared" si="16"/>
        <v>3.3506755004076169E-2</v>
      </c>
      <c r="CD22" s="434">
        <f t="shared" si="16"/>
        <v>9.098055336838072E-2</v>
      </c>
      <c r="CE22" s="434">
        <f t="shared" si="16"/>
        <v>2.2765754919451799E-2</v>
      </c>
      <c r="CF22" s="434">
        <f t="shared" si="16"/>
        <v>0.19821480611487777</v>
      </c>
      <c r="CG22" s="434">
        <f t="shared" si="16"/>
        <v>9.098055336838072E-2</v>
      </c>
      <c r="DF22" s="350" t="s">
        <v>2048</v>
      </c>
      <c r="DG22" s="4"/>
      <c r="DH22" s="434">
        <f>DH25/SQRT(DH23)/STDEV(DH47:DH619)</f>
        <v>2.6893848724811754E-4</v>
      </c>
      <c r="DI22" s="434">
        <f>DI25/SQRT(DI23)/STDEV(DI47:DI619)</f>
        <v>1.5318735016000931E-3</v>
      </c>
      <c r="DJ22" s="4"/>
      <c r="DK22" s="434">
        <f>DK25/SQRT(DK23)/STDEV(DK47:DK619)</f>
        <v>2.2623659157503394E-3</v>
      </c>
      <c r="DL22" s="434">
        <f>DL25/SQRT(DL23)/STDEV(DL47:DL619)</f>
        <v>6.3078015114487402E-4</v>
      </c>
      <c r="DM22" s="511">
        <f>DM25/SQRT(DM23)/STDEV(DM47:DM619)</f>
        <v>8.0382356643392706E-4</v>
      </c>
      <c r="DN22" s="434">
        <f>DN25/SQRT(DN23)/STDEV(DN47:DN619)</f>
        <v>1.5297853774365929E-4</v>
      </c>
      <c r="DO22" s="434" t="e">
        <f>DO25/SQRT(DO23)/STDEV(DO47:DO619)</f>
        <v>#DIV/0!</v>
      </c>
      <c r="DQ22" s="507">
        <f>DM22^2</f>
        <v>6.4613232595455795E-7</v>
      </c>
    </row>
    <row r="23" spans="1:121" ht="15" x14ac:dyDescent="0.25">
      <c r="AF23" s="350" t="s">
        <v>1412</v>
      </c>
      <c r="AH23" s="350">
        <f t="shared" ref="AH23:AQ23" si="17">COUNT(AH47:AH619)</f>
        <v>366</v>
      </c>
      <c r="AI23" s="350">
        <f t="shared" si="17"/>
        <v>312</v>
      </c>
      <c r="AJ23" s="350">
        <f t="shared" si="17"/>
        <v>0</v>
      </c>
      <c r="AK23" s="350">
        <f t="shared" si="17"/>
        <v>9</v>
      </c>
      <c r="AL23" s="350">
        <f t="shared" si="17"/>
        <v>126</v>
      </c>
      <c r="AM23" s="350">
        <f t="shared" si="17"/>
        <v>138</v>
      </c>
      <c r="AN23" s="350">
        <f t="shared" si="17"/>
        <v>16</v>
      </c>
      <c r="AO23" s="350">
        <f t="shared" si="17"/>
        <v>48</v>
      </c>
      <c r="AP23" s="350">
        <f t="shared" si="17"/>
        <v>24</v>
      </c>
      <c r="AQ23" s="350">
        <f t="shared" si="17"/>
        <v>16</v>
      </c>
      <c r="BV23" s="350" t="s">
        <v>1412</v>
      </c>
      <c r="BX23" s="350">
        <f t="shared" ref="BX23:CG23" si="18">COUNT(BX47:BX619)</f>
        <v>279</v>
      </c>
      <c r="BY23" s="350">
        <f t="shared" si="18"/>
        <v>225</v>
      </c>
      <c r="BZ23" s="350">
        <f t="shared" si="18"/>
        <v>0</v>
      </c>
      <c r="CA23" s="350">
        <f t="shared" si="18"/>
        <v>8</v>
      </c>
      <c r="CB23" s="350">
        <f t="shared" si="18"/>
        <v>103</v>
      </c>
      <c r="CC23" s="350">
        <f t="shared" si="18"/>
        <v>78</v>
      </c>
      <c r="CD23" s="350">
        <f t="shared" si="18"/>
        <v>16</v>
      </c>
      <c r="CE23" s="350">
        <f t="shared" si="18"/>
        <v>48</v>
      </c>
      <c r="CF23" s="350">
        <f t="shared" si="18"/>
        <v>7</v>
      </c>
      <c r="CG23" s="350">
        <f t="shared" si="18"/>
        <v>16</v>
      </c>
      <c r="DF23" s="350" t="s">
        <v>1412</v>
      </c>
      <c r="DH23" s="350">
        <f t="shared" ref="DH23:DO23" si="19">COUNT(DH47:DH619)</f>
        <v>231</v>
      </c>
      <c r="DI23" s="350">
        <f t="shared" si="19"/>
        <v>25</v>
      </c>
      <c r="DJ23" s="350">
        <f t="shared" si="19"/>
        <v>0</v>
      </c>
      <c r="DK23" s="350">
        <f t="shared" si="19"/>
        <v>8</v>
      </c>
      <c r="DL23" s="350">
        <f t="shared" si="19"/>
        <v>66</v>
      </c>
      <c r="DM23" s="350">
        <f t="shared" si="19"/>
        <v>21</v>
      </c>
      <c r="DN23" s="350">
        <f t="shared" si="19"/>
        <v>39</v>
      </c>
      <c r="DO23" s="350">
        <f t="shared" si="19"/>
        <v>2</v>
      </c>
      <c r="DQ23" s="505" t="s">
        <v>2132</v>
      </c>
    </row>
    <row r="24" spans="1:121" ht="15" x14ac:dyDescent="0.25">
      <c r="A24" s="1" t="s">
        <v>2005</v>
      </c>
      <c r="AF24" s="350" t="s">
        <v>1649</v>
      </c>
      <c r="AH24" s="353">
        <f t="shared" ref="AH24:AQ24" si="20">RSQ($AG47:$AG619,AH47:AH619)</f>
        <v>0.914184098959681</v>
      </c>
      <c r="AI24" s="353">
        <f t="shared" si="20"/>
        <v>0.90844562091805281</v>
      </c>
      <c r="AJ24" s="353" t="e">
        <f t="shared" si="20"/>
        <v>#DIV/0!</v>
      </c>
      <c r="AK24" s="353">
        <f t="shared" si="20"/>
        <v>0.66957567256032202</v>
      </c>
      <c r="AL24" s="353">
        <f t="shared" si="20"/>
        <v>0.94863854371039369</v>
      </c>
      <c r="AM24" s="353">
        <f t="shared" si="20"/>
        <v>0.93021072257084847</v>
      </c>
      <c r="AN24" s="353">
        <f t="shared" si="20"/>
        <v>0.75901175666770659</v>
      </c>
      <c r="AO24" s="353">
        <f t="shared" si="20"/>
        <v>0.94184059557378219</v>
      </c>
      <c r="AP24" s="353">
        <f t="shared" si="20"/>
        <v>0.89641992697030537</v>
      </c>
      <c r="AQ24" s="353">
        <f t="shared" si="20"/>
        <v>0.75901175666770659</v>
      </c>
      <c r="BV24" s="350" t="s">
        <v>1649</v>
      </c>
      <c r="BX24" s="353">
        <f t="shared" ref="BX24:CG24" si="21">RSQ($AG47:$AG619,BX47:BX619)</f>
        <v>0.95403389397901084</v>
      </c>
      <c r="BY24" s="353">
        <f t="shared" si="21"/>
        <v>0.95869178993672199</v>
      </c>
      <c r="BZ24" s="353" t="e">
        <f t="shared" si="21"/>
        <v>#DIV/0!</v>
      </c>
      <c r="CA24" s="353">
        <f t="shared" si="21"/>
        <v>0.61079434933591958</v>
      </c>
      <c r="CB24" s="353">
        <f t="shared" si="21"/>
        <v>0.97019175488452503</v>
      </c>
      <c r="CC24" s="353">
        <f t="shared" si="21"/>
        <v>0.9280378767554136</v>
      </c>
      <c r="CD24" s="353">
        <f t="shared" si="21"/>
        <v>0.87996154477327126</v>
      </c>
      <c r="CE24" s="353">
        <f t="shared" si="21"/>
        <v>0.97217428173162468</v>
      </c>
      <c r="CF24" s="353">
        <f t="shared" si="21"/>
        <v>0.79023178494967528</v>
      </c>
      <c r="CG24" s="353">
        <f t="shared" si="21"/>
        <v>0.87996154477327126</v>
      </c>
      <c r="CI24" s="350">
        <v>-1.06</v>
      </c>
      <c r="DE24" t="s">
        <v>2139</v>
      </c>
      <c r="DF24" s="350" t="s">
        <v>1649</v>
      </c>
      <c r="DH24" s="353">
        <f t="shared" ref="DH24:DO24" si="22">RSQ($DG47:$DG619,DH47:DH619)</f>
        <v>0.66963374366281025</v>
      </c>
      <c r="DI24" s="353">
        <f t="shared" si="22"/>
        <v>0.48724470954149152</v>
      </c>
      <c r="DJ24" s="353" t="e">
        <f t="shared" si="22"/>
        <v>#DIV/0!</v>
      </c>
      <c r="DK24" s="353">
        <f t="shared" si="22"/>
        <v>0.29614547419398773</v>
      </c>
      <c r="DL24" s="353">
        <f t="shared" si="22"/>
        <v>0.48833318652376217</v>
      </c>
      <c r="DM24" s="353">
        <f>RSQ($DG47:$DG619,DM47:DM619)</f>
        <v>0.90732961282386893</v>
      </c>
      <c r="DN24" s="353">
        <f t="shared" si="22"/>
        <v>0.97806364913564958</v>
      </c>
      <c r="DO24" s="353">
        <f t="shared" si="22"/>
        <v>1.0000000000000004</v>
      </c>
      <c r="DQ24" s="505" t="s">
        <v>2133</v>
      </c>
    </row>
    <row r="25" spans="1:121" ht="15" x14ac:dyDescent="0.25">
      <c r="A25" s="4" t="s">
        <v>1995</v>
      </c>
      <c r="AF25" s="350" t="s">
        <v>2045</v>
      </c>
      <c r="AH25" s="354">
        <f t="shared" ref="AH25:AQ25" si="23">STEYX($AG47:$AG619,AH47:AH619)</f>
        <v>0.55756596938609104</v>
      </c>
      <c r="AI25" s="354">
        <f t="shared" si="23"/>
        <v>0.55831413391705609</v>
      </c>
      <c r="AJ25" s="354" t="e">
        <f t="shared" si="23"/>
        <v>#DIV/0!</v>
      </c>
      <c r="AK25" s="354">
        <f t="shared" si="23"/>
        <v>0.50338752093934058</v>
      </c>
      <c r="AL25" s="513">
        <f>STEYX($AG47:$AG619,AL47:AL619)</f>
        <v>0.31397265933858859</v>
      </c>
      <c r="AM25" s="354">
        <f t="shared" si="23"/>
        <v>0.21271029410287909</v>
      </c>
      <c r="AN25" s="354">
        <f t="shared" si="23"/>
        <v>0.81445266740438382</v>
      </c>
      <c r="AO25" s="354">
        <f t="shared" si="23"/>
        <v>0.33392864275709672</v>
      </c>
      <c r="AP25" s="354">
        <f t="shared" si="23"/>
        <v>0.19505419213667591</v>
      </c>
      <c r="AQ25" s="354">
        <f t="shared" si="23"/>
        <v>0.81445266740438382</v>
      </c>
      <c r="BV25" s="350" t="s">
        <v>2045</v>
      </c>
      <c r="BX25" s="354">
        <f t="shared" ref="BX25:CG25" si="24">STEYX($AG47:$AG619,BX47:BX619)</f>
        <v>0.43144056957022731</v>
      </c>
      <c r="BY25" s="354">
        <f t="shared" si="24"/>
        <v>0.39857094296748669</v>
      </c>
      <c r="BZ25" s="354" t="e">
        <f t="shared" si="24"/>
        <v>#DIV/0!</v>
      </c>
      <c r="CA25" s="354">
        <f t="shared" si="24"/>
        <v>0.54633120405814162</v>
      </c>
      <c r="CB25" s="354">
        <f t="shared" si="24"/>
        <v>0.24787150058926663</v>
      </c>
      <c r="CC25" s="354">
        <f t="shared" si="24"/>
        <v>0.19491414540086643</v>
      </c>
      <c r="CD25" s="354">
        <f t="shared" si="24"/>
        <v>0.57481503742624984</v>
      </c>
      <c r="CE25" s="354">
        <f t="shared" si="24"/>
        <v>0.23097601744802346</v>
      </c>
      <c r="CF25" s="354">
        <f t="shared" si="24"/>
        <v>0.33937933473374282</v>
      </c>
      <c r="CG25" s="354">
        <f t="shared" si="24"/>
        <v>0.57481503742624984</v>
      </c>
      <c r="CI25" s="350">
        <v>4.4000000000000004</v>
      </c>
      <c r="CJ25" s="4" t="s">
        <v>2049</v>
      </c>
      <c r="DE25" s="505" t="s">
        <v>2138</v>
      </c>
      <c r="DF25" s="350" t="s">
        <v>2045</v>
      </c>
      <c r="DH25" s="354">
        <f t="shared" ref="DH25:DO25" si="25">STEYX($DG47:$DG619,DH47:DH619)</f>
        <v>0.51950137587030076</v>
      </c>
      <c r="DI25" s="354">
        <f t="shared" si="25"/>
        <v>0.82586097302150263</v>
      </c>
      <c r="DJ25" s="354" t="e">
        <f t="shared" si="25"/>
        <v>#DIV/0!</v>
      </c>
      <c r="DK25" s="354">
        <f t="shared" si="25"/>
        <v>0.22781876205664123</v>
      </c>
      <c r="DL25" s="354">
        <f t="shared" si="25"/>
        <v>0.43562233581228865</v>
      </c>
      <c r="DM25" s="513">
        <f>STEYX($DG47:$DG619,DM47:DM619)</f>
        <v>0.19572319998707396</v>
      </c>
      <c r="DN25" s="354">
        <f t="shared" si="25"/>
        <v>4.9484973476397062E-2</v>
      </c>
      <c r="DO25" s="354" t="e">
        <f t="shared" si="25"/>
        <v>#DIV/0!</v>
      </c>
      <c r="DQ25">
        <f>DM25/SQRT(DM23)</f>
        <v>4.2710303771416491E-2</v>
      </c>
    </row>
    <row r="26" spans="1:121" x14ac:dyDescent="0.2">
      <c r="A26" s="4" t="s">
        <v>1555</v>
      </c>
      <c r="AF26" s="350" t="s">
        <v>2047</v>
      </c>
      <c r="AH26" s="138">
        <f t="shared" ref="AH26:AQ26" si="26">SQRT(AH25^2+(AH25/SQRT(AH23))^2)</f>
        <v>0.55832715195127647</v>
      </c>
      <c r="AI26" s="138">
        <f t="shared" si="26"/>
        <v>0.55920815231821652</v>
      </c>
      <c r="AJ26" s="138" t="e">
        <f t="shared" si="26"/>
        <v>#DIV/0!</v>
      </c>
      <c r="AK26" s="138">
        <f t="shared" si="26"/>
        <v>0.53061703729133958</v>
      </c>
      <c r="AL26" s="138">
        <f t="shared" si="26"/>
        <v>0.31521612028139939</v>
      </c>
      <c r="AM26" s="138">
        <f t="shared" si="26"/>
        <v>0.21347959243350376</v>
      </c>
      <c r="AN26" s="138">
        <f t="shared" si="26"/>
        <v>0.83951859369358106</v>
      </c>
      <c r="AO26" s="138">
        <f t="shared" si="26"/>
        <v>0.3373891356253883</v>
      </c>
      <c r="AP26" s="138">
        <f t="shared" si="26"/>
        <v>0.19907635121901954</v>
      </c>
      <c r="AQ26" s="138">
        <f t="shared" si="26"/>
        <v>0.83951859369358106</v>
      </c>
      <c r="BV26" s="350" t="s">
        <v>2047</v>
      </c>
      <c r="BX26" s="138">
        <f t="shared" ref="BX26:CG26" si="27">SQRT(BX25^2+(BX25/SQRT(BX23))^2)</f>
        <v>0.43221306897050171</v>
      </c>
      <c r="BY26" s="138">
        <f t="shared" si="27"/>
        <v>0.39945567422918615</v>
      </c>
      <c r="BZ26" s="138" t="e">
        <f t="shared" si="27"/>
        <v>#DIV/0!</v>
      </c>
      <c r="CA26" s="138">
        <f t="shared" si="27"/>
        <v>0.57947174874498508</v>
      </c>
      <c r="CB26" s="138">
        <f t="shared" si="27"/>
        <v>0.2490718538594833</v>
      </c>
      <c r="CC26" s="138">
        <f t="shared" si="27"/>
        <v>0.19615961587150041</v>
      </c>
      <c r="CD26" s="138">
        <f t="shared" si="27"/>
        <v>0.59250577862544918</v>
      </c>
      <c r="CE26" s="138">
        <f t="shared" si="27"/>
        <v>0.23336961523743707</v>
      </c>
      <c r="CF26" s="138">
        <f t="shared" si="27"/>
        <v>0.36281176992141001</v>
      </c>
      <c r="CG26" s="138">
        <f t="shared" si="27"/>
        <v>0.59250577862544918</v>
      </c>
      <c r="DF26" s="350" t="s">
        <v>2047</v>
      </c>
      <c r="DH26" s="138">
        <f t="shared" ref="DH26:DO26" si="28">SQRT(DH25^2+(DH25/SQRT(DH23))^2)</f>
        <v>0.52062462339976279</v>
      </c>
      <c r="DI26" s="138">
        <f t="shared" si="28"/>
        <v>0.84221624339027323</v>
      </c>
      <c r="DJ26" s="138" t="e">
        <f t="shared" si="28"/>
        <v>#DIV/0!</v>
      </c>
      <c r="DK26" s="138">
        <f t="shared" si="28"/>
        <v>0.24163828729766332</v>
      </c>
      <c r="DL26" s="138">
        <f t="shared" si="28"/>
        <v>0.43891009819647064</v>
      </c>
      <c r="DM26" s="137">
        <f>SQRT(DM25^2+(DM25/SQRT(DM23))^2)</f>
        <v>0.20032908191629797</v>
      </c>
      <c r="DN26" s="138">
        <f t="shared" si="28"/>
        <v>5.0115380718638393E-2</v>
      </c>
      <c r="DO26" s="138" t="e">
        <f t="shared" si="28"/>
        <v>#DIV/0!</v>
      </c>
      <c r="DQ26" s="507"/>
    </row>
    <row r="27" spans="1:121" x14ac:dyDescent="0.2">
      <c r="A27" s="4" t="s">
        <v>2002</v>
      </c>
    </row>
    <row r="28" spans="1:121" x14ac:dyDescent="0.2">
      <c r="A28" s="4" t="s">
        <v>2003</v>
      </c>
      <c r="DM28" s="4" t="s">
        <v>2035</v>
      </c>
      <c r="DN28" s="4" t="s">
        <v>2036</v>
      </c>
      <c r="DO28" s="4" t="s">
        <v>2037</v>
      </c>
    </row>
    <row r="29" spans="1:121" x14ac:dyDescent="0.2">
      <c r="A29" s="4" t="s">
        <v>2004</v>
      </c>
      <c r="AF29" s="350" t="s">
        <v>1763</v>
      </c>
      <c r="AH29" s="4" t="s">
        <v>1453</v>
      </c>
      <c r="AI29" s="4" t="s">
        <v>1453</v>
      </c>
      <c r="AJ29" s="4" t="s">
        <v>1453</v>
      </c>
      <c r="AK29" s="4" t="s">
        <v>1453</v>
      </c>
      <c r="AL29" s="1" t="s">
        <v>2018</v>
      </c>
      <c r="AM29" s="1" t="s">
        <v>2020</v>
      </c>
      <c r="AN29" s="1" t="s">
        <v>2019</v>
      </c>
      <c r="AO29" s="4" t="s">
        <v>1453</v>
      </c>
      <c r="AP29" s="4" t="s">
        <v>1453</v>
      </c>
      <c r="AQ29" s="4" t="s">
        <v>1453</v>
      </c>
      <c r="BV29" s="350" t="s">
        <v>1763</v>
      </c>
      <c r="BX29" s="4" t="s">
        <v>1453</v>
      </c>
      <c r="BY29" s="4" t="s">
        <v>1453</v>
      </c>
      <c r="BZ29" s="4" t="s">
        <v>1453</v>
      </c>
      <c r="CA29" s="4" t="s">
        <v>1453</v>
      </c>
      <c r="CB29" s="1" t="s">
        <v>2018</v>
      </c>
      <c r="CC29" s="1" t="s">
        <v>2020</v>
      </c>
      <c r="CD29" s="1" t="s">
        <v>2019</v>
      </c>
      <c r="CE29" s="4" t="s">
        <v>1453</v>
      </c>
      <c r="CF29" s="4" t="s">
        <v>1453</v>
      </c>
      <c r="CG29" s="4" t="s">
        <v>1453</v>
      </c>
      <c r="DF29" s="350" t="s">
        <v>1763</v>
      </c>
      <c r="DH29" s="4" t="s">
        <v>1453</v>
      </c>
      <c r="DI29" s="4" t="s">
        <v>1453</v>
      </c>
      <c r="DJ29" s="4" t="s">
        <v>1453</v>
      </c>
      <c r="DK29" s="4" t="s">
        <v>1453</v>
      </c>
      <c r="DL29" s="4" t="s">
        <v>1453</v>
      </c>
      <c r="DM29" s="4" t="s">
        <v>2038</v>
      </c>
      <c r="DN29" s="4" t="s">
        <v>2039</v>
      </c>
      <c r="DO29" s="4" t="s">
        <v>2040</v>
      </c>
      <c r="DP29" s="4" t="s">
        <v>2028</v>
      </c>
    </row>
    <row r="30" spans="1:121" x14ac:dyDescent="0.2">
      <c r="A30" s="4" t="s">
        <v>1868</v>
      </c>
      <c r="AF30" s="350">
        <v>-4</v>
      </c>
      <c r="AH30" s="350">
        <f t="shared" ref="AH30:AQ30" si="29">AH33*$AF30+AH35</f>
        <v>-7.645072019156161</v>
      </c>
      <c r="AI30" s="350">
        <f t="shared" si="29"/>
        <v>-8.3028472703121459</v>
      </c>
      <c r="AJ30" s="350">
        <f t="shared" si="29"/>
        <v>-1.3671667766793132</v>
      </c>
      <c r="AK30" s="350">
        <f t="shared" si="29"/>
        <v>-3.8356657033480204</v>
      </c>
      <c r="AL30" s="350">
        <f t="shared" si="29"/>
        <v>-6.1046480090875441</v>
      </c>
      <c r="AM30" s="350" t="e">
        <f t="shared" si="29"/>
        <v>#DIV/0!</v>
      </c>
      <c r="AN30" s="350">
        <f t="shared" si="29"/>
        <v>-7.529379491567334</v>
      </c>
      <c r="AO30" s="350">
        <f t="shared" si="29"/>
        <v>-7.2030895176251271</v>
      </c>
      <c r="AP30" s="350" t="e">
        <f t="shared" si="29"/>
        <v>#DIV/0!</v>
      </c>
      <c r="AQ30" s="350">
        <f t="shared" si="29"/>
        <v>-7.529379491567334</v>
      </c>
      <c r="BV30" s="350">
        <v>-10</v>
      </c>
      <c r="BX30" s="350" t="e">
        <f t="shared" ref="BX30:CG30" si="30">BX33*$BV30+BX35</f>
        <v>#DIV/0!</v>
      </c>
      <c r="BY30" s="350" t="e">
        <f t="shared" si="30"/>
        <v>#DIV/0!</v>
      </c>
      <c r="BZ30" s="350">
        <f t="shared" si="30"/>
        <v>15.200640695409717</v>
      </c>
      <c r="CA30" s="350">
        <f t="shared" si="30"/>
        <v>9.9545865623089984</v>
      </c>
      <c r="CB30" s="350" t="e">
        <f t="shared" si="30"/>
        <v>#DIV/0!</v>
      </c>
      <c r="CC30" s="350" t="e">
        <f t="shared" si="30"/>
        <v>#DIV/0!</v>
      </c>
      <c r="CD30" s="350">
        <f t="shared" si="30"/>
        <v>16.181744418005813</v>
      </c>
      <c r="CE30" s="350" t="e">
        <f t="shared" si="30"/>
        <v>#DIV/0!</v>
      </c>
      <c r="CF30" s="350" t="e">
        <f t="shared" si="30"/>
        <v>#DIV/0!</v>
      </c>
      <c r="CG30" s="350">
        <f t="shared" si="30"/>
        <v>16.181744418005813</v>
      </c>
      <c r="DF30" s="350">
        <v>0</v>
      </c>
      <c r="DH30" s="350">
        <f t="shared" ref="DH30:DP30" si="31">DH33*$DF30+DH35</f>
        <v>-11.932453863744543</v>
      </c>
      <c r="DI30" s="350">
        <f t="shared" si="31"/>
        <v>-11.746900332245584</v>
      </c>
      <c r="DJ30" s="350">
        <f t="shared" si="31"/>
        <v>-12.217507232410197</v>
      </c>
      <c r="DK30" s="350">
        <f t="shared" si="31"/>
        <v>-12.141810131971244</v>
      </c>
      <c r="DL30" s="350" t="e">
        <f t="shared" si="31"/>
        <v>#DIV/0!</v>
      </c>
      <c r="DM30" s="350">
        <f t="shared" si="31"/>
        <v>-12.302167471093723</v>
      </c>
      <c r="DN30" s="350" t="e">
        <f t="shared" si="31"/>
        <v>#DIV/0!</v>
      </c>
      <c r="DO30" s="350" t="e">
        <f t="shared" si="31"/>
        <v>#DIV/0!</v>
      </c>
      <c r="DP30" s="350">
        <f t="shared" si="31"/>
        <v>-11.18834533786805</v>
      </c>
    </row>
    <row r="31" spans="1:121" x14ac:dyDescent="0.2">
      <c r="T31" s="4"/>
      <c r="AE31" s="4" t="s">
        <v>717</v>
      </c>
      <c r="AF31" s="350">
        <v>9</v>
      </c>
      <c r="AH31" s="350">
        <f t="shared" ref="AH31:AQ31" si="32">AH33*$AF31+AH35</f>
        <v>10.095356916446484</v>
      </c>
      <c r="AI31" s="350">
        <f t="shared" si="32"/>
        <v>10.634345353765042</v>
      </c>
      <c r="AJ31" s="350">
        <f t="shared" si="32"/>
        <v>5.0845467526813204</v>
      </c>
      <c r="AK31" s="350">
        <f t="shared" si="32"/>
        <v>6.696986183948054</v>
      </c>
      <c r="AL31" s="350">
        <f t="shared" si="32"/>
        <v>9.132118096788794</v>
      </c>
      <c r="AM31" s="350" t="e">
        <f t="shared" si="32"/>
        <v>#DIV/0!</v>
      </c>
      <c r="AN31" s="350">
        <f t="shared" si="32"/>
        <v>8.4701600820604881</v>
      </c>
      <c r="AO31" s="350">
        <f t="shared" si="32"/>
        <v>9.8697971863917662</v>
      </c>
      <c r="AP31" s="350" t="e">
        <f t="shared" si="32"/>
        <v>#DIV/0!</v>
      </c>
      <c r="AQ31" s="350">
        <f t="shared" si="32"/>
        <v>8.4701600820604881</v>
      </c>
      <c r="BV31" s="350">
        <v>9</v>
      </c>
      <c r="BX31" s="350" t="e">
        <f t="shared" ref="BX31:CG31" si="33">BX33*$BV31+BX35</f>
        <v>#DIV/0!</v>
      </c>
      <c r="BY31" s="350" t="e">
        <f t="shared" si="33"/>
        <v>#DIV/0!</v>
      </c>
      <c r="BZ31" s="350">
        <f t="shared" si="33"/>
        <v>-4.3661076898801534</v>
      </c>
      <c r="CA31" s="350">
        <f t="shared" si="33"/>
        <v>-2.6077123856396565</v>
      </c>
      <c r="CB31" s="350" t="e">
        <f t="shared" si="33"/>
        <v>#DIV/0!</v>
      </c>
      <c r="CC31" s="350" t="e">
        <f t="shared" si="33"/>
        <v>#DIV/0!</v>
      </c>
      <c r="CD31" s="350">
        <f t="shared" si="33"/>
        <v>-6.5111008480993728</v>
      </c>
      <c r="CE31" s="350" t="e">
        <f t="shared" si="33"/>
        <v>#DIV/0!</v>
      </c>
      <c r="CF31" s="350" t="e">
        <f t="shared" si="33"/>
        <v>#DIV/0!</v>
      </c>
      <c r="CG31" s="350">
        <f t="shared" si="33"/>
        <v>-6.5111008480993728</v>
      </c>
      <c r="DF31" s="350">
        <v>600</v>
      </c>
      <c r="DH31" s="350">
        <f t="shared" ref="DH31:DP31" si="34">DH33*$DF31+DH35</f>
        <v>-12.753962244705763</v>
      </c>
      <c r="DI31" s="350">
        <f t="shared" si="34"/>
        <v>-11.901441463342772</v>
      </c>
      <c r="DJ31" s="350">
        <f t="shared" si="34"/>
        <v>-9.576126194964182</v>
      </c>
      <c r="DK31" s="350">
        <f t="shared" si="34"/>
        <v>-13.570605086596712</v>
      </c>
      <c r="DL31" s="350" t="e">
        <f t="shared" si="34"/>
        <v>#DIV/0!</v>
      </c>
      <c r="DM31" s="350">
        <f t="shared" si="34"/>
        <v>-13.620002450257358</v>
      </c>
      <c r="DN31" s="350" t="e">
        <f t="shared" si="34"/>
        <v>#DIV/0!</v>
      </c>
      <c r="DO31" s="350" t="e">
        <f t="shared" si="34"/>
        <v>#DIV/0!</v>
      </c>
      <c r="DP31" s="350">
        <f t="shared" si="34"/>
        <v>-17.928897734392315</v>
      </c>
    </row>
    <row r="32" spans="1:121" x14ac:dyDescent="0.2">
      <c r="A32" s="4" t="s">
        <v>2052</v>
      </c>
    </row>
    <row r="33" spans="1:168" x14ac:dyDescent="0.2">
      <c r="A33" s="181" t="s">
        <v>1662</v>
      </c>
      <c r="AF33" s="351" t="s">
        <v>2050</v>
      </c>
      <c r="AH33" s="432">
        <f>SLOPE($AG620:$AG927,AH620:AH927)</f>
        <v>1.3646483796617419</v>
      </c>
      <c r="AI33" s="432">
        <f t="shared" ref="AI33:AQ33" si="35">SLOPE($AG620:$AG927,AI620:AI927)</f>
        <v>1.4567071249290144</v>
      </c>
      <c r="AJ33" s="432">
        <f t="shared" si="35"/>
        <v>0.49628565610466413</v>
      </c>
      <c r="AK33" s="432">
        <f t="shared" si="35"/>
        <v>0.81020399133046728</v>
      </c>
      <c r="AL33" s="432">
        <f>SLOPE($AG620:$AG927,AL620:AL927)</f>
        <v>1.1720589312212568</v>
      </c>
      <c r="AM33" s="432" t="e">
        <f t="shared" si="35"/>
        <v>#DIV/0!</v>
      </c>
      <c r="AN33" s="432">
        <f t="shared" si="35"/>
        <v>1.2307338133559864</v>
      </c>
      <c r="AO33" s="432">
        <f t="shared" si="35"/>
        <v>1.3132989772320687</v>
      </c>
      <c r="AP33" s="432" t="e">
        <f t="shared" si="35"/>
        <v>#DIV/0!</v>
      </c>
      <c r="AQ33" s="432">
        <f t="shared" si="35"/>
        <v>1.2307338133559864</v>
      </c>
      <c r="BV33" s="351" t="s">
        <v>2050</v>
      </c>
      <c r="BX33" s="432" t="e">
        <f>SLOPE($AG620:$AG927,BX620:BX927)</f>
        <v>#DIV/0!</v>
      </c>
      <c r="BY33" s="432" t="e">
        <f>SLOPE($AG620:$AG927,BY620:BY927)</f>
        <v>#DIV/0!</v>
      </c>
      <c r="BZ33" s="432">
        <f t="shared" ref="BZ33:CG33" si="36">SLOPE($AG620:$AG927,BZ620:BZ927)</f>
        <v>-1.0298288623836773</v>
      </c>
      <c r="CA33" s="432">
        <f t="shared" si="36"/>
        <v>-0.66117362883940289</v>
      </c>
      <c r="CB33" s="432" t="e">
        <f t="shared" si="36"/>
        <v>#DIV/0!</v>
      </c>
      <c r="CC33" s="432" t="e">
        <f t="shared" si="36"/>
        <v>#DIV/0!</v>
      </c>
      <c r="CD33" s="432">
        <f t="shared" si="36"/>
        <v>-1.1943602771634307</v>
      </c>
      <c r="CE33" s="432" t="e">
        <f t="shared" si="36"/>
        <v>#DIV/0!</v>
      </c>
      <c r="CF33" s="432" t="e">
        <f t="shared" si="36"/>
        <v>#DIV/0!</v>
      </c>
      <c r="CG33" s="432">
        <f t="shared" si="36"/>
        <v>-1.1943602771634307</v>
      </c>
      <c r="DF33" s="351" t="s">
        <v>2050</v>
      </c>
      <c r="DH33" s="432">
        <f t="shared" ref="DH33:DO33" si="37">SLOPE($DG620:$DG927,DH620:DH927)</f>
        <v>-1.3691806349353654E-3</v>
      </c>
      <c r="DI33" s="432">
        <f t="shared" si="37"/>
        <v>-2.5756855182864621E-4</v>
      </c>
      <c r="DJ33" s="432">
        <f t="shared" si="37"/>
        <v>4.4023017290766913E-3</v>
      </c>
      <c r="DK33" s="432">
        <f t="shared" si="37"/>
        <v>-2.3813249243757805E-3</v>
      </c>
      <c r="DL33" s="432" t="e">
        <f t="shared" si="37"/>
        <v>#DIV/0!</v>
      </c>
      <c r="DM33" s="433">
        <f t="shared" si="37"/>
        <v>-2.196391631939393E-3</v>
      </c>
      <c r="DN33" s="433" t="e">
        <f t="shared" si="37"/>
        <v>#DIV/0!</v>
      </c>
      <c r="DO33" s="433" t="e">
        <f t="shared" si="37"/>
        <v>#DIV/0!</v>
      </c>
      <c r="DP33" s="415">
        <f>DM19</f>
        <v>-1.123425399420711E-2</v>
      </c>
    </row>
    <row r="34" spans="1:168" x14ac:dyDescent="0.2">
      <c r="AF34" s="350" t="s">
        <v>2046</v>
      </c>
      <c r="AH34" s="137">
        <f t="shared" ref="AH34:AQ34" si="38">AH39/SQRT(AH37)*SQRT(1+AVERAGE(AH620:AH927)^2/VAR(AH620:AH927))</f>
        <v>0.21172804014102667</v>
      </c>
      <c r="AI34" s="137">
        <f t="shared" si="38"/>
        <v>0.24428268536389988</v>
      </c>
      <c r="AJ34" s="137">
        <f t="shared" si="38"/>
        <v>1.8053231284253093</v>
      </c>
      <c r="AK34" s="137">
        <f t="shared" si="38"/>
        <v>0.58548039197125878</v>
      </c>
      <c r="AL34" s="137">
        <f t="shared" si="38"/>
        <v>0.33332057725259745</v>
      </c>
      <c r="AM34" s="137" t="e">
        <f t="shared" si="38"/>
        <v>#DIV/0!</v>
      </c>
      <c r="AN34" s="137">
        <f t="shared" si="38"/>
        <v>0.37251152887237454</v>
      </c>
      <c r="AO34" s="137">
        <f t="shared" si="38"/>
        <v>0.41385284292484836</v>
      </c>
      <c r="AP34" s="137" t="e">
        <f t="shared" si="38"/>
        <v>#DIV/0!</v>
      </c>
      <c r="AQ34" s="137">
        <f t="shared" si="38"/>
        <v>0.37251152887237454</v>
      </c>
      <c r="BV34" s="350" t="s">
        <v>2046</v>
      </c>
      <c r="BX34" s="137" t="e">
        <f t="shared" ref="BX34:CG34" si="39">BX39/SQRT(BX37)*SQRT(1+AVERAGE(BX620:BX927)^2/VAR(BX620:BX927))</f>
        <v>#DIV/0!</v>
      </c>
      <c r="BY34" s="137" t="e">
        <f t="shared" si="39"/>
        <v>#DIV/0!</v>
      </c>
      <c r="BZ34" s="137">
        <f t="shared" si="39"/>
        <v>0.26184324331317749</v>
      </c>
      <c r="CA34" s="137">
        <f t="shared" si="39"/>
        <v>0.79448203192414169</v>
      </c>
      <c r="CB34" s="137" t="e">
        <f t="shared" si="39"/>
        <v>#DIV/0!</v>
      </c>
      <c r="CC34" s="137" t="e">
        <f t="shared" si="39"/>
        <v>#DIV/0!</v>
      </c>
      <c r="CD34" s="137">
        <f t="shared" si="39"/>
        <v>0.65006623476377845</v>
      </c>
      <c r="CE34" s="137" t="e">
        <f t="shared" si="39"/>
        <v>#DIV/0!</v>
      </c>
      <c r="CF34" s="137" t="e">
        <f t="shared" si="39"/>
        <v>#DIV/0!</v>
      </c>
      <c r="CG34" s="137">
        <f t="shared" si="39"/>
        <v>0.65006623476377845</v>
      </c>
      <c r="DF34" s="350" t="s">
        <v>2046</v>
      </c>
      <c r="DH34" s="137">
        <f t="shared" ref="DH34:DO34" si="40">DH39/SQRT(DH37)*SQRT(1+AVERAGE(DH620:DH927)^2/VAR(DH620:DH927))</f>
        <v>0.14537310016460858</v>
      </c>
      <c r="DI34" s="137">
        <f t="shared" si="40"/>
        <v>0.28611139358714743</v>
      </c>
      <c r="DJ34" s="137">
        <f t="shared" si="40"/>
        <v>0.38554679911362466</v>
      </c>
      <c r="DK34" s="137">
        <f t="shared" si="40"/>
        <v>0.31616790162738101</v>
      </c>
      <c r="DL34" s="137" t="e">
        <f t="shared" si="40"/>
        <v>#DIV/0!</v>
      </c>
      <c r="DM34" s="137">
        <f t="shared" si="40"/>
        <v>0.16497233237332387</v>
      </c>
      <c r="DN34" s="137" t="e">
        <f t="shared" si="40"/>
        <v>#DIV/0!</v>
      </c>
      <c r="DO34" s="137" t="e">
        <f t="shared" si="40"/>
        <v>#DIV/0!</v>
      </c>
    </row>
    <row r="35" spans="1:168" x14ac:dyDescent="0.2">
      <c r="AF35" s="351" t="s">
        <v>2051</v>
      </c>
      <c r="AH35" s="432">
        <f>INTERCEPT($AG620:$AG927,AH620:AH927)</f>
        <v>-2.1864785005091933</v>
      </c>
      <c r="AI35" s="432">
        <f t="shared" ref="AI35:AQ35" si="41">INTERCEPT($AG620:$AG927,AI620:AI927)</f>
        <v>-2.476018770596089</v>
      </c>
      <c r="AJ35" s="432">
        <f t="shared" si="41"/>
        <v>0.61797584773934333</v>
      </c>
      <c r="AK35" s="432">
        <f t="shared" si="41"/>
        <v>-0.59484973802615104</v>
      </c>
      <c r="AL35" s="432">
        <f t="shared" si="41"/>
        <v>-1.4164122842025169</v>
      </c>
      <c r="AM35" s="432" t="e">
        <f t="shared" si="41"/>
        <v>#DIV/0!</v>
      </c>
      <c r="AN35" s="432">
        <f t="shared" si="41"/>
        <v>-2.6064442381433883</v>
      </c>
      <c r="AO35" s="432">
        <f t="shared" si="41"/>
        <v>-1.9498936086968519</v>
      </c>
      <c r="AP35" s="432" t="e">
        <f t="shared" si="41"/>
        <v>#DIV/0!</v>
      </c>
      <c r="AQ35" s="432">
        <f t="shared" si="41"/>
        <v>-2.6064442381433883</v>
      </c>
      <c r="BV35" s="351" t="s">
        <v>2051</v>
      </c>
      <c r="BX35" s="432" t="e">
        <f>INTERCEPT($AG620:$AG927,BX620:BX927)</f>
        <v>#DIV/0!</v>
      </c>
      <c r="BY35" s="432" t="e">
        <f>INTERCEPT($AG620:$AG927,BY620:BY927)</f>
        <v>#DIV/0!</v>
      </c>
      <c r="BZ35" s="432">
        <f t="shared" ref="BZ35:CG35" si="42">INTERCEPT($AG620:$AG927,BZ620:BZ927)</f>
        <v>4.9023520715729427</v>
      </c>
      <c r="CA35" s="432">
        <f t="shared" si="42"/>
        <v>3.3428502739149693</v>
      </c>
      <c r="CB35" s="432" t="e">
        <f t="shared" si="42"/>
        <v>#DIV/0!</v>
      </c>
      <c r="CC35" s="432" t="e">
        <f t="shared" si="42"/>
        <v>#DIV/0!</v>
      </c>
      <c r="CD35" s="432">
        <f t="shared" si="42"/>
        <v>4.2381416463715045</v>
      </c>
      <c r="CE35" s="432" t="e">
        <f t="shared" si="42"/>
        <v>#DIV/0!</v>
      </c>
      <c r="CF35" s="432" t="e">
        <f t="shared" si="42"/>
        <v>#DIV/0!</v>
      </c>
      <c r="CG35" s="432">
        <f t="shared" si="42"/>
        <v>4.2381416463715045</v>
      </c>
      <c r="DF35" s="351" t="s">
        <v>2051</v>
      </c>
      <c r="DH35" s="432">
        <f t="shared" ref="DH35:DO35" si="43">INTERCEPT($DG620:$DG927,DH620:DH927)</f>
        <v>-11.932453863744543</v>
      </c>
      <c r="DI35" s="432">
        <f t="shared" si="43"/>
        <v>-11.746900332245584</v>
      </c>
      <c r="DJ35" s="432">
        <f t="shared" si="43"/>
        <v>-12.217507232410197</v>
      </c>
      <c r="DK35" s="432">
        <f t="shared" si="43"/>
        <v>-12.141810131971244</v>
      </c>
      <c r="DL35" s="432" t="e">
        <f t="shared" si="43"/>
        <v>#DIV/0!</v>
      </c>
      <c r="DM35" s="432">
        <f t="shared" si="43"/>
        <v>-12.302167471093723</v>
      </c>
      <c r="DN35" s="432" t="e">
        <f t="shared" si="43"/>
        <v>#DIV/0!</v>
      </c>
      <c r="DO35" s="432" t="e">
        <f t="shared" si="43"/>
        <v>#DIV/0!</v>
      </c>
      <c r="DP35" s="414">
        <f>DM21-0.5</f>
        <v>-11.18834533786805</v>
      </c>
    </row>
    <row r="36" spans="1:168" x14ac:dyDescent="0.2">
      <c r="AF36" s="350" t="s">
        <v>2048</v>
      </c>
      <c r="AH36" s="434">
        <f t="shared" ref="AH36:AQ36" si="44">AH39/SQRT(AH37)/STDEV(AH620:AH927)</f>
        <v>7.7824877033883716E-2</v>
      </c>
      <c r="AI36" s="434">
        <f t="shared" si="44"/>
        <v>8.6792310941417553E-2</v>
      </c>
      <c r="AJ36" s="434">
        <f t="shared" si="44"/>
        <v>0.62222246555426919</v>
      </c>
      <c r="AK36" s="434">
        <f t="shared" si="44"/>
        <v>0.22005319518625552</v>
      </c>
      <c r="AL36" s="434">
        <f t="shared" si="44"/>
        <v>0.10868178253023723</v>
      </c>
      <c r="AM36" s="434" t="e">
        <f t="shared" si="44"/>
        <v>#DIV/0!</v>
      </c>
      <c r="AN36" s="434">
        <f t="shared" si="44"/>
        <v>0.17339129128250516</v>
      </c>
      <c r="AO36" s="434">
        <f t="shared" si="44"/>
        <v>0.12967412027868602</v>
      </c>
      <c r="AP36" s="434" t="e">
        <f t="shared" si="44"/>
        <v>#DIV/0!</v>
      </c>
      <c r="AQ36" s="434">
        <f t="shared" si="44"/>
        <v>0.17339129128250516</v>
      </c>
      <c r="BV36" s="350" t="s">
        <v>2048</v>
      </c>
      <c r="BX36" s="434" t="e">
        <f t="shared" ref="BX36:CG36" si="45">BX39/SQRT(BX37)/STDEV(BX620:BX927)</f>
        <v>#DIV/0!</v>
      </c>
      <c r="BY36" s="434" t="e">
        <f t="shared" si="45"/>
        <v>#DIV/0!</v>
      </c>
      <c r="BZ36" s="434">
        <f t="shared" si="45"/>
        <v>9.9756611414605068E-2</v>
      </c>
      <c r="CA36" s="434">
        <f t="shared" si="45"/>
        <v>0.24638617557093764</v>
      </c>
      <c r="CB36" s="434" t="e">
        <f t="shared" si="45"/>
        <v>#DIV/0!</v>
      </c>
      <c r="CC36" s="434" t="e">
        <f t="shared" si="45"/>
        <v>#DIV/0!</v>
      </c>
      <c r="CD36" s="434">
        <f t="shared" si="45"/>
        <v>0.14778218021084208</v>
      </c>
      <c r="CE36" s="434" t="e">
        <f t="shared" si="45"/>
        <v>#DIV/0!</v>
      </c>
      <c r="CF36" s="434" t="e">
        <f t="shared" si="45"/>
        <v>#DIV/0!</v>
      </c>
      <c r="CG36" s="434">
        <f t="shared" si="45"/>
        <v>0.14778218021084208</v>
      </c>
      <c r="DF36" s="350" t="s">
        <v>2048</v>
      </c>
      <c r="DH36" s="434">
        <f>DH39/SQRT(DH37)/STDEV(DH620:DH927)</f>
        <v>1.4911838784401274E-3</v>
      </c>
      <c r="DI36" s="434">
        <f>DI39/SQRT(DI37)/STDEV(DI620:DI927)</f>
        <v>2.7707098188018671E-3</v>
      </c>
      <c r="DJ36" s="4"/>
      <c r="DK36" s="434">
        <f>DK39/SQRT(DK37)/STDEV(DK620:DK927)</f>
        <v>2.9236585316995416E-3</v>
      </c>
      <c r="DL36" s="434" t="e">
        <f>DL39/SQRT(DL37)/STDEV(DL620:DL927)</f>
        <v>#DIV/0!</v>
      </c>
      <c r="DM36" s="434">
        <f>DM39/SQRT(DM37)/STDEV(DM620:DM927)</f>
        <v>1.5010745993826325E-3</v>
      </c>
      <c r="DN36" s="434" t="e">
        <f>DN39/SQRT(DN37)/STDEV(DN620:DN927)</f>
        <v>#DIV/0!</v>
      </c>
      <c r="DO36" s="434" t="e">
        <f>DO39/SQRT(DO37)/STDEV(DO620:DO927)</f>
        <v>#DIV/0!</v>
      </c>
    </row>
    <row r="37" spans="1:168" x14ac:dyDescent="0.2">
      <c r="AF37" s="350" t="s">
        <v>1412</v>
      </c>
      <c r="AH37" s="350">
        <f t="shared" ref="AH37:AQ37" si="46">COUNT(AH620:AH927)</f>
        <v>227</v>
      </c>
      <c r="AI37" s="350">
        <f t="shared" si="46"/>
        <v>128</v>
      </c>
      <c r="AJ37" s="350">
        <f t="shared" si="46"/>
        <v>5</v>
      </c>
      <c r="AK37" s="350">
        <f t="shared" si="46"/>
        <v>46</v>
      </c>
      <c r="AL37" s="350">
        <f t="shared" si="46"/>
        <v>101</v>
      </c>
      <c r="AM37" s="350">
        <f t="shared" si="46"/>
        <v>0</v>
      </c>
      <c r="AN37" s="350">
        <f t="shared" si="46"/>
        <v>28</v>
      </c>
      <c r="AO37" s="350">
        <f t="shared" si="46"/>
        <v>79</v>
      </c>
      <c r="AP37" s="350">
        <f t="shared" si="46"/>
        <v>0</v>
      </c>
      <c r="AQ37" s="350">
        <f t="shared" si="46"/>
        <v>28</v>
      </c>
      <c r="BV37" s="350" t="s">
        <v>1412</v>
      </c>
      <c r="BX37" s="350">
        <f t="shared" ref="BX37:CG37" si="47">COUNT(BX620:BX927)</f>
        <v>225</v>
      </c>
      <c r="BY37" s="350">
        <f t="shared" si="47"/>
        <v>134</v>
      </c>
      <c r="BZ37" s="350">
        <f t="shared" si="47"/>
        <v>5</v>
      </c>
      <c r="CA37" s="350">
        <f t="shared" si="47"/>
        <v>38</v>
      </c>
      <c r="CB37" s="350">
        <f t="shared" si="47"/>
        <v>99</v>
      </c>
      <c r="CC37" s="350">
        <f t="shared" si="47"/>
        <v>0</v>
      </c>
      <c r="CD37" s="350">
        <f t="shared" si="47"/>
        <v>28</v>
      </c>
      <c r="CE37" s="350">
        <f t="shared" si="47"/>
        <v>77</v>
      </c>
      <c r="CF37" s="350">
        <f t="shared" si="47"/>
        <v>0</v>
      </c>
      <c r="CG37" s="350">
        <f t="shared" si="47"/>
        <v>28</v>
      </c>
      <c r="DF37" s="350" t="s">
        <v>1412</v>
      </c>
      <c r="DH37" s="350">
        <f t="shared" ref="DH37:DO37" si="48">COUNT(DH620:DH927)</f>
        <v>176</v>
      </c>
      <c r="DI37" s="350">
        <f t="shared" si="48"/>
        <v>60</v>
      </c>
      <c r="DJ37" s="350">
        <f t="shared" si="48"/>
        <v>27</v>
      </c>
      <c r="DK37" s="350">
        <f t="shared" si="48"/>
        <v>54</v>
      </c>
      <c r="DL37" s="350">
        <f t="shared" si="48"/>
        <v>0</v>
      </c>
      <c r="DM37" s="350">
        <f t="shared" si="48"/>
        <v>42</v>
      </c>
      <c r="DN37" s="350">
        <f t="shared" si="48"/>
        <v>0</v>
      </c>
      <c r="DO37" s="350">
        <f t="shared" si="48"/>
        <v>1</v>
      </c>
      <c r="EB37" s="429" t="s">
        <v>1655</v>
      </c>
      <c r="EC37" s="430"/>
      <c r="ED37" s="430"/>
      <c r="EE37" s="431"/>
      <c r="EF37" s="429" t="s">
        <v>1879</v>
      </c>
      <c r="EG37" s="430"/>
      <c r="EH37" s="430"/>
      <c r="EI37" s="429" t="s">
        <v>1880</v>
      </c>
      <c r="EJ37" s="350"/>
    </row>
    <row r="38" spans="1:168" x14ac:dyDescent="0.2">
      <c r="AF38" s="350" t="s">
        <v>1649</v>
      </c>
      <c r="AH38" s="353">
        <f t="shared" ref="AH38:AQ38" si="49">RSQ($AG620:$AG927,AH620:AH927)</f>
        <v>0.57636440327865146</v>
      </c>
      <c r="AI38" s="353">
        <f t="shared" si="49"/>
        <v>0.68926950651378094</v>
      </c>
      <c r="AJ38" s="353">
        <f t="shared" si="49"/>
        <v>0.18655985325797395</v>
      </c>
      <c r="AK38" s="353">
        <f t="shared" si="49"/>
        <v>0.2315935279481095</v>
      </c>
      <c r="AL38" s="353">
        <f t="shared" si="49"/>
        <v>0.53770725775283434</v>
      </c>
      <c r="AM38" s="353" t="e">
        <f t="shared" si="49"/>
        <v>#DIV/0!</v>
      </c>
      <c r="AN38" s="353">
        <f t="shared" si="49"/>
        <v>0.65139253178519874</v>
      </c>
      <c r="AO38" s="353">
        <f t="shared" si="49"/>
        <v>0.56807502391450992</v>
      </c>
      <c r="AP38" s="353" t="e">
        <f t="shared" si="49"/>
        <v>#DIV/0!</v>
      </c>
      <c r="AQ38" s="353">
        <f t="shared" si="49"/>
        <v>0.65139253178519874</v>
      </c>
      <c r="BV38" s="350" t="s">
        <v>1649</v>
      </c>
      <c r="BX38" s="353" t="e">
        <f t="shared" ref="BX38:CG38" si="50">RSQ($AG620:$AG927,BX620:BX927)</f>
        <v>#DIV/0!</v>
      </c>
      <c r="BY38" s="353" t="e">
        <f t="shared" si="50"/>
        <v>#DIV/0!</v>
      </c>
      <c r="BZ38" s="353">
        <f t="shared" si="50"/>
        <v>0.96600886717048295</v>
      </c>
      <c r="CA38" s="353">
        <f t="shared" si="50"/>
        <v>0.163016290240663</v>
      </c>
      <c r="CB38" s="353" t="e">
        <f t="shared" si="50"/>
        <v>#DIV/0!</v>
      </c>
      <c r="CC38" s="353" t="e">
        <f t="shared" si="50"/>
        <v>#DIV/0!</v>
      </c>
      <c r="CD38" s="353">
        <f t="shared" si="50"/>
        <v>0.70781362025186167</v>
      </c>
      <c r="CE38" s="353" t="e">
        <f t="shared" si="50"/>
        <v>#DIV/0!</v>
      </c>
      <c r="CF38" s="353" t="e">
        <f t="shared" si="50"/>
        <v>#DIV/0!</v>
      </c>
      <c r="CG38" s="353">
        <f t="shared" si="50"/>
        <v>0.70781362025186167</v>
      </c>
      <c r="DF38" s="350" t="s">
        <v>1649</v>
      </c>
      <c r="DH38" s="353">
        <f t="shared" ref="DH38:DO38" si="51">RSQ($DG620:$DG927,DH620:DH927)</f>
        <v>4.7945513489135632E-3</v>
      </c>
      <c r="DI38" s="353">
        <f t="shared" si="51"/>
        <v>1.4649160165755175E-4</v>
      </c>
      <c r="DJ38" s="353">
        <f t="shared" si="51"/>
        <v>4.3108450432264613E-2</v>
      </c>
      <c r="DK38" s="353">
        <f t="shared" si="51"/>
        <v>1.2366831747791705E-2</v>
      </c>
      <c r="DL38" s="353" t="e">
        <f t="shared" si="51"/>
        <v>#DIV/0!</v>
      </c>
      <c r="DM38" s="353">
        <f t="shared" si="51"/>
        <v>4.9655857491837825E-2</v>
      </c>
      <c r="DN38" s="353" t="e">
        <f t="shared" si="51"/>
        <v>#DIV/0!</v>
      </c>
      <c r="DO38" s="353" t="e">
        <f t="shared" si="51"/>
        <v>#DIV/0!</v>
      </c>
      <c r="EB38" s="350" t="s">
        <v>1654</v>
      </c>
      <c r="EC38" s="350">
        <v>296</v>
      </c>
      <c r="ED38" s="350">
        <v>296</v>
      </c>
      <c r="EE38" s="350"/>
      <c r="EF38" s="350" t="s">
        <v>1561</v>
      </c>
      <c r="EG38" s="350">
        <v>-1.37E-2</v>
      </c>
      <c r="EH38" s="350">
        <v>-6.3E-3</v>
      </c>
      <c r="EI38" s="350">
        <f>-0.0145*1.2494</f>
        <v>-1.8116300000000002E-2</v>
      </c>
      <c r="EJ38" s="350"/>
    </row>
    <row r="39" spans="1:168" x14ac:dyDescent="0.2">
      <c r="AF39" s="350" t="s">
        <v>2045</v>
      </c>
      <c r="AH39" s="354">
        <f t="shared" ref="AH39:AQ39" si="52">STEYX($AG620:$AG927,AH620:AH927)</f>
        <v>1.2148394008525638</v>
      </c>
      <c r="AI39" s="354">
        <f t="shared" si="52"/>
        <v>1.2064311211192362</v>
      </c>
      <c r="AJ39" s="354">
        <f t="shared" si="52"/>
        <v>0.62876803949420323</v>
      </c>
      <c r="AK39" s="354">
        <f t="shared" si="52"/>
        <v>1.1668813222002414</v>
      </c>
      <c r="AL39" s="354">
        <f t="shared" si="52"/>
        <v>0.97913346548943903</v>
      </c>
      <c r="AM39" s="354" t="e">
        <f t="shared" si="52"/>
        <v>#DIV/0!</v>
      </c>
      <c r="AN39" s="354">
        <f t="shared" si="52"/>
        <v>1.3416057126953678</v>
      </c>
      <c r="AO39" s="354">
        <f t="shared" si="52"/>
        <v>1.0584754918188513</v>
      </c>
      <c r="AP39" s="354" t="e">
        <f t="shared" si="52"/>
        <v>#DIV/0!</v>
      </c>
      <c r="AQ39" s="354">
        <f t="shared" si="52"/>
        <v>1.3416057126953678</v>
      </c>
      <c r="BV39" s="350" t="s">
        <v>2045</v>
      </c>
      <c r="BX39" s="354" t="e">
        <f t="shared" ref="BX39:CG39" si="53">STEYX($AG620:$AG927,BX620:BX927)</f>
        <v>#DIV/0!</v>
      </c>
      <c r="BY39" s="354" t="e">
        <f t="shared" si="53"/>
        <v>#DIV/0!</v>
      </c>
      <c r="BZ39" s="354">
        <f t="shared" si="53"/>
        <v>0.10219073978430819</v>
      </c>
      <c r="CA39" s="354">
        <f t="shared" si="53"/>
        <v>1.27365560164529</v>
      </c>
      <c r="CB39" s="354" t="e">
        <f t="shared" si="53"/>
        <v>#DIV/0!</v>
      </c>
      <c r="CC39" s="354" t="e">
        <f t="shared" si="53"/>
        <v>#DIV/0!</v>
      </c>
      <c r="CD39" s="354">
        <f t="shared" si="53"/>
        <v>1.2282493393837479</v>
      </c>
      <c r="CE39" s="354" t="e">
        <f t="shared" si="53"/>
        <v>#DIV/0!</v>
      </c>
      <c r="CF39" s="354" t="e">
        <f t="shared" si="53"/>
        <v>#DIV/0!</v>
      </c>
      <c r="CG39" s="354">
        <f t="shared" si="53"/>
        <v>1.2282493393837479</v>
      </c>
      <c r="DF39" s="350" t="s">
        <v>2045</v>
      </c>
      <c r="DH39" s="354">
        <f t="shared" ref="DH39:DO39" si="54">STEYX($DG620:$DG927,DH620:DH927)</f>
        <v>0.56418670793885706</v>
      </c>
      <c r="DI39" s="354">
        <f t="shared" si="54"/>
        <v>0.56051996656571035</v>
      </c>
      <c r="DJ39" s="354">
        <f t="shared" si="54"/>
        <v>0.52769482327617123</v>
      </c>
      <c r="DK39" s="354">
        <f t="shared" si="54"/>
        <v>0.46377269942505267</v>
      </c>
      <c r="DL39" s="354" t="e">
        <f t="shared" si="54"/>
        <v>#DIV/0!</v>
      </c>
      <c r="DM39" s="354">
        <f t="shared" si="54"/>
        <v>0.22095482542953437</v>
      </c>
      <c r="DN39" s="354" t="e">
        <f t="shared" si="54"/>
        <v>#DIV/0!</v>
      </c>
      <c r="DO39" s="354" t="e">
        <f t="shared" si="54"/>
        <v>#DIV/0!</v>
      </c>
      <c r="DQ39">
        <v>78.11</v>
      </c>
      <c r="EB39" s="350"/>
      <c r="EC39" s="350">
        <v>11.5</v>
      </c>
      <c r="ED39" s="350">
        <v>14.5</v>
      </c>
      <c r="EE39" s="350"/>
      <c r="EF39" s="350" t="s">
        <v>1562</v>
      </c>
      <c r="EG39" s="350">
        <v>-10.01</v>
      </c>
      <c r="EH39" s="350">
        <v>-11</v>
      </c>
      <c r="EI39" s="350">
        <f>-10.1+0.0145*30.619</f>
        <v>-9.6560244999999991</v>
      </c>
      <c r="EJ39" s="350"/>
    </row>
    <row r="40" spans="1:168" x14ac:dyDescent="0.2">
      <c r="AF40" s="350" t="s">
        <v>2047</v>
      </c>
      <c r="AH40" s="138">
        <f t="shared" ref="AH40:AQ40" si="55">SQRT(AH39^2+(AH39/SQRT(AH37))^2)</f>
        <v>1.2175123180571625</v>
      </c>
      <c r="AI40" s="138">
        <f t="shared" si="55"/>
        <v>1.2111345741269552</v>
      </c>
      <c r="AJ40" s="138">
        <f t="shared" si="55"/>
        <v>0.68878087733854854</v>
      </c>
      <c r="AK40" s="138">
        <f t="shared" si="55"/>
        <v>1.1794966220410725</v>
      </c>
      <c r="AL40" s="138">
        <f t="shared" si="55"/>
        <v>0.98396872188585793</v>
      </c>
      <c r="AM40" s="138" t="e">
        <f t="shared" si="55"/>
        <v>#DIV/0!</v>
      </c>
      <c r="AN40" s="138">
        <f t="shared" si="55"/>
        <v>1.3653527901211955</v>
      </c>
      <c r="AO40" s="138">
        <f t="shared" si="55"/>
        <v>1.0651536368797394</v>
      </c>
      <c r="AP40" s="138" t="e">
        <f t="shared" si="55"/>
        <v>#DIV/0!</v>
      </c>
      <c r="AQ40" s="138">
        <f t="shared" si="55"/>
        <v>1.3653527901211955</v>
      </c>
      <c r="BV40" s="350" t="s">
        <v>2047</v>
      </c>
      <c r="BX40" s="138" t="e">
        <f t="shared" ref="BX40:CG40" si="56">SQRT(BX39^2+(BX39/SQRT(BX37))^2)</f>
        <v>#DIV/0!</v>
      </c>
      <c r="BY40" s="138" t="e">
        <f t="shared" si="56"/>
        <v>#DIV/0!</v>
      </c>
      <c r="BZ40" s="138">
        <f t="shared" si="56"/>
        <v>0.11194434669601241</v>
      </c>
      <c r="CA40" s="138">
        <f t="shared" si="56"/>
        <v>1.2903054011448385</v>
      </c>
      <c r="CB40" s="138" t="e">
        <f t="shared" si="56"/>
        <v>#DIV/0!</v>
      </c>
      <c r="CC40" s="138" t="e">
        <f t="shared" si="56"/>
        <v>#DIV/0!</v>
      </c>
      <c r="CD40" s="138">
        <f t="shared" si="56"/>
        <v>1.2499899535482244</v>
      </c>
      <c r="CE40" s="138" t="e">
        <f t="shared" si="56"/>
        <v>#DIV/0!</v>
      </c>
      <c r="CF40" s="138" t="e">
        <f t="shared" si="56"/>
        <v>#DIV/0!</v>
      </c>
      <c r="CG40" s="138">
        <f t="shared" si="56"/>
        <v>1.2499899535482244</v>
      </c>
      <c r="DF40" s="350" t="s">
        <v>2047</v>
      </c>
      <c r="DH40" s="138">
        <f t="shared" ref="DH40:DO40" si="57">SQRT(DH39^2+(DH39/SQRT(DH37))^2)</f>
        <v>0.56578724082244003</v>
      </c>
      <c r="DI40" s="138">
        <f t="shared" si="57"/>
        <v>0.56517166430575649</v>
      </c>
      <c r="DJ40" s="138">
        <f t="shared" si="57"/>
        <v>0.53737810477764436</v>
      </c>
      <c r="DK40" s="138">
        <f t="shared" si="57"/>
        <v>0.46804719254500343</v>
      </c>
      <c r="DL40" s="138" t="e">
        <f t="shared" si="57"/>
        <v>#DIV/0!</v>
      </c>
      <c r="DM40" s="138">
        <f t="shared" si="57"/>
        <v>0.22356976645555443</v>
      </c>
      <c r="DN40" s="138" t="e">
        <f t="shared" si="57"/>
        <v>#DIV/0!</v>
      </c>
      <c r="DO40" s="138" t="e">
        <f t="shared" si="57"/>
        <v>#DIV/0!</v>
      </c>
      <c r="DQ40" s="138">
        <f>DQ39*(DM19)+(DM21)</f>
        <v>-11.565852917355567</v>
      </c>
      <c r="EB40" s="350"/>
      <c r="EC40" s="350"/>
      <c r="ED40" s="350"/>
      <c r="EE40" s="350"/>
      <c r="EF40" s="350"/>
      <c r="EG40" s="350"/>
      <c r="EH40" s="350"/>
      <c r="EI40" s="350"/>
      <c r="EJ40" s="350"/>
    </row>
    <row r="41" spans="1:168" ht="15" x14ac:dyDescent="0.25">
      <c r="DP41" s="505" t="s">
        <v>2137</v>
      </c>
      <c r="DQ41">
        <f>AVERAGE(DP47:DP619)</f>
        <v>-12.831172289555219</v>
      </c>
      <c r="EB41" s="350" t="s">
        <v>1</v>
      </c>
      <c r="EC41" s="350">
        <v>0</v>
      </c>
      <c r="ED41" s="350">
        <v>1577</v>
      </c>
      <c r="EE41" s="350"/>
      <c r="EF41" s="350"/>
      <c r="EG41" s="350"/>
      <c r="EH41" s="350"/>
      <c r="EI41" s="350"/>
      <c r="EJ41" s="350"/>
    </row>
    <row r="42" spans="1:168" ht="15" x14ac:dyDescent="0.25">
      <c r="DP42" s="505" t="s">
        <v>1586</v>
      </c>
      <c r="DQ42">
        <f>_xlfn.STDEV.P(DP47:DP619)</f>
        <v>0.58253431702613778</v>
      </c>
      <c r="EB42" s="350"/>
      <c r="EC42" s="350" t="s">
        <v>11</v>
      </c>
      <c r="ED42" s="350" t="s">
        <v>12</v>
      </c>
      <c r="EE42" s="350"/>
      <c r="EF42" s="350"/>
      <c r="EG42" s="350"/>
      <c r="EH42" s="350"/>
      <c r="EI42" s="350"/>
      <c r="EJ42" s="350"/>
      <c r="EY42" s="4" t="s">
        <v>1921</v>
      </c>
    </row>
    <row r="43" spans="1:168" ht="15" x14ac:dyDescent="0.25">
      <c r="A43" s="107" t="s">
        <v>1039</v>
      </c>
      <c r="B43" s="110"/>
      <c r="C43" s="110"/>
      <c r="D43" s="108" t="s">
        <v>613</v>
      </c>
      <c r="E43" s="108"/>
      <c r="F43" s="108"/>
      <c r="G43" s="205"/>
      <c r="H43" s="205"/>
      <c r="I43" s="205"/>
      <c r="J43" s="205"/>
      <c r="K43" s="205"/>
      <c r="L43" s="107" t="s">
        <v>2</v>
      </c>
      <c r="M43" s="417"/>
      <c r="N43" s="417"/>
      <c r="O43" s="107" t="s">
        <v>1041</v>
      </c>
      <c r="P43" s="110"/>
      <c r="Q43" s="110"/>
      <c r="R43" s="409"/>
      <c r="S43" s="108"/>
      <c r="T43" s="110"/>
      <c r="U43" s="108" t="s">
        <v>1061</v>
      </c>
      <c r="V43" s="108"/>
      <c r="W43" s="110"/>
      <c r="X43" s="110"/>
      <c r="Y43" s="108"/>
      <c r="Z43" s="108"/>
      <c r="AA43" s="110"/>
      <c r="AB43" s="110"/>
      <c r="AC43" s="110"/>
      <c r="AD43" s="110"/>
      <c r="AE43" s="110"/>
      <c r="AG43" s="271"/>
      <c r="AH43" s="98" t="s">
        <v>1764</v>
      </c>
      <c r="AI43" s="98" t="s">
        <v>1044</v>
      </c>
      <c r="AJ43" s="98" t="s">
        <v>1998</v>
      </c>
      <c r="AK43" s="98" t="s">
        <v>1082</v>
      </c>
      <c r="AL43" s="98" t="s">
        <v>2015</v>
      </c>
      <c r="AM43" s="98" t="s">
        <v>2016</v>
      </c>
      <c r="AN43" s="98" t="s">
        <v>2017</v>
      </c>
      <c r="AO43" s="98" t="s">
        <v>2015</v>
      </c>
      <c r="AP43" s="98" t="s">
        <v>2016</v>
      </c>
      <c r="AQ43" s="98" t="s">
        <v>2017</v>
      </c>
      <c r="AR43" s="4"/>
      <c r="BW43" s="271"/>
      <c r="BX43" s="98" t="s">
        <v>1764</v>
      </c>
      <c r="BY43" s="98" t="s">
        <v>1044</v>
      </c>
      <c r="BZ43" s="98" t="s">
        <v>1998</v>
      </c>
      <c r="CA43" s="98" t="s">
        <v>1082</v>
      </c>
      <c r="CB43" s="98" t="s">
        <v>2015</v>
      </c>
      <c r="CC43" s="98" t="s">
        <v>2016</v>
      </c>
      <c r="CD43" s="98" t="s">
        <v>2017</v>
      </c>
      <c r="CE43" s="98" t="s">
        <v>2015</v>
      </c>
      <c r="CF43" s="98" t="s">
        <v>2016</v>
      </c>
      <c r="CG43" s="98" t="s">
        <v>2017</v>
      </c>
      <c r="CH43" s="4"/>
      <c r="DG43" s="271"/>
      <c r="DH43" s="98" t="s">
        <v>1764</v>
      </c>
      <c r="DI43" s="98" t="s">
        <v>1044</v>
      </c>
      <c r="DJ43" s="98" t="s">
        <v>1998</v>
      </c>
      <c r="DK43" s="98" t="s">
        <v>1082</v>
      </c>
      <c r="DL43" s="98" t="s">
        <v>1740</v>
      </c>
      <c r="DM43" s="98" t="s">
        <v>2015</v>
      </c>
      <c r="DN43" s="98" t="s">
        <v>2016</v>
      </c>
      <c r="DO43" s="98" t="s">
        <v>2017</v>
      </c>
      <c r="DP43" s="506" t="s">
        <v>2136</v>
      </c>
      <c r="DQ43" cm="1">
        <f t="array" ref="DQ43">SQRT(SUM(DR135:DR425)/(COUNT(DR135:DR425-2)))</f>
        <v>5.0011814729565639E-2</v>
      </c>
      <c r="EB43" s="350"/>
      <c r="EC43" s="350" t="s">
        <v>1881</v>
      </c>
      <c r="ED43" s="350" t="s">
        <v>1881</v>
      </c>
      <c r="EE43" s="350"/>
      <c r="EF43" s="350"/>
      <c r="EG43" s="350" t="s">
        <v>2043</v>
      </c>
      <c r="EH43" s="350" t="s">
        <v>2042</v>
      </c>
      <c r="EI43" s="350" t="s">
        <v>1882</v>
      </c>
      <c r="EJ43" s="350"/>
    </row>
    <row r="44" spans="1:168" x14ac:dyDescent="0.2">
      <c r="B44" s="4"/>
      <c r="C44" s="4"/>
      <c r="D44" s="4"/>
      <c r="E44" s="4"/>
      <c r="F44" s="4"/>
      <c r="L44" s="4" t="s">
        <v>1050</v>
      </c>
      <c r="M44" s="418" t="s">
        <v>1989</v>
      </c>
      <c r="N44" s="418"/>
      <c r="O44" s="4"/>
      <c r="P44" s="4" t="s">
        <v>1793</v>
      </c>
      <c r="Q44" s="4"/>
      <c r="R44" s="289" t="s">
        <v>1042</v>
      </c>
      <c r="S44" s="4" t="s">
        <v>1047</v>
      </c>
      <c r="T44" s="1"/>
      <c r="U44" s="4" t="s">
        <v>366</v>
      </c>
      <c r="V44" s="4"/>
      <c r="W44" s="4" t="s">
        <v>526</v>
      </c>
      <c r="X44" s="4" t="s">
        <v>1403</v>
      </c>
      <c r="Y44" s="4" t="s">
        <v>398</v>
      </c>
      <c r="Z44" s="4" t="s">
        <v>1399</v>
      </c>
      <c r="AA44" s="4" t="s">
        <v>397</v>
      </c>
      <c r="AB44" s="4" t="s">
        <v>1404</v>
      </c>
      <c r="AC44" s="4" t="s">
        <v>2008</v>
      </c>
      <c r="AD44" s="4" t="s">
        <v>2008</v>
      </c>
      <c r="AE44" s="4" t="s">
        <v>2008</v>
      </c>
      <c r="AI44" s="188"/>
      <c r="BY44" s="188"/>
      <c r="DI44" s="188"/>
      <c r="EB44" s="350" t="s">
        <v>43</v>
      </c>
      <c r="EC44" s="350"/>
      <c r="ED44" s="350"/>
      <c r="EE44" s="350"/>
      <c r="EF44" s="350"/>
      <c r="EG44" s="350"/>
      <c r="EH44" s="350"/>
      <c r="EI44" s="350"/>
      <c r="EJ44" s="350"/>
      <c r="EY44" s="489" t="s">
        <v>2060</v>
      </c>
      <c r="EZ44" s="489" t="s">
        <v>742</v>
      </c>
      <c r="FA44" s="489" t="s">
        <v>2059</v>
      </c>
      <c r="FB44" s="489" t="s">
        <v>1050</v>
      </c>
      <c r="FC44" s="489" t="s">
        <v>1041</v>
      </c>
      <c r="FD44" s="489" t="s">
        <v>394</v>
      </c>
      <c r="FE44" s="489" t="s">
        <v>2064</v>
      </c>
      <c r="FF44" s="489" t="s">
        <v>378</v>
      </c>
      <c r="FG44" s="487" t="s">
        <v>1992</v>
      </c>
      <c r="FH44" s="486" t="s">
        <v>2061</v>
      </c>
      <c r="FI44" s="486" t="s">
        <v>2065</v>
      </c>
      <c r="FJ44" s="486" t="s">
        <v>2077</v>
      </c>
      <c r="FK44" s="486" t="s">
        <v>2078</v>
      </c>
    </row>
    <row r="45" spans="1:168" ht="15" x14ac:dyDescent="0.25">
      <c r="B45" s="4"/>
      <c r="C45" s="4"/>
      <c r="D45" s="4"/>
      <c r="E45" s="4"/>
      <c r="F45" s="4"/>
      <c r="L45" s="4"/>
      <c r="M45" s="418" t="s">
        <v>1982</v>
      </c>
      <c r="N45" s="418" t="s">
        <v>1991</v>
      </c>
      <c r="O45" s="4"/>
      <c r="S45" s="4" t="s">
        <v>1079</v>
      </c>
      <c r="T45" s="4"/>
      <c r="U45" s="4" t="s">
        <v>1058</v>
      </c>
      <c r="W45" s="4" t="s">
        <v>1056</v>
      </c>
      <c r="X45" s="4"/>
      <c r="Y45" s="4" t="s">
        <v>1059</v>
      </c>
      <c r="Z45" s="4"/>
      <c r="AA45" s="4" t="s">
        <v>1060</v>
      </c>
      <c r="AB45" s="4"/>
      <c r="AC45" s="4" t="s">
        <v>2009</v>
      </c>
      <c r="AD45" s="4" t="s">
        <v>2009</v>
      </c>
      <c r="AE45" s="4" t="s">
        <v>2012</v>
      </c>
      <c r="DP45" s="505" t="s">
        <v>2132</v>
      </c>
      <c r="DQ45">
        <f>_xlfn.STDEV.S(DQ47:DQ619)</f>
        <v>0.19076737787819226</v>
      </c>
      <c r="EB45" s="350">
        <v>0</v>
      </c>
      <c r="EC45" s="350">
        <f t="shared" ref="EC45:ED64" si="58">LOG(EXP(EC$39-EC$41/EC$38-0.1351*$EB45^0.67+0.003*$EB45-10454/EC$38))</f>
        <v>-10.34383816695245</v>
      </c>
      <c r="ED45" s="350">
        <f t="shared" si="58"/>
        <v>-11.354746606247518</v>
      </c>
      <c r="EE45" s="350"/>
      <c r="EF45" s="350"/>
      <c r="EG45" s="350">
        <f>EG$38*EB45+EG$39</f>
        <v>-10.01</v>
      </c>
      <c r="EH45" s="350">
        <f>EH$38*EB45+EH$39</f>
        <v>-11</v>
      </c>
      <c r="EI45" s="350">
        <f t="shared" ref="EI45:EI87" si="59">EI$38*EB45+EI$39</f>
        <v>-9.6560244999999991</v>
      </c>
      <c r="EJ45" s="350"/>
      <c r="EY45" s="489"/>
      <c r="EZ45" s="489"/>
      <c r="FA45" s="489"/>
      <c r="FB45" s="489"/>
      <c r="FC45" s="489"/>
      <c r="FD45" s="489" t="s">
        <v>2079</v>
      </c>
      <c r="FE45" s="489"/>
      <c r="FF45" s="489" t="s">
        <v>352</v>
      </c>
      <c r="FG45" s="492" t="s">
        <v>349</v>
      </c>
      <c r="FH45" s="492" t="s">
        <v>349</v>
      </c>
      <c r="FI45" s="492" t="s">
        <v>349</v>
      </c>
      <c r="FJ45" s="486" t="s">
        <v>2080</v>
      </c>
      <c r="FK45" s="486" t="s">
        <v>2081</v>
      </c>
      <c r="FL45" s="4"/>
    </row>
    <row r="46" spans="1:168" ht="15" x14ac:dyDescent="0.25">
      <c r="A46" t="s">
        <v>13</v>
      </c>
      <c r="B46" s="4" t="s">
        <v>1045</v>
      </c>
      <c r="C46" s="4" t="s">
        <v>1643</v>
      </c>
      <c r="D46" s="4" t="s">
        <v>613</v>
      </c>
      <c r="E46" s="4" t="s">
        <v>1046</v>
      </c>
      <c r="F46" s="4" t="s">
        <v>1395</v>
      </c>
      <c r="G46" s="95" t="s">
        <v>1555</v>
      </c>
      <c r="H46" s="95" t="s">
        <v>1064</v>
      </c>
      <c r="I46" s="95" t="s">
        <v>1743</v>
      </c>
      <c r="J46" s="95" t="s">
        <v>1065</v>
      </c>
      <c r="K46" s="95" t="s">
        <v>46</v>
      </c>
      <c r="L46" s="4" t="s">
        <v>1040</v>
      </c>
      <c r="M46" s="419" t="s">
        <v>1075</v>
      </c>
      <c r="N46" s="418" t="s">
        <v>1075</v>
      </c>
      <c r="O46" s="4" t="s">
        <v>1043</v>
      </c>
      <c r="P46" s="4" t="s">
        <v>1051</v>
      </c>
      <c r="Q46" s="4" t="s">
        <v>1942</v>
      </c>
      <c r="R46" s="289" t="s">
        <v>1042</v>
      </c>
      <c r="S46" s="4" t="s">
        <v>1048</v>
      </c>
      <c r="T46" s="4" t="s">
        <v>1992</v>
      </c>
      <c r="U46" s="4" t="s">
        <v>1053</v>
      </c>
      <c r="V46" s="4" t="s">
        <v>1052</v>
      </c>
      <c r="W46" s="4" t="s">
        <v>377</v>
      </c>
      <c r="X46" s="4" t="s">
        <v>1895</v>
      </c>
      <c r="Y46" s="4" t="s">
        <v>1054</v>
      </c>
      <c r="Z46" s="4" t="s">
        <v>1401</v>
      </c>
      <c r="AA46" s="4" t="s">
        <v>1055</v>
      </c>
      <c r="AB46" s="4" t="s">
        <v>1404</v>
      </c>
      <c r="AC46" s="4" t="s">
        <v>2041</v>
      </c>
      <c r="AD46" s="4" t="s">
        <v>2027</v>
      </c>
      <c r="AE46" s="4" t="s">
        <v>2013</v>
      </c>
      <c r="AG46" s="4" t="s">
        <v>1592</v>
      </c>
      <c r="AH46" s="4" t="s">
        <v>408</v>
      </c>
      <c r="AI46" s="4" t="s">
        <v>408</v>
      </c>
      <c r="AJ46" s="4" t="s">
        <v>408</v>
      </c>
      <c r="AK46" s="4" t="s">
        <v>408</v>
      </c>
      <c r="AL46" s="4" t="s">
        <v>408</v>
      </c>
      <c r="AM46" s="4" t="s">
        <v>408</v>
      </c>
      <c r="AN46" s="4" t="s">
        <v>408</v>
      </c>
      <c r="AO46" s="4" t="s">
        <v>408</v>
      </c>
      <c r="AP46" s="4" t="s">
        <v>408</v>
      </c>
      <c r="AQ46" s="4" t="s">
        <v>408</v>
      </c>
      <c r="BW46" s="4"/>
      <c r="BX46" s="4" t="s">
        <v>2023</v>
      </c>
      <c r="BY46" s="4" t="s">
        <v>2023</v>
      </c>
      <c r="BZ46" s="4" t="s">
        <v>2023</v>
      </c>
      <c r="CA46" s="4" t="s">
        <v>2023</v>
      </c>
      <c r="CB46" s="4" t="s">
        <v>2023</v>
      </c>
      <c r="CC46" s="4" t="s">
        <v>2023</v>
      </c>
      <c r="CD46" s="4" t="s">
        <v>2023</v>
      </c>
      <c r="CE46" s="4" t="s">
        <v>2023</v>
      </c>
      <c r="CF46" s="4" t="s">
        <v>2023</v>
      </c>
      <c r="CG46" s="4" t="s">
        <v>2023</v>
      </c>
      <c r="DG46" s="4" t="s">
        <v>2024</v>
      </c>
      <c r="DH46" s="4" t="s">
        <v>43</v>
      </c>
      <c r="DI46" s="4" t="s">
        <v>43</v>
      </c>
      <c r="DJ46" s="4" t="s">
        <v>43</v>
      </c>
      <c r="DK46" s="4" t="s">
        <v>43</v>
      </c>
      <c r="DL46" s="4" t="s">
        <v>43</v>
      </c>
      <c r="DM46" s="4" t="s">
        <v>43</v>
      </c>
      <c r="DN46" s="4" t="s">
        <v>43</v>
      </c>
      <c r="DO46" s="4" t="s">
        <v>43</v>
      </c>
      <c r="DP46" s="505" t="s">
        <v>2131</v>
      </c>
      <c r="DQ46" s="505" t="s">
        <v>2134</v>
      </c>
      <c r="DR46" s="505" t="s">
        <v>2135</v>
      </c>
      <c r="EB46" s="350">
        <v>25</v>
      </c>
      <c r="EC46" s="350">
        <f t="shared" si="58"/>
        <v>-10.81832621396137</v>
      </c>
      <c r="ED46" s="350">
        <f t="shared" si="58"/>
        <v>-11.829234653256441</v>
      </c>
      <c r="EE46" s="350"/>
      <c r="EF46" s="350"/>
      <c r="EG46" s="350">
        <f t="shared" ref="EG46:EG87" si="60">EG$38*EB46+EG$39</f>
        <v>-10.352499999999999</v>
      </c>
      <c r="EH46" s="350">
        <f t="shared" ref="EH46:EH87" si="61">EH$38*EB46+EH$39</f>
        <v>-11.157500000000001</v>
      </c>
      <c r="EI46" s="350">
        <f t="shared" si="59"/>
        <v>-10.108931999999999</v>
      </c>
      <c r="EJ46" s="350"/>
    </row>
    <row r="47" spans="1:168" ht="12.75" hidden="1" customHeight="1" x14ac:dyDescent="0.2">
      <c r="A47">
        <v>1</v>
      </c>
      <c r="B47" s="4" t="s">
        <v>1226</v>
      </c>
      <c r="C47" s="4"/>
      <c r="D47" s="4" t="s">
        <v>458</v>
      </c>
      <c r="E47">
        <v>-1516</v>
      </c>
      <c r="F47" t="str">
        <f>VLOOKUP(E47,CompDbase!B:L,4,FALSE)</f>
        <v>3-Methylpentane</v>
      </c>
      <c r="G47" s="95" t="str">
        <f>VLOOKUP(E47,CompDbase!B:M,12,FALSE)</f>
        <v>Alk</v>
      </c>
      <c r="H47" s="95">
        <f>VLOOKUP(E47,CompDbase!B:L,8,FALSE)</f>
        <v>86.18</v>
      </c>
      <c r="I47" s="95" t="e">
        <f>VLOOKUP(E47,CompDbase!B:L,11,FALSE)</f>
        <v>#DIV/0!</v>
      </c>
      <c r="J47" s="95">
        <f>VLOOKUP(E47,CompDbase!B:L,9,FALSE)</f>
        <v>18</v>
      </c>
      <c r="K47" s="95">
        <f>VLOOKUP(E47,CompDbase!B:L,10,FALSE)</f>
        <v>3.6</v>
      </c>
      <c r="L47" s="4" t="s">
        <v>769</v>
      </c>
      <c r="M47" s="420"/>
      <c r="N47" s="420"/>
      <c r="O47" s="4"/>
      <c r="P47">
        <v>296</v>
      </c>
      <c r="Q47" s="4" t="s">
        <v>1049</v>
      </c>
      <c r="S47" s="4"/>
      <c r="Y47">
        <v>4.0999999999999997E-13</v>
      </c>
      <c r="Z47" s="95">
        <f t="shared" ref="Z47:Z94" si="62">LOG(Y47)</f>
        <v>-12.387216143280265</v>
      </c>
      <c r="AC47" t="s">
        <v>68</v>
      </c>
      <c r="AK47">
        <v>3.4</v>
      </c>
      <c r="DG47">
        <f>Z47</f>
        <v>-12.387216143280265</v>
      </c>
      <c r="DH47">
        <f t="shared" ref="DH47:DH94" si="63">$H47</f>
        <v>86.18</v>
      </c>
      <c r="EB47" s="350">
        <v>50</v>
      </c>
      <c r="EC47" s="350">
        <f t="shared" si="58"/>
        <v>-11.085463665426513</v>
      </c>
      <c r="ED47" s="350">
        <f t="shared" si="58"/>
        <v>-12.096372104721581</v>
      </c>
      <c r="EE47" s="350"/>
      <c r="EF47" s="350"/>
      <c r="EG47" s="350">
        <f t="shared" si="60"/>
        <v>-10.695</v>
      </c>
      <c r="EH47" s="350">
        <f t="shared" si="61"/>
        <v>-11.315</v>
      </c>
      <c r="EI47" s="350">
        <f t="shared" si="59"/>
        <v>-10.5618395</v>
      </c>
      <c r="EJ47" s="350"/>
      <c r="EY47" s="479">
        <f>VLOOKUP(B47,Literatuur!$A:$B,2,FALSE)</f>
        <v>12</v>
      </c>
      <c r="EZ47" t="str">
        <f>D47</f>
        <v>3-Methylpentane</v>
      </c>
      <c r="FA47" t="str">
        <f>G47</f>
        <v>Alk</v>
      </c>
      <c r="FB47" t="str">
        <f>L47</f>
        <v>LDPE</v>
      </c>
      <c r="FC47" t="str">
        <f>CONCATENATE(O47)</f>
        <v/>
      </c>
      <c r="FD47">
        <f>P47</f>
        <v>296</v>
      </c>
      <c r="FE47" t="str">
        <f>Q47</f>
        <v>water</v>
      </c>
      <c r="FF47" t="str">
        <f>CONCATENATE(R47," ",S47)</f>
        <v xml:space="preserve"> </v>
      </c>
      <c r="FG47" s="408" t="str">
        <f t="shared" ref="FG47:FG110" si="64">IF(ISNUMBER(T47),T47,"")</f>
        <v/>
      </c>
      <c r="FH47" s="138" t="str">
        <f>IF(ISNUMBER(X47),X47,"")</f>
        <v/>
      </c>
      <c r="FI47" s="106" t="str">
        <f t="shared" ref="FI47:FI94" si="65">IF(ISNUMBER(AL47),AL47*AL$19+AL$21,IF(ISNUMBER(AM47),AM47*AM$19+AM$21,IF(ISNUMBER(AN47),AN47*AN$19+AN$21,"**")))</f>
        <v>**</v>
      </c>
      <c r="FJ47" s="138">
        <f>IF(ISNUMBER(Z47),Z47,"")</f>
        <v>-12.387216143280265</v>
      </c>
      <c r="FK47" s="138" t="str">
        <f>IF(ISNUMBER(DM47),DM47*DM$19+DM$21,IF(ISNUMBER(DN47),DN47*DN$19+DN$21,IF(ISNUMBER(DO47),DO47*DO$19+DO$21,"**")))</f>
        <v>**</v>
      </c>
    </row>
    <row r="48" spans="1:168" ht="12.75" hidden="1" customHeight="1" x14ac:dyDescent="0.2">
      <c r="A48">
        <v>2</v>
      </c>
      <c r="B48" s="4" t="s">
        <v>1226</v>
      </c>
      <c r="C48" s="4"/>
      <c r="D48" s="4" t="s">
        <v>437</v>
      </c>
      <c r="E48">
        <v>-1502</v>
      </c>
      <c r="F48" t="str">
        <f>VLOOKUP(E48,CompDbase!B:L,4,FALSE)</f>
        <v>Allene</v>
      </c>
      <c r="G48" s="95" t="str">
        <f>VLOOKUP(E48,CompDbase!B:M,12,FALSE)</f>
        <v>Alk</v>
      </c>
      <c r="H48" s="95">
        <f>VLOOKUP(E48,CompDbase!B:L,8,FALSE)</f>
        <v>40.064999999999998</v>
      </c>
      <c r="I48" s="95" t="e">
        <f>VLOOKUP(E48,CompDbase!B:L,11,FALSE)</f>
        <v>#DIV/0!</v>
      </c>
      <c r="J48" s="95">
        <f>VLOOKUP(E48,CompDbase!B:L,9,FALSE)</f>
        <v>0</v>
      </c>
      <c r="K48" s="95">
        <f>VLOOKUP(E48,CompDbase!B:L,10,FALSE)</f>
        <v>1.45</v>
      </c>
      <c r="L48" s="4" t="s">
        <v>769</v>
      </c>
      <c r="M48" s="420"/>
      <c r="N48" s="420"/>
      <c r="O48" s="4"/>
      <c r="P48">
        <v>296</v>
      </c>
      <c r="Q48" s="4" t="s">
        <v>1049</v>
      </c>
      <c r="S48" s="4"/>
      <c r="Y48">
        <v>9.0999999999999996E-12</v>
      </c>
      <c r="Z48" s="95">
        <f t="shared" si="62"/>
        <v>-11.040958607678906</v>
      </c>
      <c r="AC48" t="s">
        <v>68</v>
      </c>
      <c r="DG48">
        <f t="shared" ref="DG48:DG94" si="66">Z48</f>
        <v>-11.040958607678906</v>
      </c>
      <c r="DH48">
        <f t="shared" si="63"/>
        <v>40.064999999999998</v>
      </c>
      <c r="EB48" s="350">
        <v>75</v>
      </c>
      <c r="EC48" s="350">
        <f t="shared" si="58"/>
        <v>-11.304719025286692</v>
      </c>
      <c r="ED48" s="350">
        <f t="shared" si="58"/>
        <v>-12.315627464581761</v>
      </c>
      <c r="EE48" s="350"/>
      <c r="EF48" s="350"/>
      <c r="EG48" s="350">
        <f t="shared" si="60"/>
        <v>-11.0375</v>
      </c>
      <c r="EH48" s="350">
        <f t="shared" si="61"/>
        <v>-11.4725</v>
      </c>
      <c r="EI48" s="350">
        <f t="shared" si="59"/>
        <v>-11.014747</v>
      </c>
      <c r="EJ48" s="350"/>
      <c r="EY48" s="479">
        <f>VLOOKUP(B48,Literatuur!$A:$B,2,FALSE)</f>
        <v>12</v>
      </c>
      <c r="EZ48" t="str">
        <f t="shared" ref="EZ48:EZ111" si="67">D48</f>
        <v>Allene</v>
      </c>
      <c r="FA48" t="str">
        <f t="shared" ref="FA48:FA111" si="68">G48</f>
        <v>Alk</v>
      </c>
      <c r="FB48" t="str">
        <f t="shared" ref="FB48:FB111" si="69">L48</f>
        <v>LDPE</v>
      </c>
      <c r="FC48" t="str">
        <f t="shared" ref="FC48:FC111" si="70">CONCATENATE(O48)</f>
        <v/>
      </c>
      <c r="FD48">
        <f t="shared" ref="FD48:FD111" si="71">P48</f>
        <v>296</v>
      </c>
      <c r="FE48" t="str">
        <f t="shared" ref="FE48:FE111" si="72">Q48</f>
        <v>water</v>
      </c>
      <c r="FF48" t="str">
        <f t="shared" ref="FF48:FF111" si="73">CONCATENATE(R48," ",S48)</f>
        <v xml:space="preserve"> </v>
      </c>
      <c r="FG48" s="408" t="str">
        <f t="shared" si="64"/>
        <v/>
      </c>
      <c r="FH48" s="138" t="str">
        <f t="shared" ref="FH48:FH111" si="74">IF(ISNUMBER(X48),X48,"")</f>
        <v/>
      </c>
      <c r="FI48" s="106" t="str">
        <f t="shared" si="65"/>
        <v>**</v>
      </c>
      <c r="FJ48" s="138">
        <f t="shared" ref="FJ48:FJ111" si="75">IF(ISNUMBER(Z48),Z48,"")</f>
        <v>-11.040958607678906</v>
      </c>
      <c r="FK48" s="138" t="str">
        <f t="shared" ref="FK48:FK111" si="76">IF(ISNUMBER(DM48),DM48*DM$19+DM$21,IF(ISNUMBER(DN48),DN48*DN$19+DN$21,IF(ISNUMBER(DO48),DO48*DO$19+DO$21,"**")))</f>
        <v>**</v>
      </c>
    </row>
    <row r="49" spans="1:167" ht="12.75" hidden="1" customHeight="1" x14ac:dyDescent="0.2">
      <c r="A49">
        <v>3</v>
      </c>
      <c r="B49" s="4" t="s">
        <v>1226</v>
      </c>
      <c r="C49" s="4"/>
      <c r="D49" s="4" t="s">
        <v>847</v>
      </c>
      <c r="E49">
        <v>-1508</v>
      </c>
      <c r="F49" t="str">
        <f>VLOOKUP(E49,CompDbase!B:L,4,FALSE)</f>
        <v>Butane</v>
      </c>
      <c r="G49" s="95" t="str">
        <f>VLOOKUP(E49,CompDbase!B:M,12,FALSE)</f>
        <v>Alk</v>
      </c>
      <c r="H49" s="95">
        <f>VLOOKUP(E49,CompDbase!B:L,8,FALSE)</f>
        <v>58.12</v>
      </c>
      <c r="I49" s="95" t="e">
        <f>VLOOKUP(E49,CompDbase!B:L,11,FALSE)</f>
        <v>#DIV/0!</v>
      </c>
      <c r="J49" s="95">
        <f>VLOOKUP(E49,CompDbase!B:L,9,FALSE)</f>
        <v>61</v>
      </c>
      <c r="K49" s="95">
        <f>VLOOKUP(E49,CompDbase!B:L,10,FALSE)</f>
        <v>2.89</v>
      </c>
      <c r="L49" s="4" t="s">
        <v>769</v>
      </c>
      <c r="M49" s="420"/>
      <c r="N49" s="420"/>
      <c r="O49" s="4"/>
      <c r="P49">
        <v>296</v>
      </c>
      <c r="Q49" s="4" t="s">
        <v>1049</v>
      </c>
      <c r="S49" s="4"/>
      <c r="Y49">
        <v>3.6000000000000008E-12</v>
      </c>
      <c r="Z49" s="95">
        <f t="shared" si="62"/>
        <v>-11.443697499232712</v>
      </c>
      <c r="DG49">
        <f t="shared" si="66"/>
        <v>-11.443697499232712</v>
      </c>
      <c r="DH49">
        <f t="shared" si="63"/>
        <v>58.12</v>
      </c>
      <c r="EB49" s="350">
        <v>100</v>
      </c>
      <c r="EC49" s="350">
        <f t="shared" si="58"/>
        <v>-11.497179236533809</v>
      </c>
      <c r="ED49" s="350">
        <f t="shared" si="58"/>
        <v>-12.508087675828877</v>
      </c>
      <c r="EE49" s="350"/>
      <c r="EF49" s="350"/>
      <c r="EG49" s="350">
        <f t="shared" si="60"/>
        <v>-11.379999999999999</v>
      </c>
      <c r="EH49" s="350">
        <f t="shared" si="61"/>
        <v>-11.63</v>
      </c>
      <c r="EI49" s="350">
        <f t="shared" si="59"/>
        <v>-11.467654499999998</v>
      </c>
      <c r="EJ49" s="350"/>
      <c r="EY49" s="479">
        <f>VLOOKUP(B49,Literatuur!$A:$B,2,FALSE)</f>
        <v>12</v>
      </c>
      <c r="EZ49" t="str">
        <f t="shared" si="67"/>
        <v>Butane</v>
      </c>
      <c r="FA49" t="str">
        <f t="shared" si="68"/>
        <v>Alk</v>
      </c>
      <c r="FB49" t="str">
        <f t="shared" si="69"/>
        <v>LDPE</v>
      </c>
      <c r="FC49" t="str">
        <f t="shared" si="70"/>
        <v/>
      </c>
      <c r="FD49">
        <f t="shared" si="71"/>
        <v>296</v>
      </c>
      <c r="FE49" t="str">
        <f t="shared" si="72"/>
        <v>water</v>
      </c>
      <c r="FF49" t="str">
        <f t="shared" si="73"/>
        <v xml:space="preserve"> </v>
      </c>
      <c r="FG49" s="408" t="str">
        <f t="shared" si="64"/>
        <v/>
      </c>
      <c r="FH49" s="138" t="str">
        <f t="shared" si="74"/>
        <v/>
      </c>
      <c r="FI49" s="106" t="str">
        <f t="shared" si="65"/>
        <v>**</v>
      </c>
      <c r="FJ49" s="138">
        <f t="shared" si="75"/>
        <v>-11.443697499232712</v>
      </c>
      <c r="FK49" s="138" t="str">
        <f t="shared" si="76"/>
        <v>**</v>
      </c>
    </row>
    <row r="50" spans="1:167" ht="12.75" hidden="1" customHeight="1" x14ac:dyDescent="0.2">
      <c r="A50">
        <v>4</v>
      </c>
      <c r="B50" s="4" t="s">
        <v>1226</v>
      </c>
      <c r="C50" s="4"/>
      <c r="D50" s="4" t="s">
        <v>847</v>
      </c>
      <c r="E50">
        <v>-1508</v>
      </c>
      <c r="F50" t="str">
        <f>VLOOKUP(E50,CompDbase!B:L,4,FALSE)</f>
        <v>Butane</v>
      </c>
      <c r="G50" s="95" t="str">
        <f>VLOOKUP(E50,CompDbase!B:M,12,FALSE)</f>
        <v>Alk</v>
      </c>
      <c r="H50" s="95">
        <f>VLOOKUP(E50,CompDbase!B:L,8,FALSE)</f>
        <v>58.12</v>
      </c>
      <c r="I50" s="95" t="e">
        <f>VLOOKUP(E50,CompDbase!B:L,11,FALSE)</f>
        <v>#DIV/0!</v>
      </c>
      <c r="J50" s="95">
        <f>VLOOKUP(E50,CompDbase!B:L,9,FALSE)</f>
        <v>61</v>
      </c>
      <c r="K50" s="95">
        <f>VLOOKUP(E50,CompDbase!B:L,10,FALSE)</f>
        <v>2.89</v>
      </c>
      <c r="L50" s="4" t="s">
        <v>769</v>
      </c>
      <c r="M50" s="420"/>
      <c r="N50" s="420"/>
      <c r="O50" s="4"/>
      <c r="P50">
        <v>296</v>
      </c>
      <c r="Q50" s="4" t="s">
        <v>1049</v>
      </c>
      <c r="S50" s="4"/>
      <c r="Y50">
        <v>1.4000000000000001E-12</v>
      </c>
      <c r="Z50" s="95">
        <f t="shared" si="62"/>
        <v>-11.853871964321762</v>
      </c>
      <c r="DG50">
        <f t="shared" si="66"/>
        <v>-11.853871964321762</v>
      </c>
      <c r="DH50">
        <f t="shared" si="63"/>
        <v>58.12</v>
      </c>
      <c r="EB50" s="350">
        <v>125</v>
      </c>
      <c r="EC50" s="350">
        <f t="shared" si="58"/>
        <v>-11.671606059790665</v>
      </c>
      <c r="ED50" s="350">
        <f t="shared" si="58"/>
        <v>-12.682514499085734</v>
      </c>
      <c r="EE50" s="350"/>
      <c r="EF50" s="350"/>
      <c r="EG50" s="350">
        <f t="shared" si="60"/>
        <v>-11.7225</v>
      </c>
      <c r="EH50" s="350">
        <f t="shared" si="61"/>
        <v>-11.7875</v>
      </c>
      <c r="EI50" s="350">
        <f t="shared" si="59"/>
        <v>-11.920562</v>
      </c>
      <c r="EJ50" s="350"/>
      <c r="EY50" s="479">
        <f>VLOOKUP(B50,Literatuur!$A:$B,2,FALSE)</f>
        <v>12</v>
      </c>
      <c r="EZ50" t="str">
        <f t="shared" si="67"/>
        <v>Butane</v>
      </c>
      <c r="FA50" t="str">
        <f t="shared" si="68"/>
        <v>Alk</v>
      </c>
      <c r="FB50" t="str">
        <f t="shared" si="69"/>
        <v>LDPE</v>
      </c>
      <c r="FC50" t="str">
        <f t="shared" si="70"/>
        <v/>
      </c>
      <c r="FD50">
        <f t="shared" si="71"/>
        <v>296</v>
      </c>
      <c r="FE50" t="str">
        <f t="shared" si="72"/>
        <v>water</v>
      </c>
      <c r="FF50" t="str">
        <f t="shared" si="73"/>
        <v xml:space="preserve"> </v>
      </c>
      <c r="FG50" s="408" t="str">
        <f t="shared" si="64"/>
        <v/>
      </c>
      <c r="FH50" s="138" t="str">
        <f t="shared" si="74"/>
        <v/>
      </c>
      <c r="FI50" s="106" t="str">
        <f t="shared" si="65"/>
        <v>**</v>
      </c>
      <c r="FJ50" s="138">
        <f t="shared" si="75"/>
        <v>-11.853871964321762</v>
      </c>
      <c r="FK50" s="138" t="str">
        <f t="shared" si="76"/>
        <v>**</v>
      </c>
    </row>
    <row r="51" spans="1:167" ht="12.75" hidden="1" customHeight="1" x14ac:dyDescent="0.2">
      <c r="A51">
        <v>5</v>
      </c>
      <c r="B51" s="4" t="s">
        <v>1226</v>
      </c>
      <c r="C51" s="4"/>
      <c r="D51" s="4" t="s">
        <v>847</v>
      </c>
      <c r="E51">
        <v>-1508</v>
      </c>
      <c r="F51" t="str">
        <f>VLOOKUP(E51,CompDbase!B:L,4,FALSE)</f>
        <v>Butane</v>
      </c>
      <c r="G51" s="95" t="str">
        <f>VLOOKUP(E51,CompDbase!B:M,12,FALSE)</f>
        <v>Alk</v>
      </c>
      <c r="H51" s="95">
        <f>VLOOKUP(E51,CompDbase!B:L,8,FALSE)</f>
        <v>58.12</v>
      </c>
      <c r="I51" s="95" t="e">
        <f>VLOOKUP(E51,CompDbase!B:L,11,FALSE)</f>
        <v>#DIV/0!</v>
      </c>
      <c r="J51" s="95">
        <f>VLOOKUP(E51,CompDbase!B:L,9,FALSE)</f>
        <v>61</v>
      </c>
      <c r="K51" s="95">
        <f>VLOOKUP(E51,CompDbase!B:L,10,FALSE)</f>
        <v>2.89</v>
      </c>
      <c r="L51" s="4" t="s">
        <v>769</v>
      </c>
      <c r="M51" s="420"/>
      <c r="N51" s="420"/>
      <c r="O51" s="4"/>
      <c r="P51">
        <v>298</v>
      </c>
      <c r="Q51" s="4" t="s">
        <v>1049</v>
      </c>
      <c r="S51" s="4"/>
      <c r="Y51">
        <v>1.95E-12</v>
      </c>
      <c r="Z51" s="95">
        <f t="shared" si="62"/>
        <v>-11.709965388637482</v>
      </c>
      <c r="AG51" s="138"/>
      <c r="BW51" s="138"/>
      <c r="DG51">
        <f t="shared" si="66"/>
        <v>-11.709965388637482</v>
      </c>
      <c r="DH51">
        <f t="shared" si="63"/>
        <v>58.12</v>
      </c>
      <c r="EB51" s="350">
        <v>150</v>
      </c>
      <c r="EC51" s="350">
        <f t="shared" si="58"/>
        <v>-11.832710906060614</v>
      </c>
      <c r="ED51" s="350">
        <f t="shared" si="58"/>
        <v>-12.843619345355682</v>
      </c>
      <c r="EE51" s="350"/>
      <c r="EF51" s="350"/>
      <c r="EG51" s="350">
        <f t="shared" si="60"/>
        <v>-12.065</v>
      </c>
      <c r="EH51" s="350">
        <f t="shared" si="61"/>
        <v>-11.945</v>
      </c>
      <c r="EI51" s="350">
        <f t="shared" si="59"/>
        <v>-12.373469499999999</v>
      </c>
      <c r="EJ51" s="350"/>
      <c r="EY51" s="479">
        <f>VLOOKUP(B51,Literatuur!$A:$B,2,FALSE)</f>
        <v>12</v>
      </c>
      <c r="EZ51" t="str">
        <f t="shared" si="67"/>
        <v>Butane</v>
      </c>
      <c r="FA51" t="str">
        <f t="shared" si="68"/>
        <v>Alk</v>
      </c>
      <c r="FB51" t="str">
        <f t="shared" si="69"/>
        <v>LDPE</v>
      </c>
      <c r="FC51" t="str">
        <f t="shared" si="70"/>
        <v/>
      </c>
      <c r="FD51">
        <f t="shared" si="71"/>
        <v>298</v>
      </c>
      <c r="FE51" t="str">
        <f t="shared" si="72"/>
        <v>water</v>
      </c>
      <c r="FF51" t="str">
        <f t="shared" si="73"/>
        <v xml:space="preserve"> </v>
      </c>
      <c r="FG51" s="408" t="str">
        <f t="shared" si="64"/>
        <v/>
      </c>
      <c r="FH51" s="138" t="str">
        <f t="shared" si="74"/>
        <v/>
      </c>
      <c r="FI51" s="106" t="str">
        <f t="shared" si="65"/>
        <v>**</v>
      </c>
      <c r="FJ51" s="138">
        <f t="shared" si="75"/>
        <v>-11.709965388637482</v>
      </c>
      <c r="FK51" s="138" t="str">
        <f t="shared" si="76"/>
        <v>**</v>
      </c>
    </row>
    <row r="52" spans="1:167" ht="12.75" hidden="1" customHeight="1" x14ac:dyDescent="0.2">
      <c r="A52">
        <v>6</v>
      </c>
      <c r="B52" s="4" t="s">
        <v>1226</v>
      </c>
      <c r="C52" s="4"/>
      <c r="D52" s="4" t="s">
        <v>480</v>
      </c>
      <c r="E52">
        <v>-1526</v>
      </c>
      <c r="F52" t="str">
        <f>VLOOKUP(E52,CompDbase!B:L,4,FALSE)</f>
        <v>Ethane</v>
      </c>
      <c r="G52" s="95" t="str">
        <f>VLOOKUP(E52,CompDbase!B:M,12,FALSE)</f>
        <v>Alk</v>
      </c>
      <c r="H52" s="95">
        <f>VLOOKUP(E52,CompDbase!B:L,8,FALSE)</f>
        <v>30.07</v>
      </c>
      <c r="I52" s="95" t="e">
        <f>VLOOKUP(E52,CompDbase!B:L,11,FALSE)</f>
        <v>#DIV/0!</v>
      </c>
      <c r="J52" s="95">
        <f>VLOOKUP(E52,CompDbase!B:L,9,FALSE)</f>
        <v>62</v>
      </c>
      <c r="K52" s="95">
        <f>VLOOKUP(E52,CompDbase!B:L,10,FALSE)</f>
        <v>1.81</v>
      </c>
      <c r="L52" s="4" t="s">
        <v>769</v>
      </c>
      <c r="M52" s="420"/>
      <c r="N52" s="420"/>
      <c r="O52" s="4"/>
      <c r="P52">
        <v>296</v>
      </c>
      <c r="Q52" s="4" t="s">
        <v>1049</v>
      </c>
      <c r="S52" s="4"/>
      <c r="Y52">
        <v>7.7999999999999999E-12</v>
      </c>
      <c r="Z52" s="95">
        <f t="shared" si="62"/>
        <v>-11.107905397309519</v>
      </c>
      <c r="DG52">
        <f t="shared" si="66"/>
        <v>-11.107905397309519</v>
      </c>
      <c r="DH52">
        <f t="shared" si="63"/>
        <v>30.07</v>
      </c>
      <c r="EB52" s="350">
        <v>175</v>
      </c>
      <c r="EC52" s="350">
        <f t="shared" si="58"/>
        <v>-11.983396098685894</v>
      </c>
      <c r="ED52" s="350">
        <f t="shared" si="58"/>
        <v>-12.994304537980963</v>
      </c>
      <c r="EE52" s="350"/>
      <c r="EF52" s="350"/>
      <c r="EG52" s="350">
        <f t="shared" si="60"/>
        <v>-12.407499999999999</v>
      </c>
      <c r="EH52" s="350">
        <f t="shared" si="61"/>
        <v>-12.102499999999999</v>
      </c>
      <c r="EI52" s="350">
        <f t="shared" si="59"/>
        <v>-12.826376999999999</v>
      </c>
      <c r="EJ52" s="350"/>
      <c r="EY52" s="479">
        <f>VLOOKUP(B52,Literatuur!$A:$B,2,FALSE)</f>
        <v>12</v>
      </c>
      <c r="EZ52" t="str">
        <f t="shared" si="67"/>
        <v>Ethane</v>
      </c>
      <c r="FA52" t="str">
        <f t="shared" si="68"/>
        <v>Alk</v>
      </c>
      <c r="FB52" t="str">
        <f t="shared" si="69"/>
        <v>LDPE</v>
      </c>
      <c r="FC52" t="str">
        <f t="shared" si="70"/>
        <v/>
      </c>
      <c r="FD52">
        <f t="shared" si="71"/>
        <v>296</v>
      </c>
      <c r="FE52" t="str">
        <f t="shared" si="72"/>
        <v>water</v>
      </c>
      <c r="FF52" t="str">
        <f t="shared" si="73"/>
        <v xml:space="preserve"> </v>
      </c>
      <c r="FG52" s="408" t="str">
        <f t="shared" si="64"/>
        <v/>
      </c>
      <c r="FH52" s="138" t="str">
        <f t="shared" si="74"/>
        <v/>
      </c>
      <c r="FI52" s="106" t="str">
        <f t="shared" si="65"/>
        <v>**</v>
      </c>
      <c r="FJ52" s="138">
        <f t="shared" si="75"/>
        <v>-11.107905397309519</v>
      </c>
      <c r="FK52" s="138" t="str">
        <f t="shared" si="76"/>
        <v>**</v>
      </c>
    </row>
    <row r="53" spans="1:167" ht="12.75" hidden="1" customHeight="1" x14ac:dyDescent="0.2">
      <c r="A53">
        <v>7</v>
      </c>
      <c r="B53" s="4" t="s">
        <v>1226</v>
      </c>
      <c r="C53" s="4"/>
      <c r="D53" s="4" t="s">
        <v>480</v>
      </c>
      <c r="E53">
        <v>-1526</v>
      </c>
      <c r="F53" t="str">
        <f>VLOOKUP(E53,CompDbase!B:L,4,FALSE)</f>
        <v>Ethane</v>
      </c>
      <c r="G53" s="95" t="str">
        <f>VLOOKUP(E53,CompDbase!B:M,12,FALSE)</f>
        <v>Alk</v>
      </c>
      <c r="H53" s="95">
        <f>VLOOKUP(E53,CompDbase!B:L,8,FALSE)</f>
        <v>30.07</v>
      </c>
      <c r="I53" s="95" t="e">
        <f>VLOOKUP(E53,CompDbase!B:L,11,FALSE)</f>
        <v>#DIV/0!</v>
      </c>
      <c r="J53" s="95">
        <f>VLOOKUP(E53,CompDbase!B:L,9,FALSE)</f>
        <v>62</v>
      </c>
      <c r="K53" s="95">
        <f>VLOOKUP(E53,CompDbase!B:L,10,FALSE)</f>
        <v>1.81</v>
      </c>
      <c r="L53" s="4" t="s">
        <v>769</v>
      </c>
      <c r="M53" s="420"/>
      <c r="N53" s="420"/>
      <c r="O53" s="4"/>
      <c r="P53">
        <v>296</v>
      </c>
      <c r="Q53" s="4" t="s">
        <v>1049</v>
      </c>
      <c r="S53" s="4"/>
      <c r="Y53">
        <v>5.7000000000000003E-12</v>
      </c>
      <c r="Z53" s="95">
        <f t="shared" si="62"/>
        <v>-11.244125144327509</v>
      </c>
      <c r="DG53">
        <f t="shared" si="66"/>
        <v>-11.244125144327509</v>
      </c>
      <c r="DH53">
        <f t="shared" si="63"/>
        <v>30.07</v>
      </c>
      <c r="EB53" s="350">
        <v>200</v>
      </c>
      <c r="EC53" s="350">
        <f t="shared" si="58"/>
        <v>-12.125609538968767</v>
      </c>
      <c r="ED53" s="350">
        <f t="shared" si="58"/>
        <v>-13.136517978263836</v>
      </c>
      <c r="EE53" s="350"/>
      <c r="EF53" s="350"/>
      <c r="EG53" s="350">
        <f t="shared" si="60"/>
        <v>-12.75</v>
      </c>
      <c r="EH53" s="350">
        <f t="shared" si="61"/>
        <v>-12.26</v>
      </c>
      <c r="EI53" s="350">
        <f t="shared" si="59"/>
        <v>-13.279284499999999</v>
      </c>
      <c r="EJ53" s="350"/>
      <c r="EY53" s="479">
        <f>VLOOKUP(B53,Literatuur!$A:$B,2,FALSE)</f>
        <v>12</v>
      </c>
      <c r="EZ53" t="str">
        <f t="shared" si="67"/>
        <v>Ethane</v>
      </c>
      <c r="FA53" t="str">
        <f t="shared" si="68"/>
        <v>Alk</v>
      </c>
      <c r="FB53" t="str">
        <f t="shared" si="69"/>
        <v>LDPE</v>
      </c>
      <c r="FC53" t="str">
        <f t="shared" si="70"/>
        <v/>
      </c>
      <c r="FD53">
        <f t="shared" si="71"/>
        <v>296</v>
      </c>
      <c r="FE53" t="str">
        <f t="shared" si="72"/>
        <v>water</v>
      </c>
      <c r="FF53" t="str">
        <f t="shared" si="73"/>
        <v xml:space="preserve"> </v>
      </c>
      <c r="FG53" s="408" t="str">
        <f t="shared" si="64"/>
        <v/>
      </c>
      <c r="FH53" s="138" t="str">
        <f t="shared" si="74"/>
        <v/>
      </c>
      <c r="FI53" s="106" t="str">
        <f t="shared" si="65"/>
        <v>**</v>
      </c>
      <c r="FJ53" s="138">
        <f t="shared" si="75"/>
        <v>-11.244125144327509</v>
      </c>
      <c r="FK53" s="138" t="str">
        <f t="shared" si="76"/>
        <v>**</v>
      </c>
    </row>
    <row r="54" spans="1:167" s="13" customFormat="1" ht="12.75" hidden="1" customHeight="1" x14ac:dyDescent="0.2">
      <c r="A54">
        <v>8</v>
      </c>
      <c r="B54" s="14" t="s">
        <v>1226</v>
      </c>
      <c r="C54" s="14"/>
      <c r="D54" s="14" t="s">
        <v>480</v>
      </c>
      <c r="E54" s="13">
        <v>-1526</v>
      </c>
      <c r="F54" s="13" t="str">
        <f>VLOOKUP(E54,CompDbase!B:L,4,FALSE)</f>
        <v>Ethane</v>
      </c>
      <c r="G54" s="182" t="str">
        <f>VLOOKUP(E54,CompDbase!B:M,12,FALSE)</f>
        <v>Alk</v>
      </c>
      <c r="H54" s="182">
        <f>VLOOKUP(E54,CompDbase!B:L,8,FALSE)</f>
        <v>30.07</v>
      </c>
      <c r="I54" s="182" t="e">
        <f>VLOOKUP(E54,CompDbase!B:L,11,FALSE)</f>
        <v>#DIV/0!</v>
      </c>
      <c r="J54" s="182">
        <f>VLOOKUP(E54,CompDbase!B:L,9,FALSE)</f>
        <v>62</v>
      </c>
      <c r="K54" s="95">
        <f>VLOOKUP(E54,CompDbase!B:L,10,FALSE)</f>
        <v>1.81</v>
      </c>
      <c r="L54" s="14" t="s">
        <v>769</v>
      </c>
      <c r="M54" s="421"/>
      <c r="N54" s="421"/>
      <c r="O54" s="4"/>
      <c r="P54" s="13">
        <v>296</v>
      </c>
      <c r="Q54" s="14" t="s">
        <v>1049</v>
      </c>
      <c r="R54" s="289"/>
      <c r="S54" s="14"/>
      <c r="T54"/>
      <c r="Y54" s="13">
        <v>4.9000000000000005E-12</v>
      </c>
      <c r="Z54" s="182">
        <f t="shared" si="62"/>
        <v>-11.309803919971486</v>
      </c>
      <c r="DF54"/>
      <c r="DG54">
        <f t="shared" si="66"/>
        <v>-11.309803919971486</v>
      </c>
      <c r="DH54">
        <f t="shared" si="63"/>
        <v>30.07</v>
      </c>
      <c r="DP54"/>
      <c r="EB54" s="350">
        <v>225</v>
      </c>
      <c r="EC54" s="350">
        <f t="shared" si="58"/>
        <v>-12.260738619266244</v>
      </c>
      <c r="ED54" s="350">
        <f t="shared" si="58"/>
        <v>-13.271647058561312</v>
      </c>
      <c r="EE54" s="350"/>
      <c r="EF54" s="350"/>
      <c r="EG54" s="350">
        <f t="shared" si="60"/>
        <v>-13.092499999999999</v>
      </c>
      <c r="EH54" s="350">
        <f t="shared" si="61"/>
        <v>-12.4175</v>
      </c>
      <c r="EI54" s="350">
        <f t="shared" si="59"/>
        <v>-13.732192</v>
      </c>
      <c r="EJ54" s="350"/>
      <c r="EY54" s="479">
        <f>VLOOKUP(B54,Literatuur!$A:$B,2,FALSE)</f>
        <v>12</v>
      </c>
      <c r="EZ54" t="str">
        <f t="shared" si="67"/>
        <v>Ethane</v>
      </c>
      <c r="FA54" t="str">
        <f t="shared" si="68"/>
        <v>Alk</v>
      </c>
      <c r="FB54" t="str">
        <f t="shared" si="69"/>
        <v>LDPE</v>
      </c>
      <c r="FC54" t="str">
        <f t="shared" si="70"/>
        <v/>
      </c>
      <c r="FD54">
        <f t="shared" si="71"/>
        <v>296</v>
      </c>
      <c r="FE54" t="str">
        <f t="shared" si="72"/>
        <v>water</v>
      </c>
      <c r="FF54" t="str">
        <f t="shared" si="73"/>
        <v xml:space="preserve"> </v>
      </c>
      <c r="FG54" s="408" t="str">
        <f t="shared" si="64"/>
        <v/>
      </c>
      <c r="FH54" s="138" t="str">
        <f t="shared" si="74"/>
        <v/>
      </c>
      <c r="FI54" s="106" t="str">
        <f t="shared" si="65"/>
        <v>**</v>
      </c>
      <c r="FJ54" s="138">
        <f t="shared" si="75"/>
        <v>-11.309803919971486</v>
      </c>
      <c r="FK54" s="138" t="str">
        <f t="shared" si="76"/>
        <v>**</v>
      </c>
    </row>
    <row r="55" spans="1:167" s="9" customFormat="1" ht="12.75" hidden="1" customHeight="1" x14ac:dyDescent="0.2">
      <c r="A55">
        <v>9</v>
      </c>
      <c r="B55" s="10" t="s">
        <v>1226</v>
      </c>
      <c r="C55" s="10"/>
      <c r="D55" s="10" t="s">
        <v>432</v>
      </c>
      <c r="E55" s="9">
        <v>-1501</v>
      </c>
      <c r="F55" s="9" t="str">
        <f>VLOOKUP(E55,CompDbase!B:L,4,FALSE)</f>
        <v>Ethylene</v>
      </c>
      <c r="G55" s="181" t="str">
        <f>VLOOKUP(E55,CompDbase!B:M,12,FALSE)</f>
        <v>Alk</v>
      </c>
      <c r="H55" s="181">
        <f>VLOOKUP(E55,CompDbase!B:L,8,FALSE)</f>
        <v>28.05</v>
      </c>
      <c r="I55" s="181" t="e">
        <f>VLOOKUP(E55,CompDbase!B:L,11,FALSE)</f>
        <v>#DIV/0!</v>
      </c>
      <c r="J55" s="181">
        <f>VLOOKUP(E55,CompDbase!B:L,9,FALSE)</f>
        <v>130</v>
      </c>
      <c r="K55" s="95">
        <f>VLOOKUP(E55,CompDbase!B:L,10,FALSE)</f>
        <v>1.1299999999999999</v>
      </c>
      <c r="L55" s="10" t="s">
        <v>769</v>
      </c>
      <c r="M55" s="422"/>
      <c r="N55" s="422"/>
      <c r="O55" s="4"/>
      <c r="P55" s="9">
        <v>296</v>
      </c>
      <c r="Q55" s="10" t="s">
        <v>1049</v>
      </c>
      <c r="R55" s="289"/>
      <c r="S55" s="10"/>
      <c r="T55"/>
      <c r="V55"/>
      <c r="W55"/>
      <c r="X55"/>
      <c r="Y55">
        <v>1.3400000000000002E-11</v>
      </c>
      <c r="Z55" s="95">
        <f t="shared" si="62"/>
        <v>-10.872895201635192</v>
      </c>
      <c r="AA55"/>
      <c r="AB55"/>
      <c r="AC55"/>
      <c r="AD55"/>
      <c r="DF55"/>
      <c r="DG55">
        <f t="shared" si="66"/>
        <v>-10.872895201635192</v>
      </c>
      <c r="DH55">
        <f t="shared" si="63"/>
        <v>28.05</v>
      </c>
      <c r="DP55"/>
      <c r="EB55" s="350">
        <v>250</v>
      </c>
      <c r="EC55" s="350">
        <f t="shared" si="58"/>
        <v>-12.389815735733002</v>
      </c>
      <c r="ED55" s="350">
        <f t="shared" si="58"/>
        <v>-13.400724175028071</v>
      </c>
      <c r="EE55" s="350"/>
      <c r="EF55" s="350"/>
      <c r="EG55" s="350">
        <f t="shared" si="60"/>
        <v>-13.435</v>
      </c>
      <c r="EH55" s="350">
        <f t="shared" si="61"/>
        <v>-12.574999999999999</v>
      </c>
      <c r="EI55" s="350">
        <f t="shared" si="59"/>
        <v>-14.1850995</v>
      </c>
      <c r="EJ55" s="350"/>
      <c r="EY55" s="479">
        <f>VLOOKUP(B55,Literatuur!$A:$B,2,FALSE)</f>
        <v>12</v>
      </c>
      <c r="EZ55" t="str">
        <f t="shared" si="67"/>
        <v>Ethylene</v>
      </c>
      <c r="FA55" t="str">
        <f t="shared" si="68"/>
        <v>Alk</v>
      </c>
      <c r="FB55" t="str">
        <f t="shared" si="69"/>
        <v>LDPE</v>
      </c>
      <c r="FC55" t="str">
        <f t="shared" si="70"/>
        <v/>
      </c>
      <c r="FD55">
        <f t="shared" si="71"/>
        <v>296</v>
      </c>
      <c r="FE55" t="str">
        <f t="shared" si="72"/>
        <v>water</v>
      </c>
      <c r="FF55" t="str">
        <f t="shared" si="73"/>
        <v xml:space="preserve"> </v>
      </c>
      <c r="FG55" s="408" t="str">
        <f t="shared" si="64"/>
        <v/>
      </c>
      <c r="FH55" s="138" t="str">
        <f t="shared" si="74"/>
        <v/>
      </c>
      <c r="FI55" s="106" t="str">
        <f t="shared" si="65"/>
        <v>**</v>
      </c>
      <c r="FJ55" s="138">
        <f t="shared" si="75"/>
        <v>-10.872895201635192</v>
      </c>
      <c r="FK55" s="138" t="str">
        <f t="shared" si="76"/>
        <v>**</v>
      </c>
    </row>
    <row r="56" spans="1:167" ht="12.75" hidden="1" customHeight="1" x14ac:dyDescent="0.2">
      <c r="A56">
        <v>10</v>
      </c>
      <c r="B56" s="4" t="s">
        <v>1226</v>
      </c>
      <c r="C56" s="4"/>
      <c r="D56" s="4" t="s">
        <v>432</v>
      </c>
      <c r="E56">
        <v>-1501</v>
      </c>
      <c r="F56" t="str">
        <f>VLOOKUP(E56,CompDbase!B:L,4,FALSE)</f>
        <v>Ethylene</v>
      </c>
      <c r="G56" s="95" t="str">
        <f>VLOOKUP(E56,CompDbase!B:M,12,FALSE)</f>
        <v>Alk</v>
      </c>
      <c r="H56" s="95">
        <f>VLOOKUP(E56,CompDbase!B:L,8,FALSE)</f>
        <v>28.05</v>
      </c>
      <c r="I56" s="95" t="e">
        <f>VLOOKUP(E56,CompDbase!B:L,11,FALSE)</f>
        <v>#DIV/0!</v>
      </c>
      <c r="J56" s="95">
        <f>VLOOKUP(E56,CompDbase!B:L,9,FALSE)</f>
        <v>130</v>
      </c>
      <c r="K56" s="95">
        <f>VLOOKUP(E56,CompDbase!B:L,10,FALSE)</f>
        <v>1.1299999999999999</v>
      </c>
      <c r="L56" s="4" t="s">
        <v>769</v>
      </c>
      <c r="M56" s="420"/>
      <c r="N56" s="420"/>
      <c r="O56" s="4"/>
      <c r="P56">
        <v>296</v>
      </c>
      <c r="Q56" s="4" t="s">
        <v>1049</v>
      </c>
      <c r="S56" s="4"/>
      <c r="Y56">
        <v>1.23E-11</v>
      </c>
      <c r="Z56" s="95">
        <f t="shared" si="62"/>
        <v>-10.910094888560602</v>
      </c>
      <c r="DG56">
        <f t="shared" si="66"/>
        <v>-10.910094888560602</v>
      </c>
      <c r="DH56">
        <f t="shared" si="63"/>
        <v>28.05</v>
      </c>
      <c r="EB56" s="350">
        <v>275</v>
      </c>
      <c r="EC56" s="350">
        <f t="shared" si="58"/>
        <v>-12.513635419748423</v>
      </c>
      <c r="ED56" s="350">
        <f t="shared" si="58"/>
        <v>-13.524543859043492</v>
      </c>
      <c r="EE56" s="350"/>
      <c r="EF56" s="350"/>
      <c r="EG56" s="350">
        <f t="shared" si="60"/>
        <v>-13.7775</v>
      </c>
      <c r="EH56" s="350">
        <f t="shared" si="61"/>
        <v>-12.7325</v>
      </c>
      <c r="EI56" s="350">
        <f t="shared" si="59"/>
        <v>-14.638007</v>
      </c>
      <c r="EJ56" s="350"/>
      <c r="EY56" s="479">
        <f>VLOOKUP(B56,Literatuur!$A:$B,2,FALSE)</f>
        <v>12</v>
      </c>
      <c r="EZ56" t="str">
        <f t="shared" si="67"/>
        <v>Ethylene</v>
      </c>
      <c r="FA56" t="str">
        <f t="shared" si="68"/>
        <v>Alk</v>
      </c>
      <c r="FB56" t="str">
        <f t="shared" si="69"/>
        <v>LDPE</v>
      </c>
      <c r="FC56" t="str">
        <f t="shared" si="70"/>
        <v/>
      </c>
      <c r="FD56">
        <f t="shared" si="71"/>
        <v>296</v>
      </c>
      <c r="FE56" t="str">
        <f t="shared" si="72"/>
        <v>water</v>
      </c>
      <c r="FF56" t="str">
        <f t="shared" si="73"/>
        <v xml:space="preserve"> </v>
      </c>
      <c r="FG56" s="408" t="str">
        <f t="shared" si="64"/>
        <v/>
      </c>
      <c r="FH56" s="138" t="str">
        <f t="shared" si="74"/>
        <v/>
      </c>
      <c r="FI56" s="106" t="str">
        <f t="shared" si="65"/>
        <v>**</v>
      </c>
      <c r="FJ56" s="138">
        <f t="shared" si="75"/>
        <v>-10.910094888560602</v>
      </c>
      <c r="FK56" s="138" t="str">
        <f t="shared" si="76"/>
        <v>**</v>
      </c>
    </row>
    <row r="57" spans="1:167" ht="12.75" hidden="1" customHeight="1" x14ac:dyDescent="0.2">
      <c r="A57">
        <v>11</v>
      </c>
      <c r="B57" s="4" t="s">
        <v>1226</v>
      </c>
      <c r="C57" s="4"/>
      <c r="D57" s="4" t="s">
        <v>858</v>
      </c>
      <c r="E57">
        <v>-1658</v>
      </c>
      <c r="F57" t="str">
        <f>VLOOKUP(E57,CompDbase!B:L,4,FALSE)</f>
        <v>Hexene</v>
      </c>
      <c r="G57" s="95" t="str">
        <f>VLOOKUP(E57,CompDbase!B:M,12,FALSE)</f>
        <v>Alk</v>
      </c>
      <c r="H57" s="95">
        <f>VLOOKUP(E57,CompDbase!B:L,8,FALSE)</f>
        <v>84.16</v>
      </c>
      <c r="I57" s="95" t="e">
        <f>VLOOKUP(E57,CompDbase!B:L,11,FALSE)</f>
        <v>#DIV/0!</v>
      </c>
      <c r="J57" s="95">
        <f>VLOOKUP(E57,CompDbase!B:L,9,FALSE)</f>
        <v>50</v>
      </c>
      <c r="K57" s="95">
        <f>VLOOKUP(E57,CompDbase!B:L,10,FALSE)</f>
        <v>3.07</v>
      </c>
      <c r="L57" s="4" t="s">
        <v>769</v>
      </c>
      <c r="M57" s="420"/>
      <c r="N57" s="420"/>
      <c r="O57" s="4"/>
      <c r="P57">
        <v>296</v>
      </c>
      <c r="Q57" s="4" t="s">
        <v>1049</v>
      </c>
      <c r="S57" s="4"/>
      <c r="Y57">
        <v>7.1E-13</v>
      </c>
      <c r="Z57" s="95">
        <f t="shared" si="62"/>
        <v>-12.148741651280925</v>
      </c>
      <c r="DG57">
        <f t="shared" si="66"/>
        <v>-12.148741651280925</v>
      </c>
      <c r="DH57">
        <f t="shared" si="63"/>
        <v>84.16</v>
      </c>
      <c r="EB57" s="350">
        <v>300</v>
      </c>
      <c r="EC57" s="350">
        <f t="shared" si="58"/>
        <v>-12.632825695039578</v>
      </c>
      <c r="ED57" s="350">
        <f t="shared" si="58"/>
        <v>-13.643734134334647</v>
      </c>
      <c r="EE57" s="350"/>
      <c r="EF57" s="350"/>
      <c r="EG57" s="350">
        <f t="shared" si="60"/>
        <v>-14.120000000000001</v>
      </c>
      <c r="EH57" s="350">
        <f t="shared" si="61"/>
        <v>-12.89</v>
      </c>
      <c r="EI57" s="350">
        <f t="shared" si="59"/>
        <v>-15.0909145</v>
      </c>
      <c r="EJ57" s="350"/>
      <c r="EY57" s="479">
        <f>VLOOKUP(B57,Literatuur!$A:$B,2,FALSE)</f>
        <v>12</v>
      </c>
      <c r="EZ57" t="str">
        <f t="shared" si="67"/>
        <v>Hexene-2</v>
      </c>
      <c r="FA57" t="str">
        <f t="shared" si="68"/>
        <v>Alk</v>
      </c>
      <c r="FB57" t="str">
        <f t="shared" si="69"/>
        <v>LDPE</v>
      </c>
      <c r="FC57" t="str">
        <f t="shared" si="70"/>
        <v/>
      </c>
      <c r="FD57">
        <f t="shared" si="71"/>
        <v>296</v>
      </c>
      <c r="FE57" t="str">
        <f t="shared" si="72"/>
        <v>water</v>
      </c>
      <c r="FF57" t="str">
        <f t="shared" si="73"/>
        <v xml:space="preserve"> </v>
      </c>
      <c r="FG57" s="408" t="str">
        <f t="shared" si="64"/>
        <v/>
      </c>
      <c r="FH57" s="138" t="str">
        <f t="shared" si="74"/>
        <v/>
      </c>
      <c r="FI57" s="106" t="str">
        <f t="shared" si="65"/>
        <v>**</v>
      </c>
      <c r="FJ57" s="138">
        <f t="shared" si="75"/>
        <v>-12.148741651280925</v>
      </c>
      <c r="FK57" s="138" t="str">
        <f t="shared" si="76"/>
        <v>**</v>
      </c>
    </row>
    <row r="58" spans="1:167" ht="12.75" hidden="1" customHeight="1" x14ac:dyDescent="0.2">
      <c r="A58">
        <v>12</v>
      </c>
      <c r="B58" s="4" t="s">
        <v>1226</v>
      </c>
      <c r="C58" s="4"/>
      <c r="D58" s="4" t="s">
        <v>846</v>
      </c>
      <c r="E58">
        <v>-1506</v>
      </c>
      <c r="F58" t="str">
        <f>VLOOKUP(E58,CompDbase!B:L,4,FALSE)</f>
        <v>Isobutylene</v>
      </c>
      <c r="G58" s="95" t="str">
        <f>VLOOKUP(E58,CompDbase!B:M,12,FALSE)</f>
        <v>Alk</v>
      </c>
      <c r="H58" s="95">
        <f>VLOOKUP(E58,CompDbase!B:L,8,FALSE)</f>
        <v>56.11</v>
      </c>
      <c r="I58" s="95" t="e">
        <f>VLOOKUP(E58,CompDbase!B:L,11,FALSE)</f>
        <v>#DIV/0!</v>
      </c>
      <c r="J58" s="95">
        <f>VLOOKUP(E58,CompDbase!B:L,9,FALSE)</f>
        <v>388</v>
      </c>
      <c r="K58" s="95">
        <f>VLOOKUP(E58,CompDbase!B:L,10,FALSE)</f>
        <v>2.35</v>
      </c>
      <c r="L58" s="4" t="s">
        <v>769</v>
      </c>
      <c r="M58" s="420"/>
      <c r="N58" s="420"/>
      <c r="O58" s="4"/>
      <c r="P58">
        <v>296</v>
      </c>
      <c r="Q58" s="4" t="s">
        <v>1049</v>
      </c>
      <c r="S58" s="4"/>
      <c r="Y58">
        <v>3.9999999999999999E-12</v>
      </c>
      <c r="Z58" s="95">
        <f t="shared" si="62"/>
        <v>-11.397940008672037</v>
      </c>
      <c r="DG58">
        <f t="shared" si="66"/>
        <v>-11.397940008672037</v>
      </c>
      <c r="DH58">
        <f t="shared" si="63"/>
        <v>56.11</v>
      </c>
      <c r="EB58" s="350">
        <v>325</v>
      </c>
      <c r="EC58" s="350">
        <f t="shared" si="58"/>
        <v>-12.747893876251585</v>
      </c>
      <c r="ED58" s="350">
        <f t="shared" si="58"/>
        <v>-13.758802315546653</v>
      </c>
      <c r="EE58" s="350"/>
      <c r="EF58" s="350"/>
      <c r="EG58" s="350">
        <f t="shared" si="60"/>
        <v>-14.462499999999999</v>
      </c>
      <c r="EH58" s="350">
        <f t="shared" si="61"/>
        <v>-13.047499999999999</v>
      </c>
      <c r="EI58" s="350">
        <f t="shared" si="59"/>
        <v>-15.543821999999999</v>
      </c>
      <c r="EJ58" s="350"/>
      <c r="EY58" s="479">
        <f>VLOOKUP(B58,Literatuur!$A:$B,2,FALSE)</f>
        <v>12</v>
      </c>
      <c r="EZ58" t="str">
        <f t="shared" si="67"/>
        <v>Isobutylene</v>
      </c>
      <c r="FA58" t="str">
        <f t="shared" si="68"/>
        <v>Alk</v>
      </c>
      <c r="FB58" t="str">
        <f t="shared" si="69"/>
        <v>LDPE</v>
      </c>
      <c r="FC58" t="str">
        <f t="shared" si="70"/>
        <v/>
      </c>
      <c r="FD58">
        <f t="shared" si="71"/>
        <v>296</v>
      </c>
      <c r="FE58" t="str">
        <f t="shared" si="72"/>
        <v>water</v>
      </c>
      <c r="FF58" t="str">
        <f t="shared" si="73"/>
        <v xml:space="preserve"> </v>
      </c>
      <c r="FG58" s="408" t="str">
        <f t="shared" si="64"/>
        <v/>
      </c>
      <c r="FH58" s="138" t="str">
        <f t="shared" si="74"/>
        <v/>
      </c>
      <c r="FI58" s="106" t="str">
        <f t="shared" si="65"/>
        <v>**</v>
      </c>
      <c r="FJ58" s="138">
        <f t="shared" si="75"/>
        <v>-11.397940008672037</v>
      </c>
      <c r="FK58" s="138" t="str">
        <f t="shared" si="76"/>
        <v>**</v>
      </c>
    </row>
    <row r="59" spans="1:167" ht="12.75" hidden="1" customHeight="1" x14ac:dyDescent="0.2">
      <c r="A59">
        <v>13</v>
      </c>
      <c r="B59" s="4" t="s">
        <v>1226</v>
      </c>
      <c r="C59" s="4"/>
      <c r="D59" s="4" t="s">
        <v>846</v>
      </c>
      <c r="E59">
        <v>-1506</v>
      </c>
      <c r="F59" t="str">
        <f>VLOOKUP(E59,CompDbase!B:L,4,FALSE)</f>
        <v>Isobutylene</v>
      </c>
      <c r="G59" s="95" t="str">
        <f>VLOOKUP(E59,CompDbase!B:M,12,FALSE)</f>
        <v>Alk</v>
      </c>
      <c r="H59" s="95">
        <f>VLOOKUP(E59,CompDbase!B:L,8,FALSE)</f>
        <v>56.11</v>
      </c>
      <c r="I59" s="95" t="e">
        <f>VLOOKUP(E59,CompDbase!B:L,11,FALSE)</f>
        <v>#DIV/0!</v>
      </c>
      <c r="J59" s="95">
        <f>VLOOKUP(E59,CompDbase!B:L,9,FALSE)</f>
        <v>388</v>
      </c>
      <c r="K59" s="95">
        <f>VLOOKUP(E59,CompDbase!B:L,10,FALSE)</f>
        <v>2.35</v>
      </c>
      <c r="L59" s="4" t="s">
        <v>769</v>
      </c>
      <c r="M59" s="420"/>
      <c r="N59" s="420"/>
      <c r="O59" s="4"/>
      <c r="P59">
        <v>296</v>
      </c>
      <c r="Q59" s="4" t="s">
        <v>1049</v>
      </c>
      <c r="S59" s="4"/>
      <c r="Y59">
        <v>2.6000000000000002E-12</v>
      </c>
      <c r="Z59" s="95">
        <f t="shared" si="62"/>
        <v>-11.585026652029182</v>
      </c>
      <c r="DG59">
        <f t="shared" si="66"/>
        <v>-11.585026652029182</v>
      </c>
      <c r="DH59">
        <f t="shared" si="63"/>
        <v>56.11</v>
      </c>
      <c r="EB59" s="350">
        <v>350</v>
      </c>
      <c r="EC59" s="350">
        <f t="shared" si="58"/>
        <v>-12.859257225101308</v>
      </c>
      <c r="ED59" s="350">
        <f t="shared" si="58"/>
        <v>-13.870165664396376</v>
      </c>
      <c r="EE59" s="350"/>
      <c r="EF59" s="350"/>
      <c r="EG59" s="350">
        <f t="shared" si="60"/>
        <v>-14.805</v>
      </c>
      <c r="EH59" s="350">
        <f t="shared" si="61"/>
        <v>-13.205</v>
      </c>
      <c r="EI59" s="350">
        <f t="shared" si="59"/>
        <v>-15.996729500000001</v>
      </c>
      <c r="EJ59" s="350"/>
      <c r="EY59" s="479">
        <f>VLOOKUP(B59,Literatuur!$A:$B,2,FALSE)</f>
        <v>12</v>
      </c>
      <c r="EZ59" t="str">
        <f t="shared" si="67"/>
        <v>Isobutylene</v>
      </c>
      <c r="FA59" t="str">
        <f t="shared" si="68"/>
        <v>Alk</v>
      </c>
      <c r="FB59" t="str">
        <f t="shared" si="69"/>
        <v>LDPE</v>
      </c>
      <c r="FC59" t="str">
        <f t="shared" si="70"/>
        <v/>
      </c>
      <c r="FD59">
        <f t="shared" si="71"/>
        <v>296</v>
      </c>
      <c r="FE59" t="str">
        <f t="shared" si="72"/>
        <v>water</v>
      </c>
      <c r="FF59" t="str">
        <f t="shared" si="73"/>
        <v xml:space="preserve"> </v>
      </c>
      <c r="FG59" s="408" t="str">
        <f t="shared" si="64"/>
        <v/>
      </c>
      <c r="FH59" s="138" t="str">
        <f t="shared" si="74"/>
        <v/>
      </c>
      <c r="FI59" s="106" t="str">
        <f t="shared" si="65"/>
        <v>**</v>
      </c>
      <c r="FJ59" s="138">
        <f t="shared" si="75"/>
        <v>-11.585026652029182</v>
      </c>
      <c r="FK59" s="138" t="str">
        <f t="shared" si="76"/>
        <v>**</v>
      </c>
    </row>
    <row r="60" spans="1:167" ht="12.75" hidden="1" customHeight="1" x14ac:dyDescent="0.2">
      <c r="A60">
        <v>14</v>
      </c>
      <c r="B60" s="4" t="s">
        <v>1226</v>
      </c>
      <c r="C60" s="4"/>
      <c r="D60" s="4" t="s">
        <v>796</v>
      </c>
      <c r="E60">
        <v>-1500</v>
      </c>
      <c r="F60" t="str">
        <f>VLOOKUP(E60,CompDbase!B:L,4,FALSE)</f>
        <v>Methane</v>
      </c>
      <c r="G60" s="95" t="str">
        <f>VLOOKUP(E60,CompDbase!B:M,12,FALSE)</f>
        <v>Alk</v>
      </c>
      <c r="H60" s="95">
        <f>VLOOKUP(E60,CompDbase!B:L,8,FALSE)</f>
        <v>16.05</v>
      </c>
      <c r="I60" s="95" t="e">
        <f>VLOOKUP(E60,CompDbase!B:L,11,FALSE)</f>
        <v>#DIV/0!</v>
      </c>
      <c r="J60" s="95">
        <f>VLOOKUP(E60,CompDbase!B:L,9,FALSE)</f>
        <v>26000</v>
      </c>
      <c r="K60" s="95">
        <f>VLOOKUP(E60,CompDbase!B:L,10,FALSE)</f>
        <v>1.0900000000000001</v>
      </c>
      <c r="L60" s="4" t="s">
        <v>769</v>
      </c>
      <c r="M60" s="420"/>
      <c r="N60" s="420"/>
      <c r="O60" s="4"/>
      <c r="P60">
        <v>296</v>
      </c>
      <c r="Q60" s="4" t="s">
        <v>1049</v>
      </c>
      <c r="S60" s="4"/>
      <c r="Y60">
        <v>1.7999999999999999E-11</v>
      </c>
      <c r="Z60" s="95">
        <f t="shared" si="62"/>
        <v>-10.744727494896694</v>
      </c>
      <c r="DG60">
        <f t="shared" si="66"/>
        <v>-10.744727494896694</v>
      </c>
      <c r="DH60">
        <f t="shared" si="63"/>
        <v>16.05</v>
      </c>
      <c r="EB60" s="350">
        <v>375</v>
      </c>
      <c r="EC60" s="350">
        <f t="shared" si="58"/>
        <v>-12.96726419368402</v>
      </c>
      <c r="ED60" s="350">
        <f t="shared" si="58"/>
        <v>-13.978172632979089</v>
      </c>
      <c r="EE60" s="350"/>
      <c r="EF60" s="350"/>
      <c r="EG60" s="350">
        <f t="shared" si="60"/>
        <v>-15.147500000000001</v>
      </c>
      <c r="EH60" s="350">
        <f t="shared" si="61"/>
        <v>-13.362500000000001</v>
      </c>
      <c r="EI60" s="350">
        <f t="shared" si="59"/>
        <v>-16.449636999999999</v>
      </c>
      <c r="EJ60" s="350"/>
      <c r="EY60" s="479">
        <f>VLOOKUP(B60,Literatuur!$A:$B,2,FALSE)</f>
        <v>12</v>
      </c>
      <c r="EZ60" t="str">
        <f t="shared" si="67"/>
        <v>Methane</v>
      </c>
      <c r="FA60" t="str">
        <f t="shared" si="68"/>
        <v>Alk</v>
      </c>
      <c r="FB60" t="str">
        <f t="shared" si="69"/>
        <v>LDPE</v>
      </c>
      <c r="FC60" t="str">
        <f t="shared" si="70"/>
        <v/>
      </c>
      <c r="FD60">
        <f t="shared" si="71"/>
        <v>296</v>
      </c>
      <c r="FE60" t="str">
        <f t="shared" si="72"/>
        <v>water</v>
      </c>
      <c r="FF60" t="str">
        <f t="shared" si="73"/>
        <v xml:space="preserve"> </v>
      </c>
      <c r="FG60" s="408" t="str">
        <f t="shared" si="64"/>
        <v/>
      </c>
      <c r="FH60" s="138" t="str">
        <f t="shared" si="74"/>
        <v/>
      </c>
      <c r="FI60" s="106" t="str">
        <f t="shared" si="65"/>
        <v>**</v>
      </c>
      <c r="FJ60" s="138">
        <f t="shared" si="75"/>
        <v>-10.744727494896694</v>
      </c>
      <c r="FK60" s="138" t="str">
        <f t="shared" si="76"/>
        <v>**</v>
      </c>
    </row>
    <row r="61" spans="1:167" ht="12.75" hidden="1" customHeight="1" x14ac:dyDescent="0.2">
      <c r="A61">
        <v>15</v>
      </c>
      <c r="B61" s="4" t="s">
        <v>1226</v>
      </c>
      <c r="C61" s="4"/>
      <c r="D61" s="4" t="s">
        <v>796</v>
      </c>
      <c r="E61">
        <v>-1500</v>
      </c>
      <c r="F61" t="str">
        <f>VLOOKUP(E61,CompDbase!B:L,4,FALSE)</f>
        <v>Methane</v>
      </c>
      <c r="G61" s="95" t="str">
        <f>VLOOKUP(E61,CompDbase!B:M,12,FALSE)</f>
        <v>Alk</v>
      </c>
      <c r="H61" s="95">
        <f>VLOOKUP(E61,CompDbase!B:L,8,FALSE)</f>
        <v>16.05</v>
      </c>
      <c r="I61" s="95" t="e">
        <f>VLOOKUP(E61,CompDbase!B:L,11,FALSE)</f>
        <v>#DIV/0!</v>
      </c>
      <c r="J61" s="95">
        <f>VLOOKUP(E61,CompDbase!B:L,9,FALSE)</f>
        <v>26000</v>
      </c>
      <c r="K61" s="95">
        <f>VLOOKUP(E61,CompDbase!B:L,10,FALSE)</f>
        <v>1.0900000000000001</v>
      </c>
      <c r="L61" s="4" t="s">
        <v>769</v>
      </c>
      <c r="M61" s="420"/>
      <c r="N61" s="420"/>
      <c r="O61" s="4"/>
      <c r="P61">
        <v>296</v>
      </c>
      <c r="Q61" s="4" t="s">
        <v>1049</v>
      </c>
      <c r="S61" s="4"/>
      <c r="Y61">
        <v>1.9399999999999998E-12</v>
      </c>
      <c r="Z61" s="95">
        <f t="shared" si="62"/>
        <v>-11.712198270069774</v>
      </c>
      <c r="DG61">
        <f t="shared" si="66"/>
        <v>-11.712198270069774</v>
      </c>
      <c r="DH61">
        <f t="shared" si="63"/>
        <v>16.05</v>
      </c>
      <c r="EB61" s="350">
        <v>400</v>
      </c>
      <c r="EC61" s="350">
        <f t="shared" si="58"/>
        <v>-13.072209579023596</v>
      </c>
      <c r="ED61" s="350">
        <f t="shared" si="58"/>
        <v>-14.083118018318666</v>
      </c>
      <c r="EE61" s="350"/>
      <c r="EF61" s="350"/>
      <c r="EG61" s="350">
        <f t="shared" si="60"/>
        <v>-15.49</v>
      </c>
      <c r="EH61" s="350">
        <f t="shared" si="61"/>
        <v>-13.52</v>
      </c>
      <c r="EI61" s="350">
        <f t="shared" si="59"/>
        <v>-16.902544499999998</v>
      </c>
      <c r="EJ61" s="350"/>
      <c r="EY61" s="479">
        <f>VLOOKUP(B61,Literatuur!$A:$B,2,FALSE)</f>
        <v>12</v>
      </c>
      <c r="EZ61" t="str">
        <f t="shared" si="67"/>
        <v>Methane</v>
      </c>
      <c r="FA61" t="str">
        <f t="shared" si="68"/>
        <v>Alk</v>
      </c>
      <c r="FB61" t="str">
        <f t="shared" si="69"/>
        <v>LDPE</v>
      </c>
      <c r="FC61" t="str">
        <f t="shared" si="70"/>
        <v/>
      </c>
      <c r="FD61">
        <f t="shared" si="71"/>
        <v>296</v>
      </c>
      <c r="FE61" t="str">
        <f t="shared" si="72"/>
        <v>water</v>
      </c>
      <c r="FF61" t="str">
        <f t="shared" si="73"/>
        <v xml:space="preserve"> </v>
      </c>
      <c r="FG61" s="408" t="str">
        <f t="shared" si="64"/>
        <v/>
      </c>
      <c r="FH61" s="138" t="str">
        <f t="shared" si="74"/>
        <v/>
      </c>
      <c r="FI61" s="106" t="str">
        <f t="shared" si="65"/>
        <v>**</v>
      </c>
      <c r="FJ61" s="138">
        <f t="shared" si="75"/>
        <v>-11.712198270069774</v>
      </c>
      <c r="FK61" s="138" t="str">
        <f t="shared" si="76"/>
        <v>**</v>
      </c>
    </row>
    <row r="62" spans="1:167" ht="12.75" hidden="1" customHeight="1" x14ac:dyDescent="0.2">
      <c r="A62">
        <v>16</v>
      </c>
      <c r="B62" s="4" t="s">
        <v>1226</v>
      </c>
      <c r="C62" s="4"/>
      <c r="D62" s="4" t="s">
        <v>796</v>
      </c>
      <c r="E62">
        <v>-1500</v>
      </c>
      <c r="F62" t="str">
        <f>VLOOKUP(E62,CompDbase!B:L,4,FALSE)</f>
        <v>Methane</v>
      </c>
      <c r="G62" s="95" t="str">
        <f>VLOOKUP(E62,CompDbase!B:M,12,FALSE)</f>
        <v>Alk</v>
      </c>
      <c r="H62" s="95">
        <f>VLOOKUP(E62,CompDbase!B:L,8,FALSE)</f>
        <v>16.05</v>
      </c>
      <c r="I62" s="95" t="e">
        <f>VLOOKUP(E62,CompDbase!B:L,11,FALSE)</f>
        <v>#DIV/0!</v>
      </c>
      <c r="J62" s="95">
        <f>VLOOKUP(E62,CompDbase!B:L,9,FALSE)</f>
        <v>26000</v>
      </c>
      <c r="K62" s="95">
        <f>VLOOKUP(E62,CompDbase!B:L,10,FALSE)</f>
        <v>1.0900000000000001</v>
      </c>
      <c r="L62" s="4" t="s">
        <v>769</v>
      </c>
      <c r="M62" s="420"/>
      <c r="N62" s="420"/>
      <c r="O62" s="4"/>
      <c r="P62">
        <v>296</v>
      </c>
      <c r="Q62" s="4" t="s">
        <v>1049</v>
      </c>
      <c r="S62" s="4"/>
      <c r="Y62">
        <v>1.5E-11</v>
      </c>
      <c r="Z62" s="95">
        <f t="shared" si="62"/>
        <v>-10.823908740944319</v>
      </c>
      <c r="DG62">
        <f t="shared" si="66"/>
        <v>-10.823908740944319</v>
      </c>
      <c r="DH62">
        <f t="shared" si="63"/>
        <v>16.05</v>
      </c>
      <c r="EB62" s="350">
        <v>425</v>
      </c>
      <c r="EC62" s="350">
        <f t="shared" si="58"/>
        <v>-13.174345604768293</v>
      </c>
      <c r="ED62" s="350">
        <f t="shared" si="58"/>
        <v>-14.185254044063361</v>
      </c>
      <c r="EE62" s="350"/>
      <c r="EF62" s="350"/>
      <c r="EG62" s="350">
        <f t="shared" si="60"/>
        <v>-15.8325</v>
      </c>
      <c r="EH62" s="350">
        <f t="shared" si="61"/>
        <v>-13.6775</v>
      </c>
      <c r="EI62" s="350">
        <f t="shared" si="59"/>
        <v>-17.355452</v>
      </c>
      <c r="EJ62" s="350"/>
      <c r="EY62" s="479">
        <f>VLOOKUP(B62,Literatuur!$A:$B,2,FALSE)</f>
        <v>12</v>
      </c>
      <c r="EZ62" t="str">
        <f t="shared" si="67"/>
        <v>Methane</v>
      </c>
      <c r="FA62" t="str">
        <f t="shared" si="68"/>
        <v>Alk</v>
      </c>
      <c r="FB62" t="str">
        <f t="shared" si="69"/>
        <v>LDPE</v>
      </c>
      <c r="FC62" t="str">
        <f t="shared" si="70"/>
        <v/>
      </c>
      <c r="FD62">
        <f t="shared" si="71"/>
        <v>296</v>
      </c>
      <c r="FE62" t="str">
        <f t="shared" si="72"/>
        <v>water</v>
      </c>
      <c r="FF62" t="str">
        <f t="shared" si="73"/>
        <v xml:space="preserve"> </v>
      </c>
      <c r="FG62" s="408" t="str">
        <f t="shared" si="64"/>
        <v/>
      </c>
      <c r="FH62" s="138" t="str">
        <f t="shared" si="74"/>
        <v/>
      </c>
      <c r="FI62" s="106" t="str">
        <f t="shared" si="65"/>
        <v>**</v>
      </c>
      <c r="FJ62" s="138">
        <f t="shared" si="75"/>
        <v>-10.823908740944319</v>
      </c>
      <c r="FK62" s="138" t="str">
        <f t="shared" si="76"/>
        <v>**</v>
      </c>
    </row>
    <row r="63" spans="1:167" ht="12.75" hidden="1" customHeight="1" x14ac:dyDescent="0.2">
      <c r="A63">
        <v>17</v>
      </c>
      <c r="B63" s="4" t="s">
        <v>1226</v>
      </c>
      <c r="C63" s="4"/>
      <c r="D63" s="4" t="s">
        <v>848</v>
      </c>
      <c r="E63">
        <v>-1508</v>
      </c>
      <c r="F63" t="str">
        <f>VLOOKUP(E63,CompDbase!B:L,4,FALSE)</f>
        <v>Butane</v>
      </c>
      <c r="G63" s="95" t="str">
        <f>VLOOKUP(E63,CompDbase!B:M,12,FALSE)</f>
        <v>Alk</v>
      </c>
      <c r="H63" s="95">
        <f>VLOOKUP(E63,CompDbase!B:L,8,FALSE)</f>
        <v>58.12</v>
      </c>
      <c r="I63" s="95" t="e">
        <f>VLOOKUP(E63,CompDbase!B:L,11,FALSE)</f>
        <v>#DIV/0!</v>
      </c>
      <c r="J63" s="95">
        <f>VLOOKUP(E63,CompDbase!B:L,9,FALSE)</f>
        <v>61</v>
      </c>
      <c r="K63" s="95">
        <f>VLOOKUP(E63,CompDbase!B:L,10,FALSE)</f>
        <v>2.89</v>
      </c>
      <c r="L63" s="4" t="s">
        <v>769</v>
      </c>
      <c r="M63" s="420"/>
      <c r="N63" s="420"/>
      <c r="O63" s="4"/>
      <c r="P63">
        <v>296</v>
      </c>
      <c r="Q63" s="4" t="s">
        <v>1049</v>
      </c>
      <c r="S63" s="4"/>
      <c r="Y63">
        <v>4.4999999999999998E-12</v>
      </c>
      <c r="Z63" s="95">
        <f t="shared" si="62"/>
        <v>-11.346787486224656</v>
      </c>
      <c r="DG63">
        <f t="shared" si="66"/>
        <v>-11.346787486224656</v>
      </c>
      <c r="DH63">
        <f t="shared" si="63"/>
        <v>58.12</v>
      </c>
      <c r="EB63" s="350">
        <v>450</v>
      </c>
      <c r="EC63" s="350">
        <f t="shared" si="58"/>
        <v>-13.273890199281013</v>
      </c>
      <c r="ED63" s="350">
        <f t="shared" si="58"/>
        <v>-14.284798638576079</v>
      </c>
      <c r="EE63" s="350"/>
      <c r="EF63" s="350"/>
      <c r="EG63" s="350">
        <f t="shared" si="60"/>
        <v>-16.175000000000001</v>
      </c>
      <c r="EH63" s="350">
        <f t="shared" si="61"/>
        <v>-13.835000000000001</v>
      </c>
      <c r="EI63" s="350">
        <f t="shared" si="59"/>
        <v>-17.808359500000002</v>
      </c>
      <c r="EJ63" s="350"/>
      <c r="EY63" s="479">
        <f>VLOOKUP(B63,Literatuur!$A:$B,2,FALSE)</f>
        <v>12</v>
      </c>
      <c r="EZ63" t="str">
        <f t="shared" si="67"/>
        <v>n-Butane</v>
      </c>
      <c r="FA63" t="str">
        <f t="shared" si="68"/>
        <v>Alk</v>
      </c>
      <c r="FB63" t="str">
        <f t="shared" si="69"/>
        <v>LDPE</v>
      </c>
      <c r="FC63" t="str">
        <f t="shared" si="70"/>
        <v/>
      </c>
      <c r="FD63">
        <f t="shared" si="71"/>
        <v>296</v>
      </c>
      <c r="FE63" t="str">
        <f t="shared" si="72"/>
        <v>water</v>
      </c>
      <c r="FF63" t="str">
        <f t="shared" si="73"/>
        <v xml:space="preserve"> </v>
      </c>
      <c r="FG63" s="408" t="str">
        <f t="shared" si="64"/>
        <v/>
      </c>
      <c r="FH63" s="138" t="str">
        <f t="shared" si="74"/>
        <v/>
      </c>
      <c r="FI63" s="106" t="str">
        <f t="shared" si="65"/>
        <v>**</v>
      </c>
      <c r="FJ63" s="138">
        <f t="shared" si="75"/>
        <v>-11.346787486224656</v>
      </c>
      <c r="FK63" s="138" t="str">
        <f t="shared" si="76"/>
        <v>**</v>
      </c>
    </row>
    <row r="64" spans="1:167" ht="12.75" hidden="1" customHeight="1" x14ac:dyDescent="0.2">
      <c r="A64">
        <v>18</v>
      </c>
      <c r="B64" s="4" t="s">
        <v>1226</v>
      </c>
      <c r="C64" s="4"/>
      <c r="D64" s="4" t="s">
        <v>860</v>
      </c>
      <c r="E64">
        <v>-1517</v>
      </c>
      <c r="F64" t="str">
        <f>VLOOKUP(E64,CompDbase!B:L,4,FALSE)</f>
        <v>Neohexane</v>
      </c>
      <c r="G64" s="95" t="str">
        <f>VLOOKUP(E64,CompDbase!B:M,12,FALSE)</f>
        <v>Alk</v>
      </c>
      <c r="H64" s="95">
        <f>VLOOKUP(E64,CompDbase!B:L,8,FALSE)</f>
        <v>86.18</v>
      </c>
      <c r="I64" s="95" t="e">
        <f>VLOOKUP(E64,CompDbase!B:L,11,FALSE)</f>
        <v>#DIV/0!</v>
      </c>
      <c r="J64" s="95" t="e">
        <f>VLOOKUP(E64,CompDbase!B:L,9,FALSE)</f>
        <v>#DIV/0!</v>
      </c>
      <c r="K64" s="95">
        <f>VLOOKUP(E64,CompDbase!B:L,10,FALSE)</f>
        <v>3.82</v>
      </c>
      <c r="L64" s="4" t="s">
        <v>769</v>
      </c>
      <c r="M64" s="420"/>
      <c r="N64" s="420"/>
      <c r="O64" s="4"/>
      <c r="P64">
        <v>296</v>
      </c>
      <c r="Q64" s="4" t="s">
        <v>1049</v>
      </c>
      <c r="S64" s="4"/>
      <c r="Y64">
        <v>2.8000000000000002E-13</v>
      </c>
      <c r="Z64" s="95">
        <f t="shared" si="62"/>
        <v>-12.552841968657781</v>
      </c>
      <c r="DG64">
        <f t="shared" si="66"/>
        <v>-12.552841968657781</v>
      </c>
      <c r="DH64">
        <f t="shared" si="63"/>
        <v>86.18</v>
      </c>
      <c r="EB64" s="350">
        <v>475</v>
      </c>
      <c r="EC64" s="350">
        <f t="shared" si="58"/>
        <v>-13.371033295380018</v>
      </c>
      <c r="ED64" s="350">
        <f t="shared" si="58"/>
        <v>-14.381941734675086</v>
      </c>
      <c r="EE64" s="350"/>
      <c r="EF64" s="350"/>
      <c r="EG64" s="350">
        <f t="shared" si="60"/>
        <v>-16.517499999999998</v>
      </c>
      <c r="EH64" s="350">
        <f t="shared" si="61"/>
        <v>-13.9925</v>
      </c>
      <c r="EI64" s="350">
        <f t="shared" si="59"/>
        <v>-18.261267</v>
      </c>
      <c r="EJ64" s="350"/>
      <c r="EY64" s="479">
        <f>VLOOKUP(B64,Literatuur!$A:$B,2,FALSE)</f>
        <v>12</v>
      </c>
      <c r="EZ64" t="str">
        <f t="shared" si="67"/>
        <v>Neohexane</v>
      </c>
      <c r="FA64" t="str">
        <f t="shared" si="68"/>
        <v>Alk</v>
      </c>
      <c r="FB64" t="str">
        <f t="shared" si="69"/>
        <v>LDPE</v>
      </c>
      <c r="FC64" t="str">
        <f t="shared" si="70"/>
        <v/>
      </c>
      <c r="FD64">
        <f t="shared" si="71"/>
        <v>296</v>
      </c>
      <c r="FE64" t="str">
        <f t="shared" si="72"/>
        <v>water</v>
      </c>
      <c r="FF64" t="str">
        <f t="shared" si="73"/>
        <v xml:space="preserve"> </v>
      </c>
      <c r="FG64" s="408" t="str">
        <f t="shared" si="64"/>
        <v/>
      </c>
      <c r="FH64" s="138" t="str">
        <f t="shared" si="74"/>
        <v/>
      </c>
      <c r="FI64" s="106" t="str">
        <f t="shared" si="65"/>
        <v>**</v>
      </c>
      <c r="FJ64" s="138">
        <f t="shared" si="75"/>
        <v>-12.552841968657781</v>
      </c>
      <c r="FK64" s="138" t="str">
        <f t="shared" si="76"/>
        <v>**</v>
      </c>
    </row>
    <row r="65" spans="1:167" ht="12.75" hidden="1" customHeight="1" x14ac:dyDescent="0.2">
      <c r="A65">
        <v>19</v>
      </c>
      <c r="B65" s="4" t="s">
        <v>1226</v>
      </c>
      <c r="C65" s="4"/>
      <c r="D65" s="4" t="s">
        <v>849</v>
      </c>
      <c r="E65">
        <v>-1509</v>
      </c>
      <c r="F65" t="str">
        <f>VLOOKUP(E65,CompDbase!B:L,4,FALSE)</f>
        <v>Neopentane</v>
      </c>
      <c r="G65" s="95" t="str">
        <f>VLOOKUP(E65,CompDbase!B:M,12,FALSE)</f>
        <v>Alk</v>
      </c>
      <c r="H65" s="95">
        <f>VLOOKUP(E65,CompDbase!B:L,8,FALSE)</f>
        <v>72.150000000000006</v>
      </c>
      <c r="I65" s="95" t="e">
        <f>VLOOKUP(E65,CompDbase!B:L,11,FALSE)</f>
        <v>#DIV/0!</v>
      </c>
      <c r="J65" s="95">
        <f>VLOOKUP(E65,CompDbase!B:L,9,FALSE)</f>
        <v>33</v>
      </c>
      <c r="K65" s="95">
        <f>VLOOKUP(E65,CompDbase!B:L,10,FALSE)</f>
        <v>3.11</v>
      </c>
      <c r="L65" s="4" t="s">
        <v>769</v>
      </c>
      <c r="M65" s="420"/>
      <c r="N65" s="420"/>
      <c r="O65" s="4"/>
      <c r="P65">
        <v>296</v>
      </c>
      <c r="Q65" s="4" t="s">
        <v>1049</v>
      </c>
      <c r="S65" s="4"/>
      <c r="Y65">
        <v>1.5400000000000003E-13</v>
      </c>
      <c r="Z65" s="95">
        <f t="shared" si="62"/>
        <v>-12.812479279163536</v>
      </c>
      <c r="DG65">
        <f t="shared" si="66"/>
        <v>-12.812479279163536</v>
      </c>
      <c r="DH65">
        <f t="shared" si="63"/>
        <v>72.150000000000006</v>
      </c>
      <c r="EB65" s="350">
        <v>500</v>
      </c>
      <c r="EC65" s="350">
        <f t="shared" ref="EC65:ED87" si="77">LOG(EXP(EC$39-EC$41/EC$38-0.1351*$EB65^0.67+0.003*$EB65-10454/EC$38))</f>
        <v>-13.465941703487026</v>
      </c>
      <c r="ED65" s="350">
        <f t="shared" si="77"/>
        <v>-14.476850142782094</v>
      </c>
      <c r="EE65" s="350"/>
      <c r="EF65" s="350"/>
      <c r="EG65" s="350">
        <f t="shared" si="60"/>
        <v>-16.86</v>
      </c>
      <c r="EH65" s="350">
        <f t="shared" si="61"/>
        <v>-14.15</v>
      </c>
      <c r="EI65" s="350">
        <f t="shared" si="59"/>
        <v>-18.714174499999999</v>
      </c>
      <c r="EJ65" s="350"/>
      <c r="EY65" s="479">
        <f>VLOOKUP(B65,Literatuur!$A:$B,2,FALSE)</f>
        <v>12</v>
      </c>
      <c r="EZ65" t="str">
        <f t="shared" si="67"/>
        <v>Neopentane</v>
      </c>
      <c r="FA65" t="str">
        <f t="shared" si="68"/>
        <v>Alk</v>
      </c>
      <c r="FB65" t="str">
        <f t="shared" si="69"/>
        <v>LDPE</v>
      </c>
      <c r="FC65" t="str">
        <f t="shared" si="70"/>
        <v/>
      </c>
      <c r="FD65">
        <f t="shared" si="71"/>
        <v>296</v>
      </c>
      <c r="FE65" t="str">
        <f t="shared" si="72"/>
        <v>water</v>
      </c>
      <c r="FF65" t="str">
        <f t="shared" si="73"/>
        <v xml:space="preserve"> </v>
      </c>
      <c r="FG65" s="408" t="str">
        <f t="shared" si="64"/>
        <v/>
      </c>
      <c r="FH65" s="138" t="str">
        <f t="shared" si="74"/>
        <v/>
      </c>
      <c r="FI65" s="106" t="str">
        <f t="shared" si="65"/>
        <v>**</v>
      </c>
      <c r="FJ65" s="138">
        <f t="shared" si="75"/>
        <v>-12.812479279163536</v>
      </c>
      <c r="FK65" s="138" t="str">
        <f t="shared" si="76"/>
        <v>**</v>
      </c>
    </row>
    <row r="66" spans="1:167" ht="12.75" hidden="1" customHeight="1" x14ac:dyDescent="0.2">
      <c r="A66">
        <v>20</v>
      </c>
      <c r="B66" s="4" t="s">
        <v>1226</v>
      </c>
      <c r="C66" s="4"/>
      <c r="D66" s="4" t="s">
        <v>866</v>
      </c>
      <c r="E66">
        <v>-1303</v>
      </c>
      <c r="F66" t="str">
        <f>VLOOKUP(E66,CompDbase!B:L,4,FALSE)</f>
        <v>n-Heptane</v>
      </c>
      <c r="G66" s="95" t="str">
        <f>VLOOKUP(E66,CompDbase!B:M,12,FALSE)</f>
        <v>Alk</v>
      </c>
      <c r="H66" s="95">
        <f>VLOOKUP(E66,CompDbase!B:L,8,FALSE)</f>
        <v>100.2</v>
      </c>
      <c r="I66" s="95" t="e">
        <f>VLOOKUP(E66,CompDbase!B:L,11,FALSE)</f>
        <v>#DIV/0!</v>
      </c>
      <c r="J66" s="95">
        <f>VLOOKUP(E66,CompDbase!B:L,9,FALSE)</f>
        <v>2.6</v>
      </c>
      <c r="K66" s="95">
        <f>VLOOKUP(E66,CompDbase!B:L,10,FALSE)</f>
        <v>4.58</v>
      </c>
      <c r="L66" s="4" t="s">
        <v>769</v>
      </c>
      <c r="M66" s="420"/>
      <c r="N66" s="420"/>
      <c r="O66" s="4"/>
      <c r="P66">
        <v>296</v>
      </c>
      <c r="Q66" s="4" t="s">
        <v>1049</v>
      </c>
      <c r="S66" s="4"/>
      <c r="Y66">
        <v>3.5000000000000002E-13</v>
      </c>
      <c r="Z66" s="95">
        <f t="shared" si="62"/>
        <v>-12.455931955649724</v>
      </c>
      <c r="DG66">
        <f t="shared" si="66"/>
        <v>-12.455931955649724</v>
      </c>
      <c r="DH66">
        <f t="shared" si="63"/>
        <v>100.2</v>
      </c>
      <c r="EB66" s="350">
        <v>525</v>
      </c>
      <c r="EC66" s="350">
        <f t="shared" si="77"/>
        <v>-13.558762936212709</v>
      </c>
      <c r="ED66" s="350">
        <f t="shared" si="77"/>
        <v>-14.569671375507779</v>
      </c>
      <c r="EE66" s="350"/>
      <c r="EF66" s="350"/>
      <c r="EG66" s="350">
        <f t="shared" si="60"/>
        <v>-17.202500000000001</v>
      </c>
      <c r="EH66" s="350">
        <f t="shared" si="61"/>
        <v>-14.307500000000001</v>
      </c>
      <c r="EI66" s="350">
        <f t="shared" si="59"/>
        <v>-19.167082000000001</v>
      </c>
      <c r="EJ66" s="350"/>
      <c r="EY66" s="479">
        <f>VLOOKUP(B66,Literatuur!$A:$B,2,FALSE)</f>
        <v>12</v>
      </c>
      <c r="EZ66" t="str">
        <f t="shared" si="67"/>
        <v>n-Heptane</v>
      </c>
      <c r="FA66" t="str">
        <f t="shared" si="68"/>
        <v>Alk</v>
      </c>
      <c r="FB66" t="str">
        <f t="shared" si="69"/>
        <v>LDPE</v>
      </c>
      <c r="FC66" t="str">
        <f t="shared" si="70"/>
        <v/>
      </c>
      <c r="FD66">
        <f t="shared" si="71"/>
        <v>296</v>
      </c>
      <c r="FE66" t="str">
        <f t="shared" si="72"/>
        <v>water</v>
      </c>
      <c r="FF66" t="str">
        <f t="shared" si="73"/>
        <v xml:space="preserve"> </v>
      </c>
      <c r="FG66" s="408" t="str">
        <f t="shared" si="64"/>
        <v/>
      </c>
      <c r="FH66" s="138" t="str">
        <f t="shared" si="74"/>
        <v/>
      </c>
      <c r="FI66" s="106" t="str">
        <f t="shared" si="65"/>
        <v>**</v>
      </c>
      <c r="FJ66" s="138">
        <f t="shared" si="75"/>
        <v>-12.455931955649724</v>
      </c>
      <c r="FK66" s="138" t="str">
        <f t="shared" si="76"/>
        <v>**</v>
      </c>
    </row>
    <row r="67" spans="1:167" ht="12.75" hidden="1" customHeight="1" x14ac:dyDescent="0.2">
      <c r="A67">
        <v>21</v>
      </c>
      <c r="B67" s="4" t="s">
        <v>1226</v>
      </c>
      <c r="C67" s="4"/>
      <c r="D67" s="4" t="s">
        <v>866</v>
      </c>
      <c r="E67">
        <v>-1303</v>
      </c>
      <c r="F67" t="str">
        <f>VLOOKUP(E67,CompDbase!B:L,4,FALSE)</f>
        <v>n-Heptane</v>
      </c>
      <c r="G67" s="95" t="str">
        <f>VLOOKUP(E67,CompDbase!B:M,12,FALSE)</f>
        <v>Alk</v>
      </c>
      <c r="H67" s="95">
        <f>VLOOKUP(E67,CompDbase!B:L,8,FALSE)</f>
        <v>100.2</v>
      </c>
      <c r="I67" s="95" t="e">
        <f>VLOOKUP(E67,CompDbase!B:L,11,FALSE)</f>
        <v>#DIV/0!</v>
      </c>
      <c r="J67" s="95">
        <f>VLOOKUP(E67,CompDbase!B:L,9,FALSE)</f>
        <v>2.6</v>
      </c>
      <c r="K67" s="95">
        <f>VLOOKUP(E67,CompDbase!B:L,10,FALSE)</f>
        <v>4.58</v>
      </c>
      <c r="L67" s="4" t="s">
        <v>769</v>
      </c>
      <c r="M67" s="420"/>
      <c r="N67" s="420"/>
      <c r="O67" s="4"/>
      <c r="P67">
        <v>296</v>
      </c>
      <c r="Q67" s="4" t="s">
        <v>1049</v>
      </c>
      <c r="S67" s="4"/>
      <c r="Y67">
        <v>1.1000000000000002E-13</v>
      </c>
      <c r="Z67" s="95">
        <f t="shared" si="62"/>
        <v>-12.958607314841775</v>
      </c>
      <c r="DG67">
        <f t="shared" si="66"/>
        <v>-12.958607314841775</v>
      </c>
      <c r="DH67">
        <f t="shared" si="63"/>
        <v>100.2</v>
      </c>
      <c r="EB67" s="350">
        <v>550</v>
      </c>
      <c r="EC67" s="350">
        <f t="shared" si="77"/>
        <v>-13.649628249041204</v>
      </c>
      <c r="ED67" s="350">
        <f t="shared" si="77"/>
        <v>-14.660536688336274</v>
      </c>
      <c r="EE67" s="350"/>
      <c r="EF67" s="350"/>
      <c r="EG67" s="350">
        <f t="shared" si="60"/>
        <v>-17.545000000000002</v>
      </c>
      <c r="EH67" s="350">
        <f t="shared" si="61"/>
        <v>-14.465</v>
      </c>
      <c r="EI67" s="350">
        <f t="shared" si="59"/>
        <v>-19.619989500000003</v>
      </c>
      <c r="EJ67" s="350"/>
      <c r="EY67" s="479">
        <f>VLOOKUP(B67,Literatuur!$A:$B,2,FALSE)</f>
        <v>12</v>
      </c>
      <c r="EZ67" t="str">
        <f t="shared" si="67"/>
        <v>n-Heptane</v>
      </c>
      <c r="FA67" t="str">
        <f t="shared" si="68"/>
        <v>Alk</v>
      </c>
      <c r="FB67" t="str">
        <f t="shared" si="69"/>
        <v>LDPE</v>
      </c>
      <c r="FC67" t="str">
        <f t="shared" si="70"/>
        <v/>
      </c>
      <c r="FD67">
        <f t="shared" si="71"/>
        <v>296</v>
      </c>
      <c r="FE67" t="str">
        <f t="shared" si="72"/>
        <v>water</v>
      </c>
      <c r="FF67" t="str">
        <f t="shared" si="73"/>
        <v xml:space="preserve"> </v>
      </c>
      <c r="FG67" s="408" t="str">
        <f t="shared" si="64"/>
        <v/>
      </c>
      <c r="FH67" s="138" t="str">
        <f t="shared" si="74"/>
        <v/>
      </c>
      <c r="FI67" s="106" t="str">
        <f t="shared" si="65"/>
        <v>**</v>
      </c>
      <c r="FJ67" s="138">
        <f t="shared" si="75"/>
        <v>-12.958607314841775</v>
      </c>
      <c r="FK67" s="138" t="str">
        <f t="shared" si="76"/>
        <v>**</v>
      </c>
    </row>
    <row r="68" spans="1:167" s="13" customFormat="1" ht="12.75" hidden="1" customHeight="1" x14ac:dyDescent="0.2">
      <c r="A68">
        <v>22</v>
      </c>
      <c r="B68" s="14" t="s">
        <v>1226</v>
      </c>
      <c r="C68" s="14"/>
      <c r="D68" s="14" t="s">
        <v>866</v>
      </c>
      <c r="E68" s="13">
        <v>-1303</v>
      </c>
      <c r="F68" s="13" t="str">
        <f>VLOOKUP(E68,CompDbase!B:L,4,FALSE)</f>
        <v>n-Heptane</v>
      </c>
      <c r="G68" s="182" t="str">
        <f>VLOOKUP(E68,CompDbase!B:M,12,FALSE)</f>
        <v>Alk</v>
      </c>
      <c r="H68" s="182">
        <f>VLOOKUP(E68,CompDbase!B:L,8,FALSE)</f>
        <v>100.2</v>
      </c>
      <c r="I68" s="182" t="e">
        <f>VLOOKUP(E68,CompDbase!B:L,11,FALSE)</f>
        <v>#DIV/0!</v>
      </c>
      <c r="J68" s="182">
        <f>VLOOKUP(E68,CompDbase!B:L,9,FALSE)</f>
        <v>2.6</v>
      </c>
      <c r="K68" s="95">
        <f>VLOOKUP(E68,CompDbase!B:L,10,FALSE)</f>
        <v>4.58</v>
      </c>
      <c r="L68" s="14" t="s">
        <v>769</v>
      </c>
      <c r="M68" s="421"/>
      <c r="N68" s="421"/>
      <c r="O68" s="4"/>
      <c r="P68" s="13">
        <v>296</v>
      </c>
      <c r="Q68" s="14" t="s">
        <v>1049</v>
      </c>
      <c r="R68" s="289"/>
      <c r="S68" s="14"/>
      <c r="T68"/>
      <c r="Y68" s="13">
        <v>9.000000000000002E-13</v>
      </c>
      <c r="Z68" s="182">
        <f t="shared" si="62"/>
        <v>-12.045757490560675</v>
      </c>
      <c r="DF68"/>
      <c r="DG68">
        <f t="shared" si="66"/>
        <v>-12.045757490560675</v>
      </c>
      <c r="DH68">
        <f t="shared" si="63"/>
        <v>100.2</v>
      </c>
      <c r="DP68"/>
      <c r="EB68" s="350">
        <v>575</v>
      </c>
      <c r="EC68" s="350">
        <f t="shared" si="77"/>
        <v>-13.738655086006055</v>
      </c>
      <c r="ED68" s="350">
        <f t="shared" si="77"/>
        <v>-14.749563525301124</v>
      </c>
      <c r="EE68" s="350"/>
      <c r="EF68" s="350"/>
      <c r="EG68" s="350">
        <f t="shared" si="60"/>
        <v>-17.887499999999999</v>
      </c>
      <c r="EH68" s="350">
        <f t="shared" si="61"/>
        <v>-14.6225</v>
      </c>
      <c r="EI68" s="350">
        <f t="shared" si="59"/>
        <v>-20.072896999999998</v>
      </c>
      <c r="EJ68" s="350"/>
      <c r="EY68" s="479">
        <f>VLOOKUP(B68,Literatuur!$A:$B,2,FALSE)</f>
        <v>12</v>
      </c>
      <c r="EZ68" t="str">
        <f t="shared" si="67"/>
        <v>n-Heptane</v>
      </c>
      <c r="FA68" t="str">
        <f t="shared" si="68"/>
        <v>Alk</v>
      </c>
      <c r="FB68" t="str">
        <f t="shared" si="69"/>
        <v>LDPE</v>
      </c>
      <c r="FC68" t="str">
        <f t="shared" si="70"/>
        <v/>
      </c>
      <c r="FD68">
        <f t="shared" si="71"/>
        <v>296</v>
      </c>
      <c r="FE68" t="str">
        <f t="shared" si="72"/>
        <v>water</v>
      </c>
      <c r="FF68" t="str">
        <f t="shared" si="73"/>
        <v xml:space="preserve"> </v>
      </c>
      <c r="FG68" s="408" t="str">
        <f t="shared" si="64"/>
        <v/>
      </c>
      <c r="FH68" s="138" t="str">
        <f t="shared" si="74"/>
        <v/>
      </c>
      <c r="FI68" s="106" t="str">
        <f t="shared" si="65"/>
        <v>**</v>
      </c>
      <c r="FJ68" s="138">
        <f t="shared" si="75"/>
        <v>-12.045757490560675</v>
      </c>
      <c r="FK68" s="138" t="str">
        <f t="shared" si="76"/>
        <v>**</v>
      </c>
    </row>
    <row r="69" spans="1:167" s="9" customFormat="1" ht="12.75" hidden="1" customHeight="1" x14ac:dyDescent="0.2">
      <c r="A69">
        <v>23</v>
      </c>
      <c r="B69" s="10" t="s">
        <v>1226</v>
      </c>
      <c r="C69" s="10"/>
      <c r="D69" s="10" t="s">
        <v>759</v>
      </c>
      <c r="E69" s="9">
        <v>-1301</v>
      </c>
      <c r="F69" s="9" t="str">
        <f>VLOOKUP(E69,CompDbase!B:L,4,FALSE)</f>
        <v>Hexane</v>
      </c>
      <c r="G69" s="181" t="str">
        <f>VLOOKUP(E69,CompDbase!B:M,12,FALSE)</f>
        <v>Alk</v>
      </c>
      <c r="H69" s="181">
        <f>VLOOKUP(E69,CompDbase!B:L,8,FALSE)</f>
        <v>86.18</v>
      </c>
      <c r="I69" s="181" t="e">
        <f>VLOOKUP(E69,CompDbase!B:L,11,FALSE)</f>
        <v>#DIV/0!</v>
      </c>
      <c r="J69" s="181">
        <f>VLOOKUP(E69,CompDbase!B:L,9,FALSE)</f>
        <v>23</v>
      </c>
      <c r="K69" s="181">
        <f>VLOOKUP(E69,CompDbase!B:L,10,FALSE)</f>
        <v>3.8879999999999999</v>
      </c>
      <c r="L69" s="10" t="s">
        <v>769</v>
      </c>
      <c r="M69" s="422"/>
      <c r="N69" s="422"/>
      <c r="O69" s="10"/>
      <c r="P69" s="9">
        <v>296</v>
      </c>
      <c r="Q69" s="10" t="s">
        <v>1049</v>
      </c>
      <c r="R69" s="289"/>
      <c r="S69" s="10"/>
      <c r="T69"/>
      <c r="Y69" s="9">
        <v>5.4000000000000002E-13</v>
      </c>
      <c r="Z69" s="181">
        <f t="shared" si="62"/>
        <v>-12.267606240177031</v>
      </c>
      <c r="DF69"/>
      <c r="DG69">
        <f t="shared" si="66"/>
        <v>-12.267606240177031</v>
      </c>
      <c r="DH69">
        <f t="shared" si="63"/>
        <v>86.18</v>
      </c>
      <c r="DP69"/>
      <c r="EB69" s="350">
        <v>600</v>
      </c>
      <c r="EC69" s="350">
        <f t="shared" si="77"/>
        <v>-13.825949067518652</v>
      </c>
      <c r="ED69" s="350">
        <f t="shared" si="77"/>
        <v>-14.836857506813722</v>
      </c>
      <c r="EE69" s="350"/>
      <c r="EF69" s="350"/>
      <c r="EG69" s="350">
        <f t="shared" si="60"/>
        <v>-18.23</v>
      </c>
      <c r="EH69" s="350">
        <f t="shared" si="61"/>
        <v>-14.780000000000001</v>
      </c>
      <c r="EI69" s="350">
        <f t="shared" si="59"/>
        <v>-20.5258045</v>
      </c>
      <c r="EJ69" s="350"/>
      <c r="EY69" s="479">
        <f>VLOOKUP(B69,Literatuur!$A:$B,2,FALSE)</f>
        <v>12</v>
      </c>
      <c r="EZ69" t="str">
        <f t="shared" si="67"/>
        <v>n-Hexane</v>
      </c>
      <c r="FA69" t="str">
        <f t="shared" si="68"/>
        <v>Alk</v>
      </c>
      <c r="FB69" t="str">
        <f t="shared" si="69"/>
        <v>LDPE</v>
      </c>
      <c r="FC69" t="str">
        <f t="shared" si="70"/>
        <v/>
      </c>
      <c r="FD69">
        <f t="shared" si="71"/>
        <v>296</v>
      </c>
      <c r="FE69" t="str">
        <f t="shared" si="72"/>
        <v>water</v>
      </c>
      <c r="FF69" t="str">
        <f t="shared" si="73"/>
        <v xml:space="preserve"> </v>
      </c>
      <c r="FG69" s="408" t="str">
        <f t="shared" si="64"/>
        <v/>
      </c>
      <c r="FH69" s="138" t="str">
        <f t="shared" si="74"/>
        <v/>
      </c>
      <c r="FI69" s="106" t="str">
        <f t="shared" si="65"/>
        <v>**</v>
      </c>
      <c r="FJ69" s="138">
        <f t="shared" si="75"/>
        <v>-12.267606240177031</v>
      </c>
      <c r="FK69" s="138" t="str">
        <f t="shared" si="76"/>
        <v>**</v>
      </c>
    </row>
    <row r="70" spans="1:167" ht="12.75" hidden="1" customHeight="1" x14ac:dyDescent="0.2">
      <c r="A70">
        <v>24</v>
      </c>
      <c r="B70" s="4" t="s">
        <v>1226</v>
      </c>
      <c r="C70" s="4"/>
      <c r="D70" s="4" t="s">
        <v>759</v>
      </c>
      <c r="E70">
        <v>-1301</v>
      </c>
      <c r="F70" t="str">
        <f>VLOOKUP(E70,CompDbase!B:L,4,FALSE)</f>
        <v>Hexane</v>
      </c>
      <c r="G70" s="95" t="str">
        <f>VLOOKUP(E70,CompDbase!B:M,12,FALSE)</f>
        <v>Alk</v>
      </c>
      <c r="H70" s="95">
        <f>VLOOKUP(E70,CompDbase!B:L,8,FALSE)</f>
        <v>86.18</v>
      </c>
      <c r="I70" s="95" t="e">
        <f>VLOOKUP(E70,CompDbase!B:L,11,FALSE)</f>
        <v>#DIV/0!</v>
      </c>
      <c r="J70" s="95">
        <f>VLOOKUP(E70,CompDbase!B:L,9,FALSE)</f>
        <v>23</v>
      </c>
      <c r="K70" s="95">
        <f>VLOOKUP(E70,CompDbase!B:L,10,FALSE)</f>
        <v>3.8879999999999999</v>
      </c>
      <c r="L70" s="4" t="s">
        <v>769</v>
      </c>
      <c r="M70" s="420"/>
      <c r="N70" s="420"/>
      <c r="O70" s="4"/>
      <c r="P70">
        <v>296</v>
      </c>
      <c r="Q70" s="4" t="s">
        <v>1049</v>
      </c>
      <c r="S70" s="4"/>
      <c r="Y70">
        <v>8.8000000000000019E-13</v>
      </c>
      <c r="Z70" s="95">
        <f t="shared" si="62"/>
        <v>-12.055517327849831</v>
      </c>
      <c r="DG70">
        <f t="shared" si="66"/>
        <v>-12.055517327849831</v>
      </c>
      <c r="DH70">
        <f t="shared" si="63"/>
        <v>86.18</v>
      </c>
      <c r="EB70" s="350">
        <v>625</v>
      </c>
      <c r="EC70" s="350">
        <f t="shared" si="77"/>
        <v>-13.911605621507922</v>
      </c>
      <c r="ED70" s="350">
        <f t="shared" si="77"/>
        <v>-14.922514060802994</v>
      </c>
      <c r="EE70" s="350"/>
      <c r="EF70" s="350"/>
      <c r="EG70" s="350">
        <f t="shared" si="60"/>
        <v>-18.572499999999998</v>
      </c>
      <c r="EH70" s="350">
        <f t="shared" si="61"/>
        <v>-14.9375</v>
      </c>
      <c r="EI70" s="350">
        <f t="shared" si="59"/>
        <v>-20.978712000000002</v>
      </c>
      <c r="EJ70" s="350"/>
      <c r="EY70" s="479">
        <f>VLOOKUP(B70,Literatuur!$A:$B,2,FALSE)</f>
        <v>12</v>
      </c>
      <c r="EZ70" t="str">
        <f t="shared" si="67"/>
        <v>n-Hexane</v>
      </c>
      <c r="FA70" t="str">
        <f t="shared" si="68"/>
        <v>Alk</v>
      </c>
      <c r="FB70" t="str">
        <f t="shared" si="69"/>
        <v>LDPE</v>
      </c>
      <c r="FC70" t="str">
        <f t="shared" si="70"/>
        <v/>
      </c>
      <c r="FD70">
        <f t="shared" si="71"/>
        <v>296</v>
      </c>
      <c r="FE70" t="str">
        <f t="shared" si="72"/>
        <v>water</v>
      </c>
      <c r="FF70" t="str">
        <f t="shared" si="73"/>
        <v xml:space="preserve"> </v>
      </c>
      <c r="FG70" s="408" t="str">
        <f t="shared" si="64"/>
        <v/>
      </c>
      <c r="FH70" s="138" t="str">
        <f t="shared" si="74"/>
        <v/>
      </c>
      <c r="FI70" s="106" t="str">
        <f t="shared" si="65"/>
        <v>**</v>
      </c>
      <c r="FJ70" s="138">
        <f t="shared" si="75"/>
        <v>-12.055517327849831</v>
      </c>
      <c r="FK70" s="138" t="str">
        <f t="shared" si="76"/>
        <v>**</v>
      </c>
    </row>
    <row r="71" spans="1:167" ht="12.75" hidden="1" customHeight="1" x14ac:dyDescent="0.2">
      <c r="A71">
        <v>25</v>
      </c>
      <c r="B71" s="4" t="s">
        <v>1226</v>
      </c>
      <c r="C71" s="4"/>
      <c r="D71" s="4" t="s">
        <v>759</v>
      </c>
      <c r="E71">
        <v>-1301</v>
      </c>
      <c r="F71" t="str">
        <f>VLOOKUP(E71,CompDbase!B:L,4,FALSE)</f>
        <v>Hexane</v>
      </c>
      <c r="G71" s="95" t="str">
        <f>VLOOKUP(E71,CompDbase!B:M,12,FALSE)</f>
        <v>Alk</v>
      </c>
      <c r="H71" s="95">
        <f>VLOOKUP(E71,CompDbase!B:L,8,FALSE)</f>
        <v>86.18</v>
      </c>
      <c r="I71" s="95" t="e">
        <f>VLOOKUP(E71,CompDbase!B:L,11,FALSE)</f>
        <v>#DIV/0!</v>
      </c>
      <c r="J71" s="95">
        <f>VLOOKUP(E71,CompDbase!B:L,9,FALSE)</f>
        <v>23</v>
      </c>
      <c r="K71" s="95">
        <f>VLOOKUP(E71,CompDbase!B:L,10,FALSE)</f>
        <v>3.8879999999999999</v>
      </c>
      <c r="L71" s="4" t="s">
        <v>769</v>
      </c>
      <c r="M71" s="420"/>
      <c r="N71" s="420"/>
      <c r="O71" s="4"/>
      <c r="P71">
        <v>296</v>
      </c>
      <c r="Q71" s="4" t="s">
        <v>1049</v>
      </c>
      <c r="S71" s="4"/>
      <c r="Y71">
        <v>1.1999999999999999E-13</v>
      </c>
      <c r="Z71" s="95">
        <f t="shared" si="62"/>
        <v>-12.920818753952375</v>
      </c>
      <c r="DG71">
        <f t="shared" si="66"/>
        <v>-12.920818753952375</v>
      </c>
      <c r="DH71">
        <f t="shared" si="63"/>
        <v>86.18</v>
      </c>
      <c r="EB71" s="350">
        <v>650</v>
      </c>
      <c r="EC71" s="350">
        <f t="shared" si="77"/>
        <v>-13.995711333537232</v>
      </c>
      <c r="ED71" s="350">
        <f t="shared" si="77"/>
        <v>-15.0066197728323</v>
      </c>
      <c r="EE71" s="350"/>
      <c r="EF71" s="350"/>
      <c r="EG71" s="350">
        <f t="shared" si="60"/>
        <v>-18.914999999999999</v>
      </c>
      <c r="EH71" s="350">
        <f t="shared" si="61"/>
        <v>-15.094999999999999</v>
      </c>
      <c r="EI71" s="350">
        <f t="shared" si="59"/>
        <v>-21.4316195</v>
      </c>
      <c r="EJ71" s="350"/>
      <c r="EY71" s="479">
        <f>VLOOKUP(B71,Literatuur!$A:$B,2,FALSE)</f>
        <v>12</v>
      </c>
      <c r="EZ71" t="str">
        <f t="shared" si="67"/>
        <v>n-Hexane</v>
      </c>
      <c r="FA71" t="str">
        <f t="shared" si="68"/>
        <v>Alk</v>
      </c>
      <c r="FB71" t="str">
        <f t="shared" si="69"/>
        <v>LDPE</v>
      </c>
      <c r="FC71" t="str">
        <f t="shared" si="70"/>
        <v/>
      </c>
      <c r="FD71">
        <f t="shared" si="71"/>
        <v>296</v>
      </c>
      <c r="FE71" t="str">
        <f t="shared" si="72"/>
        <v>water</v>
      </c>
      <c r="FF71" t="str">
        <f t="shared" si="73"/>
        <v xml:space="preserve"> </v>
      </c>
      <c r="FG71" s="408" t="str">
        <f t="shared" si="64"/>
        <v/>
      </c>
      <c r="FH71" s="138" t="str">
        <f t="shared" si="74"/>
        <v/>
      </c>
      <c r="FI71" s="106" t="str">
        <f t="shared" si="65"/>
        <v>**</v>
      </c>
      <c r="FJ71" s="138">
        <f t="shared" si="75"/>
        <v>-12.920818753952375</v>
      </c>
      <c r="FK71" s="138" t="str">
        <f t="shared" si="76"/>
        <v>**</v>
      </c>
    </row>
    <row r="72" spans="1:167" ht="12.75" hidden="1" customHeight="1" x14ac:dyDescent="0.2">
      <c r="A72">
        <v>26</v>
      </c>
      <c r="B72" s="4" t="s">
        <v>1226</v>
      </c>
      <c r="C72" s="4"/>
      <c r="D72" s="4" t="s">
        <v>759</v>
      </c>
      <c r="E72">
        <v>-1301</v>
      </c>
      <c r="F72" t="str">
        <f>VLOOKUP(E72,CompDbase!B:L,4,FALSE)</f>
        <v>Hexane</v>
      </c>
      <c r="G72" s="95" t="str">
        <f>VLOOKUP(E72,CompDbase!B:M,12,FALSE)</f>
        <v>Alk</v>
      </c>
      <c r="H72" s="95">
        <f>VLOOKUP(E72,CompDbase!B:L,8,FALSE)</f>
        <v>86.18</v>
      </c>
      <c r="I72" s="95" t="e">
        <f>VLOOKUP(E72,CompDbase!B:L,11,FALSE)</f>
        <v>#DIV/0!</v>
      </c>
      <c r="J72" s="95">
        <f>VLOOKUP(E72,CompDbase!B:L,9,FALSE)</f>
        <v>23</v>
      </c>
      <c r="K72" s="95">
        <f>VLOOKUP(E72,CompDbase!B:L,10,FALSE)</f>
        <v>3.8879999999999999</v>
      </c>
      <c r="L72" s="4" t="s">
        <v>769</v>
      </c>
      <c r="M72" s="420"/>
      <c r="N72" s="420"/>
      <c r="O72" s="4"/>
      <c r="P72">
        <v>296</v>
      </c>
      <c r="Q72" s="4" t="s">
        <v>1049</v>
      </c>
      <c r="S72" s="4"/>
      <c r="Y72">
        <v>9.9999999999999998E-13</v>
      </c>
      <c r="Z72" s="95">
        <f t="shared" si="62"/>
        <v>-12</v>
      </c>
      <c r="DG72">
        <f t="shared" si="66"/>
        <v>-12</v>
      </c>
      <c r="DH72">
        <f t="shared" si="63"/>
        <v>86.18</v>
      </c>
      <c r="EB72" s="350">
        <v>675</v>
      </c>
      <c r="EC72" s="350">
        <f t="shared" si="77"/>
        <v>-14.078345073227384</v>
      </c>
      <c r="ED72" s="350">
        <f t="shared" si="77"/>
        <v>-15.089253512522452</v>
      </c>
      <c r="EE72" s="350"/>
      <c r="EF72" s="350"/>
      <c r="EG72" s="350">
        <f t="shared" si="60"/>
        <v>-19.2575</v>
      </c>
      <c r="EH72" s="350">
        <f t="shared" si="61"/>
        <v>-15.252500000000001</v>
      </c>
      <c r="EI72" s="350">
        <f t="shared" si="59"/>
        <v>-21.884526999999999</v>
      </c>
      <c r="EJ72" s="350"/>
      <c r="EY72" s="479">
        <f>VLOOKUP(B72,Literatuur!$A:$B,2,FALSE)</f>
        <v>12</v>
      </c>
      <c r="EZ72" t="str">
        <f t="shared" si="67"/>
        <v>n-Hexane</v>
      </c>
      <c r="FA72" t="str">
        <f t="shared" si="68"/>
        <v>Alk</v>
      </c>
      <c r="FB72" t="str">
        <f t="shared" si="69"/>
        <v>LDPE</v>
      </c>
      <c r="FC72" t="str">
        <f t="shared" si="70"/>
        <v/>
      </c>
      <c r="FD72">
        <f t="shared" si="71"/>
        <v>296</v>
      </c>
      <c r="FE72" t="str">
        <f t="shared" si="72"/>
        <v>water</v>
      </c>
      <c r="FF72" t="str">
        <f t="shared" si="73"/>
        <v xml:space="preserve"> </v>
      </c>
      <c r="FG72" s="408" t="str">
        <f t="shared" si="64"/>
        <v/>
      </c>
      <c r="FH72" s="138" t="str">
        <f t="shared" si="74"/>
        <v/>
      </c>
      <c r="FI72" s="106" t="str">
        <f t="shared" si="65"/>
        <v>**</v>
      </c>
      <c r="FJ72" s="138">
        <f t="shared" si="75"/>
        <v>-12</v>
      </c>
      <c r="FK72" s="138" t="str">
        <f t="shared" si="76"/>
        <v>**</v>
      </c>
    </row>
    <row r="73" spans="1:167" ht="12.75" hidden="1" customHeight="1" x14ac:dyDescent="0.2">
      <c r="A73">
        <v>27</v>
      </c>
      <c r="B73" s="4" t="s">
        <v>1226</v>
      </c>
      <c r="C73" s="4"/>
      <c r="D73" s="4" t="s">
        <v>759</v>
      </c>
      <c r="E73">
        <v>-1301</v>
      </c>
      <c r="F73" t="str">
        <f>VLOOKUP(E73,CompDbase!B:L,4,FALSE)</f>
        <v>Hexane</v>
      </c>
      <c r="G73" s="95" t="str">
        <f>VLOOKUP(E73,CompDbase!B:M,12,FALSE)</f>
        <v>Alk</v>
      </c>
      <c r="H73" s="95">
        <f>VLOOKUP(E73,CompDbase!B:L,8,FALSE)</f>
        <v>86.18</v>
      </c>
      <c r="I73" s="95" t="e">
        <f>VLOOKUP(E73,CompDbase!B:L,11,FALSE)</f>
        <v>#DIV/0!</v>
      </c>
      <c r="J73" s="95">
        <f>VLOOKUP(E73,CompDbase!B:L,9,FALSE)</f>
        <v>23</v>
      </c>
      <c r="K73" s="95">
        <f>VLOOKUP(E73,CompDbase!B:L,10,FALSE)</f>
        <v>3.8879999999999999</v>
      </c>
      <c r="L73" s="4" t="s">
        <v>769</v>
      </c>
      <c r="M73" s="420"/>
      <c r="N73" s="420"/>
      <c r="O73" s="4"/>
      <c r="P73">
        <v>296</v>
      </c>
      <c r="Q73" s="4" t="s">
        <v>1049</v>
      </c>
      <c r="S73" s="4"/>
      <c r="Y73">
        <v>2.1000000000000003E-12</v>
      </c>
      <c r="Z73" s="95">
        <f t="shared" si="62"/>
        <v>-11.67778070526608</v>
      </c>
      <c r="DG73">
        <f t="shared" si="66"/>
        <v>-11.67778070526608</v>
      </c>
      <c r="DH73">
        <f t="shared" si="63"/>
        <v>86.18</v>
      </c>
      <c r="EB73" s="350">
        <v>700</v>
      </c>
      <c r="EC73" s="350">
        <f t="shared" si="77"/>
        <v>-14.159578940935026</v>
      </c>
      <c r="ED73" s="350">
        <f t="shared" si="77"/>
        <v>-15.170487380230094</v>
      </c>
      <c r="EE73" s="350"/>
      <c r="EF73" s="350"/>
      <c r="EG73" s="350">
        <f t="shared" si="60"/>
        <v>-19.600000000000001</v>
      </c>
      <c r="EH73" s="350">
        <f t="shared" si="61"/>
        <v>-15.41</v>
      </c>
      <c r="EI73" s="350">
        <f t="shared" si="59"/>
        <v>-22.337434500000001</v>
      </c>
      <c r="EJ73" s="350"/>
      <c r="EY73" s="479">
        <f>VLOOKUP(B73,Literatuur!$A:$B,2,FALSE)</f>
        <v>12</v>
      </c>
      <c r="EZ73" t="str">
        <f t="shared" si="67"/>
        <v>n-Hexane</v>
      </c>
      <c r="FA73" t="str">
        <f t="shared" si="68"/>
        <v>Alk</v>
      </c>
      <c r="FB73" t="str">
        <f t="shared" si="69"/>
        <v>LDPE</v>
      </c>
      <c r="FC73" t="str">
        <f t="shared" si="70"/>
        <v/>
      </c>
      <c r="FD73">
        <f t="shared" si="71"/>
        <v>296</v>
      </c>
      <c r="FE73" t="str">
        <f t="shared" si="72"/>
        <v>water</v>
      </c>
      <c r="FF73" t="str">
        <f t="shared" si="73"/>
        <v xml:space="preserve"> </v>
      </c>
      <c r="FG73" s="408" t="str">
        <f t="shared" si="64"/>
        <v/>
      </c>
      <c r="FH73" s="138" t="str">
        <f t="shared" si="74"/>
        <v/>
      </c>
      <c r="FI73" s="106" t="str">
        <f t="shared" si="65"/>
        <v>**</v>
      </c>
      <c r="FJ73" s="138">
        <f t="shared" si="75"/>
        <v>-11.67778070526608</v>
      </c>
      <c r="FK73" s="138" t="str">
        <f t="shared" si="76"/>
        <v>**</v>
      </c>
    </row>
    <row r="74" spans="1:167" ht="12.75" hidden="1" customHeight="1" x14ac:dyDescent="0.2">
      <c r="A74">
        <v>28</v>
      </c>
      <c r="B74" s="4" t="s">
        <v>1226</v>
      </c>
      <c r="C74" s="4"/>
      <c r="D74" s="4" t="s">
        <v>759</v>
      </c>
      <c r="E74">
        <v>-1301</v>
      </c>
      <c r="F74" t="str">
        <f>VLOOKUP(E74,CompDbase!B:L,4,FALSE)</f>
        <v>Hexane</v>
      </c>
      <c r="G74" s="95" t="str">
        <f>VLOOKUP(E74,CompDbase!B:M,12,FALSE)</f>
        <v>Alk</v>
      </c>
      <c r="H74" s="95">
        <f>VLOOKUP(E74,CompDbase!B:L,8,FALSE)</f>
        <v>86.18</v>
      </c>
      <c r="I74" s="95" t="e">
        <f>VLOOKUP(E74,CompDbase!B:L,11,FALSE)</f>
        <v>#DIV/0!</v>
      </c>
      <c r="J74" s="95">
        <f>VLOOKUP(E74,CompDbase!B:L,9,FALSE)</f>
        <v>23</v>
      </c>
      <c r="K74" s="95">
        <f>VLOOKUP(E74,CompDbase!B:L,10,FALSE)</f>
        <v>3.8879999999999999</v>
      </c>
      <c r="L74" s="4" t="s">
        <v>769</v>
      </c>
      <c r="M74" s="420"/>
      <c r="N74" s="420"/>
      <c r="O74" s="4"/>
      <c r="P74">
        <v>298</v>
      </c>
      <c r="Q74" s="4" t="s">
        <v>1049</v>
      </c>
      <c r="S74" s="4"/>
      <c r="Y74">
        <v>1.2600000000000001E-12</v>
      </c>
      <c r="Z74" s="95">
        <f t="shared" si="62"/>
        <v>-11.899629454882437</v>
      </c>
      <c r="AG74" s="138"/>
      <c r="BW74" s="138"/>
      <c r="DG74">
        <f t="shared" si="66"/>
        <v>-11.899629454882437</v>
      </c>
      <c r="DH74">
        <f t="shared" si="63"/>
        <v>86.18</v>
      </c>
      <c r="EB74" s="350">
        <v>725</v>
      </c>
      <c r="EC74" s="350">
        <f t="shared" si="77"/>
        <v>-14.23947906874344</v>
      </c>
      <c r="ED74" s="350">
        <f t="shared" si="77"/>
        <v>-15.250387508038509</v>
      </c>
      <c r="EE74" s="350"/>
      <c r="EF74" s="350"/>
      <c r="EG74" s="350">
        <f t="shared" si="60"/>
        <v>-19.942500000000003</v>
      </c>
      <c r="EH74" s="350">
        <f t="shared" si="61"/>
        <v>-15.567499999999999</v>
      </c>
      <c r="EI74" s="350">
        <f t="shared" si="59"/>
        <v>-22.790342000000003</v>
      </c>
      <c r="EJ74" s="350"/>
      <c r="EY74" s="479">
        <f>VLOOKUP(B74,Literatuur!$A:$B,2,FALSE)</f>
        <v>12</v>
      </c>
      <c r="EZ74" t="str">
        <f t="shared" si="67"/>
        <v>n-Hexane</v>
      </c>
      <c r="FA74" t="str">
        <f t="shared" si="68"/>
        <v>Alk</v>
      </c>
      <c r="FB74" t="str">
        <f t="shared" si="69"/>
        <v>LDPE</v>
      </c>
      <c r="FC74" t="str">
        <f t="shared" si="70"/>
        <v/>
      </c>
      <c r="FD74">
        <f t="shared" si="71"/>
        <v>298</v>
      </c>
      <c r="FE74" t="str">
        <f t="shared" si="72"/>
        <v>water</v>
      </c>
      <c r="FF74" t="str">
        <f t="shared" si="73"/>
        <v xml:space="preserve"> </v>
      </c>
      <c r="FG74" s="408" t="str">
        <f t="shared" si="64"/>
        <v/>
      </c>
      <c r="FH74" s="138" t="str">
        <f t="shared" si="74"/>
        <v/>
      </c>
      <c r="FI74" s="106" t="str">
        <f t="shared" si="65"/>
        <v>**</v>
      </c>
      <c r="FJ74" s="138">
        <f t="shared" si="75"/>
        <v>-11.899629454882437</v>
      </c>
      <c r="FK74" s="138" t="str">
        <f t="shared" si="76"/>
        <v>**</v>
      </c>
    </row>
    <row r="75" spans="1:167" ht="12.75" hidden="1" customHeight="1" x14ac:dyDescent="0.2">
      <c r="A75">
        <v>29</v>
      </c>
      <c r="B75" s="4" t="s">
        <v>1226</v>
      </c>
      <c r="C75" s="4"/>
      <c r="D75" s="4" t="s">
        <v>759</v>
      </c>
      <c r="E75">
        <v>-1301</v>
      </c>
      <c r="F75" t="str">
        <f>VLOOKUP(E75,CompDbase!B:L,4,FALSE)</f>
        <v>Hexane</v>
      </c>
      <c r="G75" s="95" t="str">
        <f>VLOOKUP(E75,CompDbase!B:M,12,FALSE)</f>
        <v>Alk</v>
      </c>
      <c r="H75" s="95">
        <f>VLOOKUP(E75,CompDbase!B:L,8,FALSE)</f>
        <v>86.18</v>
      </c>
      <c r="I75" s="95" t="e">
        <f>VLOOKUP(E75,CompDbase!B:L,11,FALSE)</f>
        <v>#DIV/0!</v>
      </c>
      <c r="J75" s="95">
        <f>VLOOKUP(E75,CompDbase!B:L,9,FALSE)</f>
        <v>23</v>
      </c>
      <c r="K75" s="95">
        <f>VLOOKUP(E75,CompDbase!B:L,10,FALSE)</f>
        <v>3.8879999999999999</v>
      </c>
      <c r="L75" s="4" t="s">
        <v>769</v>
      </c>
      <c r="M75" s="420"/>
      <c r="N75" s="420"/>
      <c r="O75" s="4"/>
      <c r="P75">
        <v>298</v>
      </c>
      <c r="Q75" s="4" t="s">
        <v>1049</v>
      </c>
      <c r="S75" s="4"/>
      <c r="Y75">
        <v>1.0500000000000002E-12</v>
      </c>
      <c r="Z75" s="95">
        <f t="shared" si="62"/>
        <v>-11.978810700930062</v>
      </c>
      <c r="AG75" s="138"/>
      <c r="BW75" s="138"/>
      <c r="DG75">
        <f t="shared" si="66"/>
        <v>-11.978810700930062</v>
      </c>
      <c r="DH75">
        <f t="shared" si="63"/>
        <v>86.18</v>
      </c>
      <c r="EB75" s="350">
        <v>750</v>
      </c>
      <c r="EC75" s="350">
        <f t="shared" si="77"/>
        <v>-14.318106302421295</v>
      </c>
      <c r="ED75" s="350">
        <f t="shared" si="77"/>
        <v>-15.329014741716364</v>
      </c>
      <c r="EE75" s="350"/>
      <c r="EF75" s="350"/>
      <c r="EG75" s="350">
        <f t="shared" si="60"/>
        <v>-20.285</v>
      </c>
      <c r="EH75" s="350">
        <f t="shared" si="61"/>
        <v>-15.725</v>
      </c>
      <c r="EI75" s="350">
        <f t="shared" si="59"/>
        <v>-23.243249500000001</v>
      </c>
      <c r="EJ75" s="350"/>
      <c r="EY75" s="479">
        <f>VLOOKUP(B75,Literatuur!$A:$B,2,FALSE)</f>
        <v>12</v>
      </c>
      <c r="EZ75" t="str">
        <f t="shared" si="67"/>
        <v>n-Hexane</v>
      </c>
      <c r="FA75" t="str">
        <f t="shared" si="68"/>
        <v>Alk</v>
      </c>
      <c r="FB75" t="str">
        <f t="shared" si="69"/>
        <v>LDPE</v>
      </c>
      <c r="FC75" t="str">
        <f t="shared" si="70"/>
        <v/>
      </c>
      <c r="FD75">
        <f t="shared" si="71"/>
        <v>298</v>
      </c>
      <c r="FE75" t="str">
        <f t="shared" si="72"/>
        <v>water</v>
      </c>
      <c r="FF75" t="str">
        <f t="shared" si="73"/>
        <v xml:space="preserve"> </v>
      </c>
      <c r="FG75" s="408" t="str">
        <f t="shared" si="64"/>
        <v/>
      </c>
      <c r="FH75" s="138" t="str">
        <f t="shared" si="74"/>
        <v/>
      </c>
      <c r="FI75" s="106" t="str">
        <f t="shared" si="65"/>
        <v>**</v>
      </c>
      <c r="FJ75" s="138">
        <f t="shared" si="75"/>
        <v>-11.978810700930062</v>
      </c>
      <c r="FK75" s="138" t="str">
        <f t="shared" si="76"/>
        <v>**</v>
      </c>
    </row>
    <row r="76" spans="1:167" ht="12.75" hidden="1" customHeight="1" x14ac:dyDescent="0.2">
      <c r="A76">
        <v>30</v>
      </c>
      <c r="B76" s="4" t="s">
        <v>1226</v>
      </c>
      <c r="C76" s="4"/>
      <c r="D76" s="4" t="s">
        <v>759</v>
      </c>
      <c r="E76">
        <v>-1301</v>
      </c>
      <c r="F76" t="str">
        <f>VLOOKUP(E76,CompDbase!B:L,4,FALSE)</f>
        <v>Hexane</v>
      </c>
      <c r="G76" s="95" t="str">
        <f>VLOOKUP(E76,CompDbase!B:M,12,FALSE)</f>
        <v>Alk</v>
      </c>
      <c r="H76" s="95">
        <f>VLOOKUP(E76,CompDbase!B:L,8,FALSE)</f>
        <v>86.18</v>
      </c>
      <c r="I76" s="95" t="e">
        <f>VLOOKUP(E76,CompDbase!B:L,11,FALSE)</f>
        <v>#DIV/0!</v>
      </c>
      <c r="J76" s="95">
        <f>VLOOKUP(E76,CompDbase!B:L,9,FALSE)</f>
        <v>23</v>
      </c>
      <c r="K76" s="95">
        <f>VLOOKUP(E76,CompDbase!B:L,10,FALSE)</f>
        <v>3.8879999999999999</v>
      </c>
      <c r="L76" s="4" t="s">
        <v>769</v>
      </c>
      <c r="M76" s="420"/>
      <c r="N76" s="420"/>
      <c r="O76" s="4"/>
      <c r="P76">
        <v>298</v>
      </c>
      <c r="Q76" s="4" t="s">
        <v>1049</v>
      </c>
      <c r="S76" s="4"/>
      <c r="Y76">
        <v>9.000000000000002E-13</v>
      </c>
      <c r="Z76" s="95">
        <f t="shared" si="62"/>
        <v>-12.045757490560675</v>
      </c>
      <c r="AG76" s="138"/>
      <c r="BW76" s="138"/>
      <c r="DG76">
        <f t="shared" si="66"/>
        <v>-12.045757490560675</v>
      </c>
      <c r="DH76">
        <f t="shared" si="63"/>
        <v>86.18</v>
      </c>
      <c r="EB76" s="350">
        <v>775</v>
      </c>
      <c r="EC76" s="350">
        <f t="shared" si="77"/>
        <v>-14.3955167854041</v>
      </c>
      <c r="ED76" s="350">
        <f t="shared" si="77"/>
        <v>-15.406425224699168</v>
      </c>
      <c r="EE76" s="350"/>
      <c r="EF76" s="350"/>
      <c r="EG76" s="350">
        <f t="shared" si="60"/>
        <v>-20.627499999999998</v>
      </c>
      <c r="EH76" s="350">
        <f t="shared" si="61"/>
        <v>-15.8825</v>
      </c>
      <c r="EI76" s="350">
        <f t="shared" si="59"/>
        <v>-23.696156999999999</v>
      </c>
      <c r="EJ76" s="350"/>
      <c r="EY76" s="479">
        <f>VLOOKUP(B76,Literatuur!$A:$B,2,FALSE)</f>
        <v>12</v>
      </c>
      <c r="EZ76" t="str">
        <f t="shared" si="67"/>
        <v>n-Hexane</v>
      </c>
      <c r="FA76" t="str">
        <f t="shared" si="68"/>
        <v>Alk</v>
      </c>
      <c r="FB76" t="str">
        <f t="shared" si="69"/>
        <v>LDPE</v>
      </c>
      <c r="FC76" t="str">
        <f t="shared" si="70"/>
        <v/>
      </c>
      <c r="FD76">
        <f t="shared" si="71"/>
        <v>298</v>
      </c>
      <c r="FE76" t="str">
        <f t="shared" si="72"/>
        <v>water</v>
      </c>
      <c r="FF76" t="str">
        <f t="shared" si="73"/>
        <v xml:space="preserve"> </v>
      </c>
      <c r="FG76" s="408" t="str">
        <f t="shared" si="64"/>
        <v/>
      </c>
      <c r="FH76" s="138" t="str">
        <f t="shared" si="74"/>
        <v/>
      </c>
      <c r="FI76" s="106" t="str">
        <f t="shared" si="65"/>
        <v>**</v>
      </c>
      <c r="FJ76" s="138">
        <f t="shared" si="75"/>
        <v>-12.045757490560675</v>
      </c>
      <c r="FK76" s="138" t="str">
        <f t="shared" si="76"/>
        <v>**</v>
      </c>
    </row>
    <row r="77" spans="1:167" ht="12.75" hidden="1" customHeight="1" x14ac:dyDescent="0.2">
      <c r="A77">
        <v>31</v>
      </c>
      <c r="B77" s="4" t="s">
        <v>1226</v>
      </c>
      <c r="C77" s="4"/>
      <c r="D77" s="4" t="s">
        <v>759</v>
      </c>
      <c r="E77">
        <v>-1301</v>
      </c>
      <c r="F77" t="str">
        <f>VLOOKUP(E77,CompDbase!B:L,4,FALSE)</f>
        <v>Hexane</v>
      </c>
      <c r="G77" s="95" t="str">
        <f>VLOOKUP(E77,CompDbase!B:M,12,FALSE)</f>
        <v>Alk</v>
      </c>
      <c r="H77" s="95">
        <f>VLOOKUP(E77,CompDbase!B:L,8,FALSE)</f>
        <v>86.18</v>
      </c>
      <c r="I77" s="95" t="e">
        <f>VLOOKUP(E77,CompDbase!B:L,11,FALSE)</f>
        <v>#DIV/0!</v>
      </c>
      <c r="J77" s="95">
        <f>VLOOKUP(E77,CompDbase!B:L,9,FALSE)</f>
        <v>23</v>
      </c>
      <c r="K77" s="95">
        <f>VLOOKUP(E77,CompDbase!B:L,10,FALSE)</f>
        <v>3.8879999999999999</v>
      </c>
      <c r="L77" s="4" t="s">
        <v>769</v>
      </c>
      <c r="M77" s="420"/>
      <c r="N77" s="420"/>
      <c r="O77" s="4"/>
      <c r="P77">
        <v>298</v>
      </c>
      <c r="Q77" s="4" t="s">
        <v>1049</v>
      </c>
      <c r="S77" s="4"/>
      <c r="Y77">
        <v>3.0000000000000003E-13</v>
      </c>
      <c r="Z77" s="95">
        <f t="shared" si="62"/>
        <v>-12.522878745280337</v>
      </c>
      <c r="AG77" s="138"/>
      <c r="BW77" s="138"/>
      <c r="DG77">
        <f t="shared" si="66"/>
        <v>-12.522878745280337</v>
      </c>
      <c r="DH77">
        <f t="shared" si="63"/>
        <v>86.18</v>
      </c>
      <c r="EB77" s="350">
        <v>800</v>
      </c>
      <c r="EC77" s="350">
        <f t="shared" si="77"/>
        <v>-14.471762461571636</v>
      </c>
      <c r="ED77" s="350">
        <f t="shared" si="77"/>
        <v>-15.482670900866706</v>
      </c>
      <c r="EE77" s="350"/>
      <c r="EF77" s="350"/>
      <c r="EG77" s="350">
        <f t="shared" si="60"/>
        <v>-20.97</v>
      </c>
      <c r="EH77" s="350">
        <f t="shared" si="61"/>
        <v>-16.04</v>
      </c>
      <c r="EI77" s="350">
        <f t="shared" si="59"/>
        <v>-24.149064500000001</v>
      </c>
      <c r="EJ77" s="350"/>
      <c r="EY77" s="479">
        <f>VLOOKUP(B77,Literatuur!$A:$B,2,FALSE)</f>
        <v>12</v>
      </c>
      <c r="EZ77" t="str">
        <f t="shared" si="67"/>
        <v>n-Hexane</v>
      </c>
      <c r="FA77" t="str">
        <f t="shared" si="68"/>
        <v>Alk</v>
      </c>
      <c r="FB77" t="str">
        <f t="shared" si="69"/>
        <v>LDPE</v>
      </c>
      <c r="FC77" t="str">
        <f t="shared" si="70"/>
        <v/>
      </c>
      <c r="FD77">
        <f t="shared" si="71"/>
        <v>298</v>
      </c>
      <c r="FE77" t="str">
        <f t="shared" si="72"/>
        <v>water</v>
      </c>
      <c r="FF77" t="str">
        <f t="shared" si="73"/>
        <v xml:space="preserve"> </v>
      </c>
      <c r="FG77" s="408" t="str">
        <f t="shared" si="64"/>
        <v/>
      </c>
      <c r="FH77" s="138" t="str">
        <f t="shared" si="74"/>
        <v/>
      </c>
      <c r="FI77" s="106" t="str">
        <f t="shared" si="65"/>
        <v>**</v>
      </c>
      <c r="FJ77" s="138">
        <f t="shared" si="75"/>
        <v>-12.522878745280337</v>
      </c>
      <c r="FK77" s="138" t="str">
        <f t="shared" si="76"/>
        <v>**</v>
      </c>
    </row>
    <row r="78" spans="1:167" ht="12.75" hidden="1" customHeight="1" x14ac:dyDescent="0.2">
      <c r="A78">
        <v>32</v>
      </c>
      <c r="B78" s="4" t="s">
        <v>1226</v>
      </c>
      <c r="C78" s="4"/>
      <c r="D78" s="4" t="s">
        <v>450</v>
      </c>
      <c r="E78">
        <v>-1510</v>
      </c>
      <c r="F78" t="str">
        <f>VLOOKUP(E78,CompDbase!B:L,4,FALSE)</f>
        <v>n-Pentane</v>
      </c>
      <c r="G78" s="95" t="str">
        <f>VLOOKUP(E78,CompDbase!B:M,12,FALSE)</f>
        <v>Alk</v>
      </c>
      <c r="H78" s="95">
        <f>VLOOKUP(E78,CompDbase!B:L,8,FALSE)</f>
        <v>72.150000000000006</v>
      </c>
      <c r="I78" s="95" t="e">
        <f>VLOOKUP(E78,CompDbase!B:L,11,FALSE)</f>
        <v>#DIV/0!</v>
      </c>
      <c r="J78" s="95">
        <f>VLOOKUP(E78,CompDbase!B:L,9,FALSE)</f>
        <v>40</v>
      </c>
      <c r="K78" s="95">
        <f>VLOOKUP(E78,CompDbase!B:L,10,FALSE)</f>
        <v>3.39</v>
      </c>
      <c r="L78" s="4" t="s">
        <v>769</v>
      </c>
      <c r="M78" s="420"/>
      <c r="N78" s="420"/>
      <c r="O78" s="4"/>
      <c r="P78">
        <v>296</v>
      </c>
      <c r="Q78" s="4" t="s">
        <v>1049</v>
      </c>
      <c r="S78" s="4"/>
      <c r="Y78">
        <v>7.7300000000000004E-13</v>
      </c>
      <c r="Z78" s="95">
        <f t="shared" si="62"/>
        <v>-12.111820506081676</v>
      </c>
      <c r="DG78">
        <f t="shared" si="66"/>
        <v>-12.111820506081676</v>
      </c>
      <c r="DH78">
        <f t="shared" si="63"/>
        <v>72.150000000000006</v>
      </c>
      <c r="EB78" s="350">
        <v>825</v>
      </c>
      <c r="EC78" s="350">
        <f t="shared" si="77"/>
        <v>-14.546891510290145</v>
      </c>
      <c r="ED78" s="350">
        <f t="shared" si="77"/>
        <v>-15.557799949585215</v>
      </c>
      <c r="EE78" s="350"/>
      <c r="EF78" s="350"/>
      <c r="EG78" s="350">
        <f t="shared" si="60"/>
        <v>-21.3125</v>
      </c>
      <c r="EH78" s="350">
        <f t="shared" si="61"/>
        <v>-16.197499999999998</v>
      </c>
      <c r="EI78" s="350">
        <f t="shared" si="59"/>
        <v>-24.601972</v>
      </c>
      <c r="EJ78" s="350"/>
      <c r="EY78" s="479">
        <f>VLOOKUP(B78,Literatuur!$A:$B,2,FALSE)</f>
        <v>12</v>
      </c>
      <c r="EZ78" t="str">
        <f t="shared" si="67"/>
        <v>n-Pentane</v>
      </c>
      <c r="FA78" t="str">
        <f t="shared" si="68"/>
        <v>Alk</v>
      </c>
      <c r="FB78" t="str">
        <f t="shared" si="69"/>
        <v>LDPE</v>
      </c>
      <c r="FC78" t="str">
        <f t="shared" si="70"/>
        <v/>
      </c>
      <c r="FD78">
        <f t="shared" si="71"/>
        <v>296</v>
      </c>
      <c r="FE78" t="str">
        <f t="shared" si="72"/>
        <v>water</v>
      </c>
      <c r="FF78" t="str">
        <f t="shared" si="73"/>
        <v xml:space="preserve"> </v>
      </c>
      <c r="FG78" s="408" t="str">
        <f t="shared" si="64"/>
        <v/>
      </c>
      <c r="FH78" s="138" t="str">
        <f t="shared" si="74"/>
        <v/>
      </c>
      <c r="FI78" s="106" t="str">
        <f t="shared" si="65"/>
        <v>**</v>
      </c>
      <c r="FJ78" s="138">
        <f t="shared" si="75"/>
        <v>-12.111820506081676</v>
      </c>
      <c r="FK78" s="138" t="str">
        <f t="shared" si="76"/>
        <v>**</v>
      </c>
    </row>
    <row r="79" spans="1:167" ht="12.75" hidden="1" customHeight="1" x14ac:dyDescent="0.2">
      <c r="A79">
        <v>33</v>
      </c>
      <c r="B79" s="4" t="s">
        <v>1226</v>
      </c>
      <c r="C79" s="4"/>
      <c r="D79" s="4" t="s">
        <v>450</v>
      </c>
      <c r="E79">
        <v>-1510</v>
      </c>
      <c r="F79" t="str">
        <f>VLOOKUP(E79,CompDbase!B:L,4,FALSE)</f>
        <v>n-Pentane</v>
      </c>
      <c r="G79" s="95" t="str">
        <f>VLOOKUP(E79,CompDbase!B:M,12,FALSE)</f>
        <v>Alk</v>
      </c>
      <c r="H79" s="95">
        <f>VLOOKUP(E79,CompDbase!B:L,8,FALSE)</f>
        <v>72.150000000000006</v>
      </c>
      <c r="I79" s="95" t="e">
        <f>VLOOKUP(E79,CompDbase!B:L,11,FALSE)</f>
        <v>#DIV/0!</v>
      </c>
      <c r="J79" s="95">
        <f>VLOOKUP(E79,CompDbase!B:L,9,FALSE)</f>
        <v>40</v>
      </c>
      <c r="K79" s="95">
        <f>VLOOKUP(E79,CompDbase!B:L,10,FALSE)</f>
        <v>3.39</v>
      </c>
      <c r="L79" s="4" t="s">
        <v>769</v>
      </c>
      <c r="M79" s="420"/>
      <c r="N79" s="420"/>
      <c r="O79" s="4"/>
      <c r="P79">
        <v>296</v>
      </c>
      <c r="Q79" s="4" t="s">
        <v>1049</v>
      </c>
      <c r="S79" s="4"/>
      <c r="Y79">
        <v>2.4999999999999998E-12</v>
      </c>
      <c r="Z79" s="95">
        <f t="shared" si="62"/>
        <v>-11.602059991327963</v>
      </c>
      <c r="DG79">
        <f t="shared" si="66"/>
        <v>-11.602059991327963</v>
      </c>
      <c r="DH79">
        <f t="shared" si="63"/>
        <v>72.150000000000006</v>
      </c>
      <c r="EB79" s="350">
        <v>850</v>
      </c>
      <c r="EC79" s="350">
        <f t="shared" si="77"/>
        <v>-14.620948724614546</v>
      </c>
      <c r="ED79" s="350">
        <f t="shared" si="77"/>
        <v>-15.631857163909615</v>
      </c>
      <c r="EE79" s="350"/>
      <c r="EF79" s="350"/>
      <c r="EG79" s="350">
        <f t="shared" si="60"/>
        <v>-21.655000000000001</v>
      </c>
      <c r="EH79" s="350">
        <f t="shared" si="61"/>
        <v>-16.355</v>
      </c>
      <c r="EI79" s="350">
        <f t="shared" si="59"/>
        <v>-25.054879499999998</v>
      </c>
      <c r="EJ79" s="350"/>
      <c r="EY79" s="479">
        <f>VLOOKUP(B79,Literatuur!$A:$B,2,FALSE)</f>
        <v>12</v>
      </c>
      <c r="EZ79" t="str">
        <f t="shared" si="67"/>
        <v>n-Pentane</v>
      </c>
      <c r="FA79" t="str">
        <f t="shared" si="68"/>
        <v>Alk</v>
      </c>
      <c r="FB79" t="str">
        <f t="shared" si="69"/>
        <v>LDPE</v>
      </c>
      <c r="FC79" t="str">
        <f t="shared" si="70"/>
        <v/>
      </c>
      <c r="FD79">
        <f t="shared" si="71"/>
        <v>296</v>
      </c>
      <c r="FE79" t="str">
        <f t="shared" si="72"/>
        <v>water</v>
      </c>
      <c r="FF79" t="str">
        <f t="shared" si="73"/>
        <v xml:space="preserve"> </v>
      </c>
      <c r="FG79" s="408" t="str">
        <f t="shared" si="64"/>
        <v/>
      </c>
      <c r="FH79" s="138" t="str">
        <f t="shared" si="74"/>
        <v/>
      </c>
      <c r="FI79" s="106" t="str">
        <f t="shared" si="65"/>
        <v>**</v>
      </c>
      <c r="FJ79" s="138">
        <f t="shared" si="75"/>
        <v>-11.602059991327963</v>
      </c>
      <c r="FK79" s="138" t="str">
        <f t="shared" si="76"/>
        <v>**</v>
      </c>
    </row>
    <row r="80" spans="1:167" ht="12.75" hidden="1" customHeight="1" x14ac:dyDescent="0.2">
      <c r="A80">
        <v>34</v>
      </c>
      <c r="B80" s="4" t="s">
        <v>1226</v>
      </c>
      <c r="C80" s="4"/>
      <c r="D80" s="4" t="s">
        <v>799</v>
      </c>
      <c r="E80">
        <v>-1504</v>
      </c>
      <c r="F80" t="str">
        <f>VLOOKUP(E80,CompDbase!B:L,4,FALSE)</f>
        <v>Propane</v>
      </c>
      <c r="G80" s="95" t="str">
        <f>VLOOKUP(E80,CompDbase!B:M,12,FALSE)</f>
        <v>Alk</v>
      </c>
      <c r="H80" s="95">
        <f>VLOOKUP(E80,CompDbase!B:L,8,FALSE)</f>
        <v>44.1</v>
      </c>
      <c r="I80" s="95" t="e">
        <f>VLOOKUP(E80,CompDbase!B:L,11,FALSE)</f>
        <v>#DIV/0!</v>
      </c>
      <c r="J80" s="95">
        <f>VLOOKUP(E80,CompDbase!B:L,9,FALSE)</f>
        <v>75</v>
      </c>
      <c r="K80" s="95">
        <f>VLOOKUP(E80,CompDbase!B:L,10,FALSE)</f>
        <v>2.36</v>
      </c>
      <c r="L80" s="4" t="s">
        <v>769</v>
      </c>
      <c r="M80" s="420"/>
      <c r="N80" s="420"/>
      <c r="O80" s="4"/>
      <c r="P80">
        <v>296</v>
      </c>
      <c r="Q80" s="4" t="s">
        <v>1049</v>
      </c>
      <c r="S80" s="4"/>
      <c r="Y80">
        <v>3.1000000000000001E-12</v>
      </c>
      <c r="Z80" s="95">
        <f t="shared" si="62"/>
        <v>-11.508638306165727</v>
      </c>
      <c r="DG80">
        <f t="shared" si="66"/>
        <v>-11.508638306165727</v>
      </c>
      <c r="DH80">
        <f t="shared" si="63"/>
        <v>44.1</v>
      </c>
      <c r="EB80" s="350">
        <v>875</v>
      </c>
      <c r="EC80" s="350">
        <f t="shared" si="77"/>
        <v>-14.693975841525504</v>
      </c>
      <c r="ED80" s="350">
        <f t="shared" si="77"/>
        <v>-15.704884280820568</v>
      </c>
      <c r="EE80" s="350"/>
      <c r="EF80" s="350"/>
      <c r="EG80" s="350">
        <f t="shared" si="60"/>
        <v>-21.997500000000002</v>
      </c>
      <c r="EH80" s="350">
        <f t="shared" si="61"/>
        <v>-16.512499999999999</v>
      </c>
      <c r="EI80" s="350">
        <f t="shared" si="59"/>
        <v>-25.507787</v>
      </c>
      <c r="EJ80" s="350"/>
      <c r="EY80" s="479">
        <f>VLOOKUP(B80,Literatuur!$A:$B,2,FALSE)</f>
        <v>12</v>
      </c>
      <c r="EZ80" t="str">
        <f t="shared" si="67"/>
        <v>Propane</v>
      </c>
      <c r="FA80" t="str">
        <f t="shared" si="68"/>
        <v>Alk</v>
      </c>
      <c r="FB80" t="str">
        <f t="shared" si="69"/>
        <v>LDPE</v>
      </c>
      <c r="FC80" t="str">
        <f t="shared" si="70"/>
        <v/>
      </c>
      <c r="FD80">
        <f t="shared" si="71"/>
        <v>296</v>
      </c>
      <c r="FE80" t="str">
        <f t="shared" si="72"/>
        <v>water</v>
      </c>
      <c r="FF80" t="str">
        <f t="shared" si="73"/>
        <v xml:space="preserve"> </v>
      </c>
      <c r="FG80" s="408" t="str">
        <f t="shared" si="64"/>
        <v/>
      </c>
      <c r="FH80" s="138" t="str">
        <f t="shared" si="74"/>
        <v/>
      </c>
      <c r="FI80" s="106" t="str">
        <f t="shared" si="65"/>
        <v>**</v>
      </c>
      <c r="FJ80" s="138">
        <f t="shared" si="75"/>
        <v>-11.508638306165727</v>
      </c>
      <c r="FK80" s="138" t="str">
        <f t="shared" si="76"/>
        <v>**</v>
      </c>
    </row>
    <row r="81" spans="1:167" ht="12.75" hidden="1" customHeight="1" x14ac:dyDescent="0.2">
      <c r="A81">
        <v>35</v>
      </c>
      <c r="B81" s="4" t="s">
        <v>1226</v>
      </c>
      <c r="C81" s="4"/>
      <c r="D81" s="4" t="s">
        <v>799</v>
      </c>
      <c r="E81">
        <v>-1504</v>
      </c>
      <c r="F81" t="str">
        <f>VLOOKUP(E81,CompDbase!B:L,4,FALSE)</f>
        <v>Propane</v>
      </c>
      <c r="G81" s="95" t="str">
        <f>VLOOKUP(E81,CompDbase!B:M,12,FALSE)</f>
        <v>Alk</v>
      </c>
      <c r="H81" s="95">
        <f>VLOOKUP(E81,CompDbase!B:L,8,FALSE)</f>
        <v>44.1</v>
      </c>
      <c r="I81" s="95" t="e">
        <f>VLOOKUP(E81,CompDbase!B:L,11,FALSE)</f>
        <v>#DIV/0!</v>
      </c>
      <c r="J81" s="95">
        <f>VLOOKUP(E81,CompDbase!B:L,9,FALSE)</f>
        <v>75</v>
      </c>
      <c r="K81" s="95">
        <f>VLOOKUP(E81,CompDbase!B:L,10,FALSE)</f>
        <v>2.36</v>
      </c>
      <c r="L81" s="4" t="s">
        <v>769</v>
      </c>
      <c r="M81" s="420"/>
      <c r="N81" s="420"/>
      <c r="O81" s="4"/>
      <c r="P81">
        <v>296</v>
      </c>
      <c r="Q81" s="4" t="s">
        <v>1049</v>
      </c>
      <c r="S81" s="4"/>
      <c r="Y81">
        <v>2.1000000000000003E-12</v>
      </c>
      <c r="Z81" s="95">
        <f t="shared" si="62"/>
        <v>-11.67778070526608</v>
      </c>
      <c r="DG81">
        <f t="shared" si="66"/>
        <v>-11.67778070526608</v>
      </c>
      <c r="DH81">
        <f t="shared" si="63"/>
        <v>44.1</v>
      </c>
      <c r="EB81" s="350">
        <v>900</v>
      </c>
      <c r="EC81" s="350">
        <f t="shared" si="77"/>
        <v>-14.766011831477096</v>
      </c>
      <c r="ED81" s="350">
        <f t="shared" si="77"/>
        <v>-15.776920270772164</v>
      </c>
      <c r="EE81" s="350"/>
      <c r="EF81" s="350"/>
      <c r="EG81" s="350">
        <f t="shared" si="60"/>
        <v>-22.34</v>
      </c>
      <c r="EH81" s="350">
        <f t="shared" si="61"/>
        <v>-16.670000000000002</v>
      </c>
      <c r="EI81" s="350">
        <f t="shared" si="59"/>
        <v>-25.960694500000002</v>
      </c>
      <c r="EJ81" s="350"/>
      <c r="EY81" s="479">
        <f>VLOOKUP(B81,Literatuur!$A:$B,2,FALSE)</f>
        <v>12</v>
      </c>
      <c r="EZ81" t="str">
        <f t="shared" si="67"/>
        <v>Propane</v>
      </c>
      <c r="FA81" t="str">
        <f t="shared" si="68"/>
        <v>Alk</v>
      </c>
      <c r="FB81" t="str">
        <f t="shared" si="69"/>
        <v>LDPE</v>
      </c>
      <c r="FC81" t="str">
        <f t="shared" si="70"/>
        <v/>
      </c>
      <c r="FD81">
        <f t="shared" si="71"/>
        <v>296</v>
      </c>
      <c r="FE81" t="str">
        <f t="shared" si="72"/>
        <v>water</v>
      </c>
      <c r="FF81" t="str">
        <f t="shared" si="73"/>
        <v xml:space="preserve"> </v>
      </c>
      <c r="FG81" s="408" t="str">
        <f t="shared" si="64"/>
        <v/>
      </c>
      <c r="FH81" s="138" t="str">
        <f t="shared" si="74"/>
        <v/>
      </c>
      <c r="FI81" s="106" t="str">
        <f t="shared" si="65"/>
        <v>**</v>
      </c>
      <c r="FJ81" s="138">
        <f t="shared" si="75"/>
        <v>-11.67778070526608</v>
      </c>
      <c r="FK81" s="138" t="str">
        <f t="shared" si="76"/>
        <v>**</v>
      </c>
    </row>
    <row r="82" spans="1:167" ht="12.75" hidden="1" customHeight="1" x14ac:dyDescent="0.2">
      <c r="A82">
        <v>36</v>
      </c>
      <c r="B82" s="4" t="s">
        <v>1226</v>
      </c>
      <c r="C82" s="4"/>
      <c r="D82" s="4" t="s">
        <v>799</v>
      </c>
      <c r="E82">
        <v>-1504</v>
      </c>
      <c r="F82" t="str">
        <f>VLOOKUP(E82,CompDbase!B:L,4,FALSE)</f>
        <v>Propane</v>
      </c>
      <c r="G82" s="95" t="str">
        <f>VLOOKUP(E82,CompDbase!B:M,12,FALSE)</f>
        <v>Alk</v>
      </c>
      <c r="H82" s="95">
        <f>VLOOKUP(E82,CompDbase!B:L,8,FALSE)</f>
        <v>44.1</v>
      </c>
      <c r="I82" s="95" t="e">
        <f>VLOOKUP(E82,CompDbase!B:L,11,FALSE)</f>
        <v>#DIV/0!</v>
      </c>
      <c r="J82" s="95">
        <f>VLOOKUP(E82,CompDbase!B:L,9,FALSE)</f>
        <v>75</v>
      </c>
      <c r="K82" s="95">
        <f>VLOOKUP(E82,CompDbase!B:L,10,FALSE)</f>
        <v>2.36</v>
      </c>
      <c r="L82" s="4" t="s">
        <v>769</v>
      </c>
      <c r="M82" s="420"/>
      <c r="N82" s="420"/>
      <c r="O82" s="4"/>
      <c r="P82">
        <v>296</v>
      </c>
      <c r="Q82" s="4" t="s">
        <v>1049</v>
      </c>
      <c r="S82" s="4"/>
      <c r="Y82">
        <v>1.7E-12</v>
      </c>
      <c r="Z82" s="95">
        <f t="shared" si="62"/>
        <v>-11.769551078621726</v>
      </c>
      <c r="DG82">
        <f t="shared" si="66"/>
        <v>-11.769551078621726</v>
      </c>
      <c r="DH82">
        <f t="shared" si="63"/>
        <v>44.1</v>
      </c>
      <c r="EB82" s="350">
        <v>925</v>
      </c>
      <c r="EC82" s="350">
        <f t="shared" si="77"/>
        <v>-14.837093153256223</v>
      </c>
      <c r="ED82" s="350">
        <f t="shared" si="77"/>
        <v>-15.848001592551292</v>
      </c>
      <c r="EE82" s="350"/>
      <c r="EF82" s="350"/>
      <c r="EG82" s="350">
        <f t="shared" si="60"/>
        <v>-22.682500000000001</v>
      </c>
      <c r="EH82" s="350">
        <f t="shared" si="61"/>
        <v>-16.827500000000001</v>
      </c>
      <c r="EI82" s="350">
        <f t="shared" si="59"/>
        <v>-26.413601999999997</v>
      </c>
      <c r="EJ82" s="350"/>
      <c r="EY82" s="479">
        <f>VLOOKUP(B82,Literatuur!$A:$B,2,FALSE)</f>
        <v>12</v>
      </c>
      <c r="EZ82" t="str">
        <f t="shared" si="67"/>
        <v>Propane</v>
      </c>
      <c r="FA82" t="str">
        <f t="shared" si="68"/>
        <v>Alk</v>
      </c>
      <c r="FB82" t="str">
        <f t="shared" si="69"/>
        <v>LDPE</v>
      </c>
      <c r="FC82" t="str">
        <f t="shared" si="70"/>
        <v/>
      </c>
      <c r="FD82">
        <f t="shared" si="71"/>
        <v>296</v>
      </c>
      <c r="FE82" t="str">
        <f t="shared" si="72"/>
        <v>water</v>
      </c>
      <c r="FF82" t="str">
        <f t="shared" si="73"/>
        <v xml:space="preserve"> </v>
      </c>
      <c r="FG82" s="408" t="str">
        <f t="shared" si="64"/>
        <v/>
      </c>
      <c r="FH82" s="138" t="str">
        <f t="shared" si="74"/>
        <v/>
      </c>
      <c r="FI82" s="106" t="str">
        <f t="shared" si="65"/>
        <v>**</v>
      </c>
      <c r="FJ82" s="138">
        <f t="shared" si="75"/>
        <v>-11.769551078621726</v>
      </c>
      <c r="FK82" s="138" t="str">
        <f t="shared" si="76"/>
        <v>**</v>
      </c>
    </row>
    <row r="83" spans="1:167" s="9" customFormat="1" ht="12.75" hidden="1" customHeight="1" x14ac:dyDescent="0.2">
      <c r="A83">
        <v>37</v>
      </c>
      <c r="B83" s="10" t="s">
        <v>1226</v>
      </c>
      <c r="C83" s="10"/>
      <c r="D83" s="10" t="s">
        <v>799</v>
      </c>
      <c r="E83" s="9">
        <v>-1504</v>
      </c>
      <c r="F83" s="9" t="str">
        <f>VLOOKUP(E83,CompDbase!B:L,4,FALSE)</f>
        <v>Propane</v>
      </c>
      <c r="G83" s="181" t="str">
        <f>VLOOKUP(E83,CompDbase!B:M,12,FALSE)</f>
        <v>Alk</v>
      </c>
      <c r="H83" s="181">
        <f>VLOOKUP(E83,CompDbase!B:L,8,FALSE)</f>
        <v>44.1</v>
      </c>
      <c r="I83" s="181" t="e">
        <f>VLOOKUP(E83,CompDbase!B:L,11,FALSE)</f>
        <v>#DIV/0!</v>
      </c>
      <c r="J83" s="181">
        <f>VLOOKUP(E83,CompDbase!B:L,9,FALSE)</f>
        <v>75</v>
      </c>
      <c r="K83" s="181">
        <f>VLOOKUP(E83,CompDbase!B:L,10,FALSE)</f>
        <v>2.36</v>
      </c>
      <c r="L83" s="10" t="s">
        <v>769</v>
      </c>
      <c r="M83" s="422"/>
      <c r="N83" s="422"/>
      <c r="O83" s="10"/>
      <c r="P83" s="9">
        <v>296</v>
      </c>
      <c r="Q83" s="10" t="s">
        <v>1049</v>
      </c>
      <c r="R83" s="393"/>
      <c r="S83" s="10"/>
      <c r="Y83" s="9">
        <v>5.1000000000000005E-12</v>
      </c>
      <c r="Z83" s="181">
        <f t="shared" si="62"/>
        <v>-11.292429823902063</v>
      </c>
      <c r="DF83"/>
      <c r="DG83">
        <f t="shared" si="66"/>
        <v>-11.292429823902063</v>
      </c>
      <c r="DH83">
        <f t="shared" si="63"/>
        <v>44.1</v>
      </c>
      <c r="DP83"/>
      <c r="EB83" s="350">
        <v>950</v>
      </c>
      <c r="EC83" s="350">
        <f t="shared" si="77"/>
        <v>-14.907253979132065</v>
      </c>
      <c r="ED83" s="350">
        <f t="shared" si="77"/>
        <v>-15.918162418427134</v>
      </c>
      <c r="EE83" s="350"/>
      <c r="EF83" s="350"/>
      <c r="EG83" s="350">
        <f t="shared" si="60"/>
        <v>-23.024999999999999</v>
      </c>
      <c r="EH83" s="350">
        <f t="shared" si="61"/>
        <v>-16.984999999999999</v>
      </c>
      <c r="EI83" s="350">
        <f t="shared" si="59"/>
        <v>-26.866509499999999</v>
      </c>
      <c r="EJ83" s="350"/>
      <c r="EY83" s="479">
        <f>VLOOKUP(B83,Literatuur!$A:$B,2,FALSE)</f>
        <v>12</v>
      </c>
      <c r="EZ83" t="str">
        <f t="shared" si="67"/>
        <v>Propane</v>
      </c>
      <c r="FA83" t="str">
        <f t="shared" si="68"/>
        <v>Alk</v>
      </c>
      <c r="FB83" t="str">
        <f t="shared" si="69"/>
        <v>LDPE</v>
      </c>
      <c r="FC83" t="str">
        <f t="shared" si="70"/>
        <v/>
      </c>
      <c r="FD83">
        <f t="shared" si="71"/>
        <v>296</v>
      </c>
      <c r="FE83" t="str">
        <f t="shared" si="72"/>
        <v>water</v>
      </c>
      <c r="FF83" t="str">
        <f t="shared" si="73"/>
        <v xml:space="preserve"> </v>
      </c>
      <c r="FG83" s="408" t="str">
        <f t="shared" si="64"/>
        <v/>
      </c>
      <c r="FH83" s="138" t="str">
        <f t="shared" si="74"/>
        <v/>
      </c>
      <c r="FI83" s="106" t="str">
        <f t="shared" si="65"/>
        <v>**</v>
      </c>
      <c r="FJ83" s="138">
        <f t="shared" si="75"/>
        <v>-11.292429823902063</v>
      </c>
      <c r="FK83" s="138" t="str">
        <f t="shared" si="76"/>
        <v>**</v>
      </c>
    </row>
    <row r="84" spans="1:167" ht="12.75" hidden="1" customHeight="1" x14ac:dyDescent="0.2">
      <c r="A84">
        <v>38</v>
      </c>
      <c r="B84" s="4" t="s">
        <v>1226</v>
      </c>
      <c r="C84" s="4"/>
      <c r="D84" s="4" t="s">
        <v>839</v>
      </c>
      <c r="E84">
        <v>-1503</v>
      </c>
      <c r="F84" t="str">
        <f>VLOOKUP(E84,CompDbase!B:L,4,FALSE)</f>
        <v>Propylene</v>
      </c>
      <c r="G84" s="95" t="str">
        <f>VLOOKUP(E84,CompDbase!B:M,12,FALSE)</f>
        <v>Alk</v>
      </c>
      <c r="H84" s="95">
        <f>VLOOKUP(E84,CompDbase!B:L,8,FALSE)</f>
        <v>42.08</v>
      </c>
      <c r="I84" s="95" t="e">
        <f>VLOOKUP(E84,CompDbase!B:L,11,FALSE)</f>
        <v>#DIV/0!</v>
      </c>
      <c r="J84" s="95">
        <f>VLOOKUP(E84,CompDbase!B:L,9,FALSE)</f>
        <v>292</v>
      </c>
      <c r="K84" s="95">
        <f>VLOOKUP(E84,CompDbase!B:L,10,FALSE)</f>
        <v>1.77</v>
      </c>
      <c r="L84" s="4" t="s">
        <v>769</v>
      </c>
      <c r="M84" s="420"/>
      <c r="N84" s="420"/>
      <c r="O84" s="4"/>
      <c r="P84">
        <v>296</v>
      </c>
      <c r="Q84" s="4" t="s">
        <v>1049</v>
      </c>
      <c r="S84" s="4"/>
      <c r="Y84">
        <v>5.2000000000000005E-12</v>
      </c>
      <c r="Z84" s="95">
        <f t="shared" si="62"/>
        <v>-11.283996656365201</v>
      </c>
      <c r="DG84">
        <f t="shared" si="66"/>
        <v>-11.283996656365201</v>
      </c>
      <c r="DH84">
        <f t="shared" si="63"/>
        <v>42.08</v>
      </c>
      <c r="EB84" s="350">
        <v>975</v>
      </c>
      <c r="EC84" s="350">
        <f t="shared" si="77"/>
        <v>-14.976526394447379</v>
      </c>
      <c r="ED84" s="350">
        <f t="shared" si="77"/>
        <v>-15.987434833742448</v>
      </c>
      <c r="EE84" s="350"/>
      <c r="EF84" s="350"/>
      <c r="EG84" s="350">
        <f t="shared" si="60"/>
        <v>-23.3675</v>
      </c>
      <c r="EH84" s="350">
        <f t="shared" si="61"/>
        <v>-17.142499999999998</v>
      </c>
      <c r="EI84" s="350">
        <f t="shared" si="59"/>
        <v>-27.319417000000001</v>
      </c>
      <c r="EJ84" s="350"/>
      <c r="EY84" s="479">
        <f>VLOOKUP(B84,Literatuur!$A:$B,2,FALSE)</f>
        <v>12</v>
      </c>
      <c r="EZ84" t="str">
        <f t="shared" si="67"/>
        <v>Propylene</v>
      </c>
      <c r="FA84" t="str">
        <f t="shared" si="68"/>
        <v>Alk</v>
      </c>
      <c r="FB84" t="str">
        <f t="shared" si="69"/>
        <v>LDPE</v>
      </c>
      <c r="FC84" t="str">
        <f t="shared" si="70"/>
        <v/>
      </c>
      <c r="FD84">
        <f t="shared" si="71"/>
        <v>296</v>
      </c>
      <c r="FE84" t="str">
        <f t="shared" si="72"/>
        <v>water</v>
      </c>
      <c r="FF84" t="str">
        <f t="shared" si="73"/>
        <v xml:space="preserve"> </v>
      </c>
      <c r="FG84" s="408" t="str">
        <f t="shared" si="64"/>
        <v/>
      </c>
      <c r="FH84" s="138" t="str">
        <f t="shared" si="74"/>
        <v/>
      </c>
      <c r="FI84" s="106" t="str">
        <f t="shared" si="65"/>
        <v>**</v>
      </c>
      <c r="FJ84" s="138">
        <f t="shared" si="75"/>
        <v>-11.283996656365201</v>
      </c>
      <c r="FK84" s="138" t="str">
        <f t="shared" si="76"/>
        <v>**</v>
      </c>
    </row>
    <row r="85" spans="1:167" ht="12.75" hidden="1" customHeight="1" x14ac:dyDescent="0.2">
      <c r="A85">
        <v>39</v>
      </c>
      <c r="B85" t="s">
        <v>1235</v>
      </c>
      <c r="D85" s="4" t="s">
        <v>798</v>
      </c>
      <c r="E85">
        <v>-1526</v>
      </c>
      <c r="F85" t="str">
        <f>VLOOKUP(E85,CompDbase!B:L,4,FALSE)</f>
        <v>Ethane</v>
      </c>
      <c r="G85" s="95" t="str">
        <f>VLOOKUP(E85,CompDbase!B:M,12,FALSE)</f>
        <v>Alk</v>
      </c>
      <c r="H85" s="95">
        <f>VLOOKUP(E85,CompDbase!B:L,8,FALSE)</f>
        <v>30.07</v>
      </c>
      <c r="I85" s="95" t="e">
        <f>VLOOKUP(E85,CompDbase!B:L,11,FALSE)</f>
        <v>#DIV/0!</v>
      </c>
      <c r="J85" s="95">
        <f>VLOOKUP(E85,CompDbase!B:L,9,FALSE)</f>
        <v>62</v>
      </c>
      <c r="K85" s="95">
        <f>VLOOKUP(E85,CompDbase!B:L,10,FALSE)</f>
        <v>1.81</v>
      </c>
      <c r="L85" s="4" t="s">
        <v>769</v>
      </c>
      <c r="M85" s="423"/>
      <c r="N85" s="423"/>
      <c r="O85" s="4"/>
      <c r="P85">
        <v>296</v>
      </c>
      <c r="Q85" s="4" t="s">
        <v>1049</v>
      </c>
      <c r="T85" s="95"/>
      <c r="Y85">
        <v>4.8000000000000005E-12</v>
      </c>
      <c r="Z85" s="95">
        <f t="shared" si="62"/>
        <v>-11.318758762624412</v>
      </c>
      <c r="DG85">
        <f t="shared" si="66"/>
        <v>-11.318758762624412</v>
      </c>
      <c r="DH85">
        <f t="shared" si="63"/>
        <v>30.07</v>
      </c>
      <c r="EB85" s="350">
        <v>1000</v>
      </c>
      <c r="EC85" s="350">
        <f t="shared" si="77"/>
        <v>-15.044940575132152</v>
      </c>
      <c r="ED85" s="350">
        <f t="shared" si="77"/>
        <v>-16.055849014427221</v>
      </c>
      <c r="EE85" s="350"/>
      <c r="EF85" s="350"/>
      <c r="EG85" s="350">
        <f t="shared" si="60"/>
        <v>-23.71</v>
      </c>
      <c r="EH85" s="350">
        <f t="shared" si="61"/>
        <v>-17.3</v>
      </c>
      <c r="EI85" s="350">
        <f t="shared" si="59"/>
        <v>-27.772324500000003</v>
      </c>
      <c r="EJ85" s="350"/>
      <c r="EY85" s="479">
        <f>VLOOKUP(B85,Literatuur!$A:$B,2,FALSE)</f>
        <v>21</v>
      </c>
      <c r="EZ85" t="str">
        <f t="shared" si="67"/>
        <v>ethane</v>
      </c>
      <c r="FA85" t="str">
        <f t="shared" si="68"/>
        <v>Alk</v>
      </c>
      <c r="FB85" t="str">
        <f t="shared" si="69"/>
        <v>LDPE</v>
      </c>
      <c r="FC85" t="str">
        <f t="shared" si="70"/>
        <v/>
      </c>
      <c r="FD85">
        <f t="shared" si="71"/>
        <v>296</v>
      </c>
      <c r="FE85" t="str">
        <f t="shared" si="72"/>
        <v>water</v>
      </c>
      <c r="FF85" t="str">
        <f t="shared" si="73"/>
        <v xml:space="preserve"> </v>
      </c>
      <c r="FG85" s="408" t="str">
        <f t="shared" si="64"/>
        <v/>
      </c>
      <c r="FH85" s="138" t="str">
        <f t="shared" si="74"/>
        <v/>
      </c>
      <c r="FI85" s="106" t="str">
        <f t="shared" si="65"/>
        <v>**</v>
      </c>
      <c r="FJ85" s="138">
        <f t="shared" si="75"/>
        <v>-11.318758762624412</v>
      </c>
      <c r="FK85" s="138" t="str">
        <f t="shared" si="76"/>
        <v>**</v>
      </c>
    </row>
    <row r="86" spans="1:167" ht="12.75" hidden="1" customHeight="1" x14ac:dyDescent="0.2">
      <c r="A86">
        <v>40</v>
      </c>
      <c r="B86" t="s">
        <v>1235</v>
      </c>
      <c r="D86" s="4" t="s">
        <v>798</v>
      </c>
      <c r="E86">
        <v>-1526</v>
      </c>
      <c r="F86" t="str">
        <f>VLOOKUP(E86,CompDbase!B:L,4,FALSE)</f>
        <v>Ethane</v>
      </c>
      <c r="G86" s="95" t="str">
        <f>VLOOKUP(E86,CompDbase!B:M,12,FALSE)</f>
        <v>Alk</v>
      </c>
      <c r="H86" s="95">
        <f>VLOOKUP(E86,CompDbase!B:L,8,FALSE)</f>
        <v>30.07</v>
      </c>
      <c r="I86" s="95" t="e">
        <f>VLOOKUP(E86,CompDbase!B:L,11,FALSE)</f>
        <v>#DIV/0!</v>
      </c>
      <c r="J86" s="95">
        <f>VLOOKUP(E86,CompDbase!B:L,9,FALSE)</f>
        <v>62</v>
      </c>
      <c r="K86" s="95">
        <f>VLOOKUP(E86,CompDbase!B:L,10,FALSE)</f>
        <v>1.81</v>
      </c>
      <c r="L86" s="4" t="s">
        <v>769</v>
      </c>
      <c r="M86" s="423"/>
      <c r="N86" s="423"/>
      <c r="O86" s="4"/>
      <c r="P86">
        <v>296</v>
      </c>
      <c r="Q86" s="4" t="s">
        <v>1049</v>
      </c>
      <c r="T86" s="95"/>
      <c r="Y86">
        <v>5.3800000000000001E-12</v>
      </c>
      <c r="Z86" s="95">
        <f t="shared" si="62"/>
        <v>-11.269217724333611</v>
      </c>
      <c r="DG86">
        <f t="shared" si="66"/>
        <v>-11.269217724333611</v>
      </c>
      <c r="DH86">
        <f t="shared" si="63"/>
        <v>30.07</v>
      </c>
      <c r="EB86" s="350">
        <v>1025</v>
      </c>
      <c r="EC86" s="350">
        <f t="shared" si="77"/>
        <v>-15.112524946070959</v>
      </c>
      <c r="ED86" s="350">
        <f t="shared" si="77"/>
        <v>-16.123433385366027</v>
      </c>
      <c r="EE86" s="350"/>
      <c r="EF86" s="350"/>
      <c r="EG86" s="350">
        <f t="shared" si="60"/>
        <v>-24.052500000000002</v>
      </c>
      <c r="EH86" s="350">
        <f t="shared" si="61"/>
        <v>-17.4575</v>
      </c>
      <c r="EI86" s="350">
        <f t="shared" si="59"/>
        <v>-28.225231999999998</v>
      </c>
      <c r="EJ86" s="350"/>
      <c r="EY86" s="479">
        <f>VLOOKUP(B86,Literatuur!$A:$B,2,FALSE)</f>
        <v>21</v>
      </c>
      <c r="EZ86" t="str">
        <f t="shared" si="67"/>
        <v>ethane</v>
      </c>
      <c r="FA86" t="str">
        <f t="shared" si="68"/>
        <v>Alk</v>
      </c>
      <c r="FB86" t="str">
        <f t="shared" si="69"/>
        <v>LDPE</v>
      </c>
      <c r="FC86" t="str">
        <f t="shared" si="70"/>
        <v/>
      </c>
      <c r="FD86">
        <f t="shared" si="71"/>
        <v>296</v>
      </c>
      <c r="FE86" t="str">
        <f t="shared" si="72"/>
        <v>water</v>
      </c>
      <c r="FF86" t="str">
        <f t="shared" si="73"/>
        <v xml:space="preserve"> </v>
      </c>
      <c r="FG86" s="408" t="str">
        <f t="shared" si="64"/>
        <v/>
      </c>
      <c r="FH86" s="138" t="str">
        <f t="shared" si="74"/>
        <v/>
      </c>
      <c r="FI86" s="106" t="str">
        <f t="shared" si="65"/>
        <v>**</v>
      </c>
      <c r="FJ86" s="138">
        <f t="shared" si="75"/>
        <v>-11.269217724333611</v>
      </c>
      <c r="FK86" s="138" t="str">
        <f t="shared" si="76"/>
        <v>**</v>
      </c>
    </row>
    <row r="87" spans="1:167" ht="12.75" hidden="1" customHeight="1" x14ac:dyDescent="0.2">
      <c r="A87">
        <v>41</v>
      </c>
      <c r="B87" t="s">
        <v>1235</v>
      </c>
      <c r="D87" s="4" t="s">
        <v>796</v>
      </c>
      <c r="E87">
        <v>-1500</v>
      </c>
      <c r="F87" t="str">
        <f>VLOOKUP(E87,CompDbase!B:L,4,FALSE)</f>
        <v>Methane</v>
      </c>
      <c r="G87" s="95" t="str">
        <f>VLOOKUP(E87,CompDbase!B:M,12,FALSE)</f>
        <v>Alk</v>
      </c>
      <c r="H87" s="95">
        <f>VLOOKUP(E87,CompDbase!B:L,8,FALSE)</f>
        <v>16.05</v>
      </c>
      <c r="I87" s="95" t="e">
        <f>VLOOKUP(E87,CompDbase!B:L,11,FALSE)</f>
        <v>#DIV/0!</v>
      </c>
      <c r="J87" s="95">
        <f>VLOOKUP(E87,CompDbase!B:L,9,FALSE)</f>
        <v>26000</v>
      </c>
      <c r="K87" s="95">
        <f>VLOOKUP(E87,CompDbase!B:L,10,FALSE)</f>
        <v>1.0900000000000001</v>
      </c>
      <c r="L87" s="4" t="s">
        <v>769</v>
      </c>
      <c r="M87" s="423"/>
      <c r="N87" s="423"/>
      <c r="O87" s="4"/>
      <c r="P87">
        <v>296</v>
      </c>
      <c r="Q87" s="4" t="s">
        <v>1049</v>
      </c>
      <c r="T87" s="95"/>
      <c r="Y87">
        <v>1.9400000000000002E-11</v>
      </c>
      <c r="Z87" s="95">
        <f t="shared" si="62"/>
        <v>-10.712198270069774</v>
      </c>
      <c r="DG87">
        <f t="shared" si="66"/>
        <v>-10.712198270069774</v>
      </c>
      <c r="DH87">
        <f t="shared" si="63"/>
        <v>16.05</v>
      </c>
      <c r="EB87" s="350">
        <v>1050</v>
      </c>
      <c r="EC87" s="350">
        <f t="shared" si="77"/>
        <v>-15.179306322804562</v>
      </c>
      <c r="ED87" s="350">
        <f t="shared" si="77"/>
        <v>-16.190214762099629</v>
      </c>
      <c r="EE87" s="350"/>
      <c r="EF87" s="350"/>
      <c r="EG87" s="350">
        <f t="shared" si="60"/>
        <v>-24.395</v>
      </c>
      <c r="EH87" s="350">
        <f t="shared" si="61"/>
        <v>-17.615000000000002</v>
      </c>
      <c r="EI87" s="350">
        <f t="shared" si="59"/>
        <v>-28.6781395</v>
      </c>
      <c r="EJ87" s="350"/>
      <c r="EY87" s="479">
        <f>VLOOKUP(B87,Literatuur!$A:$B,2,FALSE)</f>
        <v>21</v>
      </c>
      <c r="EZ87" t="str">
        <f t="shared" si="67"/>
        <v>Methane</v>
      </c>
      <c r="FA87" t="str">
        <f t="shared" si="68"/>
        <v>Alk</v>
      </c>
      <c r="FB87" t="str">
        <f t="shared" si="69"/>
        <v>LDPE</v>
      </c>
      <c r="FC87" t="str">
        <f t="shared" si="70"/>
        <v/>
      </c>
      <c r="FD87">
        <f t="shared" si="71"/>
        <v>296</v>
      </c>
      <c r="FE87" t="str">
        <f t="shared" si="72"/>
        <v>water</v>
      </c>
      <c r="FF87" t="str">
        <f t="shared" si="73"/>
        <v xml:space="preserve"> </v>
      </c>
      <c r="FG87" s="408" t="str">
        <f t="shared" si="64"/>
        <v/>
      </c>
      <c r="FH87" s="138" t="str">
        <f t="shared" si="74"/>
        <v/>
      </c>
      <c r="FI87" s="106" t="str">
        <f t="shared" si="65"/>
        <v>**</v>
      </c>
      <c r="FJ87" s="138">
        <f t="shared" si="75"/>
        <v>-10.712198270069774</v>
      </c>
      <c r="FK87" s="138" t="str">
        <f t="shared" si="76"/>
        <v>**</v>
      </c>
    </row>
    <row r="88" spans="1:167" ht="12.75" hidden="1" customHeight="1" x14ac:dyDescent="0.2">
      <c r="A88">
        <v>42</v>
      </c>
      <c r="B88" t="s">
        <v>1235</v>
      </c>
      <c r="D88" s="4" t="s">
        <v>797</v>
      </c>
      <c r="E88">
        <v>-1500</v>
      </c>
      <c r="F88" t="str">
        <f>VLOOKUP(E88,CompDbase!B:L,4,FALSE)</f>
        <v>Methane</v>
      </c>
      <c r="G88" s="95" t="str">
        <f>VLOOKUP(E88,CompDbase!B:M,12,FALSE)</f>
        <v>Alk</v>
      </c>
      <c r="H88" s="95">
        <f>VLOOKUP(E88,CompDbase!B:L,8,FALSE)</f>
        <v>16.05</v>
      </c>
      <c r="I88" s="95" t="e">
        <f>VLOOKUP(E88,CompDbase!B:L,11,FALSE)</f>
        <v>#DIV/0!</v>
      </c>
      <c r="J88" s="95">
        <f>VLOOKUP(E88,CompDbase!B:L,9,FALSE)</f>
        <v>26000</v>
      </c>
      <c r="K88" s="95">
        <f>VLOOKUP(E88,CompDbase!B:L,10,FALSE)</f>
        <v>1.0900000000000001</v>
      </c>
      <c r="L88" s="4" t="s">
        <v>769</v>
      </c>
      <c r="M88" s="423"/>
      <c r="N88" s="423"/>
      <c r="O88" s="4"/>
      <c r="P88">
        <v>296</v>
      </c>
      <c r="Q88" s="4" t="s">
        <v>1049</v>
      </c>
      <c r="T88" s="95"/>
      <c r="Y88">
        <v>2.9800000000000003E-11</v>
      </c>
      <c r="Z88" s="95">
        <f t="shared" si="62"/>
        <v>-10.525783735923746</v>
      </c>
      <c r="DG88">
        <f t="shared" si="66"/>
        <v>-10.525783735923746</v>
      </c>
      <c r="DH88">
        <f t="shared" si="63"/>
        <v>16.05</v>
      </c>
      <c r="EY88" s="479">
        <f>VLOOKUP(B88,Literatuur!$A:$B,2,FALSE)</f>
        <v>21</v>
      </c>
      <c r="EZ88" t="str">
        <f t="shared" si="67"/>
        <v>methane</v>
      </c>
      <c r="FA88" t="str">
        <f t="shared" si="68"/>
        <v>Alk</v>
      </c>
      <c r="FB88" t="str">
        <f t="shared" si="69"/>
        <v>LDPE</v>
      </c>
      <c r="FC88" t="str">
        <f t="shared" si="70"/>
        <v/>
      </c>
      <c r="FD88">
        <f t="shared" si="71"/>
        <v>296</v>
      </c>
      <c r="FE88" t="str">
        <f t="shared" si="72"/>
        <v>water</v>
      </c>
      <c r="FF88" t="str">
        <f t="shared" si="73"/>
        <v xml:space="preserve"> </v>
      </c>
      <c r="FG88" s="408" t="str">
        <f t="shared" si="64"/>
        <v/>
      </c>
      <c r="FH88" s="138" t="str">
        <f t="shared" si="74"/>
        <v/>
      </c>
      <c r="FI88" s="106" t="str">
        <f t="shared" si="65"/>
        <v>**</v>
      </c>
      <c r="FJ88" s="138">
        <f t="shared" si="75"/>
        <v>-10.525783735923746</v>
      </c>
      <c r="FK88" s="138" t="str">
        <f t="shared" si="76"/>
        <v>**</v>
      </c>
    </row>
    <row r="89" spans="1:167" ht="12.75" hidden="1" customHeight="1" x14ac:dyDescent="0.2">
      <c r="A89">
        <v>43</v>
      </c>
      <c r="B89" t="s">
        <v>1235</v>
      </c>
      <c r="D89" s="4" t="s">
        <v>820</v>
      </c>
      <c r="E89">
        <v>-1676</v>
      </c>
      <c r="F89" t="str">
        <f>VLOOKUP(E89,CompDbase!B:L,4,FALSE)</f>
        <v>n-Dodecane</v>
      </c>
      <c r="G89" s="95" t="str">
        <f>VLOOKUP(E89,CompDbase!B:M,12,FALSE)</f>
        <v>Alk</v>
      </c>
      <c r="H89" s="95">
        <f>VLOOKUP(E89,CompDbase!B:L,8,FALSE)</f>
        <v>170</v>
      </c>
      <c r="I89" s="95" t="e">
        <f>VLOOKUP(E89,CompDbase!B:L,11,FALSE)</f>
        <v>#DIV/0!</v>
      </c>
      <c r="J89" s="95" t="e">
        <f>VLOOKUP(E89,CompDbase!B:L,9,FALSE)</f>
        <v>#DIV/0!</v>
      </c>
      <c r="K89" s="95" t="e">
        <f>VLOOKUP(E89,CompDbase!B:L,10,FALSE)</f>
        <v>#DIV/0!</v>
      </c>
      <c r="L89" s="4" t="s">
        <v>769</v>
      </c>
      <c r="M89" s="423"/>
      <c r="N89" s="423"/>
      <c r="O89" s="4"/>
      <c r="P89">
        <v>296</v>
      </c>
      <c r="Q89" s="4" t="s">
        <v>1049</v>
      </c>
      <c r="T89" s="95"/>
      <c r="Y89">
        <v>2.6E-13</v>
      </c>
      <c r="Z89" s="95">
        <f t="shared" si="62"/>
        <v>-12.585026652029182</v>
      </c>
      <c r="DG89">
        <f t="shared" si="66"/>
        <v>-12.585026652029182</v>
      </c>
      <c r="DH89">
        <f t="shared" si="63"/>
        <v>170</v>
      </c>
      <c r="EY89" s="479">
        <f>VLOOKUP(B89,Literatuur!$A:$B,2,FALSE)</f>
        <v>21</v>
      </c>
      <c r="EZ89" t="str">
        <f t="shared" si="67"/>
        <v>n-Dodecane</v>
      </c>
      <c r="FA89" t="str">
        <f t="shared" si="68"/>
        <v>Alk</v>
      </c>
      <c r="FB89" t="str">
        <f t="shared" si="69"/>
        <v>LDPE</v>
      </c>
      <c r="FC89" t="str">
        <f t="shared" si="70"/>
        <v/>
      </c>
      <c r="FD89">
        <f t="shared" si="71"/>
        <v>296</v>
      </c>
      <c r="FE89" t="str">
        <f t="shared" si="72"/>
        <v>water</v>
      </c>
      <c r="FF89" t="str">
        <f t="shared" si="73"/>
        <v xml:space="preserve"> </v>
      </c>
      <c r="FG89" s="408" t="str">
        <f t="shared" si="64"/>
        <v/>
      </c>
      <c r="FH89" s="138" t="str">
        <f t="shared" si="74"/>
        <v/>
      </c>
      <c r="FI89" s="106" t="str">
        <f t="shared" si="65"/>
        <v>**</v>
      </c>
      <c r="FJ89" s="138">
        <f t="shared" si="75"/>
        <v>-12.585026652029182</v>
      </c>
      <c r="FK89" s="138" t="str">
        <f t="shared" si="76"/>
        <v>**</v>
      </c>
    </row>
    <row r="90" spans="1:167" ht="12.75" hidden="1" customHeight="1" x14ac:dyDescent="0.2">
      <c r="A90">
        <v>44</v>
      </c>
      <c r="B90" t="s">
        <v>1235</v>
      </c>
      <c r="D90" s="4" t="s">
        <v>802</v>
      </c>
      <c r="E90">
        <v>-1301</v>
      </c>
      <c r="F90" t="str">
        <f>VLOOKUP(E90,CompDbase!B:L,4,FALSE)</f>
        <v>Hexane</v>
      </c>
      <c r="G90" s="95" t="str">
        <f>VLOOKUP(E90,CompDbase!B:M,12,FALSE)</f>
        <v>Alk</v>
      </c>
      <c r="H90" s="95">
        <f>VLOOKUP(E90,CompDbase!B:L,8,FALSE)</f>
        <v>86.18</v>
      </c>
      <c r="I90" s="95" t="e">
        <f>VLOOKUP(E90,CompDbase!B:L,11,FALSE)</f>
        <v>#DIV/0!</v>
      </c>
      <c r="J90" s="95">
        <f>VLOOKUP(E90,CompDbase!B:L,9,FALSE)</f>
        <v>23</v>
      </c>
      <c r="K90" s="95">
        <f>VLOOKUP(E90,CompDbase!B:L,10,FALSE)</f>
        <v>3.8879999999999999</v>
      </c>
      <c r="L90" s="4" t="s">
        <v>769</v>
      </c>
      <c r="M90" s="423"/>
      <c r="N90" s="423"/>
      <c r="O90" s="4"/>
      <c r="P90">
        <v>296</v>
      </c>
      <c r="Q90" s="4" t="s">
        <v>1049</v>
      </c>
      <c r="T90" s="95"/>
      <c r="Y90">
        <v>1.05E-12</v>
      </c>
      <c r="Z90" s="95">
        <f t="shared" si="62"/>
        <v>-11.978810700930062</v>
      </c>
      <c r="DG90">
        <f t="shared" si="66"/>
        <v>-11.978810700930062</v>
      </c>
      <c r="DH90">
        <f t="shared" si="63"/>
        <v>86.18</v>
      </c>
      <c r="EY90" s="479">
        <f>VLOOKUP(B90,Literatuur!$A:$B,2,FALSE)</f>
        <v>21</v>
      </c>
      <c r="EZ90" t="str">
        <f t="shared" si="67"/>
        <v>n-hexane</v>
      </c>
      <c r="FA90" t="str">
        <f t="shared" si="68"/>
        <v>Alk</v>
      </c>
      <c r="FB90" t="str">
        <f t="shared" si="69"/>
        <v>LDPE</v>
      </c>
      <c r="FC90" t="str">
        <f t="shared" si="70"/>
        <v/>
      </c>
      <c r="FD90">
        <f t="shared" si="71"/>
        <v>296</v>
      </c>
      <c r="FE90" t="str">
        <f t="shared" si="72"/>
        <v>water</v>
      </c>
      <c r="FF90" t="str">
        <f t="shared" si="73"/>
        <v xml:space="preserve"> </v>
      </c>
      <c r="FG90" s="408" t="str">
        <f t="shared" si="64"/>
        <v/>
      </c>
      <c r="FH90" s="138" t="str">
        <f t="shared" si="74"/>
        <v/>
      </c>
      <c r="FI90" s="106" t="str">
        <f t="shared" si="65"/>
        <v>**</v>
      </c>
      <c r="FJ90" s="138">
        <f t="shared" si="75"/>
        <v>-11.978810700930062</v>
      </c>
      <c r="FK90" s="138" t="str">
        <f t="shared" si="76"/>
        <v>**</v>
      </c>
    </row>
    <row r="91" spans="1:167" ht="12.75" hidden="1" customHeight="1" x14ac:dyDescent="0.2">
      <c r="A91">
        <v>45</v>
      </c>
      <c r="B91" t="s">
        <v>1235</v>
      </c>
      <c r="D91" s="4" t="s">
        <v>802</v>
      </c>
      <c r="E91">
        <v>-1301</v>
      </c>
      <c r="F91" t="str">
        <f>VLOOKUP(E91,CompDbase!B:L,4,FALSE)</f>
        <v>Hexane</v>
      </c>
      <c r="G91" s="95" t="str">
        <f>VLOOKUP(E91,CompDbase!B:M,12,FALSE)</f>
        <v>Alk</v>
      </c>
      <c r="H91" s="95">
        <f>VLOOKUP(E91,CompDbase!B:L,8,FALSE)</f>
        <v>86.18</v>
      </c>
      <c r="I91" s="95" t="e">
        <f>VLOOKUP(E91,CompDbase!B:L,11,FALSE)</f>
        <v>#DIV/0!</v>
      </c>
      <c r="J91" s="95">
        <f>VLOOKUP(E91,CompDbase!B:L,9,FALSE)</f>
        <v>23</v>
      </c>
      <c r="K91" s="95">
        <f>VLOOKUP(E91,CompDbase!B:L,10,FALSE)</f>
        <v>3.8879999999999999</v>
      </c>
      <c r="L91" s="4" t="s">
        <v>769</v>
      </c>
      <c r="M91" s="423"/>
      <c r="N91" s="423"/>
      <c r="O91" s="4"/>
      <c r="P91">
        <v>296</v>
      </c>
      <c r="Q91" s="4" t="s">
        <v>1049</v>
      </c>
      <c r="T91" s="95"/>
      <c r="Y91">
        <v>8.4000000000000016E-13</v>
      </c>
      <c r="Z91" s="95">
        <f t="shared" si="62"/>
        <v>-12.075720713938118</v>
      </c>
      <c r="AC91" t="s">
        <v>68</v>
      </c>
      <c r="DG91">
        <f t="shared" si="66"/>
        <v>-12.075720713938118</v>
      </c>
      <c r="DH91">
        <f t="shared" si="63"/>
        <v>86.18</v>
      </c>
      <c r="EY91" s="479">
        <f>VLOOKUP(B91,Literatuur!$A:$B,2,FALSE)</f>
        <v>21</v>
      </c>
      <c r="EZ91" t="str">
        <f t="shared" si="67"/>
        <v>n-hexane</v>
      </c>
      <c r="FA91" t="str">
        <f t="shared" si="68"/>
        <v>Alk</v>
      </c>
      <c r="FB91" t="str">
        <f t="shared" si="69"/>
        <v>LDPE</v>
      </c>
      <c r="FC91" t="str">
        <f t="shared" si="70"/>
        <v/>
      </c>
      <c r="FD91">
        <f t="shared" si="71"/>
        <v>296</v>
      </c>
      <c r="FE91" t="str">
        <f t="shared" si="72"/>
        <v>water</v>
      </c>
      <c r="FF91" t="str">
        <f t="shared" si="73"/>
        <v xml:space="preserve"> </v>
      </c>
      <c r="FG91" s="408" t="str">
        <f t="shared" si="64"/>
        <v/>
      </c>
      <c r="FH91" s="138" t="str">
        <f t="shared" si="74"/>
        <v/>
      </c>
      <c r="FI91" s="106" t="str">
        <f t="shared" si="65"/>
        <v>**</v>
      </c>
      <c r="FJ91" s="138">
        <f t="shared" si="75"/>
        <v>-12.075720713938118</v>
      </c>
      <c r="FK91" s="138" t="str">
        <f t="shared" si="76"/>
        <v>**</v>
      </c>
    </row>
    <row r="92" spans="1:167" s="13" customFormat="1" ht="12.75" hidden="1" customHeight="1" x14ac:dyDescent="0.2">
      <c r="A92">
        <v>46</v>
      </c>
      <c r="B92" s="13" t="s">
        <v>1235</v>
      </c>
      <c r="D92" s="14" t="s">
        <v>450</v>
      </c>
      <c r="E92" s="13">
        <v>-1510</v>
      </c>
      <c r="F92" s="13" t="str">
        <f>VLOOKUP(E92,CompDbase!B:L,4,FALSE)</f>
        <v>n-Pentane</v>
      </c>
      <c r="G92" s="182" t="str">
        <f>VLOOKUP(E92,CompDbase!B:M,12,FALSE)</f>
        <v>Alk</v>
      </c>
      <c r="H92" s="182">
        <f>VLOOKUP(E92,CompDbase!B:L,8,FALSE)</f>
        <v>72.150000000000006</v>
      </c>
      <c r="I92" s="182" t="e">
        <f>VLOOKUP(E92,CompDbase!B:L,11,FALSE)</f>
        <v>#DIV/0!</v>
      </c>
      <c r="J92" s="182">
        <f>VLOOKUP(E92,CompDbase!B:L,9,FALSE)</f>
        <v>40</v>
      </c>
      <c r="K92" s="182">
        <f>VLOOKUP(E92,CompDbase!B:L,10,FALSE)</f>
        <v>3.39</v>
      </c>
      <c r="L92" s="14" t="s">
        <v>769</v>
      </c>
      <c r="M92" s="424"/>
      <c r="N92" s="424"/>
      <c r="O92" s="14"/>
      <c r="P92" s="13">
        <v>296</v>
      </c>
      <c r="Q92" s="14" t="s">
        <v>1049</v>
      </c>
      <c r="R92" s="405"/>
      <c r="T92" s="182"/>
      <c r="Y92" s="13">
        <v>8.050000000000001E-13</v>
      </c>
      <c r="Z92" s="182">
        <f t="shared" si="62"/>
        <v>-12.094204119632131</v>
      </c>
      <c r="AC92" s="13" t="s">
        <v>68</v>
      </c>
      <c r="DF92"/>
      <c r="DG92">
        <f t="shared" si="66"/>
        <v>-12.094204119632131</v>
      </c>
      <c r="DH92">
        <f t="shared" si="63"/>
        <v>72.150000000000006</v>
      </c>
      <c r="DP92"/>
      <c r="EY92" s="479">
        <f>VLOOKUP(B92,Literatuur!$A:$B,2,FALSE)</f>
        <v>21</v>
      </c>
      <c r="EZ92" t="str">
        <f t="shared" si="67"/>
        <v>n-Pentane</v>
      </c>
      <c r="FA92" t="str">
        <f t="shared" si="68"/>
        <v>Alk</v>
      </c>
      <c r="FB92" t="str">
        <f t="shared" si="69"/>
        <v>LDPE</v>
      </c>
      <c r="FC92" t="str">
        <f t="shared" si="70"/>
        <v/>
      </c>
      <c r="FD92">
        <f t="shared" si="71"/>
        <v>296</v>
      </c>
      <c r="FE92" t="str">
        <f t="shared" si="72"/>
        <v>water</v>
      </c>
      <c r="FF92" t="str">
        <f t="shared" si="73"/>
        <v xml:space="preserve"> </v>
      </c>
      <c r="FG92" s="408" t="str">
        <f t="shared" si="64"/>
        <v/>
      </c>
      <c r="FH92" s="138" t="str">
        <f t="shared" si="74"/>
        <v/>
      </c>
      <c r="FI92" s="106" t="str">
        <f t="shared" si="65"/>
        <v>**</v>
      </c>
      <c r="FJ92" s="138">
        <f t="shared" si="75"/>
        <v>-12.094204119632131</v>
      </c>
      <c r="FK92" s="138" t="str">
        <f t="shared" si="76"/>
        <v>**</v>
      </c>
    </row>
    <row r="93" spans="1:167" s="9" customFormat="1" ht="12.75" hidden="1" customHeight="1" x14ac:dyDescent="0.2">
      <c r="A93">
        <v>47</v>
      </c>
      <c r="B93" s="9" t="s">
        <v>1235</v>
      </c>
      <c r="D93" s="10" t="s">
        <v>822</v>
      </c>
      <c r="E93" s="9">
        <v>-1678</v>
      </c>
      <c r="F93" s="9" t="str">
        <f>VLOOKUP(E93,CompDbase!B:L,4,FALSE)</f>
        <v>n-Tetradecane</v>
      </c>
      <c r="G93" s="181" t="str">
        <f>VLOOKUP(E93,CompDbase!B:M,12,FALSE)</f>
        <v>Alk</v>
      </c>
      <c r="H93" s="181">
        <f>VLOOKUP(E93,CompDbase!B:L,8,FALSE)</f>
        <v>198</v>
      </c>
      <c r="I93" s="181" t="e">
        <f>VLOOKUP(E93,CompDbase!B:L,11,FALSE)</f>
        <v>#DIV/0!</v>
      </c>
      <c r="J93" s="181" t="e">
        <f>VLOOKUP(E93,CompDbase!B:L,9,FALSE)</f>
        <v>#DIV/0!</v>
      </c>
      <c r="K93" s="181" t="e">
        <f>VLOOKUP(E93,CompDbase!B:L,10,FALSE)</f>
        <v>#DIV/0!</v>
      </c>
      <c r="L93" s="10" t="s">
        <v>769</v>
      </c>
      <c r="M93" s="425"/>
      <c r="N93" s="425"/>
      <c r="O93" s="10"/>
      <c r="P93" s="9">
        <v>296</v>
      </c>
      <c r="Q93" s="10" t="s">
        <v>1049</v>
      </c>
      <c r="R93" s="393"/>
      <c r="T93" s="181"/>
      <c r="Y93" s="9">
        <v>1.9000000000000002E-13</v>
      </c>
      <c r="Z93" s="181">
        <f t="shared" si="62"/>
        <v>-12.721246399047171</v>
      </c>
      <c r="AC93" s="9" t="s">
        <v>68</v>
      </c>
      <c r="DF93"/>
      <c r="DG93">
        <f t="shared" si="66"/>
        <v>-12.721246399047171</v>
      </c>
      <c r="DH93">
        <f t="shared" si="63"/>
        <v>198</v>
      </c>
      <c r="DP93"/>
      <c r="EY93" s="479">
        <f>VLOOKUP(B93,Literatuur!$A:$B,2,FALSE)</f>
        <v>21</v>
      </c>
      <c r="EZ93" t="str">
        <f t="shared" si="67"/>
        <v>n-Tetradecane</v>
      </c>
      <c r="FA93" t="str">
        <f t="shared" si="68"/>
        <v>Alk</v>
      </c>
      <c r="FB93" t="str">
        <f t="shared" si="69"/>
        <v>LDPE</v>
      </c>
      <c r="FC93" t="str">
        <f t="shared" si="70"/>
        <v/>
      </c>
      <c r="FD93">
        <f t="shared" si="71"/>
        <v>296</v>
      </c>
      <c r="FE93" t="str">
        <f t="shared" si="72"/>
        <v>water</v>
      </c>
      <c r="FF93" t="str">
        <f t="shared" si="73"/>
        <v xml:space="preserve"> </v>
      </c>
      <c r="FG93" s="408" t="str">
        <f t="shared" si="64"/>
        <v/>
      </c>
      <c r="FH93" s="138" t="str">
        <f t="shared" si="74"/>
        <v/>
      </c>
      <c r="FI93" s="106" t="str">
        <f t="shared" si="65"/>
        <v>**</v>
      </c>
      <c r="FJ93" s="138">
        <f t="shared" si="75"/>
        <v>-12.721246399047171</v>
      </c>
      <c r="FK93" s="138" t="str">
        <f t="shared" si="76"/>
        <v>**</v>
      </c>
    </row>
    <row r="94" spans="1:167" ht="12.75" hidden="1" customHeight="1" x14ac:dyDescent="0.2">
      <c r="A94">
        <v>48</v>
      </c>
      <c r="B94" t="s">
        <v>1235</v>
      </c>
      <c r="D94" s="4" t="s">
        <v>799</v>
      </c>
      <c r="E94">
        <v>-1504</v>
      </c>
      <c r="F94" t="str">
        <f>VLOOKUP(E94,CompDbase!B:L,4,FALSE)</f>
        <v>Propane</v>
      </c>
      <c r="G94" s="95" t="str">
        <f>VLOOKUP(E94,CompDbase!B:M,12,FALSE)</f>
        <v>Alk</v>
      </c>
      <c r="H94" s="95">
        <f>VLOOKUP(E94,CompDbase!B:L,8,FALSE)</f>
        <v>44.1</v>
      </c>
      <c r="I94" s="95" t="e">
        <f>VLOOKUP(E94,CompDbase!B:L,11,FALSE)</f>
        <v>#DIV/0!</v>
      </c>
      <c r="J94" s="95">
        <f>VLOOKUP(E94,CompDbase!B:L,9,FALSE)</f>
        <v>75</v>
      </c>
      <c r="K94" s="95">
        <f>VLOOKUP(E94,CompDbase!B:L,10,FALSE)</f>
        <v>2.36</v>
      </c>
      <c r="L94" s="4" t="s">
        <v>769</v>
      </c>
      <c r="M94" s="423"/>
      <c r="N94" s="423"/>
      <c r="O94" s="4"/>
      <c r="P94">
        <v>296</v>
      </c>
      <c r="Q94" s="4" t="s">
        <v>1049</v>
      </c>
      <c r="T94" s="95"/>
      <c r="Y94">
        <v>5.2000000000000005E-12</v>
      </c>
      <c r="Z94" s="95">
        <f t="shared" si="62"/>
        <v>-11.283996656365201</v>
      </c>
      <c r="AC94" t="s">
        <v>68</v>
      </c>
      <c r="DG94">
        <f t="shared" si="66"/>
        <v>-11.283996656365201</v>
      </c>
      <c r="DH94">
        <f t="shared" si="63"/>
        <v>44.1</v>
      </c>
      <c r="EY94" s="479">
        <f>VLOOKUP(B94,Literatuur!$A:$B,2,FALSE)</f>
        <v>21</v>
      </c>
      <c r="EZ94" t="str">
        <f t="shared" si="67"/>
        <v>Propane</v>
      </c>
      <c r="FA94" t="str">
        <f t="shared" si="68"/>
        <v>Alk</v>
      </c>
      <c r="FB94" t="str">
        <f t="shared" si="69"/>
        <v>LDPE</v>
      </c>
      <c r="FC94" t="str">
        <f t="shared" si="70"/>
        <v/>
      </c>
      <c r="FD94">
        <f t="shared" si="71"/>
        <v>296</v>
      </c>
      <c r="FE94" t="str">
        <f t="shared" si="72"/>
        <v>water</v>
      </c>
      <c r="FF94" t="str">
        <f t="shared" si="73"/>
        <v xml:space="preserve"> </v>
      </c>
      <c r="FG94" s="408" t="str">
        <f t="shared" si="64"/>
        <v/>
      </c>
      <c r="FH94" s="138" t="str">
        <f t="shared" si="74"/>
        <v/>
      </c>
      <c r="FI94" s="106" t="str">
        <f t="shared" si="65"/>
        <v>**</v>
      </c>
      <c r="FJ94" s="138">
        <f t="shared" si="75"/>
        <v>-11.283996656365201</v>
      </c>
      <c r="FK94" s="138" t="str">
        <f t="shared" si="76"/>
        <v>**</v>
      </c>
    </row>
    <row r="95" spans="1:167" ht="12.75" hidden="1" customHeight="1" x14ac:dyDescent="0.2">
      <c r="A95">
        <v>49</v>
      </c>
      <c r="B95" t="s">
        <v>430</v>
      </c>
      <c r="D95" t="s">
        <v>281</v>
      </c>
      <c r="E95">
        <v>-1305</v>
      </c>
      <c r="F95" t="str">
        <f>VLOOKUP(E95,CompDbase!B:L,4,FALSE)</f>
        <v>2,2,4-Trimethylpentane</v>
      </c>
      <c r="G95" s="95" t="str">
        <f>VLOOKUP(E95,CompDbase!B:M,12,FALSE)</f>
        <v>Alk</v>
      </c>
      <c r="H95" s="95">
        <f>VLOOKUP(E95,CompDbase!B:L,8,FALSE)</f>
        <v>112.21</v>
      </c>
      <c r="I95" s="95" t="e">
        <f>VLOOKUP(E95,CompDbase!B:L,11,FALSE)</f>
        <v>#DIV/0!</v>
      </c>
      <c r="J95" s="95">
        <f>VLOOKUP(E95,CompDbase!B:L,9,FALSE)</f>
        <v>14.2</v>
      </c>
      <c r="K95" s="95">
        <f>VLOOKUP(E95,CompDbase!B:L,10,FALSE)</f>
        <v>4.37</v>
      </c>
      <c r="L95" s="4" t="s">
        <v>769</v>
      </c>
      <c r="M95" s="423"/>
      <c r="N95" s="416">
        <v>940000</v>
      </c>
      <c r="O95" s="4" t="s">
        <v>1044</v>
      </c>
      <c r="P95">
        <v>293</v>
      </c>
      <c r="Q95" s="4" t="s">
        <v>1049</v>
      </c>
      <c r="R95" s="289" t="s">
        <v>1988</v>
      </c>
      <c r="T95" s="95">
        <v>1</v>
      </c>
      <c r="V95" s="36">
        <v>6.5000000000000002E-2</v>
      </c>
      <c r="W95" s="95">
        <f t="shared" ref="W95:W100" si="78">V95*N95/J95</f>
        <v>4302.8169014084506</v>
      </c>
      <c r="X95" s="288">
        <f t="shared" ref="X95:X100" si="79">LOG(W95)</f>
        <v>3.6337528658594977</v>
      </c>
      <c r="Z95" s="190"/>
      <c r="AC95" t="s">
        <v>68</v>
      </c>
      <c r="AG95" s="138">
        <f>X95</f>
        <v>3.6337528658594977</v>
      </c>
      <c r="AH95">
        <f>$K95</f>
        <v>4.37</v>
      </c>
      <c r="AI95">
        <f t="shared" ref="AI95:AI100" si="80">$K95</f>
        <v>4.37</v>
      </c>
      <c r="AL95">
        <f t="shared" ref="AL95:AO100" si="81">$K95</f>
        <v>4.37</v>
      </c>
      <c r="AO95">
        <f t="shared" si="81"/>
        <v>4.37</v>
      </c>
      <c r="BW95" s="138"/>
      <c r="BX95">
        <f t="shared" ref="BX95:BY100" si="82">LOG(1*$J95)</f>
        <v>1.1522883443830565</v>
      </c>
      <c r="BY95">
        <f t="shared" si="82"/>
        <v>1.1522883443830565</v>
      </c>
      <c r="CB95">
        <f t="shared" ref="CB95:CB100" si="83">LOG(1*$J95)</f>
        <v>1.1522883443830565</v>
      </c>
      <c r="CE95">
        <f t="shared" ref="CE95:CE100" si="84">LOG(1*$J95)</f>
        <v>1.1522883443830565</v>
      </c>
      <c r="DG95" s="138"/>
      <c r="EY95" s="479">
        <f>VLOOKUP(B95,Literatuur!$A:$B,2,FALSE)</f>
        <v>37</v>
      </c>
      <c r="EZ95" t="str">
        <f t="shared" si="67"/>
        <v>2,2,4-Trimethylpentaan</v>
      </c>
      <c r="FA95" t="str">
        <f t="shared" si="68"/>
        <v>Alk</v>
      </c>
      <c r="FB95" t="str">
        <f t="shared" si="69"/>
        <v>LDPE</v>
      </c>
      <c r="FC95" t="str">
        <f t="shared" si="70"/>
        <v>Immersion</v>
      </c>
      <c r="FD95">
        <f t="shared" si="71"/>
        <v>293</v>
      </c>
      <c r="FE95" t="str">
        <f t="shared" si="72"/>
        <v>water</v>
      </c>
      <c r="FF95" t="str">
        <f t="shared" si="73"/>
        <v xml:space="preserve">saturated </v>
      </c>
      <c r="FG95" s="408">
        <f t="shared" si="64"/>
        <v>1</v>
      </c>
      <c r="FH95" s="138">
        <f t="shared" si="74"/>
        <v>3.6337528658594977</v>
      </c>
      <c r="FI95" s="106">
        <f>IF(ISNUMBER(AL95),AL95*AL$19+AL$21,IF(ISNUMBER(AM95),AM95*AM$19+AM$21,IF(ISNUMBER(AN95),AN95*AN$19+AN$21,"**")))</f>
        <v>4.1060103658630798</v>
      </c>
      <c r="FJ95" s="138" t="str">
        <f t="shared" si="75"/>
        <v/>
      </c>
      <c r="FK95" s="138" t="str">
        <f t="shared" si="76"/>
        <v>**</v>
      </c>
    </row>
    <row r="96" spans="1:167" ht="12.75" hidden="1" customHeight="1" x14ac:dyDescent="0.2">
      <c r="A96">
        <v>50</v>
      </c>
      <c r="B96" t="s">
        <v>430</v>
      </c>
      <c r="D96" t="s">
        <v>278</v>
      </c>
      <c r="E96">
        <v>-1302</v>
      </c>
      <c r="F96" t="str">
        <f>VLOOKUP(E96,CompDbase!B:L,4,FALSE)</f>
        <v>Cyclohexane</v>
      </c>
      <c r="G96" s="95" t="str">
        <f>VLOOKUP(E96,CompDbase!B:M,12,FALSE)</f>
        <v>Alk</v>
      </c>
      <c r="H96" s="95">
        <f>VLOOKUP(E96,CompDbase!B:L,8,FALSE)</f>
        <v>84.16</v>
      </c>
      <c r="I96" s="95">
        <f>VLOOKUP(E96,CompDbase!B:L,11,FALSE)</f>
        <v>104.7</v>
      </c>
      <c r="J96" s="95">
        <f>VLOOKUP(E96,CompDbase!B:L,9,FALSE)</f>
        <v>49</v>
      </c>
      <c r="K96" s="95">
        <f>VLOOKUP(E96,CompDbase!B:L,10,FALSE)</f>
        <v>3.48</v>
      </c>
      <c r="L96" s="4" t="s">
        <v>769</v>
      </c>
      <c r="N96" s="416">
        <v>940000</v>
      </c>
      <c r="O96" s="4" t="s">
        <v>1044</v>
      </c>
      <c r="P96">
        <v>293</v>
      </c>
      <c r="Q96" s="4" t="s">
        <v>1049</v>
      </c>
      <c r="R96" s="289" t="s">
        <v>1988</v>
      </c>
      <c r="T96" s="95">
        <v>1</v>
      </c>
      <c r="V96" s="36">
        <v>0.13200000000000001</v>
      </c>
      <c r="W96" s="95">
        <f t="shared" si="78"/>
        <v>2532.2448979591836</v>
      </c>
      <c r="X96" s="288">
        <f t="shared" si="79"/>
        <v>3.403505704777035</v>
      </c>
      <c r="Z96" s="190"/>
      <c r="AC96" t="s">
        <v>68</v>
      </c>
      <c r="AG96" s="138">
        <f t="shared" ref="AG96:AG100" si="85">X96</f>
        <v>3.403505704777035</v>
      </c>
      <c r="AH96">
        <f t="shared" ref="AH96:AH100" si="86">$K96</f>
        <v>3.48</v>
      </c>
      <c r="AI96">
        <f t="shared" si="80"/>
        <v>3.48</v>
      </c>
      <c r="AL96">
        <f t="shared" si="81"/>
        <v>3.48</v>
      </c>
      <c r="AO96">
        <f t="shared" si="81"/>
        <v>3.48</v>
      </c>
      <c r="BW96" s="138"/>
      <c r="BX96">
        <f t="shared" si="82"/>
        <v>1.6901960800285136</v>
      </c>
      <c r="BY96">
        <f t="shared" si="82"/>
        <v>1.6901960800285136</v>
      </c>
      <c r="CB96">
        <f t="shared" si="83"/>
        <v>1.6901960800285136</v>
      </c>
      <c r="CE96">
        <f t="shared" si="84"/>
        <v>1.6901960800285136</v>
      </c>
      <c r="DG96" s="138"/>
      <c r="EY96" s="479">
        <f>VLOOKUP(B96,Literatuur!$A:$B,2,FALSE)</f>
        <v>37</v>
      </c>
      <c r="EZ96" t="str">
        <f t="shared" si="67"/>
        <v>Cyclohexaan</v>
      </c>
      <c r="FA96" t="str">
        <f t="shared" si="68"/>
        <v>Alk</v>
      </c>
      <c r="FB96" t="str">
        <f t="shared" si="69"/>
        <v>LDPE</v>
      </c>
      <c r="FC96" t="str">
        <f t="shared" si="70"/>
        <v>Immersion</v>
      </c>
      <c r="FD96">
        <f t="shared" si="71"/>
        <v>293</v>
      </c>
      <c r="FE96" t="str">
        <f t="shared" si="72"/>
        <v>water</v>
      </c>
      <c r="FF96" t="str">
        <f t="shared" si="73"/>
        <v xml:space="preserve">saturated </v>
      </c>
      <c r="FG96" s="408">
        <f t="shared" si="64"/>
        <v>1</v>
      </c>
      <c r="FH96" s="138">
        <f t="shared" si="74"/>
        <v>3.403505704777035</v>
      </c>
      <c r="FI96" s="106">
        <f t="shared" ref="FI96:FI159" si="87">IF(ISNUMBER(AL96),AL96*AL$19+AL$21,IF(ISNUMBER(AM96),AM96*AM$19+AM$21,IF(ISNUMBER(AN96),AN96*AN$19+AN$21,"**")))</f>
        <v>3.1310991606050167</v>
      </c>
      <c r="FJ96" s="138" t="str">
        <f t="shared" si="75"/>
        <v/>
      </c>
      <c r="FK96" s="138" t="str">
        <f t="shared" si="76"/>
        <v>**</v>
      </c>
    </row>
    <row r="97" spans="1:167" ht="12.75" hidden="1" customHeight="1" x14ac:dyDescent="0.2">
      <c r="A97">
        <v>51</v>
      </c>
      <c r="B97" t="s">
        <v>430</v>
      </c>
      <c r="D97" t="s">
        <v>469</v>
      </c>
      <c r="E97">
        <v>-1303</v>
      </c>
      <c r="F97" t="str">
        <f>VLOOKUP(E97,CompDbase!B:L,4,FALSE)</f>
        <v>n-Heptane</v>
      </c>
      <c r="G97" s="95" t="str">
        <f>VLOOKUP(E97,CompDbase!B:M,12,FALSE)</f>
        <v>Alk</v>
      </c>
      <c r="H97" s="95">
        <f>VLOOKUP(E97,CompDbase!B:L,8,FALSE)</f>
        <v>100.2</v>
      </c>
      <c r="I97" s="95" t="e">
        <f>VLOOKUP(E97,CompDbase!B:L,11,FALSE)</f>
        <v>#DIV/0!</v>
      </c>
      <c r="J97" s="95">
        <f>VLOOKUP(E97,CompDbase!B:L,9,FALSE)</f>
        <v>2.6</v>
      </c>
      <c r="K97" s="95">
        <f>VLOOKUP(E97,CompDbase!B:L,10,FALSE)</f>
        <v>4.58</v>
      </c>
      <c r="L97" s="4" t="s">
        <v>769</v>
      </c>
      <c r="N97" s="416">
        <v>940000</v>
      </c>
      <c r="O97" s="4" t="s">
        <v>1044</v>
      </c>
      <c r="P97">
        <v>293</v>
      </c>
      <c r="Q97" s="4" t="s">
        <v>1049</v>
      </c>
      <c r="R97" s="289" t="s">
        <v>1988</v>
      </c>
      <c r="T97" s="95">
        <v>1</v>
      </c>
      <c r="V97" s="36">
        <v>0.08</v>
      </c>
      <c r="W97" s="95">
        <f t="shared" si="78"/>
        <v>28923.076923076922</v>
      </c>
      <c r="X97" s="288">
        <f t="shared" si="79"/>
        <v>4.4612444926208239</v>
      </c>
      <c r="Z97" s="190"/>
      <c r="AC97" t="s">
        <v>68</v>
      </c>
      <c r="AG97" s="138">
        <f t="shared" si="85"/>
        <v>4.4612444926208239</v>
      </c>
      <c r="AH97">
        <f t="shared" si="86"/>
        <v>4.58</v>
      </c>
      <c r="AI97">
        <f t="shared" si="80"/>
        <v>4.58</v>
      </c>
      <c r="AL97">
        <f t="shared" si="81"/>
        <v>4.58</v>
      </c>
      <c r="AO97">
        <f t="shared" si="81"/>
        <v>4.58</v>
      </c>
      <c r="BW97" s="138"/>
      <c r="BX97">
        <f t="shared" si="82"/>
        <v>0.41497334797081797</v>
      </c>
      <c r="BY97">
        <f t="shared" si="82"/>
        <v>0.41497334797081797</v>
      </c>
      <c r="CB97">
        <f t="shared" si="83"/>
        <v>0.41497334797081797</v>
      </c>
      <c r="CE97">
        <f t="shared" si="84"/>
        <v>0.41497334797081797</v>
      </c>
      <c r="DG97" s="138"/>
      <c r="EY97" s="479">
        <f>VLOOKUP(B97,Literatuur!$A:$B,2,FALSE)</f>
        <v>37</v>
      </c>
      <c r="EZ97" t="str">
        <f t="shared" si="67"/>
        <v>Heptaan (n-heptaan)</v>
      </c>
      <c r="FA97" t="str">
        <f t="shared" si="68"/>
        <v>Alk</v>
      </c>
      <c r="FB97" t="str">
        <f t="shared" si="69"/>
        <v>LDPE</v>
      </c>
      <c r="FC97" t="str">
        <f t="shared" si="70"/>
        <v>Immersion</v>
      </c>
      <c r="FD97">
        <f t="shared" si="71"/>
        <v>293</v>
      </c>
      <c r="FE97" t="str">
        <f t="shared" si="72"/>
        <v>water</v>
      </c>
      <c r="FF97" t="str">
        <f t="shared" si="73"/>
        <v xml:space="preserve">saturated </v>
      </c>
      <c r="FG97" s="408">
        <f t="shared" si="64"/>
        <v>1</v>
      </c>
      <c r="FH97" s="138">
        <f t="shared" si="74"/>
        <v>4.4612444926208239</v>
      </c>
      <c r="FI97" s="106">
        <f t="shared" si="87"/>
        <v>4.336045594070038</v>
      </c>
      <c r="FJ97" s="138" t="str">
        <f t="shared" si="75"/>
        <v/>
      </c>
      <c r="FK97" s="138" t="str">
        <f t="shared" si="76"/>
        <v>**</v>
      </c>
    </row>
    <row r="98" spans="1:167" ht="12.75" hidden="1" customHeight="1" x14ac:dyDescent="0.2">
      <c r="A98">
        <v>52</v>
      </c>
      <c r="B98" t="s">
        <v>430</v>
      </c>
      <c r="D98" t="s">
        <v>277</v>
      </c>
      <c r="E98">
        <v>-1301</v>
      </c>
      <c r="F98" t="str">
        <f>VLOOKUP(E98,CompDbase!B:L,4,FALSE)</f>
        <v>Hexane</v>
      </c>
      <c r="G98" s="95" t="str">
        <f>VLOOKUP(E98,CompDbase!B:M,12,FALSE)</f>
        <v>Alk</v>
      </c>
      <c r="H98" s="95">
        <f>VLOOKUP(E98,CompDbase!B:L,8,FALSE)</f>
        <v>86.18</v>
      </c>
      <c r="I98" s="95" t="e">
        <f>VLOOKUP(E98,CompDbase!B:L,11,FALSE)</f>
        <v>#DIV/0!</v>
      </c>
      <c r="J98" s="95">
        <f>VLOOKUP(E98,CompDbase!B:L,9,FALSE)</f>
        <v>23</v>
      </c>
      <c r="K98" s="95">
        <f>VLOOKUP(E98,CompDbase!B:L,10,FALSE)</f>
        <v>3.8879999999999999</v>
      </c>
      <c r="L98" s="4" t="s">
        <v>769</v>
      </c>
      <c r="N98" s="416">
        <v>940000</v>
      </c>
      <c r="O98" s="4" t="s">
        <v>1044</v>
      </c>
      <c r="P98">
        <v>293</v>
      </c>
      <c r="Q98" s="4" t="s">
        <v>1049</v>
      </c>
      <c r="R98" s="289" t="s">
        <v>1988</v>
      </c>
      <c r="T98" s="95">
        <v>1</v>
      </c>
      <c r="V98" s="36">
        <v>8.2000000000000003E-2</v>
      </c>
      <c r="W98" s="95">
        <f t="shared" si="78"/>
        <v>3351.304347826087</v>
      </c>
      <c r="X98" s="288">
        <f t="shared" si="79"/>
        <v>3.5252138699658224</v>
      </c>
      <c r="Z98" s="190"/>
      <c r="AC98" t="s">
        <v>68</v>
      </c>
      <c r="AG98" s="138">
        <f t="shared" si="85"/>
        <v>3.5252138699658224</v>
      </c>
      <c r="AH98">
        <f t="shared" si="86"/>
        <v>3.8879999999999999</v>
      </c>
      <c r="AI98">
        <f t="shared" si="80"/>
        <v>3.8879999999999999</v>
      </c>
      <c r="AL98">
        <f t="shared" si="81"/>
        <v>3.8879999999999999</v>
      </c>
      <c r="AO98">
        <f t="shared" si="81"/>
        <v>3.8879999999999999</v>
      </c>
      <c r="BW98" s="138"/>
      <c r="BX98">
        <f t="shared" si="82"/>
        <v>1.3617278360175928</v>
      </c>
      <c r="BY98">
        <f t="shared" si="82"/>
        <v>1.3617278360175928</v>
      </c>
      <c r="CB98">
        <f t="shared" si="83"/>
        <v>1.3617278360175928</v>
      </c>
      <c r="CE98">
        <f t="shared" si="84"/>
        <v>1.3617278360175928</v>
      </c>
      <c r="DG98" s="138"/>
      <c r="EY98" s="479">
        <f>VLOOKUP(B98,Literatuur!$A:$B,2,FALSE)</f>
        <v>37</v>
      </c>
      <c r="EZ98" t="str">
        <f t="shared" si="67"/>
        <v>Hexaan</v>
      </c>
      <c r="FA98" t="str">
        <f t="shared" si="68"/>
        <v>Alk</v>
      </c>
      <c r="FB98" t="str">
        <f t="shared" si="69"/>
        <v>LDPE</v>
      </c>
      <c r="FC98" t="str">
        <f t="shared" si="70"/>
        <v>Immersion</v>
      </c>
      <c r="FD98">
        <f t="shared" si="71"/>
        <v>293</v>
      </c>
      <c r="FE98" t="str">
        <f t="shared" si="72"/>
        <v>water</v>
      </c>
      <c r="FF98" t="str">
        <f t="shared" si="73"/>
        <v xml:space="preserve">saturated </v>
      </c>
      <c r="FG98" s="408">
        <f t="shared" si="64"/>
        <v>1</v>
      </c>
      <c r="FH98" s="138">
        <f t="shared" si="74"/>
        <v>3.5252138699658224</v>
      </c>
      <c r="FI98" s="106">
        <f t="shared" si="87"/>
        <v>3.5780247468356787</v>
      </c>
      <c r="FJ98" s="138" t="str">
        <f t="shared" si="75"/>
        <v/>
      </c>
      <c r="FK98" s="138" t="str">
        <f t="shared" si="76"/>
        <v>**</v>
      </c>
    </row>
    <row r="99" spans="1:167" ht="12.75" hidden="1" customHeight="1" x14ac:dyDescent="0.2">
      <c r="A99">
        <v>53</v>
      </c>
      <c r="B99" t="s">
        <v>430</v>
      </c>
      <c r="D99" t="s">
        <v>275</v>
      </c>
      <c r="E99">
        <v>-1300</v>
      </c>
      <c r="F99" t="str">
        <f>VLOOKUP(E99,CompDbase!B:L,4,FALSE)</f>
        <v>Pentane</v>
      </c>
      <c r="G99" s="95" t="str">
        <f>VLOOKUP(E99,CompDbase!B:M,12,FALSE)</f>
        <v>Alk</v>
      </c>
      <c r="H99" s="95">
        <f>VLOOKUP(E99,CompDbase!B:L,8,FALSE)</f>
        <v>72.150000000000006</v>
      </c>
      <c r="I99" s="95" t="e">
        <f>VLOOKUP(E99,CompDbase!B:L,11,FALSE)</f>
        <v>#DIV/0!</v>
      </c>
      <c r="J99" s="95">
        <f>VLOOKUP(E99,CompDbase!B:L,9,FALSE)</f>
        <v>39.25</v>
      </c>
      <c r="K99" s="95">
        <f>VLOOKUP(E99,CompDbase!B:L,10,FALSE)</f>
        <v>3.42</v>
      </c>
      <c r="L99" s="4" t="s">
        <v>769</v>
      </c>
      <c r="N99" s="416">
        <v>940000</v>
      </c>
      <c r="O99" s="4" t="s">
        <v>1044</v>
      </c>
      <c r="P99">
        <v>293</v>
      </c>
      <c r="Q99" s="4" t="s">
        <v>1049</v>
      </c>
      <c r="R99" s="289" t="s">
        <v>1988</v>
      </c>
      <c r="T99" s="95">
        <v>1</v>
      </c>
      <c r="V99" s="36">
        <v>0.08</v>
      </c>
      <c r="W99" s="95">
        <f t="shared" si="78"/>
        <v>1915.9235668789809</v>
      </c>
      <c r="X99" s="288">
        <f t="shared" si="79"/>
        <v>3.282378179510371</v>
      </c>
      <c r="Z99" s="190"/>
      <c r="AC99" t="s">
        <v>68</v>
      </c>
      <c r="AG99" s="138">
        <f t="shared" si="85"/>
        <v>3.282378179510371</v>
      </c>
      <c r="AH99">
        <f t="shared" si="86"/>
        <v>3.42</v>
      </c>
      <c r="AI99">
        <f t="shared" si="80"/>
        <v>3.42</v>
      </c>
      <c r="AL99">
        <f t="shared" si="81"/>
        <v>3.42</v>
      </c>
      <c r="AO99">
        <f t="shared" si="81"/>
        <v>3.42</v>
      </c>
      <c r="BW99" s="138"/>
      <c r="BX99">
        <f t="shared" si="82"/>
        <v>1.5938396610812713</v>
      </c>
      <c r="BY99">
        <f t="shared" si="82"/>
        <v>1.5938396610812713</v>
      </c>
      <c r="CB99">
        <f t="shared" si="83"/>
        <v>1.5938396610812713</v>
      </c>
      <c r="CE99">
        <f t="shared" si="84"/>
        <v>1.5938396610812713</v>
      </c>
      <c r="DG99" s="138"/>
      <c r="EY99" s="479">
        <f>VLOOKUP(B99,Literatuur!$A:$B,2,FALSE)</f>
        <v>37</v>
      </c>
      <c r="EZ99" t="str">
        <f t="shared" si="67"/>
        <v>n-Pentaan</v>
      </c>
      <c r="FA99" t="str">
        <f t="shared" si="68"/>
        <v>Alk</v>
      </c>
      <c r="FB99" t="str">
        <f t="shared" si="69"/>
        <v>LDPE</v>
      </c>
      <c r="FC99" t="str">
        <f t="shared" si="70"/>
        <v>Immersion</v>
      </c>
      <c r="FD99">
        <f t="shared" si="71"/>
        <v>293</v>
      </c>
      <c r="FE99" t="str">
        <f t="shared" si="72"/>
        <v>water</v>
      </c>
      <c r="FF99" t="str">
        <f t="shared" si="73"/>
        <v xml:space="preserve">saturated </v>
      </c>
      <c r="FG99" s="408">
        <f t="shared" si="64"/>
        <v>1</v>
      </c>
      <c r="FH99" s="138">
        <f t="shared" si="74"/>
        <v>3.282378179510371</v>
      </c>
      <c r="FI99" s="106">
        <f t="shared" si="87"/>
        <v>3.0653748096887425</v>
      </c>
      <c r="FJ99" s="138" t="str">
        <f t="shared" si="75"/>
        <v/>
      </c>
      <c r="FK99" s="138" t="str">
        <f t="shared" si="76"/>
        <v>**</v>
      </c>
    </row>
    <row r="100" spans="1:167" ht="12.75" hidden="1" customHeight="1" x14ac:dyDescent="0.2">
      <c r="A100">
        <v>54</v>
      </c>
      <c r="B100" t="s">
        <v>430</v>
      </c>
      <c r="D100" t="s">
        <v>31</v>
      </c>
      <c r="E100">
        <v>-1304</v>
      </c>
      <c r="F100" t="str">
        <f>VLOOKUP(E100,CompDbase!B:L,4,FALSE)</f>
        <v>Octane</v>
      </c>
      <c r="G100" s="95" t="str">
        <f>VLOOKUP(E100,CompDbase!B:M,12,FALSE)</f>
        <v>Alk</v>
      </c>
      <c r="H100" s="95">
        <f>VLOOKUP(E100,CompDbase!B:L,8,FALSE)</f>
        <v>114.23</v>
      </c>
      <c r="I100" s="95" t="e">
        <f>VLOOKUP(E100,CompDbase!B:L,11,FALSE)</f>
        <v>#DIV/0!</v>
      </c>
      <c r="J100" s="95">
        <f>VLOOKUP(E100,CompDbase!B:L,9,FALSE)</f>
        <v>0.7</v>
      </c>
      <c r="K100" s="95">
        <f>VLOOKUP(E100,CompDbase!B:L,10,FALSE)</f>
        <v>5.15</v>
      </c>
      <c r="L100" s="4" t="s">
        <v>769</v>
      </c>
      <c r="N100" s="416">
        <v>940000</v>
      </c>
      <c r="O100" s="4" t="s">
        <v>1044</v>
      </c>
      <c r="P100">
        <v>293</v>
      </c>
      <c r="Q100" s="4" t="s">
        <v>1049</v>
      </c>
      <c r="R100" s="289" t="s">
        <v>1988</v>
      </c>
      <c r="T100" s="95">
        <v>1</v>
      </c>
      <c r="V100" s="36">
        <v>7.9000000000000001E-2</v>
      </c>
      <c r="W100" s="95">
        <f t="shared" si="78"/>
        <v>106085.71428571429</v>
      </c>
      <c r="X100" s="288">
        <f t="shared" si="79"/>
        <v>5.0256569048758832</v>
      </c>
      <c r="Z100" s="190"/>
      <c r="AC100" t="s">
        <v>68</v>
      </c>
      <c r="AG100" s="138">
        <f t="shared" si="85"/>
        <v>5.0256569048758832</v>
      </c>
      <c r="AH100">
        <f t="shared" si="86"/>
        <v>5.15</v>
      </c>
      <c r="AI100">
        <f t="shared" si="80"/>
        <v>5.15</v>
      </c>
      <c r="AL100">
        <f t="shared" si="81"/>
        <v>5.15</v>
      </c>
      <c r="AO100">
        <f t="shared" si="81"/>
        <v>5.15</v>
      </c>
      <c r="BW100" s="138"/>
      <c r="BX100">
        <f t="shared" si="82"/>
        <v>-0.15490195998574319</v>
      </c>
      <c r="BY100">
        <f t="shared" si="82"/>
        <v>-0.15490195998574319</v>
      </c>
      <c r="CB100">
        <f t="shared" si="83"/>
        <v>-0.15490195998574319</v>
      </c>
      <c r="CE100">
        <f t="shared" si="84"/>
        <v>-0.15490195998574319</v>
      </c>
      <c r="DG100" s="138"/>
      <c r="EY100" s="479">
        <f>VLOOKUP(B100,Literatuur!$A:$B,2,FALSE)</f>
        <v>37</v>
      </c>
      <c r="EZ100" t="str">
        <f t="shared" si="67"/>
        <v>Octaan</v>
      </c>
      <c r="FA100" t="str">
        <f t="shared" si="68"/>
        <v>Alk</v>
      </c>
      <c r="FB100" t="str">
        <f t="shared" si="69"/>
        <v>LDPE</v>
      </c>
      <c r="FC100" t="str">
        <f t="shared" si="70"/>
        <v>Immersion</v>
      </c>
      <c r="FD100">
        <f t="shared" si="71"/>
        <v>293</v>
      </c>
      <c r="FE100" t="str">
        <f t="shared" si="72"/>
        <v>water</v>
      </c>
      <c r="FF100" t="str">
        <f t="shared" si="73"/>
        <v xml:space="preserve">saturated </v>
      </c>
      <c r="FG100" s="408">
        <f t="shared" si="64"/>
        <v>1</v>
      </c>
      <c r="FH100" s="138">
        <f t="shared" si="74"/>
        <v>5.0256569048758832</v>
      </c>
      <c r="FI100" s="106">
        <f t="shared" si="87"/>
        <v>4.9604269277746411</v>
      </c>
      <c r="FJ100" s="138" t="str">
        <f t="shared" si="75"/>
        <v/>
      </c>
      <c r="FK100" s="138" t="str">
        <f t="shared" si="76"/>
        <v>**</v>
      </c>
    </row>
    <row r="101" spans="1:167" s="9" customFormat="1" ht="12.75" hidden="1" customHeight="1" x14ac:dyDescent="0.2">
      <c r="A101">
        <v>55</v>
      </c>
      <c r="B101" s="9" t="s">
        <v>1645</v>
      </c>
      <c r="C101" s="10" t="s">
        <v>1557</v>
      </c>
      <c r="D101" s="9" t="s">
        <v>1024</v>
      </c>
      <c r="E101" s="9">
        <v>-1746</v>
      </c>
      <c r="F101" s="9" t="str">
        <f>VLOOKUP(E101,CompDbase!B:L,4,FALSE)</f>
        <v>BDE-1</v>
      </c>
      <c r="G101" s="181" t="str">
        <f>VLOOKUP(E101,CompDbase!B:M,12,FALSE)</f>
        <v>BDE</v>
      </c>
      <c r="H101" s="181">
        <f>VLOOKUP(E101,CompDbase!B:L,8,FALSE)</f>
        <v>249.1</v>
      </c>
      <c r="I101" s="181">
        <f>VLOOKUP(E101,CompDbase!B:L,11,FALSE)</f>
        <v>174.7</v>
      </c>
      <c r="J101" s="181">
        <f>VLOOKUP(E101,CompDbase!B:L,9,FALSE)</f>
        <v>2.4910000000000001</v>
      </c>
      <c r="K101" s="181">
        <f>VLOOKUP(E101,CompDbase!B:L,10,FALSE)</f>
        <v>4.5999999999999996</v>
      </c>
      <c r="L101" s="10" t="s">
        <v>769</v>
      </c>
      <c r="M101" s="422"/>
      <c r="N101" s="422"/>
      <c r="P101" s="10" t="s">
        <v>1987</v>
      </c>
      <c r="Q101" s="10" t="s">
        <v>1049</v>
      </c>
      <c r="R101" s="393"/>
      <c r="S101" s="10"/>
      <c r="W101" s="207">
        <f t="shared" ref="W101:W115" si="88">10^X101</f>
        <v>7943.2823472428154</v>
      </c>
      <c r="X101" s="9">
        <v>3.9</v>
      </c>
      <c r="Z101" s="189"/>
      <c r="AC101" s="9" t="s">
        <v>68</v>
      </c>
      <c r="AG101" s="138">
        <f t="shared" ref="AG101:AG115" si="89">X101</f>
        <v>3.9</v>
      </c>
      <c r="AH101">
        <f t="shared" ref="AH101:AH115" si="90">$K101</f>
        <v>4.5999999999999996</v>
      </c>
      <c r="BW101" s="138"/>
      <c r="BX101">
        <f t="shared" ref="BX101:BX115" si="91">LOG(1*$J101)</f>
        <v>0.39637372753650651</v>
      </c>
      <c r="DF101"/>
      <c r="DG101" s="138"/>
      <c r="DH101"/>
      <c r="DP101"/>
      <c r="EY101" s="479">
        <f>VLOOKUP(B101,Literatuur!$A:$B,2,FALSE)</f>
        <v>5</v>
      </c>
      <c r="EZ101" t="str">
        <f t="shared" si="67"/>
        <v>BDE-1</v>
      </c>
      <c r="FA101" t="str">
        <f t="shared" si="68"/>
        <v>BDE</v>
      </c>
      <c r="FB101" t="str">
        <f t="shared" si="69"/>
        <v>LDPE</v>
      </c>
      <c r="FC101" t="str">
        <f t="shared" si="70"/>
        <v/>
      </c>
      <c r="FD101" t="str">
        <f t="shared" si="71"/>
        <v>room ??</v>
      </c>
      <c r="FE101" t="str">
        <f t="shared" si="72"/>
        <v>water</v>
      </c>
      <c r="FF101" t="str">
        <f t="shared" si="73"/>
        <v xml:space="preserve"> </v>
      </c>
      <c r="FG101" s="408" t="str">
        <f t="shared" si="64"/>
        <v/>
      </c>
      <c r="FH101" s="138">
        <f t="shared" si="74"/>
        <v>3.9</v>
      </c>
      <c r="FI101" s="106" t="str">
        <f t="shared" si="87"/>
        <v>**</v>
      </c>
      <c r="FJ101" s="138" t="str">
        <f t="shared" si="75"/>
        <v/>
      </c>
      <c r="FK101" s="138" t="str">
        <f t="shared" si="76"/>
        <v>**</v>
      </c>
    </row>
    <row r="102" spans="1:167" ht="12.75" hidden="1" customHeight="1" x14ac:dyDescent="0.2">
      <c r="A102">
        <v>56</v>
      </c>
      <c r="B102" t="s">
        <v>1645</v>
      </c>
      <c r="C102" s="4" t="s">
        <v>1557</v>
      </c>
      <c r="D102" t="s">
        <v>1034</v>
      </c>
      <c r="E102">
        <v>-1756</v>
      </c>
      <c r="F102" t="str">
        <f>VLOOKUP(E102,CompDbase!B:L,4,FALSE)</f>
        <v>BDE-100</v>
      </c>
      <c r="G102" s="95" t="str">
        <f>VLOOKUP(E102,CompDbase!B:M,12,FALSE)</f>
        <v>BDE</v>
      </c>
      <c r="H102" s="95">
        <f>VLOOKUP(E102,CompDbase!B:L,8,FALSE)</f>
        <v>564.70000000000005</v>
      </c>
      <c r="I102" s="95">
        <f>VLOOKUP(E102,CompDbase!B:L,11,FALSE)</f>
        <v>232</v>
      </c>
      <c r="J102" s="95">
        <f>VLOOKUP(E102,CompDbase!B:L,9,FALSE)</f>
        <v>1.4184622678734594E-2</v>
      </c>
      <c r="K102" s="95">
        <f>VLOOKUP(E102,CompDbase!B:L,10,FALSE)</f>
        <v>7.3</v>
      </c>
      <c r="L102" s="4" t="s">
        <v>769</v>
      </c>
      <c r="M102" s="420"/>
      <c r="N102" s="420"/>
      <c r="P102" s="4" t="s">
        <v>1987</v>
      </c>
      <c r="Q102" s="4" t="s">
        <v>1049</v>
      </c>
      <c r="S102" s="4"/>
      <c r="W102" s="199">
        <f t="shared" si="88"/>
        <v>7943282.3472428275</v>
      </c>
      <c r="X102">
        <v>6.9</v>
      </c>
      <c r="Z102" s="190"/>
      <c r="AC102" t="s">
        <v>68</v>
      </c>
      <c r="AG102" s="138">
        <f t="shared" si="89"/>
        <v>6.9</v>
      </c>
      <c r="AH102">
        <f t="shared" si="90"/>
        <v>7.3</v>
      </c>
      <c r="BW102" s="138"/>
      <c r="BX102">
        <f t="shared" si="91"/>
        <v>-1.8481822122631211</v>
      </c>
      <c r="DG102" s="138"/>
      <c r="EY102" s="479">
        <f>VLOOKUP(B102,Literatuur!$A:$B,2,FALSE)</f>
        <v>5</v>
      </c>
      <c r="EZ102" t="str">
        <f t="shared" si="67"/>
        <v>BDE-100</v>
      </c>
      <c r="FA102" t="str">
        <f t="shared" si="68"/>
        <v>BDE</v>
      </c>
      <c r="FB102" t="str">
        <f t="shared" si="69"/>
        <v>LDPE</v>
      </c>
      <c r="FC102" t="str">
        <f t="shared" si="70"/>
        <v/>
      </c>
      <c r="FD102" t="str">
        <f t="shared" si="71"/>
        <v>room ??</v>
      </c>
      <c r="FE102" t="str">
        <f t="shared" si="72"/>
        <v>water</v>
      </c>
      <c r="FF102" t="str">
        <f t="shared" si="73"/>
        <v xml:space="preserve"> </v>
      </c>
      <c r="FG102" s="408" t="str">
        <f t="shared" si="64"/>
        <v/>
      </c>
      <c r="FH102" s="138">
        <f t="shared" si="74"/>
        <v>6.9</v>
      </c>
      <c r="FI102" s="106" t="str">
        <f t="shared" si="87"/>
        <v>**</v>
      </c>
      <c r="FJ102" s="138" t="str">
        <f t="shared" si="75"/>
        <v/>
      </c>
      <c r="FK102" s="138" t="str">
        <f t="shared" si="76"/>
        <v>**</v>
      </c>
    </row>
    <row r="103" spans="1:167" ht="12.75" hidden="1" customHeight="1" x14ac:dyDescent="0.2">
      <c r="A103">
        <v>57</v>
      </c>
      <c r="B103" t="s">
        <v>1645</v>
      </c>
      <c r="C103" s="4" t="s">
        <v>1557</v>
      </c>
      <c r="D103" t="s">
        <v>1035</v>
      </c>
      <c r="E103">
        <v>-1757</v>
      </c>
      <c r="F103" t="str">
        <f>VLOOKUP(E103,CompDbase!B:L,4,FALSE)</f>
        <v>BDE-126</v>
      </c>
      <c r="G103" s="95" t="str">
        <f>VLOOKUP(E103,CompDbase!B:M,12,FALSE)</f>
        <v>BDE</v>
      </c>
      <c r="H103" s="95">
        <f>VLOOKUP(E103,CompDbase!B:L,8,FALSE)</f>
        <v>564.70000000000005</v>
      </c>
      <c r="I103" s="95">
        <f>VLOOKUP(E103,CompDbase!B:L,11,FALSE)</f>
        <v>233.7</v>
      </c>
      <c r="J103" s="95">
        <f>VLOOKUP(E103,CompDbase!B:L,9,FALSE)</f>
        <v>1.1267246292629249E-2</v>
      </c>
      <c r="K103" s="95">
        <f>VLOOKUP(E103,CompDbase!B:L,10,FALSE)</f>
        <v>7.4</v>
      </c>
      <c r="L103" s="4" t="s">
        <v>769</v>
      </c>
      <c r="M103" s="420"/>
      <c r="N103" s="420"/>
      <c r="P103" s="4" t="s">
        <v>1987</v>
      </c>
      <c r="Q103" s="4" t="s">
        <v>1049</v>
      </c>
      <c r="S103" s="4"/>
      <c r="W103" s="199">
        <f t="shared" si="88"/>
        <v>15848931.924611172</v>
      </c>
      <c r="X103">
        <v>7.2</v>
      </c>
      <c r="Z103" s="190"/>
      <c r="AC103" t="s">
        <v>68</v>
      </c>
      <c r="AG103" s="138">
        <f t="shared" si="89"/>
        <v>7.2</v>
      </c>
      <c r="AH103">
        <f t="shared" si="90"/>
        <v>7.4</v>
      </c>
      <c r="BW103" s="138"/>
      <c r="BX103">
        <f t="shared" si="91"/>
        <v>-1.9481822122631214</v>
      </c>
      <c r="DG103" s="138"/>
      <c r="EY103" s="479">
        <f>VLOOKUP(B103,Literatuur!$A:$B,2,FALSE)</f>
        <v>5</v>
      </c>
      <c r="EZ103" t="str">
        <f t="shared" si="67"/>
        <v>BDE-126</v>
      </c>
      <c r="FA103" t="str">
        <f t="shared" si="68"/>
        <v>BDE</v>
      </c>
      <c r="FB103" t="str">
        <f t="shared" si="69"/>
        <v>LDPE</v>
      </c>
      <c r="FC103" t="str">
        <f t="shared" si="70"/>
        <v/>
      </c>
      <c r="FD103" t="str">
        <f t="shared" si="71"/>
        <v>room ??</v>
      </c>
      <c r="FE103" t="str">
        <f t="shared" si="72"/>
        <v>water</v>
      </c>
      <c r="FF103" t="str">
        <f t="shared" si="73"/>
        <v xml:space="preserve"> </v>
      </c>
      <c r="FG103" s="408" t="str">
        <f t="shared" si="64"/>
        <v/>
      </c>
      <c r="FH103" s="138">
        <f t="shared" si="74"/>
        <v>7.2</v>
      </c>
      <c r="FI103" s="106" t="str">
        <f t="shared" si="87"/>
        <v>**</v>
      </c>
      <c r="FJ103" s="138" t="str">
        <f t="shared" si="75"/>
        <v/>
      </c>
      <c r="FK103" s="138" t="str">
        <f t="shared" si="76"/>
        <v>**</v>
      </c>
    </row>
    <row r="104" spans="1:167" ht="12.75" hidden="1" customHeight="1" x14ac:dyDescent="0.2">
      <c r="A104">
        <v>58</v>
      </c>
      <c r="B104" t="s">
        <v>1645</v>
      </c>
      <c r="C104" s="4" t="s">
        <v>1557</v>
      </c>
      <c r="D104" t="s">
        <v>1026</v>
      </c>
      <c r="E104">
        <v>-1748</v>
      </c>
      <c r="F104" t="str">
        <f>VLOOKUP(E104,CompDbase!B:L,4,FALSE)</f>
        <v>BDE-15</v>
      </c>
      <c r="G104" s="95" t="str">
        <f>VLOOKUP(E104,CompDbase!B:M,12,FALSE)</f>
        <v>BDE</v>
      </c>
      <c r="H104" s="95">
        <f>VLOOKUP(E104,CompDbase!B:L,8,FALSE)</f>
        <v>328</v>
      </c>
      <c r="I104" s="95">
        <f>VLOOKUP(E104,CompDbase!B:L,11,FALSE)</f>
        <v>189.9</v>
      </c>
      <c r="J104" s="95">
        <f>VLOOKUP(E104,CompDbase!B:L,9,FALSE)</f>
        <v>0.51984496712724515</v>
      </c>
      <c r="K104" s="95">
        <f>VLOOKUP(E104,CompDbase!B:L,10,FALSE)</f>
        <v>5.2</v>
      </c>
      <c r="L104" s="4" t="s">
        <v>769</v>
      </c>
      <c r="M104" s="420"/>
      <c r="N104" s="420"/>
      <c r="P104" s="4" t="s">
        <v>1987</v>
      </c>
      <c r="Q104" s="4" t="s">
        <v>1049</v>
      </c>
      <c r="S104" s="4"/>
      <c r="W104" s="199">
        <f t="shared" si="88"/>
        <v>125892.54117941685</v>
      </c>
      <c r="X104">
        <v>5.0999999999999996</v>
      </c>
      <c r="Z104" s="190"/>
      <c r="AC104" t="s">
        <v>68</v>
      </c>
      <c r="AG104" s="138">
        <f t="shared" si="89"/>
        <v>5.0999999999999996</v>
      </c>
      <c r="AH104">
        <f t="shared" si="90"/>
        <v>5.2</v>
      </c>
      <c r="BW104" s="138"/>
      <c r="BX104">
        <f t="shared" si="91"/>
        <v>-0.284126156288321</v>
      </c>
      <c r="DG104" s="138"/>
      <c r="EY104" s="479">
        <f>VLOOKUP(B104,Literatuur!$A:$B,2,FALSE)</f>
        <v>5</v>
      </c>
      <c r="EZ104" t="str">
        <f t="shared" si="67"/>
        <v>BDE-15</v>
      </c>
      <c r="FA104" t="str">
        <f t="shared" si="68"/>
        <v>BDE</v>
      </c>
      <c r="FB104" t="str">
        <f t="shared" si="69"/>
        <v>LDPE</v>
      </c>
      <c r="FC104" t="str">
        <f t="shared" si="70"/>
        <v/>
      </c>
      <c r="FD104" t="str">
        <f t="shared" si="71"/>
        <v>room ??</v>
      </c>
      <c r="FE104" t="str">
        <f t="shared" si="72"/>
        <v>water</v>
      </c>
      <c r="FF104" t="str">
        <f t="shared" si="73"/>
        <v xml:space="preserve"> </v>
      </c>
      <c r="FG104" s="408" t="str">
        <f t="shared" si="64"/>
        <v/>
      </c>
      <c r="FH104" s="138">
        <f t="shared" si="74"/>
        <v>5.0999999999999996</v>
      </c>
      <c r="FI104" s="106" t="str">
        <f t="shared" si="87"/>
        <v>**</v>
      </c>
      <c r="FJ104" s="138" t="str">
        <f t="shared" si="75"/>
        <v/>
      </c>
      <c r="FK104" s="138" t="str">
        <f t="shared" si="76"/>
        <v>**</v>
      </c>
    </row>
    <row r="105" spans="1:167" ht="12.75" hidden="1" customHeight="1" x14ac:dyDescent="0.2">
      <c r="A105">
        <v>59</v>
      </c>
      <c r="B105" t="s">
        <v>1645</v>
      </c>
      <c r="C105" s="4" t="s">
        <v>1557</v>
      </c>
      <c r="D105" t="s">
        <v>1036</v>
      </c>
      <c r="E105">
        <v>-1758</v>
      </c>
      <c r="F105" t="str">
        <f>VLOOKUP(E105,CompDbase!B:L,4,FALSE)</f>
        <v>BDE-153</v>
      </c>
      <c r="G105" s="95" t="str">
        <f>VLOOKUP(E105,CompDbase!B:M,12,FALSE)</f>
        <v>BDE</v>
      </c>
      <c r="H105" s="95">
        <f>VLOOKUP(E105,CompDbase!B:L,8,FALSE)</f>
        <v>643.6</v>
      </c>
      <c r="I105" s="95">
        <f>VLOOKUP(E105,CompDbase!B:L,11,FALSE)</f>
        <v>246.6</v>
      </c>
      <c r="J105" s="95">
        <f>VLOOKUP(E105,CompDbase!B:L,9,FALSE)</f>
        <v>4.060841469074517E-3</v>
      </c>
      <c r="K105" s="95">
        <f>VLOOKUP(E105,CompDbase!B:L,10,FALSE)</f>
        <v>8</v>
      </c>
      <c r="L105" s="4" t="s">
        <v>769</v>
      </c>
      <c r="M105" s="420"/>
      <c r="N105" s="420"/>
      <c r="P105" s="4" t="s">
        <v>1987</v>
      </c>
      <c r="Q105" s="4" t="s">
        <v>1049</v>
      </c>
      <c r="S105" s="4"/>
      <c r="W105" s="199">
        <f t="shared" si="88"/>
        <v>25118864.315095898</v>
      </c>
      <c r="X105">
        <v>7.4</v>
      </c>
      <c r="Z105" s="190"/>
      <c r="AC105" t="s">
        <v>68</v>
      </c>
      <c r="AG105" s="138">
        <f t="shared" si="89"/>
        <v>7.4</v>
      </c>
      <c r="AH105">
        <f t="shared" si="90"/>
        <v>8</v>
      </c>
      <c r="BW105" s="138"/>
      <c r="BX105">
        <f t="shared" si="91"/>
        <v>-2.3913839645730088</v>
      </c>
      <c r="DG105" s="138"/>
      <c r="EY105" s="479">
        <f>VLOOKUP(B105,Literatuur!$A:$B,2,FALSE)</f>
        <v>5</v>
      </c>
      <c r="EZ105" t="str">
        <f t="shared" si="67"/>
        <v>BDE-153</v>
      </c>
      <c r="FA105" t="str">
        <f t="shared" si="68"/>
        <v>BDE</v>
      </c>
      <c r="FB105" t="str">
        <f t="shared" si="69"/>
        <v>LDPE</v>
      </c>
      <c r="FC105" t="str">
        <f t="shared" si="70"/>
        <v/>
      </c>
      <c r="FD105" t="str">
        <f t="shared" si="71"/>
        <v>room ??</v>
      </c>
      <c r="FE105" t="str">
        <f t="shared" si="72"/>
        <v>water</v>
      </c>
      <c r="FF105" t="str">
        <f t="shared" si="73"/>
        <v xml:space="preserve"> </v>
      </c>
      <c r="FG105" s="408" t="str">
        <f t="shared" si="64"/>
        <v/>
      </c>
      <c r="FH105" s="138">
        <f t="shared" si="74"/>
        <v>7.4</v>
      </c>
      <c r="FI105" s="106" t="str">
        <f t="shared" si="87"/>
        <v>**</v>
      </c>
      <c r="FJ105" s="138" t="str">
        <f t="shared" si="75"/>
        <v/>
      </c>
      <c r="FK105" s="138" t="str">
        <f t="shared" si="76"/>
        <v>**</v>
      </c>
    </row>
    <row r="106" spans="1:167" ht="12.75" hidden="1" customHeight="1" x14ac:dyDescent="0.2">
      <c r="A106">
        <v>60</v>
      </c>
      <c r="B106" t="s">
        <v>1645</v>
      </c>
      <c r="C106" s="4" t="s">
        <v>1557</v>
      </c>
      <c r="D106" t="s">
        <v>1037</v>
      </c>
      <c r="E106">
        <v>-1759</v>
      </c>
      <c r="F106" t="str">
        <f>VLOOKUP(E106,CompDbase!B:L,4,FALSE)</f>
        <v>BDE-154</v>
      </c>
      <c r="G106" s="95" t="str">
        <f>VLOOKUP(E106,CompDbase!B:M,12,FALSE)</f>
        <v>BDE</v>
      </c>
      <c r="H106" s="95">
        <f>VLOOKUP(E106,CompDbase!B:L,8,FALSE)</f>
        <v>643.6</v>
      </c>
      <c r="I106" s="95">
        <f>VLOOKUP(E106,CompDbase!B:L,11,FALSE)</f>
        <v>246.5</v>
      </c>
      <c r="J106" s="95">
        <f>VLOOKUP(E106,CompDbase!B:L,9,FALSE)</f>
        <v>4.060841469074517E-3</v>
      </c>
      <c r="K106" s="95">
        <f>VLOOKUP(E106,CompDbase!B:L,10,FALSE)</f>
        <v>8</v>
      </c>
      <c r="L106" s="4" t="s">
        <v>769</v>
      </c>
      <c r="M106" s="420"/>
      <c r="N106" s="420"/>
      <c r="P106" s="4" t="s">
        <v>1987</v>
      </c>
      <c r="Q106" s="4" t="s">
        <v>1049</v>
      </c>
      <c r="S106" s="4"/>
      <c r="W106" s="199">
        <f t="shared" si="88"/>
        <v>25118864.315095898</v>
      </c>
      <c r="X106">
        <v>7.4</v>
      </c>
      <c r="Z106" s="190"/>
      <c r="AC106" t="s">
        <v>68</v>
      </c>
      <c r="AG106" s="138">
        <f t="shared" si="89"/>
        <v>7.4</v>
      </c>
      <c r="AH106">
        <f t="shared" si="90"/>
        <v>8</v>
      </c>
      <c r="BW106" s="138"/>
      <c r="BX106">
        <f t="shared" si="91"/>
        <v>-2.3913839645730088</v>
      </c>
      <c r="DG106" s="138"/>
      <c r="EY106" s="479">
        <f>VLOOKUP(B106,Literatuur!$A:$B,2,FALSE)</f>
        <v>5</v>
      </c>
      <c r="EZ106" t="str">
        <f t="shared" si="67"/>
        <v>BDE-154</v>
      </c>
      <c r="FA106" t="str">
        <f t="shared" si="68"/>
        <v>BDE</v>
      </c>
      <c r="FB106" t="str">
        <f t="shared" si="69"/>
        <v>LDPE</v>
      </c>
      <c r="FC106" t="str">
        <f t="shared" si="70"/>
        <v/>
      </c>
      <c r="FD106" t="str">
        <f t="shared" si="71"/>
        <v>room ??</v>
      </c>
      <c r="FE106" t="str">
        <f t="shared" si="72"/>
        <v>water</v>
      </c>
      <c r="FF106" t="str">
        <f t="shared" si="73"/>
        <v xml:space="preserve"> </v>
      </c>
      <c r="FG106" s="408" t="str">
        <f t="shared" si="64"/>
        <v/>
      </c>
      <c r="FH106" s="138">
        <f t="shared" si="74"/>
        <v>7.4</v>
      </c>
      <c r="FI106" s="106" t="str">
        <f t="shared" si="87"/>
        <v>**</v>
      </c>
      <c r="FJ106" s="138" t="str">
        <f t="shared" si="75"/>
        <v/>
      </c>
      <c r="FK106" s="138" t="str">
        <f t="shared" si="76"/>
        <v>**</v>
      </c>
    </row>
    <row r="107" spans="1:167" ht="12.75" hidden="1" customHeight="1" x14ac:dyDescent="0.2">
      <c r="A107">
        <v>61</v>
      </c>
      <c r="B107" t="s">
        <v>1645</v>
      </c>
      <c r="C107" s="4" t="s">
        <v>1557</v>
      </c>
      <c r="D107" t="s">
        <v>1027</v>
      </c>
      <c r="E107">
        <v>-1749</v>
      </c>
      <c r="F107" t="str">
        <f>VLOOKUP(E107,CompDbase!B:L,4,FALSE)</f>
        <v>BDE-17</v>
      </c>
      <c r="G107" s="95" t="str">
        <f>VLOOKUP(E107,CompDbase!B:M,12,FALSE)</f>
        <v>BDE</v>
      </c>
      <c r="H107" s="95">
        <f>VLOOKUP(E107,CompDbase!B:L,8,FALSE)</f>
        <v>406.9</v>
      </c>
      <c r="I107" s="95">
        <f>VLOOKUP(E107,CompDbase!B:L,11,FALSE)</f>
        <v>202.1</v>
      </c>
      <c r="J107" s="95">
        <f>VLOOKUP(E107,CompDbase!B:L,9,FALSE)</f>
        <v>0.203933085362937</v>
      </c>
      <c r="K107" s="95">
        <f>VLOOKUP(E107,CompDbase!B:L,10,FALSE)</f>
        <v>5.8</v>
      </c>
      <c r="L107" s="4" t="s">
        <v>769</v>
      </c>
      <c r="M107" s="420"/>
      <c r="N107" s="420"/>
      <c r="P107" s="4" t="s">
        <v>1987</v>
      </c>
      <c r="Q107" s="4" t="s">
        <v>1049</v>
      </c>
      <c r="S107" s="4"/>
      <c r="W107" s="199">
        <f t="shared" si="88"/>
        <v>316227.7660168382</v>
      </c>
      <c r="X107">
        <v>5.5</v>
      </c>
      <c r="Z107" s="190"/>
      <c r="AC107" t="s">
        <v>68</v>
      </c>
      <c r="AG107" s="138">
        <f t="shared" si="89"/>
        <v>5.5</v>
      </c>
      <c r="AH107">
        <f t="shared" si="90"/>
        <v>5.8</v>
      </c>
      <c r="BW107" s="138"/>
      <c r="BX107">
        <f t="shared" si="91"/>
        <v>-0.69051231014671499</v>
      </c>
      <c r="DG107" s="138"/>
      <c r="EY107" s="479">
        <f>VLOOKUP(B107,Literatuur!$A:$B,2,FALSE)</f>
        <v>5</v>
      </c>
      <c r="EZ107" t="str">
        <f t="shared" si="67"/>
        <v>BDE-17</v>
      </c>
      <c r="FA107" t="str">
        <f t="shared" si="68"/>
        <v>BDE</v>
      </c>
      <c r="FB107" t="str">
        <f t="shared" si="69"/>
        <v>LDPE</v>
      </c>
      <c r="FC107" t="str">
        <f t="shared" si="70"/>
        <v/>
      </c>
      <c r="FD107" t="str">
        <f t="shared" si="71"/>
        <v>room ??</v>
      </c>
      <c r="FE107" t="str">
        <f t="shared" si="72"/>
        <v>water</v>
      </c>
      <c r="FF107" t="str">
        <f t="shared" si="73"/>
        <v xml:space="preserve"> </v>
      </c>
      <c r="FG107" s="408" t="str">
        <f t="shared" si="64"/>
        <v/>
      </c>
      <c r="FH107" s="138">
        <f t="shared" si="74"/>
        <v>5.5</v>
      </c>
      <c r="FI107" s="106" t="str">
        <f t="shared" si="87"/>
        <v>**</v>
      </c>
      <c r="FJ107" s="138" t="str">
        <f t="shared" si="75"/>
        <v/>
      </c>
      <c r="FK107" s="138" t="str">
        <f t="shared" si="76"/>
        <v>**</v>
      </c>
    </row>
    <row r="108" spans="1:167" ht="12.75" hidden="1" customHeight="1" x14ac:dyDescent="0.2">
      <c r="A108">
        <v>62</v>
      </c>
      <c r="B108" t="s">
        <v>1645</v>
      </c>
      <c r="C108" s="4" t="s">
        <v>1557</v>
      </c>
      <c r="D108" t="s">
        <v>1028</v>
      </c>
      <c r="E108">
        <v>-1750</v>
      </c>
      <c r="F108" t="str">
        <f>VLOOKUP(E108,CompDbase!B:L,4,FALSE)</f>
        <v>BDE-28</v>
      </c>
      <c r="G108" s="95" t="str">
        <f>VLOOKUP(E108,CompDbase!B:M,12,FALSE)</f>
        <v>BDE</v>
      </c>
      <c r="H108" s="95">
        <f>VLOOKUP(E108,CompDbase!B:L,8,FALSE)</f>
        <v>406.9</v>
      </c>
      <c r="I108" s="95">
        <f>VLOOKUP(E108,CompDbase!B:L,11,FALSE)</f>
        <v>203.8</v>
      </c>
      <c r="J108" s="95">
        <f>VLOOKUP(E108,CompDbase!B:L,9,FALSE)</f>
        <v>0.16198980769821794</v>
      </c>
      <c r="K108" s="95">
        <f>VLOOKUP(E108,CompDbase!B:L,10,FALSE)</f>
        <v>5.8</v>
      </c>
      <c r="L108" s="4" t="s">
        <v>769</v>
      </c>
      <c r="M108" s="420"/>
      <c r="N108" s="420"/>
      <c r="P108" s="4" t="s">
        <v>1987</v>
      </c>
      <c r="Q108" s="4" t="s">
        <v>1049</v>
      </c>
      <c r="S108" s="4"/>
      <c r="W108" s="199">
        <f t="shared" si="88"/>
        <v>501187.23362727347</v>
      </c>
      <c r="X108">
        <v>5.7</v>
      </c>
      <c r="Z108" s="190"/>
      <c r="AC108" t="s">
        <v>68</v>
      </c>
      <c r="AG108" s="138">
        <f t="shared" si="89"/>
        <v>5.7</v>
      </c>
      <c r="AH108">
        <f t="shared" si="90"/>
        <v>5.8</v>
      </c>
      <c r="BW108" s="138"/>
      <c r="BX108">
        <f t="shared" si="91"/>
        <v>-0.79051231014671497</v>
      </c>
      <c r="DG108" s="138"/>
      <c r="EY108" s="479">
        <f>VLOOKUP(B108,Literatuur!$A:$B,2,FALSE)</f>
        <v>5</v>
      </c>
      <c r="EZ108" t="str">
        <f t="shared" si="67"/>
        <v>BDE-28</v>
      </c>
      <c r="FA108" t="str">
        <f t="shared" si="68"/>
        <v>BDE</v>
      </c>
      <c r="FB108" t="str">
        <f t="shared" si="69"/>
        <v>LDPE</v>
      </c>
      <c r="FC108" t="str">
        <f t="shared" si="70"/>
        <v/>
      </c>
      <c r="FD108" t="str">
        <f t="shared" si="71"/>
        <v>room ??</v>
      </c>
      <c r="FE108" t="str">
        <f t="shared" si="72"/>
        <v>water</v>
      </c>
      <c r="FF108" t="str">
        <f t="shared" si="73"/>
        <v xml:space="preserve"> </v>
      </c>
      <c r="FG108" s="408" t="str">
        <f t="shared" si="64"/>
        <v/>
      </c>
      <c r="FH108" s="138">
        <f t="shared" si="74"/>
        <v>5.7</v>
      </c>
      <c r="FI108" s="106" t="str">
        <f t="shared" si="87"/>
        <v>**</v>
      </c>
      <c r="FJ108" s="138" t="str">
        <f t="shared" si="75"/>
        <v/>
      </c>
      <c r="FK108" s="138" t="str">
        <f t="shared" si="76"/>
        <v>**</v>
      </c>
    </row>
    <row r="109" spans="1:167" ht="12.75" hidden="1" customHeight="1" x14ac:dyDescent="0.2">
      <c r="A109">
        <v>63</v>
      </c>
      <c r="B109" t="s">
        <v>1645</v>
      </c>
      <c r="C109" s="4" t="s">
        <v>1557</v>
      </c>
      <c r="D109" t="s">
        <v>1029</v>
      </c>
      <c r="E109">
        <v>-1751</v>
      </c>
      <c r="F109" t="str">
        <f>VLOOKUP(E109,CompDbase!B:L,4,FALSE)</f>
        <v>BDE-47</v>
      </c>
      <c r="G109" s="95" t="str">
        <f>VLOOKUP(E109,CompDbase!B:M,12,FALSE)</f>
        <v>BDE</v>
      </c>
      <c r="H109" s="95">
        <f>VLOOKUP(E109,CompDbase!B:L,8,FALSE)</f>
        <v>485.8</v>
      </c>
      <c r="I109" s="95">
        <f>VLOOKUP(E109,CompDbase!B:L,11,FALSE)</f>
        <v>217.6</v>
      </c>
      <c r="J109" s="95">
        <f>VLOOKUP(E109,CompDbase!B:L,9,FALSE)</f>
        <v>4.8580000000000005E-2</v>
      </c>
      <c r="K109" s="95">
        <f>VLOOKUP(E109,CompDbase!B:L,10,FALSE)</f>
        <v>6.5</v>
      </c>
      <c r="L109" s="4" t="s">
        <v>769</v>
      </c>
      <c r="M109" s="420"/>
      <c r="N109" s="420"/>
      <c r="P109" s="4" t="s">
        <v>1987</v>
      </c>
      <c r="Q109" s="4" t="s">
        <v>1049</v>
      </c>
      <c r="S109" s="4"/>
      <c r="W109" s="199">
        <f t="shared" si="88"/>
        <v>1995262.31496888</v>
      </c>
      <c r="X109">
        <v>6.3</v>
      </c>
      <c r="Z109" s="190"/>
      <c r="AC109" t="s">
        <v>68</v>
      </c>
      <c r="AG109" s="138">
        <f t="shared" si="89"/>
        <v>6.3</v>
      </c>
      <c r="AH109">
        <f t="shared" si="90"/>
        <v>6.5</v>
      </c>
      <c r="AJ109" s="4"/>
      <c r="BW109" s="138"/>
      <c r="BX109">
        <f t="shared" si="91"/>
        <v>-1.3135424895308883</v>
      </c>
      <c r="BZ109" s="4"/>
      <c r="DG109" s="138"/>
      <c r="DJ109" s="4"/>
      <c r="EY109" s="479">
        <f>VLOOKUP(B109,Literatuur!$A:$B,2,FALSE)</f>
        <v>5</v>
      </c>
      <c r="EZ109" t="str">
        <f t="shared" si="67"/>
        <v>BDE-47</v>
      </c>
      <c r="FA109" t="str">
        <f t="shared" si="68"/>
        <v>BDE</v>
      </c>
      <c r="FB109" t="str">
        <f t="shared" si="69"/>
        <v>LDPE</v>
      </c>
      <c r="FC109" t="str">
        <f t="shared" si="70"/>
        <v/>
      </c>
      <c r="FD109" t="str">
        <f t="shared" si="71"/>
        <v>room ??</v>
      </c>
      <c r="FE109" t="str">
        <f t="shared" si="72"/>
        <v>water</v>
      </c>
      <c r="FF109" t="str">
        <f t="shared" si="73"/>
        <v xml:space="preserve"> </v>
      </c>
      <c r="FG109" s="408" t="str">
        <f t="shared" si="64"/>
        <v/>
      </c>
      <c r="FH109" s="138">
        <f t="shared" si="74"/>
        <v>6.3</v>
      </c>
      <c r="FI109" s="106" t="str">
        <f t="shared" si="87"/>
        <v>**</v>
      </c>
      <c r="FJ109" s="138" t="str">
        <f t="shared" si="75"/>
        <v/>
      </c>
      <c r="FK109" s="138" t="str">
        <f t="shared" si="76"/>
        <v>**</v>
      </c>
    </row>
    <row r="110" spans="1:167" s="13" customFormat="1" ht="12.75" hidden="1" customHeight="1" x14ac:dyDescent="0.2">
      <c r="A110">
        <v>64</v>
      </c>
      <c r="B110" s="13" t="s">
        <v>1645</v>
      </c>
      <c r="C110" s="14" t="s">
        <v>1557</v>
      </c>
      <c r="D110" s="13" t="s">
        <v>1030</v>
      </c>
      <c r="E110" s="13">
        <v>-1752</v>
      </c>
      <c r="F110" s="13" t="str">
        <f>VLOOKUP(E110,CompDbase!B:L,4,FALSE)</f>
        <v>BDE-66</v>
      </c>
      <c r="G110" s="182" t="str">
        <f>VLOOKUP(E110,CompDbase!B:M,12,FALSE)</f>
        <v>BDE</v>
      </c>
      <c r="H110" s="182">
        <f>VLOOKUP(E110,CompDbase!B:L,8,FALSE)</f>
        <v>485.8</v>
      </c>
      <c r="I110" s="182">
        <f>VLOOKUP(E110,CompDbase!B:L,11,FALSE)</f>
        <v>218.2</v>
      </c>
      <c r="J110" s="182">
        <f>VLOOKUP(E110,CompDbase!B:L,9,FALSE)</f>
        <v>4.8580000000000005E-2</v>
      </c>
      <c r="K110" s="182">
        <f>VLOOKUP(E110,CompDbase!B:L,10,FALSE)</f>
        <v>6.5</v>
      </c>
      <c r="L110" s="14" t="s">
        <v>769</v>
      </c>
      <c r="M110" s="421"/>
      <c r="N110" s="421"/>
      <c r="P110" s="4" t="s">
        <v>1987</v>
      </c>
      <c r="Q110" s="14" t="s">
        <v>1049</v>
      </c>
      <c r="R110" s="405"/>
      <c r="S110" s="14"/>
      <c r="W110" s="200">
        <f t="shared" si="88"/>
        <v>2511886.431509587</v>
      </c>
      <c r="X110" s="13">
        <v>6.4</v>
      </c>
      <c r="Z110" s="191"/>
      <c r="AC110" s="13" t="s">
        <v>68</v>
      </c>
      <c r="AG110" s="138">
        <f t="shared" si="89"/>
        <v>6.4</v>
      </c>
      <c r="AH110">
        <f t="shared" si="90"/>
        <v>6.5</v>
      </c>
      <c r="BW110" s="138"/>
      <c r="BX110">
        <f t="shared" si="91"/>
        <v>-1.3135424895308883</v>
      </c>
      <c r="DF110"/>
      <c r="DG110" s="138"/>
      <c r="DH110"/>
      <c r="DP110"/>
      <c r="EY110" s="479">
        <f>VLOOKUP(B110,Literatuur!$A:$B,2,FALSE)</f>
        <v>5</v>
      </c>
      <c r="EZ110" t="str">
        <f t="shared" si="67"/>
        <v>BDE-66</v>
      </c>
      <c r="FA110" t="str">
        <f t="shared" si="68"/>
        <v>BDE</v>
      </c>
      <c r="FB110" t="str">
        <f t="shared" si="69"/>
        <v>LDPE</v>
      </c>
      <c r="FC110" t="str">
        <f t="shared" si="70"/>
        <v/>
      </c>
      <c r="FD110" t="str">
        <f t="shared" si="71"/>
        <v>room ??</v>
      </c>
      <c r="FE110" t="str">
        <f t="shared" si="72"/>
        <v>water</v>
      </c>
      <c r="FF110" t="str">
        <f t="shared" si="73"/>
        <v xml:space="preserve"> </v>
      </c>
      <c r="FG110" s="408" t="str">
        <f t="shared" si="64"/>
        <v/>
      </c>
      <c r="FH110" s="138">
        <f t="shared" si="74"/>
        <v>6.4</v>
      </c>
      <c r="FI110" s="106" t="str">
        <f t="shared" si="87"/>
        <v>**</v>
      </c>
      <c r="FJ110" s="138" t="str">
        <f t="shared" si="75"/>
        <v/>
      </c>
      <c r="FK110" s="138" t="str">
        <f t="shared" si="76"/>
        <v>**</v>
      </c>
    </row>
    <row r="111" spans="1:167" s="9" customFormat="1" ht="12.75" hidden="1" customHeight="1" x14ac:dyDescent="0.2">
      <c r="A111">
        <v>65</v>
      </c>
      <c r="B111" s="9" t="s">
        <v>1645</v>
      </c>
      <c r="C111" s="10" t="s">
        <v>1557</v>
      </c>
      <c r="D111" s="9" t="s">
        <v>1031</v>
      </c>
      <c r="E111" s="9">
        <v>-1753</v>
      </c>
      <c r="F111" s="9" t="str">
        <f>VLOOKUP(E111,CompDbase!B:L,4,FALSE)</f>
        <v>BDE-71</v>
      </c>
      <c r="G111" s="181" t="str">
        <f>VLOOKUP(E111,CompDbase!B:M,12,FALSE)</f>
        <v>BDE</v>
      </c>
      <c r="H111" s="181">
        <f>VLOOKUP(E111,CompDbase!B:L,8,FALSE)</f>
        <v>485.8</v>
      </c>
      <c r="I111" s="181">
        <f>VLOOKUP(E111,CompDbase!B:L,11,FALSE)</f>
        <v>217</v>
      </c>
      <c r="J111" s="181">
        <f>VLOOKUP(E111,CompDbase!B:L,9,FALSE)</f>
        <v>4.8580000000000005E-2</v>
      </c>
      <c r="K111" s="181">
        <f>VLOOKUP(E111,CompDbase!B:L,10,FALSE)</f>
        <v>6.6</v>
      </c>
      <c r="L111" s="10" t="s">
        <v>769</v>
      </c>
      <c r="M111" s="422"/>
      <c r="N111" s="422"/>
      <c r="P111" s="10" t="s">
        <v>1987</v>
      </c>
      <c r="Q111" s="10" t="s">
        <v>1049</v>
      </c>
      <c r="R111" s="393"/>
      <c r="S111" s="10"/>
      <c r="W111" s="207">
        <f t="shared" si="88"/>
        <v>1258925.4117941677</v>
      </c>
      <c r="X111" s="9">
        <v>6.1</v>
      </c>
      <c r="Z111" s="189"/>
      <c r="AC111" s="9" t="s">
        <v>68</v>
      </c>
      <c r="AG111" s="138">
        <f t="shared" si="89"/>
        <v>6.1</v>
      </c>
      <c r="AH111">
        <f t="shared" si="90"/>
        <v>6.6</v>
      </c>
      <c r="BW111" s="138"/>
      <c r="BX111">
        <f t="shared" si="91"/>
        <v>-1.3135424895308883</v>
      </c>
      <c r="DF111"/>
      <c r="DG111" s="138"/>
      <c r="DH111"/>
      <c r="DP111"/>
      <c r="EY111" s="479">
        <f>VLOOKUP(B111,Literatuur!$A:$B,2,FALSE)</f>
        <v>5</v>
      </c>
      <c r="EZ111" t="str">
        <f t="shared" si="67"/>
        <v>BDE-71</v>
      </c>
      <c r="FA111" t="str">
        <f t="shared" si="68"/>
        <v>BDE</v>
      </c>
      <c r="FB111" t="str">
        <f t="shared" si="69"/>
        <v>LDPE</v>
      </c>
      <c r="FC111" t="str">
        <f t="shared" si="70"/>
        <v/>
      </c>
      <c r="FD111" t="str">
        <f t="shared" si="71"/>
        <v>room ??</v>
      </c>
      <c r="FE111" t="str">
        <f t="shared" si="72"/>
        <v>water</v>
      </c>
      <c r="FF111" t="str">
        <f t="shared" si="73"/>
        <v xml:space="preserve"> </v>
      </c>
      <c r="FG111" s="408" t="str">
        <f t="shared" ref="FG111:FG174" si="92">IF(ISNUMBER(T111),T111,"")</f>
        <v/>
      </c>
      <c r="FH111" s="138">
        <f t="shared" si="74"/>
        <v>6.1</v>
      </c>
      <c r="FI111" s="106" t="str">
        <f t="shared" si="87"/>
        <v>**</v>
      </c>
      <c r="FJ111" s="138" t="str">
        <f t="shared" si="75"/>
        <v/>
      </c>
      <c r="FK111" s="138" t="str">
        <f t="shared" si="76"/>
        <v>**</v>
      </c>
    </row>
    <row r="112" spans="1:167" ht="12.75" hidden="1" customHeight="1" x14ac:dyDescent="0.2">
      <c r="A112">
        <v>66</v>
      </c>
      <c r="B112" t="s">
        <v>1645</v>
      </c>
      <c r="C112" s="4" t="s">
        <v>1557</v>
      </c>
      <c r="D112" t="s">
        <v>1032</v>
      </c>
      <c r="E112">
        <v>-1754</v>
      </c>
      <c r="F112" t="str">
        <f>VLOOKUP(E112,CompDbase!B:L,4,FALSE)</f>
        <v>BDE-85</v>
      </c>
      <c r="G112" s="95" t="str">
        <f>VLOOKUP(E112,CompDbase!B:M,12,FALSE)</f>
        <v>BDE</v>
      </c>
      <c r="H112" s="95">
        <f>VLOOKUP(E112,CompDbase!B:L,8,FALSE)</f>
        <v>564.70000000000005</v>
      </c>
      <c r="I112" s="95">
        <f>VLOOKUP(E112,CompDbase!B:L,11,FALSE)</f>
        <v>231.6</v>
      </c>
      <c r="J112" s="95">
        <f>VLOOKUP(E112,CompDbase!B:L,9,FALSE)</f>
        <v>1.4184622678734594E-2</v>
      </c>
      <c r="K112" s="95">
        <f>VLOOKUP(E112,CompDbase!B:L,10,FALSE)</f>
        <v>7.2</v>
      </c>
      <c r="L112" s="4" t="s">
        <v>769</v>
      </c>
      <c r="M112" s="420"/>
      <c r="N112" s="420"/>
      <c r="P112" s="4" t="s">
        <v>1987</v>
      </c>
      <c r="Q112" s="4" t="s">
        <v>1049</v>
      </c>
      <c r="S112" s="4"/>
      <c r="W112" s="199">
        <f t="shared" si="88"/>
        <v>6309573.4448019378</v>
      </c>
      <c r="X112">
        <v>6.8</v>
      </c>
      <c r="Z112" s="190"/>
      <c r="AC112" t="s">
        <v>68</v>
      </c>
      <c r="AG112" s="138">
        <f t="shared" si="89"/>
        <v>6.8</v>
      </c>
      <c r="AH112">
        <f t="shared" si="90"/>
        <v>7.2</v>
      </c>
      <c r="BW112" s="138"/>
      <c r="BX112">
        <f t="shared" si="91"/>
        <v>-1.8481822122631211</v>
      </c>
      <c r="DG112" s="138"/>
      <c r="EY112" s="479">
        <f>VLOOKUP(B112,Literatuur!$A:$B,2,FALSE)</f>
        <v>5</v>
      </c>
      <c r="EZ112" t="str">
        <f t="shared" ref="EZ112:EZ175" si="93">D112</f>
        <v>BDE-85</v>
      </c>
      <c r="FA112" t="str">
        <f t="shared" ref="FA112:FA175" si="94">G112</f>
        <v>BDE</v>
      </c>
      <c r="FB112" t="str">
        <f t="shared" ref="FB112:FB175" si="95">L112</f>
        <v>LDPE</v>
      </c>
      <c r="FC112" t="str">
        <f t="shared" ref="FC112:FC175" si="96">CONCATENATE(O112)</f>
        <v/>
      </c>
      <c r="FD112" t="str">
        <f t="shared" ref="FD112:FD175" si="97">P112</f>
        <v>room ??</v>
      </c>
      <c r="FE112" t="str">
        <f t="shared" ref="FE112:FE175" si="98">Q112</f>
        <v>water</v>
      </c>
      <c r="FF112" t="str">
        <f t="shared" ref="FF112:FF175" si="99">CONCATENATE(R112," ",S112)</f>
        <v xml:space="preserve"> </v>
      </c>
      <c r="FG112" s="408" t="str">
        <f t="shared" si="92"/>
        <v/>
      </c>
      <c r="FH112" s="138">
        <f t="shared" ref="FH112:FH175" si="100">IF(ISNUMBER(X112),X112,"")</f>
        <v>6.8</v>
      </c>
      <c r="FI112" s="106" t="str">
        <f t="shared" si="87"/>
        <v>**</v>
      </c>
      <c r="FJ112" s="138" t="str">
        <f t="shared" ref="FJ112:FJ175" si="101">IF(ISNUMBER(Z112),Z112,"")</f>
        <v/>
      </c>
      <c r="FK112" s="138" t="str">
        <f t="shared" ref="FK112:FK175" si="102">IF(ISNUMBER(DM112),DM112*DM$19+DM$21,IF(ISNUMBER(DN112),DN112*DN$19+DN$21,IF(ISNUMBER(DO112),DO112*DO$19+DO$21,"**")))</f>
        <v>**</v>
      </c>
    </row>
    <row r="113" spans="1:167" ht="12.75" hidden="1" customHeight="1" x14ac:dyDescent="0.2">
      <c r="A113">
        <v>67</v>
      </c>
      <c r="B113" t="s">
        <v>1645</v>
      </c>
      <c r="C113" s="4" t="s">
        <v>1557</v>
      </c>
      <c r="D113" t="s">
        <v>1033</v>
      </c>
      <c r="E113">
        <v>-1755</v>
      </c>
      <c r="F113" t="str">
        <f>VLOOKUP(E113,CompDbase!B:L,4,FALSE)</f>
        <v>BDE-99</v>
      </c>
      <c r="G113" s="95" t="str">
        <f>VLOOKUP(E113,CompDbase!B:M,12,FALSE)</f>
        <v>BDE</v>
      </c>
      <c r="H113" s="95">
        <f>VLOOKUP(E113,CompDbase!B:L,8,FALSE)</f>
        <v>564.70000000000005</v>
      </c>
      <c r="I113" s="95">
        <f>VLOOKUP(E113,CompDbase!B:L,11,FALSE)</f>
        <v>232.1</v>
      </c>
      <c r="J113" s="95">
        <f>VLOOKUP(E113,CompDbase!B:L,9,FALSE)</f>
        <v>1.4184622678734594E-2</v>
      </c>
      <c r="K113" s="95">
        <f>VLOOKUP(E113,CompDbase!B:L,10,FALSE)</f>
        <v>7.2</v>
      </c>
      <c r="L113" s="4" t="s">
        <v>769</v>
      </c>
      <c r="M113" s="420"/>
      <c r="N113" s="420"/>
      <c r="P113" s="4" t="s">
        <v>1987</v>
      </c>
      <c r="Q113" s="4" t="s">
        <v>1049</v>
      </c>
      <c r="S113" s="4"/>
      <c r="W113" s="199">
        <f t="shared" si="88"/>
        <v>7943282.3472428275</v>
      </c>
      <c r="X113">
        <v>6.9</v>
      </c>
      <c r="Z113" s="190"/>
      <c r="AC113" t="s">
        <v>68</v>
      </c>
      <c r="AG113" s="138">
        <f t="shared" si="89"/>
        <v>6.9</v>
      </c>
      <c r="AH113">
        <f t="shared" si="90"/>
        <v>7.2</v>
      </c>
      <c r="BW113" s="138"/>
      <c r="BX113">
        <f t="shared" si="91"/>
        <v>-1.8481822122631211</v>
      </c>
      <c r="DG113" s="138"/>
      <c r="EY113" s="479">
        <f>VLOOKUP(B113,Literatuur!$A:$B,2,FALSE)</f>
        <v>5</v>
      </c>
      <c r="EZ113" t="str">
        <f t="shared" si="93"/>
        <v>BDE-99</v>
      </c>
      <c r="FA113" t="str">
        <f t="shared" si="94"/>
        <v>BDE</v>
      </c>
      <c r="FB113" t="str">
        <f t="shared" si="95"/>
        <v>LDPE</v>
      </c>
      <c r="FC113" t="str">
        <f t="shared" si="96"/>
        <v/>
      </c>
      <c r="FD113" t="str">
        <f t="shared" si="97"/>
        <v>room ??</v>
      </c>
      <c r="FE113" t="str">
        <f t="shared" si="98"/>
        <v>water</v>
      </c>
      <c r="FF113" t="str">
        <f t="shared" si="99"/>
        <v xml:space="preserve"> </v>
      </c>
      <c r="FG113" s="408" t="str">
        <f t="shared" si="92"/>
        <v/>
      </c>
      <c r="FH113" s="138">
        <f t="shared" si="100"/>
        <v>6.9</v>
      </c>
      <c r="FI113" s="106" t="str">
        <f t="shared" si="87"/>
        <v>**</v>
      </c>
      <c r="FJ113" s="138" t="str">
        <f t="shared" si="101"/>
        <v/>
      </c>
      <c r="FK113" s="138" t="str">
        <f t="shared" si="102"/>
        <v>**</v>
      </c>
    </row>
    <row r="114" spans="1:167" ht="12.75" hidden="1" customHeight="1" x14ac:dyDescent="0.2">
      <c r="A114">
        <v>68</v>
      </c>
      <c r="B114" s="4" t="s">
        <v>1602</v>
      </c>
      <c r="C114" s="4" t="s">
        <v>1557</v>
      </c>
      <c r="D114" t="s">
        <v>1026</v>
      </c>
      <c r="E114">
        <v>-1748</v>
      </c>
      <c r="F114" t="str">
        <f>VLOOKUP(E114,CompDbase!B:L,4,FALSE)</f>
        <v>BDE-15</v>
      </c>
      <c r="G114" s="95" t="str">
        <f>VLOOKUP(E114,CompDbase!B:M,12,FALSE)</f>
        <v>BDE</v>
      </c>
      <c r="H114" s="95">
        <f>VLOOKUP(E114,CompDbase!B:L,8,FALSE)</f>
        <v>328</v>
      </c>
      <c r="I114" s="95">
        <f>VLOOKUP(E114,CompDbase!B:L,11,FALSE)</f>
        <v>189.9</v>
      </c>
      <c r="J114" s="95">
        <f>VLOOKUP(E114,CompDbase!B:L,9,FALSE)</f>
        <v>0.51984496712724515</v>
      </c>
      <c r="K114" s="95">
        <f>VLOOKUP(E114,CompDbase!B:L,10,FALSE)</f>
        <v>5.2</v>
      </c>
      <c r="L114" s="4" t="s">
        <v>769</v>
      </c>
      <c r="M114" s="420"/>
      <c r="N114" s="420"/>
      <c r="P114" s="4" t="s">
        <v>1987</v>
      </c>
      <c r="Q114" s="4" t="s">
        <v>1049</v>
      </c>
      <c r="S114" s="4"/>
      <c r="T114" s="95"/>
      <c r="W114" s="199">
        <f t="shared" si="88"/>
        <v>31622.77660168384</v>
      </c>
      <c r="X114" s="138">
        <v>4.5</v>
      </c>
      <c r="Z114" s="190"/>
      <c r="AC114" t="s">
        <v>68</v>
      </c>
      <c r="AG114" s="138">
        <f t="shared" si="89"/>
        <v>4.5</v>
      </c>
      <c r="AH114">
        <f t="shared" si="90"/>
        <v>5.2</v>
      </c>
      <c r="BW114" s="138"/>
      <c r="BX114">
        <f t="shared" si="91"/>
        <v>-0.284126156288321</v>
      </c>
      <c r="DG114" s="138"/>
      <c r="EY114" s="479">
        <f>VLOOKUP(B114,Literatuur!$A:$B,2,FALSE)</f>
        <v>24</v>
      </c>
      <c r="EZ114" t="str">
        <f t="shared" si="93"/>
        <v>BDE-15</v>
      </c>
      <c r="FA114" t="str">
        <f t="shared" si="94"/>
        <v>BDE</v>
      </c>
      <c r="FB114" t="str">
        <f t="shared" si="95"/>
        <v>LDPE</v>
      </c>
      <c r="FC114" t="str">
        <f t="shared" si="96"/>
        <v/>
      </c>
      <c r="FD114" t="str">
        <f t="shared" si="97"/>
        <v>room ??</v>
      </c>
      <c r="FE114" t="str">
        <f t="shared" si="98"/>
        <v>water</v>
      </c>
      <c r="FF114" t="str">
        <f t="shared" si="99"/>
        <v xml:space="preserve"> </v>
      </c>
      <c r="FG114" s="408" t="str">
        <f t="shared" si="92"/>
        <v/>
      </c>
      <c r="FH114" s="138">
        <f t="shared" si="100"/>
        <v>4.5</v>
      </c>
      <c r="FI114" s="106" t="str">
        <f t="shared" si="87"/>
        <v>**</v>
      </c>
      <c r="FJ114" s="138" t="str">
        <f t="shared" si="101"/>
        <v/>
      </c>
      <c r="FK114" s="138" t="str">
        <f t="shared" si="102"/>
        <v>**</v>
      </c>
    </row>
    <row r="115" spans="1:167" ht="12.75" hidden="1" customHeight="1" x14ac:dyDescent="0.2">
      <c r="A115">
        <v>69</v>
      </c>
      <c r="B115" s="4" t="s">
        <v>1602</v>
      </c>
      <c r="C115" s="4" t="s">
        <v>1557</v>
      </c>
      <c r="D115" t="s">
        <v>1025</v>
      </c>
      <c r="E115">
        <v>-1747</v>
      </c>
      <c r="F115" t="str">
        <f>VLOOKUP(E115,CompDbase!B:L,4,FALSE)</f>
        <v>BDE-2</v>
      </c>
      <c r="G115" s="95" t="str">
        <f>VLOOKUP(E115,CompDbase!B:M,12,FALSE)</f>
        <v>BDE</v>
      </c>
      <c r="H115" s="95">
        <f>VLOOKUP(E115,CompDbase!B:L,8,FALSE)</f>
        <v>249.1</v>
      </c>
      <c r="I115" s="95">
        <f>VLOOKUP(E115,CompDbase!B:L,11,FALSE)</f>
        <v>173</v>
      </c>
      <c r="J115" s="95">
        <f>VLOOKUP(E115,CompDbase!B:L,9,FALSE)</f>
        <v>1.9786716326981841</v>
      </c>
      <c r="K115" s="95">
        <f>VLOOKUP(E115,CompDbase!B:L,10,FALSE)</f>
        <v>4.5</v>
      </c>
      <c r="L115" s="4" t="s">
        <v>769</v>
      </c>
      <c r="M115" s="420"/>
      <c r="N115" s="420"/>
      <c r="P115" s="4" t="s">
        <v>1987</v>
      </c>
      <c r="Q115" s="4" t="s">
        <v>1049</v>
      </c>
      <c r="S115" s="4"/>
      <c r="T115" s="95"/>
      <c r="W115" s="199">
        <f t="shared" si="88"/>
        <v>10000</v>
      </c>
      <c r="X115" s="138">
        <v>4</v>
      </c>
      <c r="Z115" s="190"/>
      <c r="AC115" t="s">
        <v>68</v>
      </c>
      <c r="AG115" s="138">
        <f t="shared" si="89"/>
        <v>4</v>
      </c>
      <c r="AH115">
        <f t="shared" si="90"/>
        <v>4.5</v>
      </c>
      <c r="BW115" s="138"/>
      <c r="BX115">
        <f t="shared" si="91"/>
        <v>0.29637372753650626</v>
      </c>
      <c r="DG115" s="138"/>
      <c r="EY115" s="479">
        <f>VLOOKUP(B115,Literatuur!$A:$B,2,FALSE)</f>
        <v>24</v>
      </c>
      <c r="EZ115" t="str">
        <f t="shared" si="93"/>
        <v>BDE-2</v>
      </c>
      <c r="FA115" t="str">
        <f t="shared" si="94"/>
        <v>BDE</v>
      </c>
      <c r="FB115" t="str">
        <f t="shared" si="95"/>
        <v>LDPE</v>
      </c>
      <c r="FC115" t="str">
        <f t="shared" si="96"/>
        <v/>
      </c>
      <c r="FD115" t="str">
        <f t="shared" si="97"/>
        <v>room ??</v>
      </c>
      <c r="FE115" t="str">
        <f t="shared" si="98"/>
        <v>water</v>
      </c>
      <c r="FF115" t="str">
        <f t="shared" si="99"/>
        <v xml:space="preserve"> </v>
      </c>
      <c r="FG115" s="408" t="str">
        <f t="shared" si="92"/>
        <v/>
      </c>
      <c r="FH115" s="138">
        <f t="shared" si="100"/>
        <v>4</v>
      </c>
      <c r="FI115" s="106" t="str">
        <f t="shared" si="87"/>
        <v>**</v>
      </c>
      <c r="FJ115" s="138" t="str">
        <f t="shared" si="101"/>
        <v/>
      </c>
      <c r="FK115" s="138" t="str">
        <f t="shared" si="102"/>
        <v>**</v>
      </c>
    </row>
    <row r="116" spans="1:167" ht="12.75" hidden="1" customHeight="1" x14ac:dyDescent="0.2">
      <c r="A116">
        <v>70</v>
      </c>
      <c r="B116" t="s">
        <v>430</v>
      </c>
      <c r="D116" t="s">
        <v>331</v>
      </c>
      <c r="E116">
        <v>-1407</v>
      </c>
      <c r="F116" t="str">
        <f>VLOOKUP(E116,CompDbase!B:L,4,FALSE)</f>
        <v>X,X-Dichlorphenol</v>
      </c>
      <c r="G116" s="95" t="str">
        <f>VLOOKUP(E116,CompDbase!B:M,12,FALSE)</f>
        <v>Cl</v>
      </c>
      <c r="H116" s="95">
        <f>VLOOKUP(E116,CompDbase!B:L,8,FALSE)</f>
        <v>163</v>
      </c>
      <c r="I116" s="95" t="e">
        <f>VLOOKUP(E116,CompDbase!B:L,11,FALSE)</f>
        <v>#DIV/0!</v>
      </c>
      <c r="J116" s="95" t="e">
        <f>VLOOKUP(E116,CompDbase!B:L,9,FALSE)</f>
        <v>#DIV/0!</v>
      </c>
      <c r="K116" s="95" t="e">
        <f>VLOOKUP(E116,CompDbase!B:L,10,FALSE)</f>
        <v>#DIV/0!</v>
      </c>
      <c r="L116" s="4" t="s">
        <v>769</v>
      </c>
      <c r="N116" s="416">
        <v>940000</v>
      </c>
      <c r="O116" s="4" t="s">
        <v>1044</v>
      </c>
      <c r="P116">
        <v>293</v>
      </c>
      <c r="Q116" s="4" t="s">
        <v>1049</v>
      </c>
      <c r="R116" s="289" t="s">
        <v>1988</v>
      </c>
      <c r="T116" s="95">
        <v>1</v>
      </c>
      <c r="V116" s="33">
        <v>5.0000000000000001E-3</v>
      </c>
      <c r="W116" s="95" t="e">
        <f t="shared" ref="W116:W134" si="103">V116*N116/J116</f>
        <v>#DIV/0!</v>
      </c>
      <c r="X116" s="288" t="e">
        <f t="shared" ref="X116:X154" si="104">LOG(W116)</f>
        <v>#DIV/0!</v>
      </c>
      <c r="Z116" s="190"/>
      <c r="AC116" t="s">
        <v>68</v>
      </c>
      <c r="EY116" s="479">
        <f>VLOOKUP(B116,Literatuur!$A:$B,2,FALSE)</f>
        <v>37</v>
      </c>
      <c r="EZ116" t="str">
        <f t="shared" si="93"/>
        <v>1,2-Dichloorfenol</v>
      </c>
      <c r="FA116" t="str">
        <f t="shared" si="94"/>
        <v>Cl</v>
      </c>
      <c r="FB116" t="str">
        <f t="shared" si="95"/>
        <v>LDPE</v>
      </c>
      <c r="FC116" t="str">
        <f t="shared" si="96"/>
        <v>Immersion</v>
      </c>
      <c r="FD116">
        <f t="shared" si="97"/>
        <v>293</v>
      </c>
      <c r="FE116" t="str">
        <f t="shared" si="98"/>
        <v>water</v>
      </c>
      <c r="FF116" t="str">
        <f t="shared" si="99"/>
        <v xml:space="preserve">saturated </v>
      </c>
      <c r="FG116" s="408">
        <f t="shared" si="92"/>
        <v>1</v>
      </c>
      <c r="FH116" s="138" t="str">
        <f t="shared" si="100"/>
        <v/>
      </c>
      <c r="FI116" s="106" t="str">
        <f t="shared" si="87"/>
        <v>**</v>
      </c>
      <c r="FJ116" s="138" t="str">
        <f t="shared" si="101"/>
        <v/>
      </c>
      <c r="FK116" s="138" t="str">
        <f t="shared" si="102"/>
        <v>**</v>
      </c>
    </row>
    <row r="117" spans="1:167" ht="12.75" hidden="1" customHeight="1" x14ac:dyDescent="0.2">
      <c r="A117">
        <v>71</v>
      </c>
      <c r="B117" t="s">
        <v>430</v>
      </c>
      <c r="D117" t="s">
        <v>135</v>
      </c>
      <c r="E117">
        <v>508</v>
      </c>
      <c r="F117" t="str">
        <f>VLOOKUP(E117,CompDbase!B:L,4,FALSE)</f>
        <v>2,3,4-Trichlorophenol</v>
      </c>
      <c r="G117" s="95" t="str">
        <f>VLOOKUP(E117,CompDbase!B:M,12,FALSE)</f>
        <v>Cl</v>
      </c>
      <c r="H117" s="95">
        <f>VLOOKUP(E117,CompDbase!B:L,8,FALSE)</f>
        <v>197.5</v>
      </c>
      <c r="I117" s="95" t="e">
        <f>VLOOKUP(E117,CompDbase!B:L,11,FALSE)</f>
        <v>#DIV/0!</v>
      </c>
      <c r="J117" s="95">
        <f>VLOOKUP(E117,CompDbase!B:L,9,FALSE)</f>
        <v>71.099999999999994</v>
      </c>
      <c r="K117" s="95">
        <f>VLOOKUP(E117,CompDbase!B:L,10,FALSE)</f>
        <v>3.8</v>
      </c>
      <c r="L117" s="4" t="s">
        <v>769</v>
      </c>
      <c r="N117" s="416">
        <v>940000</v>
      </c>
      <c r="O117" s="4" t="s">
        <v>1044</v>
      </c>
      <c r="P117">
        <v>293</v>
      </c>
      <c r="Q117" s="4" t="s">
        <v>1049</v>
      </c>
      <c r="R117" s="289" t="s">
        <v>1988</v>
      </c>
      <c r="T117" s="95">
        <v>1</v>
      </c>
      <c r="V117" s="33">
        <v>7.0000000000000001E-3</v>
      </c>
      <c r="W117" s="95">
        <f t="shared" si="103"/>
        <v>92.545710267229268</v>
      </c>
      <c r="X117" s="288">
        <f t="shared" si="104"/>
        <v>1.9663562928841893</v>
      </c>
      <c r="Z117" s="190"/>
      <c r="AC117" t="s">
        <v>68</v>
      </c>
      <c r="AG117" s="138">
        <f t="shared" ref="AG117:AG118" si="105">X117</f>
        <v>1.9663562928841893</v>
      </c>
      <c r="AH117">
        <f t="shared" ref="AH117:AI118" si="106">$K117</f>
        <v>3.8</v>
      </c>
      <c r="AI117">
        <f t="shared" si="106"/>
        <v>3.8</v>
      </c>
      <c r="AN117">
        <f t="shared" ref="AN117:AN118" si="107">$K117</f>
        <v>3.8</v>
      </c>
      <c r="AQ117">
        <f t="shared" ref="AQ117:AQ118" si="108">$K117</f>
        <v>3.8</v>
      </c>
      <c r="BW117" s="138"/>
      <c r="BX117">
        <f>LOG(1*$J117)</f>
        <v>1.8518696007297664</v>
      </c>
      <c r="BY117">
        <f>LOG(1*$J117)</f>
        <v>1.8518696007297664</v>
      </c>
      <c r="CD117">
        <f>LOG(1*$J117)</f>
        <v>1.8518696007297664</v>
      </c>
      <c r="CG117">
        <f>LOG(1*$J117)</f>
        <v>1.8518696007297664</v>
      </c>
      <c r="DG117" s="138"/>
      <c r="EY117" s="479">
        <f>VLOOKUP(B117,Literatuur!$A:$B,2,FALSE)</f>
        <v>37</v>
      </c>
      <c r="EZ117" t="str">
        <f t="shared" si="93"/>
        <v>2,3,4-Trichloorfenol</v>
      </c>
      <c r="FA117" t="str">
        <f t="shared" si="94"/>
        <v>Cl</v>
      </c>
      <c r="FB117" t="str">
        <f t="shared" si="95"/>
        <v>LDPE</v>
      </c>
      <c r="FC117" t="str">
        <f t="shared" si="96"/>
        <v>Immersion</v>
      </c>
      <c r="FD117">
        <f t="shared" si="97"/>
        <v>293</v>
      </c>
      <c r="FE117" t="str">
        <f t="shared" si="98"/>
        <v>water</v>
      </c>
      <c r="FF117" t="str">
        <f t="shared" si="99"/>
        <v xml:space="preserve">saturated </v>
      </c>
      <c r="FG117" s="408">
        <f t="shared" si="92"/>
        <v>1</v>
      </c>
      <c r="FH117" s="138">
        <f t="shared" si="100"/>
        <v>1.9663562928841893</v>
      </c>
      <c r="FI117" s="106">
        <f t="shared" si="87"/>
        <v>1.9252677059350094</v>
      </c>
      <c r="FJ117" s="138" t="str">
        <f t="shared" si="101"/>
        <v/>
      </c>
      <c r="FK117" s="138" t="str">
        <f t="shared" si="102"/>
        <v>**</v>
      </c>
    </row>
    <row r="118" spans="1:167" ht="12.75" hidden="1" customHeight="1" x14ac:dyDescent="0.2">
      <c r="A118">
        <v>72</v>
      </c>
      <c r="B118" t="s">
        <v>430</v>
      </c>
      <c r="D118" t="s">
        <v>164</v>
      </c>
      <c r="E118">
        <v>547</v>
      </c>
      <c r="F118" t="str">
        <f>VLOOKUP(E118,CompDbase!B:L,4,FALSE)</f>
        <v>2,3,5,6-Tetrachlorophenol</v>
      </c>
      <c r="G118" s="95" t="str">
        <f>VLOOKUP(E118,CompDbase!B:M,12,FALSE)</f>
        <v>Cl</v>
      </c>
      <c r="H118" s="95">
        <f>VLOOKUP(E118,CompDbase!B:L,8,FALSE)</f>
        <v>231.9</v>
      </c>
      <c r="I118" s="95" t="e">
        <f>VLOOKUP(E118,CompDbase!B:L,11,FALSE)</f>
        <v>#DIV/0!</v>
      </c>
      <c r="J118" s="95">
        <f>VLOOKUP(E118,CompDbase!B:L,9,FALSE)</f>
        <v>4.79</v>
      </c>
      <c r="K118" s="95">
        <f>VLOOKUP(E118,CompDbase!B:L,10,FALSE)</f>
        <v>3.88</v>
      </c>
      <c r="L118" s="4" t="s">
        <v>769</v>
      </c>
      <c r="N118" s="416">
        <v>940000</v>
      </c>
      <c r="O118" s="4" t="s">
        <v>1044</v>
      </c>
      <c r="P118">
        <v>293</v>
      </c>
      <c r="Q118" s="4" t="s">
        <v>1049</v>
      </c>
      <c r="R118" s="289" t="s">
        <v>1988</v>
      </c>
      <c r="T118" s="95">
        <v>1</v>
      </c>
      <c r="V118" s="33">
        <v>3.0000000000000001E-3</v>
      </c>
      <c r="W118" s="95">
        <f t="shared" si="103"/>
        <v>588.72651356993731</v>
      </c>
      <c r="X118" s="288">
        <f t="shared" si="104"/>
        <v>2.7699135949047977</v>
      </c>
      <c r="Z118" s="190"/>
      <c r="AC118" t="s">
        <v>68</v>
      </c>
      <c r="AG118" s="138">
        <f t="shared" si="105"/>
        <v>2.7699135949047977</v>
      </c>
      <c r="AH118">
        <f t="shared" si="106"/>
        <v>3.88</v>
      </c>
      <c r="AI118">
        <f t="shared" si="106"/>
        <v>3.88</v>
      </c>
      <c r="AN118">
        <f t="shared" si="107"/>
        <v>3.88</v>
      </c>
      <c r="AQ118">
        <f t="shared" si="108"/>
        <v>3.88</v>
      </c>
      <c r="BW118" s="138"/>
      <c r="BX118">
        <f>LOG(1*$J118)</f>
        <v>0.68033551341456322</v>
      </c>
      <c r="BY118">
        <f>LOG(1*$J118)</f>
        <v>0.68033551341456322</v>
      </c>
      <c r="CD118">
        <f>LOG(1*$J118)</f>
        <v>0.68033551341456322</v>
      </c>
      <c r="CG118">
        <f>LOG(1*$J118)</f>
        <v>0.68033551341456322</v>
      </c>
      <c r="DG118" s="138"/>
      <c r="EY118" s="479">
        <f>VLOOKUP(B118,Literatuur!$A:$B,2,FALSE)</f>
        <v>37</v>
      </c>
      <c r="EZ118" t="str">
        <f t="shared" si="93"/>
        <v>2,3,5,6-Tetrachloorfenol</v>
      </c>
      <c r="FA118" t="str">
        <f t="shared" si="94"/>
        <v>Cl</v>
      </c>
      <c r="FB118" t="str">
        <f t="shared" si="95"/>
        <v>LDPE</v>
      </c>
      <c r="FC118" t="str">
        <f t="shared" si="96"/>
        <v>Immersion</v>
      </c>
      <c r="FD118">
        <f t="shared" si="97"/>
        <v>293</v>
      </c>
      <c r="FE118" t="str">
        <f t="shared" si="98"/>
        <v>water</v>
      </c>
      <c r="FF118" t="str">
        <f t="shared" si="99"/>
        <v xml:space="preserve">saturated </v>
      </c>
      <c r="FG118" s="408">
        <f t="shared" si="92"/>
        <v>1</v>
      </c>
      <c r="FH118" s="138">
        <f t="shared" si="100"/>
        <v>2.7699135949047977</v>
      </c>
      <c r="FI118" s="106">
        <f t="shared" si="87"/>
        <v>2.0036196081534685</v>
      </c>
      <c r="FJ118" s="138" t="str">
        <f t="shared" si="101"/>
        <v/>
      </c>
      <c r="FK118" s="138" t="str">
        <f t="shared" si="102"/>
        <v>**</v>
      </c>
    </row>
    <row r="119" spans="1:167" ht="12.75" hidden="1" customHeight="1" x14ac:dyDescent="0.2">
      <c r="A119">
        <v>73</v>
      </c>
      <c r="B119" t="s">
        <v>430</v>
      </c>
      <c r="D119" t="s">
        <v>333</v>
      </c>
      <c r="E119">
        <v>-1409</v>
      </c>
      <c r="F119" t="str">
        <f>VLOOKUP(E119,CompDbase!B:L,4,FALSE)</f>
        <v>2,3-Dichloor-5-nitrotolueen</v>
      </c>
      <c r="G119" s="95" t="str">
        <f>VLOOKUP(E119,CompDbase!B:M,12,FALSE)</f>
        <v>Cl</v>
      </c>
      <c r="H119" s="95" t="e">
        <f>VLOOKUP(E119,CompDbase!B:L,8,FALSE)</f>
        <v>#DIV/0!</v>
      </c>
      <c r="I119" s="95" t="e">
        <f>VLOOKUP(E119,CompDbase!B:L,11,FALSE)</f>
        <v>#DIV/0!</v>
      </c>
      <c r="J119" s="95" t="e">
        <f>VLOOKUP(E119,CompDbase!B:L,9,FALSE)</f>
        <v>#DIV/0!</v>
      </c>
      <c r="K119" s="95" t="e">
        <f>VLOOKUP(E119,CompDbase!B:L,10,FALSE)</f>
        <v>#DIV/0!</v>
      </c>
      <c r="L119" s="4" t="s">
        <v>769</v>
      </c>
      <c r="N119" s="416">
        <v>940000</v>
      </c>
      <c r="O119" s="4" t="s">
        <v>1044</v>
      </c>
      <c r="P119">
        <v>293</v>
      </c>
      <c r="Q119" s="4" t="s">
        <v>1049</v>
      </c>
      <c r="R119" s="289" t="s">
        <v>1988</v>
      </c>
      <c r="T119" s="95">
        <v>1</v>
      </c>
      <c r="V119" s="33">
        <v>7.0000000000000001E-3</v>
      </c>
      <c r="W119" s="95" t="e">
        <f t="shared" si="103"/>
        <v>#DIV/0!</v>
      </c>
      <c r="X119" s="288" t="e">
        <f t="shared" si="104"/>
        <v>#DIV/0!</v>
      </c>
      <c r="Z119" s="190"/>
      <c r="AC119" t="s">
        <v>68</v>
      </c>
      <c r="EY119" s="479">
        <f>VLOOKUP(B119,Literatuur!$A:$B,2,FALSE)</f>
        <v>37</v>
      </c>
      <c r="EZ119" t="str">
        <f t="shared" si="93"/>
        <v>2,3-Dichloor-5-nitrotolueen</v>
      </c>
      <c r="FA119" t="str">
        <f t="shared" si="94"/>
        <v>Cl</v>
      </c>
      <c r="FB119" t="str">
        <f t="shared" si="95"/>
        <v>LDPE</v>
      </c>
      <c r="FC119" t="str">
        <f t="shared" si="96"/>
        <v>Immersion</v>
      </c>
      <c r="FD119">
        <f t="shared" si="97"/>
        <v>293</v>
      </c>
      <c r="FE119" t="str">
        <f t="shared" si="98"/>
        <v>water</v>
      </c>
      <c r="FF119" t="str">
        <f t="shared" si="99"/>
        <v xml:space="preserve">saturated </v>
      </c>
      <c r="FG119" s="408">
        <f t="shared" si="92"/>
        <v>1</v>
      </c>
      <c r="FH119" s="138" t="str">
        <f t="shared" si="100"/>
        <v/>
      </c>
      <c r="FI119" s="106" t="str">
        <f t="shared" si="87"/>
        <v>**</v>
      </c>
      <c r="FJ119" s="138" t="str">
        <f t="shared" si="101"/>
        <v/>
      </c>
      <c r="FK119" s="138" t="str">
        <f t="shared" si="102"/>
        <v>**</v>
      </c>
    </row>
    <row r="120" spans="1:167" s="13" customFormat="1" ht="12.75" hidden="1" customHeight="1" x14ac:dyDescent="0.2">
      <c r="A120">
        <v>74</v>
      </c>
      <c r="B120" s="13" t="s">
        <v>430</v>
      </c>
      <c r="D120" s="13" t="s">
        <v>161</v>
      </c>
      <c r="E120" s="13">
        <v>544</v>
      </c>
      <c r="F120" s="13" t="str">
        <f>VLOOKUP(E120,CompDbase!B:L,4,FALSE)</f>
        <v>2,4,6-Trichlorophenol</v>
      </c>
      <c r="G120" s="182" t="str">
        <f>VLOOKUP(E120,CompDbase!B:M,12,FALSE)</f>
        <v>Cl</v>
      </c>
      <c r="H120" s="182">
        <f>VLOOKUP(E120,CompDbase!B:L,8,FALSE)</f>
        <v>197.46</v>
      </c>
      <c r="I120" s="182" t="e">
        <f>VLOOKUP(E120,CompDbase!B:L,11,FALSE)</f>
        <v>#DIV/0!</v>
      </c>
      <c r="J120" s="182">
        <f>VLOOKUP(E120,CompDbase!B:L,9,FALSE)</f>
        <v>243</v>
      </c>
      <c r="K120" s="182">
        <f>VLOOKUP(E120,CompDbase!B:L,10,FALSE)</f>
        <v>3.6950000000000003</v>
      </c>
      <c r="L120" s="14" t="s">
        <v>769</v>
      </c>
      <c r="M120" s="424"/>
      <c r="N120" s="424">
        <v>940000</v>
      </c>
      <c r="O120" s="14" t="s">
        <v>1044</v>
      </c>
      <c r="P120">
        <v>293</v>
      </c>
      <c r="Q120" s="14" t="s">
        <v>1049</v>
      </c>
      <c r="R120" s="405" t="s">
        <v>1988</v>
      </c>
      <c r="T120" s="182">
        <v>1</v>
      </c>
      <c r="V120" s="92">
        <v>1.4E-2</v>
      </c>
      <c r="W120" s="182">
        <f t="shared" si="103"/>
        <v>54.156378600823047</v>
      </c>
      <c r="X120" s="317">
        <f t="shared" si="104"/>
        <v>1.7336496156796246</v>
      </c>
      <c r="Z120" s="191"/>
      <c r="AC120" s="13" t="s">
        <v>68</v>
      </c>
      <c r="AG120" s="138">
        <f t="shared" ref="AG120:AG154" si="109">X120</f>
        <v>1.7336496156796246</v>
      </c>
      <c r="AH120">
        <f t="shared" ref="AH120:AK154" si="110">$K120</f>
        <v>3.6950000000000003</v>
      </c>
      <c r="AI120">
        <f t="shared" si="110"/>
        <v>3.6950000000000003</v>
      </c>
      <c r="AN120">
        <f t="shared" ref="AN120:AN126" si="111">$K120</f>
        <v>3.6950000000000003</v>
      </c>
      <c r="AQ120">
        <f t="shared" ref="AQ120:AQ126" si="112">$K120</f>
        <v>3.6950000000000003</v>
      </c>
      <c r="BW120" s="138"/>
      <c r="BX120">
        <f t="shared" ref="BX120:BY134" si="113">LOG(1*$J120)</f>
        <v>2.3856062735983121</v>
      </c>
      <c r="BY120">
        <f t="shared" si="113"/>
        <v>2.3856062735983121</v>
      </c>
      <c r="CD120">
        <f t="shared" ref="CD120:CD126" si="114">LOG(1*$J120)</f>
        <v>2.3856062735983121</v>
      </c>
      <c r="CG120">
        <f t="shared" ref="CG120:CG126" si="115">LOG(1*$J120)</f>
        <v>2.3856062735983121</v>
      </c>
      <c r="DF120"/>
      <c r="DG120" s="138"/>
      <c r="DH120"/>
      <c r="DI120"/>
      <c r="DO120"/>
      <c r="DP120"/>
      <c r="EY120" s="479">
        <f>VLOOKUP(B120,Literatuur!$A:$B,2,FALSE)</f>
        <v>37</v>
      </c>
      <c r="EZ120" t="str">
        <f t="shared" si="93"/>
        <v>2,4,6-Trichloorfenol</v>
      </c>
      <c r="FA120" t="str">
        <f t="shared" si="94"/>
        <v>Cl</v>
      </c>
      <c r="FB120" t="str">
        <f t="shared" si="95"/>
        <v>LDPE</v>
      </c>
      <c r="FC120" t="str">
        <f t="shared" si="96"/>
        <v>Immersion</v>
      </c>
      <c r="FD120">
        <f t="shared" si="97"/>
        <v>293</v>
      </c>
      <c r="FE120" t="str">
        <f t="shared" si="98"/>
        <v>water</v>
      </c>
      <c r="FF120" t="str">
        <f t="shared" si="99"/>
        <v xml:space="preserve">saturated </v>
      </c>
      <c r="FG120" s="408">
        <f t="shared" si="92"/>
        <v>1</v>
      </c>
      <c r="FH120" s="138">
        <f t="shared" si="100"/>
        <v>1.7336496156796246</v>
      </c>
      <c r="FI120" s="106">
        <f t="shared" si="87"/>
        <v>1.8224308342732827</v>
      </c>
      <c r="FJ120" s="138" t="str">
        <f t="shared" si="101"/>
        <v/>
      </c>
      <c r="FK120" s="138" t="str">
        <f t="shared" si="102"/>
        <v>**</v>
      </c>
    </row>
    <row r="121" spans="1:167" s="9" customFormat="1" ht="12.75" hidden="1" customHeight="1" x14ac:dyDescent="0.2">
      <c r="A121">
        <v>75</v>
      </c>
      <c r="B121" s="9" t="s">
        <v>430</v>
      </c>
      <c r="D121" s="9" t="s">
        <v>325</v>
      </c>
      <c r="E121" s="9">
        <v>-1401</v>
      </c>
      <c r="F121" s="9" t="str">
        <f>VLOOKUP(E121,CompDbase!B:L,4,FALSE)</f>
        <v>2-Chloroaniline</v>
      </c>
      <c r="G121" s="181" t="str">
        <f>VLOOKUP(E121,CompDbase!B:M,12,FALSE)</f>
        <v>Cl</v>
      </c>
      <c r="H121" s="181">
        <f>VLOOKUP(E121,CompDbase!B:L,8,FALSE)</f>
        <v>127.57</v>
      </c>
      <c r="I121" s="181" t="e">
        <f>VLOOKUP(E121,CompDbase!B:L,11,FALSE)</f>
        <v>#DIV/0!</v>
      </c>
      <c r="J121" s="181">
        <f>VLOOKUP(E121,CompDbase!B:L,9,FALSE)</f>
        <v>8160</v>
      </c>
      <c r="K121" s="181">
        <f>VLOOKUP(E121,CompDbase!B:L,10,FALSE)</f>
        <v>1.9</v>
      </c>
      <c r="L121" s="10" t="s">
        <v>769</v>
      </c>
      <c r="M121" s="425"/>
      <c r="N121" s="425">
        <v>940000</v>
      </c>
      <c r="O121" s="10" t="s">
        <v>1044</v>
      </c>
      <c r="P121">
        <v>293</v>
      </c>
      <c r="Q121" s="10" t="s">
        <v>1049</v>
      </c>
      <c r="R121" s="393" t="s">
        <v>1988</v>
      </c>
      <c r="T121" s="181">
        <v>1</v>
      </c>
      <c r="V121" s="91">
        <v>2.3E-2</v>
      </c>
      <c r="W121" s="181">
        <f t="shared" si="103"/>
        <v>2.6495098039215685</v>
      </c>
      <c r="X121" s="316">
        <f t="shared" si="104"/>
        <v>0.42316553086343039</v>
      </c>
      <c r="Z121" s="189"/>
      <c r="AC121" s="9" t="s">
        <v>68</v>
      </c>
      <c r="AG121" s="138">
        <f t="shared" si="109"/>
        <v>0.42316553086343039</v>
      </c>
      <c r="AH121">
        <f t="shared" si="110"/>
        <v>1.9</v>
      </c>
      <c r="AI121">
        <f t="shared" si="110"/>
        <v>1.9</v>
      </c>
      <c r="AN121">
        <f t="shared" si="111"/>
        <v>1.9</v>
      </c>
      <c r="AQ121">
        <f t="shared" si="112"/>
        <v>1.9</v>
      </c>
      <c r="BW121" s="138"/>
      <c r="BX121">
        <f t="shared" si="113"/>
        <v>3.9116901587538613</v>
      </c>
      <c r="BY121">
        <f t="shared" si="113"/>
        <v>3.9116901587538613</v>
      </c>
      <c r="CD121">
        <f t="shared" si="114"/>
        <v>3.9116901587538613</v>
      </c>
      <c r="CG121">
        <f t="shared" si="115"/>
        <v>3.9116901587538613</v>
      </c>
      <c r="DF121"/>
      <c r="DG121" s="138"/>
      <c r="DH121"/>
      <c r="DI121"/>
      <c r="DO121"/>
      <c r="DP121"/>
      <c r="EY121" s="479">
        <f>VLOOKUP(B121,Literatuur!$A:$B,2,FALSE)</f>
        <v>37</v>
      </c>
      <c r="EZ121" t="str">
        <f t="shared" si="93"/>
        <v>2-Chlooraniline</v>
      </c>
      <c r="FA121" t="str">
        <f t="shared" si="94"/>
        <v>Cl</v>
      </c>
      <c r="FB121" t="str">
        <f t="shared" si="95"/>
        <v>LDPE</v>
      </c>
      <c r="FC121" t="str">
        <f t="shared" si="96"/>
        <v>Immersion</v>
      </c>
      <c r="FD121">
        <f t="shared" si="97"/>
        <v>293</v>
      </c>
      <c r="FE121" t="str">
        <f t="shared" si="98"/>
        <v>water</v>
      </c>
      <c r="FF121" t="str">
        <f t="shared" si="99"/>
        <v xml:space="preserve">saturated </v>
      </c>
      <c r="FG121" s="408">
        <f t="shared" si="92"/>
        <v>1</v>
      </c>
      <c r="FH121" s="138">
        <f t="shared" si="100"/>
        <v>0.42316553086343039</v>
      </c>
      <c r="FI121" s="106">
        <f t="shared" si="87"/>
        <v>6.4410028246610906E-2</v>
      </c>
      <c r="FJ121" s="138" t="str">
        <f t="shared" si="101"/>
        <v/>
      </c>
      <c r="FK121" s="138" t="str">
        <f t="shared" si="102"/>
        <v>**</v>
      </c>
    </row>
    <row r="122" spans="1:167" ht="12.75" hidden="1" customHeight="1" x14ac:dyDescent="0.2">
      <c r="A122">
        <v>76</v>
      </c>
      <c r="B122" t="s">
        <v>430</v>
      </c>
      <c r="D122" t="s">
        <v>160</v>
      </c>
      <c r="E122">
        <v>543</v>
      </c>
      <c r="F122" t="str">
        <f>VLOOKUP(E122,CompDbase!B:L,4,FALSE)</f>
        <v>3,4,5-Trichlorophenol</v>
      </c>
      <c r="G122" s="95" t="str">
        <f>VLOOKUP(E122,CompDbase!B:M,12,FALSE)</f>
        <v>Cl</v>
      </c>
      <c r="H122" s="95">
        <f>VLOOKUP(E122,CompDbase!B:L,8,FALSE)</f>
        <v>197.45</v>
      </c>
      <c r="I122" s="95" t="e">
        <f>VLOOKUP(E122,CompDbase!B:L,11,FALSE)</f>
        <v>#DIV/0!</v>
      </c>
      <c r="J122" s="95">
        <f>VLOOKUP(E122,CompDbase!B:L,9,FALSE)</f>
        <v>34.6</v>
      </c>
      <c r="K122" s="95">
        <f>VLOOKUP(E122,CompDbase!B:L,10,FALSE)</f>
        <v>4.01</v>
      </c>
      <c r="L122" s="4" t="s">
        <v>769</v>
      </c>
      <c r="M122" s="423"/>
      <c r="N122" s="416">
        <v>940000</v>
      </c>
      <c r="O122" s="4" t="s">
        <v>1044</v>
      </c>
      <c r="P122">
        <v>293</v>
      </c>
      <c r="Q122" s="4" t="s">
        <v>1049</v>
      </c>
      <c r="R122" s="289" t="s">
        <v>1988</v>
      </c>
      <c r="T122" s="95">
        <v>1</v>
      </c>
      <c r="V122" s="33">
        <v>4.0000000000000001E-3</v>
      </c>
      <c r="W122" s="95">
        <f t="shared" si="103"/>
        <v>108.67052023121387</v>
      </c>
      <c r="X122" s="288">
        <f t="shared" si="104"/>
        <v>2.0361117461348845</v>
      </c>
      <c r="Z122" s="190"/>
      <c r="AC122" t="s">
        <v>68</v>
      </c>
      <c r="AG122" s="138">
        <f t="shared" si="109"/>
        <v>2.0361117461348845</v>
      </c>
      <c r="AH122">
        <f t="shared" si="110"/>
        <v>4.01</v>
      </c>
      <c r="AI122">
        <f t="shared" si="110"/>
        <v>4.01</v>
      </c>
      <c r="AN122">
        <f t="shared" si="111"/>
        <v>4.01</v>
      </c>
      <c r="AQ122">
        <f t="shared" si="112"/>
        <v>4.01</v>
      </c>
      <c r="BW122" s="138"/>
      <c r="BX122">
        <f t="shared" si="113"/>
        <v>1.5390760987927767</v>
      </c>
      <c r="BY122">
        <f t="shared" si="113"/>
        <v>1.5390760987927767</v>
      </c>
      <c r="CD122">
        <f t="shared" si="114"/>
        <v>1.5390760987927767</v>
      </c>
      <c r="CG122">
        <f t="shared" si="115"/>
        <v>1.5390760987927767</v>
      </c>
      <c r="DG122" s="138"/>
      <c r="EY122" s="479">
        <f>VLOOKUP(B122,Literatuur!$A:$B,2,FALSE)</f>
        <v>37</v>
      </c>
      <c r="EZ122" t="str">
        <f t="shared" si="93"/>
        <v>3,4,5-Trichloorfenol</v>
      </c>
      <c r="FA122" t="str">
        <f t="shared" si="94"/>
        <v>Cl</v>
      </c>
      <c r="FB122" t="str">
        <f t="shared" si="95"/>
        <v>LDPE</v>
      </c>
      <c r="FC122" t="str">
        <f t="shared" si="96"/>
        <v>Immersion</v>
      </c>
      <c r="FD122">
        <f t="shared" si="97"/>
        <v>293</v>
      </c>
      <c r="FE122" t="str">
        <f t="shared" si="98"/>
        <v>water</v>
      </c>
      <c r="FF122" t="str">
        <f t="shared" si="99"/>
        <v xml:space="preserve">saturated </v>
      </c>
      <c r="FG122" s="408">
        <f t="shared" si="92"/>
        <v>1</v>
      </c>
      <c r="FH122" s="138">
        <f t="shared" si="100"/>
        <v>2.0361117461348845</v>
      </c>
      <c r="FI122" s="106">
        <f t="shared" si="87"/>
        <v>2.1309414492584642</v>
      </c>
      <c r="FJ122" s="138" t="str">
        <f t="shared" si="101"/>
        <v/>
      </c>
      <c r="FK122" s="138" t="str">
        <f t="shared" si="102"/>
        <v>**</v>
      </c>
    </row>
    <row r="123" spans="1:167" ht="12.75" hidden="1" customHeight="1" x14ac:dyDescent="0.2">
      <c r="A123">
        <v>77</v>
      </c>
      <c r="B123" t="s">
        <v>430</v>
      </c>
      <c r="D123" t="s">
        <v>326</v>
      </c>
      <c r="E123">
        <v>-1402</v>
      </c>
      <c r="F123" t="str">
        <f>VLOOKUP(E123,CompDbase!B:L,4,FALSE)</f>
        <v>3-Chloroaniline</v>
      </c>
      <c r="G123" s="95" t="str">
        <f>VLOOKUP(E123,CompDbase!B:M,12,FALSE)</f>
        <v>Cl</v>
      </c>
      <c r="H123" s="95">
        <f>VLOOKUP(E123,CompDbase!B:L,8,FALSE)</f>
        <v>127.57</v>
      </c>
      <c r="I123" s="95" t="e">
        <f>VLOOKUP(E123,CompDbase!B:L,11,FALSE)</f>
        <v>#DIV/0!</v>
      </c>
      <c r="J123" s="95">
        <f>VLOOKUP(E123,CompDbase!B:L,9,FALSE)</f>
        <v>5400</v>
      </c>
      <c r="K123" s="95">
        <f>VLOOKUP(E123,CompDbase!B:L,10,FALSE)</f>
        <v>1.88</v>
      </c>
      <c r="L123" s="4" t="s">
        <v>769</v>
      </c>
      <c r="N123" s="416">
        <v>940000</v>
      </c>
      <c r="O123" s="4" t="s">
        <v>1044</v>
      </c>
      <c r="P123">
        <v>293</v>
      </c>
      <c r="Q123" s="4" t="s">
        <v>1049</v>
      </c>
      <c r="R123" s="289" t="s">
        <v>1988</v>
      </c>
      <c r="T123" s="95">
        <v>1</v>
      </c>
      <c r="V123" s="33">
        <v>1.0999999999999999E-2</v>
      </c>
      <c r="W123" s="95">
        <f t="shared" si="103"/>
        <v>1.9148148148148147</v>
      </c>
      <c r="X123" s="288">
        <f t="shared" si="104"/>
        <v>0.28212677893495519</v>
      </c>
      <c r="Z123" s="190"/>
      <c r="AC123" t="s">
        <v>68</v>
      </c>
      <c r="AG123" s="138">
        <f t="shared" si="109"/>
        <v>0.28212677893495519</v>
      </c>
      <c r="AH123">
        <f t="shared" si="110"/>
        <v>1.88</v>
      </c>
      <c r="AI123">
        <f t="shared" si="110"/>
        <v>1.88</v>
      </c>
      <c r="AN123">
        <f t="shared" si="111"/>
        <v>1.88</v>
      </c>
      <c r="AQ123">
        <f t="shared" si="112"/>
        <v>1.88</v>
      </c>
      <c r="BW123" s="138"/>
      <c r="BX123">
        <f t="shared" si="113"/>
        <v>3.7323937598229686</v>
      </c>
      <c r="BY123">
        <f t="shared" si="113"/>
        <v>3.7323937598229686</v>
      </c>
      <c r="CD123">
        <f t="shared" si="114"/>
        <v>3.7323937598229686</v>
      </c>
      <c r="CG123">
        <f t="shared" si="115"/>
        <v>3.7323937598229686</v>
      </c>
      <c r="DG123" s="138"/>
      <c r="EY123" s="479">
        <f>VLOOKUP(B123,Literatuur!$A:$B,2,FALSE)</f>
        <v>37</v>
      </c>
      <c r="EZ123" t="str">
        <f t="shared" si="93"/>
        <v>3-Chlooraniline</v>
      </c>
      <c r="FA123" t="str">
        <f t="shared" si="94"/>
        <v>Cl</v>
      </c>
      <c r="FB123" t="str">
        <f t="shared" si="95"/>
        <v>LDPE</v>
      </c>
      <c r="FC123" t="str">
        <f t="shared" si="96"/>
        <v>Immersion</v>
      </c>
      <c r="FD123">
        <f t="shared" si="97"/>
        <v>293</v>
      </c>
      <c r="FE123" t="str">
        <f t="shared" si="98"/>
        <v>water</v>
      </c>
      <c r="FF123" t="str">
        <f t="shared" si="99"/>
        <v xml:space="preserve">saturated </v>
      </c>
      <c r="FG123" s="408">
        <f t="shared" si="92"/>
        <v>1</v>
      </c>
      <c r="FH123" s="138">
        <f t="shared" si="100"/>
        <v>0.28212677893495519</v>
      </c>
      <c r="FI123" s="106">
        <f t="shared" si="87"/>
        <v>4.4822052691996239E-2</v>
      </c>
      <c r="FJ123" s="138" t="str">
        <f t="shared" si="101"/>
        <v/>
      </c>
      <c r="FK123" s="138" t="str">
        <f t="shared" si="102"/>
        <v>**</v>
      </c>
    </row>
    <row r="124" spans="1:167" ht="12.75" hidden="1" customHeight="1" x14ac:dyDescent="0.2">
      <c r="A124">
        <v>78</v>
      </c>
      <c r="B124" t="s">
        <v>430</v>
      </c>
      <c r="D124" t="s">
        <v>327</v>
      </c>
      <c r="E124">
        <v>-1403</v>
      </c>
      <c r="F124" t="str">
        <f>VLOOKUP(E124,CompDbase!B:L,4,FALSE)</f>
        <v>4-Chloroaniline</v>
      </c>
      <c r="G124" s="95" t="str">
        <f>VLOOKUP(E124,CompDbase!B:M,12,FALSE)</f>
        <v>Cl</v>
      </c>
      <c r="H124" s="95">
        <f>VLOOKUP(E124,CompDbase!B:L,8,FALSE)</f>
        <v>127.57</v>
      </c>
      <c r="I124" s="95" t="e">
        <f>VLOOKUP(E124,CompDbase!B:L,11,FALSE)</f>
        <v>#DIV/0!</v>
      </c>
      <c r="J124" s="95">
        <f>VLOOKUP(E124,CompDbase!B:L,9,FALSE)</f>
        <v>3900</v>
      </c>
      <c r="K124" s="95">
        <f>VLOOKUP(E124,CompDbase!B:L,10,FALSE)</f>
        <v>1.83</v>
      </c>
      <c r="L124" s="4" t="s">
        <v>769</v>
      </c>
      <c r="N124" s="416">
        <v>940000</v>
      </c>
      <c r="O124" s="4" t="s">
        <v>1044</v>
      </c>
      <c r="P124">
        <v>293</v>
      </c>
      <c r="Q124" s="4" t="s">
        <v>1049</v>
      </c>
      <c r="R124" s="289" t="s">
        <v>1988</v>
      </c>
      <c r="T124" s="95">
        <v>1</v>
      </c>
      <c r="V124" s="33">
        <v>4.0000000000000001E-3</v>
      </c>
      <c r="W124" s="95">
        <f t="shared" si="103"/>
        <v>0.96410256410256412</v>
      </c>
      <c r="X124" s="288">
        <f t="shared" si="104"/>
        <v>-1.5876762098838149E-2</v>
      </c>
      <c r="Z124" s="190"/>
      <c r="AC124" t="s">
        <v>68</v>
      </c>
      <c r="AG124" s="138">
        <f t="shared" si="109"/>
        <v>-1.5876762098838149E-2</v>
      </c>
      <c r="AH124">
        <f t="shared" si="110"/>
        <v>1.83</v>
      </c>
      <c r="AI124">
        <f t="shared" si="110"/>
        <v>1.83</v>
      </c>
      <c r="AN124">
        <f t="shared" si="111"/>
        <v>1.83</v>
      </c>
      <c r="AQ124">
        <f t="shared" si="112"/>
        <v>1.83</v>
      </c>
      <c r="BW124" s="138"/>
      <c r="BX124">
        <f t="shared" si="113"/>
        <v>3.5910646070264991</v>
      </c>
      <c r="BY124">
        <f t="shared" si="113"/>
        <v>3.5910646070264991</v>
      </c>
      <c r="CD124">
        <f t="shared" si="114"/>
        <v>3.5910646070264991</v>
      </c>
      <c r="CG124">
        <f t="shared" si="115"/>
        <v>3.5910646070264991</v>
      </c>
      <c r="DG124" s="138"/>
      <c r="EY124" s="479">
        <f>VLOOKUP(B124,Literatuur!$A:$B,2,FALSE)</f>
        <v>37</v>
      </c>
      <c r="EZ124" t="str">
        <f t="shared" si="93"/>
        <v>4-Chlooraniline</v>
      </c>
      <c r="FA124" t="str">
        <f t="shared" si="94"/>
        <v>Cl</v>
      </c>
      <c r="FB124" t="str">
        <f t="shared" si="95"/>
        <v>LDPE</v>
      </c>
      <c r="FC124" t="str">
        <f t="shared" si="96"/>
        <v>Immersion</v>
      </c>
      <c r="FD124">
        <f t="shared" si="97"/>
        <v>293</v>
      </c>
      <c r="FE124" t="str">
        <f t="shared" si="98"/>
        <v>water</v>
      </c>
      <c r="FF124" t="str">
        <f t="shared" si="99"/>
        <v xml:space="preserve">saturated </v>
      </c>
      <c r="FG124" s="408">
        <f t="shared" si="92"/>
        <v>1</v>
      </c>
      <c r="FH124" s="138">
        <f t="shared" si="100"/>
        <v>-1.5876762098838149E-2</v>
      </c>
      <c r="FI124" s="106">
        <f t="shared" si="87"/>
        <v>-4.1478861945403178E-3</v>
      </c>
      <c r="FJ124" s="138" t="str">
        <f t="shared" si="101"/>
        <v/>
      </c>
      <c r="FK124" s="138" t="str">
        <f t="shared" si="102"/>
        <v>**</v>
      </c>
    </row>
    <row r="125" spans="1:167" ht="12.75" hidden="1" customHeight="1" x14ac:dyDescent="0.2">
      <c r="A125">
        <v>79</v>
      </c>
      <c r="B125" t="s">
        <v>430</v>
      </c>
      <c r="D125" t="s">
        <v>330</v>
      </c>
      <c r="E125">
        <v>-1406</v>
      </c>
      <c r="F125" t="str">
        <f>VLOOKUP(E125,CompDbase!B:L,4,FALSE)</f>
        <v>P-chlorophenol</v>
      </c>
      <c r="G125" s="95" t="str">
        <f>VLOOKUP(E125,CompDbase!B:M,12,FALSE)</f>
        <v>Cl</v>
      </c>
      <c r="H125" s="95">
        <f>VLOOKUP(E125,CompDbase!B:L,8,FALSE)</f>
        <v>128.56</v>
      </c>
      <c r="I125" s="95" t="e">
        <f>VLOOKUP(E125,CompDbase!B:L,11,FALSE)</f>
        <v>#DIV/0!</v>
      </c>
      <c r="J125" s="95">
        <f>VLOOKUP(E125,CompDbase!B:L,9,FALSE)</f>
        <v>25500</v>
      </c>
      <c r="K125" s="95">
        <f>VLOOKUP(E125,CompDbase!B:L,10,FALSE)</f>
        <v>2.27</v>
      </c>
      <c r="L125" s="4" t="s">
        <v>769</v>
      </c>
      <c r="N125" s="416">
        <v>940000</v>
      </c>
      <c r="O125" s="4" t="s">
        <v>1044</v>
      </c>
      <c r="P125">
        <v>293</v>
      </c>
      <c r="Q125" s="4" t="s">
        <v>1049</v>
      </c>
      <c r="R125" s="289" t="s">
        <v>1988</v>
      </c>
      <c r="T125" s="95">
        <v>1</v>
      </c>
      <c r="V125" s="33">
        <v>4.0000000000000001E-3</v>
      </c>
      <c r="W125" s="95">
        <f t="shared" si="103"/>
        <v>0.14745098039215687</v>
      </c>
      <c r="X125" s="288">
        <f t="shared" si="104"/>
        <v>-0.83135233550629406</v>
      </c>
      <c r="Z125" s="190"/>
      <c r="AC125" t="s">
        <v>68</v>
      </c>
      <c r="AG125" s="138">
        <f t="shared" si="109"/>
        <v>-0.83135233550629406</v>
      </c>
      <c r="AH125">
        <f t="shared" si="110"/>
        <v>2.27</v>
      </c>
      <c r="AI125">
        <f t="shared" si="110"/>
        <v>2.27</v>
      </c>
      <c r="AN125">
        <f t="shared" si="111"/>
        <v>2.27</v>
      </c>
      <c r="AQ125">
        <f t="shared" si="112"/>
        <v>2.27</v>
      </c>
      <c r="BW125" s="138"/>
      <c r="BX125">
        <f t="shared" si="113"/>
        <v>4.4065401804339555</v>
      </c>
      <c r="BY125">
        <f t="shared" si="113"/>
        <v>4.4065401804339555</v>
      </c>
      <c r="CD125">
        <f t="shared" si="114"/>
        <v>4.4065401804339555</v>
      </c>
      <c r="CG125">
        <f t="shared" si="115"/>
        <v>4.4065401804339555</v>
      </c>
      <c r="DG125" s="138"/>
      <c r="EY125" s="479">
        <f>VLOOKUP(B125,Literatuur!$A:$B,2,FALSE)</f>
        <v>37</v>
      </c>
      <c r="EZ125" t="str">
        <f t="shared" si="93"/>
        <v>p-Chloorfenol</v>
      </c>
      <c r="FA125" t="str">
        <f t="shared" si="94"/>
        <v>Cl</v>
      </c>
      <c r="FB125" t="str">
        <f t="shared" si="95"/>
        <v>LDPE</v>
      </c>
      <c r="FC125" t="str">
        <f t="shared" si="96"/>
        <v>Immersion</v>
      </c>
      <c r="FD125">
        <f t="shared" si="97"/>
        <v>293</v>
      </c>
      <c r="FE125" t="str">
        <f t="shared" si="98"/>
        <v>water</v>
      </c>
      <c r="FF125" t="str">
        <f t="shared" si="99"/>
        <v xml:space="preserve">saturated </v>
      </c>
      <c r="FG125" s="408">
        <f t="shared" si="92"/>
        <v>1</v>
      </c>
      <c r="FH125" s="138">
        <f t="shared" si="100"/>
        <v>-0.83135233550629406</v>
      </c>
      <c r="FI125" s="106">
        <f t="shared" si="87"/>
        <v>0.42678757600698347</v>
      </c>
      <c r="FJ125" s="138" t="str">
        <f t="shared" si="101"/>
        <v/>
      </c>
      <c r="FK125" s="138" t="str">
        <f t="shared" si="102"/>
        <v>**</v>
      </c>
    </row>
    <row r="126" spans="1:167" ht="12.75" hidden="1" customHeight="1" x14ac:dyDescent="0.2">
      <c r="A126">
        <v>80</v>
      </c>
      <c r="B126" t="s">
        <v>430</v>
      </c>
      <c r="D126" t="s">
        <v>137</v>
      </c>
      <c r="E126">
        <v>510</v>
      </c>
      <c r="F126" t="str">
        <f>VLOOKUP(E126,CompDbase!B:L,4,FALSE)</f>
        <v>Pentachlorophenol</v>
      </c>
      <c r="G126" s="95" t="str">
        <f>VLOOKUP(E126,CompDbase!B:M,12,FALSE)</f>
        <v>Cl</v>
      </c>
      <c r="H126" s="95">
        <f>VLOOKUP(E126,CompDbase!B:L,8,FALSE)</f>
        <v>266.33</v>
      </c>
      <c r="I126" s="95" t="e">
        <f>VLOOKUP(E126,CompDbase!B:L,11,FALSE)</f>
        <v>#DIV/0!</v>
      </c>
      <c r="J126" s="95">
        <f>VLOOKUP(E126,CompDbase!B:L,9,FALSE)</f>
        <v>4.28</v>
      </c>
      <c r="K126" s="95">
        <f>VLOOKUP(E126,CompDbase!B:L,10,FALSE)</f>
        <v>5.1050000000000004</v>
      </c>
      <c r="L126" s="4" t="s">
        <v>769</v>
      </c>
      <c r="N126" s="416">
        <v>940000</v>
      </c>
      <c r="O126" s="4" t="s">
        <v>1044</v>
      </c>
      <c r="P126">
        <v>293</v>
      </c>
      <c r="Q126" s="4" t="s">
        <v>1049</v>
      </c>
      <c r="R126" s="289" t="s">
        <v>1988</v>
      </c>
      <c r="T126" s="95">
        <v>1</v>
      </c>
      <c r="V126" s="33">
        <v>1E-3</v>
      </c>
      <c r="W126" s="95">
        <f t="shared" si="103"/>
        <v>219.62616822429905</v>
      </c>
      <c r="X126" s="288">
        <f t="shared" si="104"/>
        <v>2.3416840845865265</v>
      </c>
      <c r="Z126" s="190"/>
      <c r="AC126" t="s">
        <v>68</v>
      </c>
      <c r="AG126" s="138">
        <f t="shared" si="109"/>
        <v>2.3416840845865265</v>
      </c>
      <c r="AH126">
        <f t="shared" si="110"/>
        <v>5.1050000000000004</v>
      </c>
      <c r="AI126">
        <f t="shared" si="110"/>
        <v>5.1050000000000004</v>
      </c>
      <c r="AN126">
        <f t="shared" si="111"/>
        <v>5.1050000000000004</v>
      </c>
      <c r="AQ126">
        <f t="shared" si="112"/>
        <v>5.1050000000000004</v>
      </c>
      <c r="BW126" s="138"/>
      <c r="BX126">
        <f t="shared" si="113"/>
        <v>0.63144376901317201</v>
      </c>
      <c r="BY126">
        <f t="shared" si="113"/>
        <v>0.63144376901317201</v>
      </c>
      <c r="CD126">
        <f t="shared" si="114"/>
        <v>0.63144376901317201</v>
      </c>
      <c r="CG126">
        <f t="shared" si="115"/>
        <v>0.63144376901317201</v>
      </c>
      <c r="DG126" s="138"/>
      <c r="EY126" s="479">
        <f>VLOOKUP(B126,Literatuur!$A:$B,2,FALSE)</f>
        <v>37</v>
      </c>
      <c r="EZ126" t="str">
        <f t="shared" si="93"/>
        <v>Pentachloorfenol</v>
      </c>
      <c r="FA126" t="str">
        <f t="shared" si="94"/>
        <v>Cl</v>
      </c>
      <c r="FB126" t="str">
        <f t="shared" si="95"/>
        <v>LDPE</v>
      </c>
      <c r="FC126" t="str">
        <f t="shared" si="96"/>
        <v>Immersion</v>
      </c>
      <c r="FD126">
        <f t="shared" si="97"/>
        <v>293</v>
      </c>
      <c r="FE126" t="str">
        <f t="shared" si="98"/>
        <v>water</v>
      </c>
      <c r="FF126" t="str">
        <f t="shared" si="99"/>
        <v xml:space="preserve">saturated </v>
      </c>
      <c r="FG126" s="408">
        <f t="shared" si="92"/>
        <v>1</v>
      </c>
      <c r="FH126" s="138">
        <f t="shared" si="100"/>
        <v>2.3416840845865265</v>
      </c>
      <c r="FI126" s="106">
        <f t="shared" si="87"/>
        <v>3.2033831108736206</v>
      </c>
      <c r="FJ126" s="138" t="str">
        <f t="shared" si="101"/>
        <v/>
      </c>
      <c r="FK126" s="138" t="str">
        <f t="shared" si="102"/>
        <v>**</v>
      </c>
    </row>
    <row r="127" spans="1:167" ht="12.75" hidden="1" customHeight="1" x14ac:dyDescent="0.2">
      <c r="A127">
        <v>81</v>
      </c>
      <c r="B127" t="s">
        <v>430</v>
      </c>
      <c r="D127" t="s">
        <v>318</v>
      </c>
      <c r="E127">
        <v>408</v>
      </c>
      <c r="F127" t="str">
        <f>VLOOKUP(E127,CompDbase!B:L,4,FALSE)</f>
        <v>1,1,1-Trichloroethane</v>
      </c>
      <c r="G127" s="95" t="str">
        <f>VLOOKUP(E127,CompDbase!B:M,12,FALSE)</f>
        <v>ClAlk</v>
      </c>
      <c r="H127" s="95">
        <f>VLOOKUP(E127,CompDbase!B:L,8,FALSE)</f>
        <v>133.4</v>
      </c>
      <c r="I127" s="95" t="e">
        <f>VLOOKUP(E127,CompDbase!B:L,11,FALSE)</f>
        <v>#DIV/0!</v>
      </c>
      <c r="J127" s="95">
        <f>VLOOKUP(E127,CompDbase!B:L,9,FALSE)</f>
        <v>2343.3333333333335</v>
      </c>
      <c r="K127" s="95">
        <f>VLOOKUP(E127,CompDbase!B:L,10,FALSE)</f>
        <v>2.8000000000000003</v>
      </c>
      <c r="L127" s="4" t="s">
        <v>769</v>
      </c>
      <c r="M127" s="423"/>
      <c r="N127" s="416">
        <v>940000</v>
      </c>
      <c r="O127" s="4" t="s">
        <v>1044</v>
      </c>
      <c r="P127">
        <v>293</v>
      </c>
      <c r="Q127" s="4" t="s">
        <v>1049</v>
      </c>
      <c r="R127" s="289" t="s">
        <v>1988</v>
      </c>
      <c r="T127" s="95">
        <v>1</v>
      </c>
      <c r="V127" s="36">
        <v>0.158</v>
      </c>
      <c r="W127" s="95">
        <f t="shared" si="103"/>
        <v>63.379800853485058</v>
      </c>
      <c r="X127" s="288">
        <f t="shared" si="104"/>
        <v>1.8019508702539597</v>
      </c>
      <c r="Z127" s="190"/>
      <c r="AC127" t="s">
        <v>68</v>
      </c>
      <c r="AG127" s="138">
        <f t="shared" si="109"/>
        <v>1.8019508702539597</v>
      </c>
      <c r="AH127">
        <f t="shared" si="110"/>
        <v>2.8000000000000003</v>
      </c>
      <c r="AI127">
        <f t="shared" si="110"/>
        <v>2.8000000000000003</v>
      </c>
      <c r="AL127">
        <f t="shared" ref="AL127:AL134" si="116">$K127</f>
        <v>2.8000000000000003</v>
      </c>
      <c r="AO127">
        <f t="shared" ref="AO127:AO134" si="117">$K127</f>
        <v>2.8000000000000003</v>
      </c>
      <c r="BW127" s="138"/>
      <c r="BX127">
        <f t="shared" si="113"/>
        <v>3.3698340703001617</v>
      </c>
      <c r="BY127">
        <f t="shared" si="113"/>
        <v>3.3698340703001617</v>
      </c>
      <c r="CB127">
        <f t="shared" ref="CB127:CB134" si="118">LOG(1*$J127)</f>
        <v>3.3698340703001617</v>
      </c>
      <c r="CE127">
        <f t="shared" ref="CE127:CE134" si="119">LOG(1*$J127)</f>
        <v>3.3698340703001617</v>
      </c>
      <c r="DG127" s="138"/>
      <c r="EY127" s="479">
        <f>VLOOKUP(B127,Literatuur!$A:$B,2,FALSE)</f>
        <v>37</v>
      </c>
      <c r="EZ127" t="str">
        <f t="shared" si="93"/>
        <v>1,1,1-Trichloorethaan</v>
      </c>
      <c r="FA127" t="str">
        <f t="shared" si="94"/>
        <v>ClAlk</v>
      </c>
      <c r="FB127" t="str">
        <f t="shared" si="95"/>
        <v>LDPE</v>
      </c>
      <c r="FC127" t="str">
        <f t="shared" si="96"/>
        <v>Immersion</v>
      </c>
      <c r="FD127">
        <f t="shared" si="97"/>
        <v>293</v>
      </c>
      <c r="FE127" t="str">
        <f t="shared" si="98"/>
        <v>water</v>
      </c>
      <c r="FF127" t="str">
        <f t="shared" si="99"/>
        <v xml:space="preserve">saturated </v>
      </c>
      <c r="FG127" s="408">
        <f t="shared" si="92"/>
        <v>1</v>
      </c>
      <c r="FH127" s="138">
        <f t="shared" si="100"/>
        <v>1.8019508702539597</v>
      </c>
      <c r="FI127" s="106">
        <f t="shared" si="87"/>
        <v>2.3862231835539123</v>
      </c>
      <c r="FJ127" s="138" t="str">
        <f t="shared" si="101"/>
        <v/>
      </c>
      <c r="FK127" s="138" t="str">
        <f t="shared" si="102"/>
        <v>**</v>
      </c>
    </row>
    <row r="128" spans="1:167" ht="12.75" hidden="1" customHeight="1" x14ac:dyDescent="0.2">
      <c r="A128">
        <v>82</v>
      </c>
      <c r="B128" t="s">
        <v>430</v>
      </c>
      <c r="D128" t="s">
        <v>316</v>
      </c>
      <c r="E128">
        <v>-401</v>
      </c>
      <c r="F128" t="str">
        <f>VLOOKUP(E128,CompDbase!B:L,4,FALSE)</f>
        <v>1,1,2,2-Tetrachloroethane</v>
      </c>
      <c r="G128" s="95" t="str">
        <f>VLOOKUP(E128,CompDbase!B:M,12,FALSE)</f>
        <v>ClAlk</v>
      </c>
      <c r="H128" s="95">
        <f>VLOOKUP(E128,CompDbase!B:L,8,FALSE)</f>
        <v>167.85</v>
      </c>
      <c r="I128" s="95" t="e">
        <f>VLOOKUP(E128,CompDbase!B:L,11,FALSE)</f>
        <v>#DIV/0!</v>
      </c>
      <c r="J128" s="95">
        <f>VLOOKUP(E128,CompDbase!B:L,9,FALSE)</f>
        <v>2900</v>
      </c>
      <c r="K128" s="95">
        <f>VLOOKUP(E128,CompDbase!B:L,10,FALSE)</f>
        <v>2.39</v>
      </c>
      <c r="L128" s="4" t="s">
        <v>769</v>
      </c>
      <c r="N128" s="416">
        <v>940000</v>
      </c>
      <c r="O128" s="4" t="s">
        <v>1044</v>
      </c>
      <c r="P128">
        <v>293</v>
      </c>
      <c r="Q128" s="4" t="s">
        <v>1049</v>
      </c>
      <c r="R128" s="289" t="s">
        <v>1988</v>
      </c>
      <c r="T128" s="95">
        <v>1</v>
      </c>
      <c r="V128" s="36">
        <v>0.105</v>
      </c>
      <c r="W128" s="95">
        <f t="shared" si="103"/>
        <v>34.03448275862069</v>
      </c>
      <c r="X128" s="288">
        <f t="shared" si="104"/>
        <v>1.5319191547706807</v>
      </c>
      <c r="Z128" s="190"/>
      <c r="AC128" t="s">
        <v>68</v>
      </c>
      <c r="AG128" s="138">
        <f t="shared" si="109"/>
        <v>1.5319191547706807</v>
      </c>
      <c r="AH128">
        <f t="shared" si="110"/>
        <v>2.39</v>
      </c>
      <c r="AI128">
        <f t="shared" si="110"/>
        <v>2.39</v>
      </c>
      <c r="AL128">
        <f t="shared" si="116"/>
        <v>2.39</v>
      </c>
      <c r="AO128">
        <f t="shared" si="117"/>
        <v>2.39</v>
      </c>
      <c r="BW128" s="138"/>
      <c r="BX128">
        <f t="shared" si="113"/>
        <v>3.4623979978989561</v>
      </c>
      <c r="BY128">
        <f t="shared" si="113"/>
        <v>3.4623979978989561</v>
      </c>
      <c r="CB128">
        <f t="shared" si="118"/>
        <v>3.4623979978989561</v>
      </c>
      <c r="CE128">
        <f t="shared" si="119"/>
        <v>3.4623979978989561</v>
      </c>
      <c r="DG128" s="138"/>
      <c r="EY128" s="479">
        <f>VLOOKUP(B128,Literatuur!$A:$B,2,FALSE)</f>
        <v>37</v>
      </c>
      <c r="EZ128" t="str">
        <f t="shared" si="93"/>
        <v>1,1,2,2-Tetrachloorethaan</v>
      </c>
      <c r="FA128" t="str">
        <f t="shared" si="94"/>
        <v>ClAlk</v>
      </c>
      <c r="FB128" t="str">
        <f t="shared" si="95"/>
        <v>LDPE</v>
      </c>
      <c r="FC128" t="str">
        <f t="shared" si="96"/>
        <v>Immersion</v>
      </c>
      <c r="FD128">
        <f t="shared" si="97"/>
        <v>293</v>
      </c>
      <c r="FE128" t="str">
        <f t="shared" si="98"/>
        <v>water</v>
      </c>
      <c r="FF128" t="str">
        <f t="shared" si="99"/>
        <v xml:space="preserve">saturated </v>
      </c>
      <c r="FG128" s="408">
        <f t="shared" si="92"/>
        <v>1</v>
      </c>
      <c r="FH128" s="138">
        <f t="shared" si="100"/>
        <v>1.5319191547706807</v>
      </c>
      <c r="FI128" s="106">
        <f t="shared" si="87"/>
        <v>1.9371067856260407</v>
      </c>
      <c r="FJ128" s="138" t="str">
        <f t="shared" si="101"/>
        <v/>
      </c>
      <c r="FK128" s="138" t="str">
        <f t="shared" si="102"/>
        <v>**</v>
      </c>
    </row>
    <row r="129" spans="1:167" ht="12.75" hidden="1" customHeight="1" x14ac:dyDescent="0.2">
      <c r="A129">
        <v>83</v>
      </c>
      <c r="B129" t="s">
        <v>430</v>
      </c>
      <c r="D129" t="s">
        <v>319</v>
      </c>
      <c r="E129">
        <v>409</v>
      </c>
      <c r="F129" t="str">
        <f>VLOOKUP(E129,CompDbase!B:L,4,FALSE)</f>
        <v>1,1,2-Trichloroethane</v>
      </c>
      <c r="G129" s="95" t="str">
        <f>VLOOKUP(E129,CompDbase!B:M,12,FALSE)</f>
        <v>ClAlk</v>
      </c>
      <c r="H129" s="95">
        <f>VLOOKUP(E129,CompDbase!B:L,8,FALSE)</f>
        <v>133.4</v>
      </c>
      <c r="I129" s="95" t="e">
        <f>VLOOKUP(E129,CompDbase!B:L,11,FALSE)</f>
        <v>#DIV/0!</v>
      </c>
      <c r="J129" s="95">
        <f>VLOOKUP(E129,CompDbase!B:L,9,FALSE)</f>
        <v>3055</v>
      </c>
      <c r="K129" s="95">
        <f>VLOOKUP(E129,CompDbase!B:L,10,FALSE)</f>
        <v>1.8900000000000001</v>
      </c>
      <c r="L129" s="4" t="s">
        <v>769</v>
      </c>
      <c r="N129" s="416">
        <v>940000</v>
      </c>
      <c r="O129" s="4" t="s">
        <v>1044</v>
      </c>
      <c r="P129">
        <v>293</v>
      </c>
      <c r="Q129" s="4" t="s">
        <v>1049</v>
      </c>
      <c r="R129" s="289" t="s">
        <v>1988</v>
      </c>
      <c r="T129" s="95">
        <v>1</v>
      </c>
      <c r="V129" s="40">
        <v>8.2000000000000003E-2</v>
      </c>
      <c r="W129" s="95">
        <f t="shared" si="103"/>
        <v>25.23076923076923</v>
      </c>
      <c r="X129" s="288">
        <f t="shared" si="104"/>
        <v>1.4019304914048423</v>
      </c>
      <c r="Z129" s="190"/>
      <c r="AC129" t="s">
        <v>68</v>
      </c>
      <c r="AG129" s="138">
        <f t="shared" si="109"/>
        <v>1.4019304914048423</v>
      </c>
      <c r="AH129">
        <f t="shared" si="110"/>
        <v>1.8900000000000001</v>
      </c>
      <c r="AI129">
        <f t="shared" si="110"/>
        <v>1.8900000000000001</v>
      </c>
      <c r="AL129">
        <f t="shared" si="116"/>
        <v>1.8900000000000001</v>
      </c>
      <c r="AO129">
        <f t="shared" si="117"/>
        <v>1.8900000000000001</v>
      </c>
      <c r="BW129" s="138"/>
      <c r="BX129">
        <f t="shared" si="113"/>
        <v>3.4850112145785732</v>
      </c>
      <c r="BY129">
        <f t="shared" si="113"/>
        <v>3.4850112145785732</v>
      </c>
      <c r="CB129">
        <f t="shared" si="118"/>
        <v>3.4850112145785732</v>
      </c>
      <c r="CE129">
        <f t="shared" si="119"/>
        <v>3.4850112145785732</v>
      </c>
      <c r="DG129" s="138"/>
      <c r="EY129" s="479">
        <f>VLOOKUP(B129,Literatuur!$A:$B,2,FALSE)</f>
        <v>37</v>
      </c>
      <c r="EZ129" t="str">
        <f t="shared" si="93"/>
        <v>1,1,2-Trichloorethaan</v>
      </c>
      <c r="FA129" t="str">
        <f t="shared" si="94"/>
        <v>ClAlk</v>
      </c>
      <c r="FB129" t="str">
        <f t="shared" si="95"/>
        <v>LDPE</v>
      </c>
      <c r="FC129" t="str">
        <f t="shared" si="96"/>
        <v>Immersion</v>
      </c>
      <c r="FD129">
        <f t="shared" si="97"/>
        <v>293</v>
      </c>
      <c r="FE129" t="str">
        <f t="shared" si="98"/>
        <v>water</v>
      </c>
      <c r="FF129" t="str">
        <f t="shared" si="99"/>
        <v xml:space="preserve">saturated </v>
      </c>
      <c r="FG129" s="408">
        <f t="shared" si="92"/>
        <v>1</v>
      </c>
      <c r="FH129" s="138">
        <f t="shared" si="100"/>
        <v>1.4019304914048423</v>
      </c>
      <c r="FI129" s="106">
        <f t="shared" si="87"/>
        <v>1.3894038613237578</v>
      </c>
      <c r="FJ129" s="138" t="str">
        <f t="shared" si="101"/>
        <v/>
      </c>
      <c r="FK129" s="138" t="str">
        <f t="shared" si="102"/>
        <v>**</v>
      </c>
    </row>
    <row r="130" spans="1:167" s="13" customFormat="1" ht="12.75" hidden="1" customHeight="1" x14ac:dyDescent="0.2">
      <c r="A130">
        <v>84</v>
      </c>
      <c r="B130" s="13" t="s">
        <v>430</v>
      </c>
      <c r="D130" s="13" t="s">
        <v>315</v>
      </c>
      <c r="E130" s="13">
        <v>400</v>
      </c>
      <c r="F130" s="13" t="str">
        <f>VLOOKUP(E130,CompDbase!B:L,4,FALSE)</f>
        <v>1,2-Dichloroethane</v>
      </c>
      <c r="G130" s="182" t="str">
        <f>VLOOKUP(E130,CompDbase!B:M,12,FALSE)</f>
        <v>ClAlk</v>
      </c>
      <c r="H130" s="182">
        <f>VLOOKUP(E130,CompDbase!B:L,8,FALSE)</f>
        <v>98.973331537275584</v>
      </c>
      <c r="I130" s="182">
        <f>VLOOKUP(E130,CompDbase!B:L,11,FALSE)</f>
        <v>79.400000000000006</v>
      </c>
      <c r="J130" s="182">
        <f>VLOOKUP(E130,CompDbase!B:L,9,FALSE)</f>
        <v>10188.832473485421</v>
      </c>
      <c r="K130" s="182">
        <f>VLOOKUP(E130,CompDbase!B:L,10,FALSE)</f>
        <v>1.47</v>
      </c>
      <c r="L130" s="14" t="s">
        <v>769</v>
      </c>
      <c r="M130" s="424"/>
      <c r="N130" s="424">
        <v>940000</v>
      </c>
      <c r="O130" s="14" t="s">
        <v>1044</v>
      </c>
      <c r="P130">
        <v>293</v>
      </c>
      <c r="Q130" s="14" t="s">
        <v>1049</v>
      </c>
      <c r="R130" s="405" t="s">
        <v>1988</v>
      </c>
      <c r="T130" s="182">
        <v>1</v>
      </c>
      <c r="V130" s="411">
        <v>5.8000000000000003E-2</v>
      </c>
      <c r="W130" s="182">
        <f t="shared" si="103"/>
        <v>5.3509565636571566</v>
      </c>
      <c r="X130" s="317">
        <f t="shared" si="104"/>
        <v>0.72843142560692609</v>
      </c>
      <c r="Z130" s="191"/>
      <c r="AC130" s="13" t="s">
        <v>68</v>
      </c>
      <c r="AG130" s="138">
        <f t="shared" si="109"/>
        <v>0.72843142560692609</v>
      </c>
      <c r="AH130">
        <f t="shared" si="110"/>
        <v>1.47</v>
      </c>
      <c r="AI130">
        <f t="shared" si="110"/>
        <v>1.47</v>
      </c>
      <c r="AL130">
        <f t="shared" si="116"/>
        <v>1.47</v>
      </c>
      <c r="AM130"/>
      <c r="AN130"/>
      <c r="AO130">
        <f t="shared" si="117"/>
        <v>1.47</v>
      </c>
      <c r="BW130" s="138"/>
      <c r="BX130">
        <f t="shared" si="113"/>
        <v>4.0081244215557099</v>
      </c>
      <c r="BY130">
        <f t="shared" si="113"/>
        <v>4.0081244215557099</v>
      </c>
      <c r="CB130">
        <f t="shared" si="118"/>
        <v>4.0081244215557099</v>
      </c>
      <c r="CC130"/>
      <c r="CD130"/>
      <c r="CE130">
        <f t="shared" si="119"/>
        <v>4.0081244215557099</v>
      </c>
      <c r="DF130"/>
      <c r="DG130" s="138"/>
      <c r="DH130"/>
      <c r="DI130"/>
      <c r="DL130"/>
      <c r="DM130"/>
      <c r="DN130"/>
      <c r="DO130"/>
      <c r="DP130"/>
      <c r="EY130" s="479">
        <f>VLOOKUP(B130,Literatuur!$A:$B,2,FALSE)</f>
        <v>37</v>
      </c>
      <c r="EZ130" t="str">
        <f t="shared" si="93"/>
        <v>1,2-Dichloorethaan</v>
      </c>
      <c r="FA130" t="str">
        <f t="shared" si="94"/>
        <v>ClAlk</v>
      </c>
      <c r="FB130" t="str">
        <f t="shared" si="95"/>
        <v>LDPE</v>
      </c>
      <c r="FC130" t="str">
        <f t="shared" si="96"/>
        <v>Immersion</v>
      </c>
      <c r="FD130">
        <f t="shared" si="97"/>
        <v>293</v>
      </c>
      <c r="FE130" t="str">
        <f t="shared" si="98"/>
        <v>water</v>
      </c>
      <c r="FF130" t="str">
        <f t="shared" si="99"/>
        <v xml:space="preserve">saturated </v>
      </c>
      <c r="FG130" s="408">
        <f t="shared" si="92"/>
        <v>1</v>
      </c>
      <c r="FH130" s="138">
        <f t="shared" si="100"/>
        <v>0.72843142560692609</v>
      </c>
      <c r="FI130" s="106">
        <f t="shared" si="87"/>
        <v>0.92933340490984029</v>
      </c>
      <c r="FJ130" s="138" t="str">
        <f t="shared" si="101"/>
        <v/>
      </c>
      <c r="FK130" s="138" t="str">
        <f t="shared" si="102"/>
        <v>**</v>
      </c>
    </row>
    <row r="131" spans="1:167" s="9" customFormat="1" ht="12.75" hidden="1" customHeight="1" x14ac:dyDescent="0.2">
      <c r="A131">
        <v>85</v>
      </c>
      <c r="B131" s="9" t="s">
        <v>430</v>
      </c>
      <c r="D131" s="9" t="s">
        <v>322</v>
      </c>
      <c r="E131" s="9">
        <v>410</v>
      </c>
      <c r="F131" s="9" t="str">
        <f>VLOOKUP(E131,CompDbase!B:L,4,FALSE)</f>
        <v>1,2-dichloro-, (Z)-Ethene</v>
      </c>
      <c r="G131" s="181" t="str">
        <f>VLOOKUP(E131,CompDbase!B:M,12,FALSE)</f>
        <v>ClAlk</v>
      </c>
      <c r="H131" s="181">
        <f>VLOOKUP(E131,CompDbase!B:L,8,FALSE)</f>
        <v>96.95</v>
      </c>
      <c r="I131" s="181" t="e">
        <f>VLOOKUP(E131,CompDbase!B:L,11,FALSE)</f>
        <v>#DIV/0!</v>
      </c>
      <c r="J131" s="181">
        <f>VLOOKUP(E131,CompDbase!B:L,9,FALSE)</f>
        <v>775.6</v>
      </c>
      <c r="K131" s="181">
        <f>VLOOKUP(E131,CompDbase!B:L,10,FALSE)</f>
        <v>1.906666666666667</v>
      </c>
      <c r="L131" s="10" t="s">
        <v>769</v>
      </c>
      <c r="M131" s="425"/>
      <c r="N131" s="425">
        <v>940000</v>
      </c>
      <c r="O131" s="10" t="s">
        <v>1044</v>
      </c>
      <c r="P131" s="9">
        <v>293</v>
      </c>
      <c r="Q131" s="10" t="s">
        <v>1049</v>
      </c>
      <c r="R131" s="393" t="s">
        <v>1988</v>
      </c>
      <c r="T131" s="181">
        <v>1</v>
      </c>
      <c r="V131" s="410">
        <v>0.19500000000000001</v>
      </c>
      <c r="W131" s="181">
        <f t="shared" si="103"/>
        <v>236.33316142341411</v>
      </c>
      <c r="X131" s="316">
        <f t="shared" si="104"/>
        <v>2.373524664555549</v>
      </c>
      <c r="Z131" s="189"/>
      <c r="AC131" s="9" t="s">
        <v>68</v>
      </c>
      <c r="AG131" s="138">
        <f t="shared" si="109"/>
        <v>2.373524664555549</v>
      </c>
      <c r="AH131">
        <f t="shared" si="110"/>
        <v>1.906666666666667</v>
      </c>
      <c r="AI131">
        <f t="shared" si="110"/>
        <v>1.906666666666667</v>
      </c>
      <c r="AL131">
        <f t="shared" si="116"/>
        <v>1.906666666666667</v>
      </c>
      <c r="AM131"/>
      <c r="AN131"/>
      <c r="AO131">
        <f t="shared" si="117"/>
        <v>1.906666666666667</v>
      </c>
      <c r="BW131" s="138"/>
      <c r="BX131">
        <f t="shared" si="113"/>
        <v>2.8896378004066676</v>
      </c>
      <c r="BY131">
        <f t="shared" si="113"/>
        <v>2.8896378004066676</v>
      </c>
      <c r="CB131">
        <f t="shared" si="118"/>
        <v>2.8896378004066676</v>
      </c>
      <c r="CC131"/>
      <c r="CD131"/>
      <c r="CE131">
        <f t="shared" si="119"/>
        <v>2.8896378004066676</v>
      </c>
      <c r="DF131"/>
      <c r="DG131" s="138"/>
      <c r="DH131"/>
      <c r="DI131"/>
      <c r="DL131"/>
      <c r="DM131"/>
      <c r="DN131"/>
      <c r="DO131"/>
      <c r="DP131"/>
      <c r="EY131" s="479">
        <f>VLOOKUP(B131,Literatuur!$A:$B,2,FALSE)</f>
        <v>37</v>
      </c>
      <c r="EZ131" t="str">
        <f t="shared" si="93"/>
        <v>1,2-Dichlooretheen(cis)</v>
      </c>
      <c r="FA131" t="str">
        <f t="shared" si="94"/>
        <v>ClAlk</v>
      </c>
      <c r="FB131" t="str">
        <f t="shared" si="95"/>
        <v>LDPE</v>
      </c>
      <c r="FC131" t="str">
        <f t="shared" si="96"/>
        <v>Immersion</v>
      </c>
      <c r="FD131">
        <f t="shared" si="97"/>
        <v>293</v>
      </c>
      <c r="FE131" t="str">
        <f t="shared" si="98"/>
        <v>water</v>
      </c>
      <c r="FF131" t="str">
        <f t="shared" si="99"/>
        <v xml:space="preserve">saturated </v>
      </c>
      <c r="FG131" s="408">
        <f t="shared" si="92"/>
        <v>1</v>
      </c>
      <c r="FH131" s="138">
        <f t="shared" si="100"/>
        <v>2.373524664555549</v>
      </c>
      <c r="FI131" s="106">
        <f t="shared" si="87"/>
        <v>1.4076606254671677</v>
      </c>
      <c r="FJ131" s="138" t="str">
        <f t="shared" si="101"/>
        <v/>
      </c>
      <c r="FK131" s="138" t="str">
        <f t="shared" si="102"/>
        <v>**</v>
      </c>
    </row>
    <row r="132" spans="1:167" ht="12.75" hidden="1" customHeight="1" x14ac:dyDescent="0.2">
      <c r="A132">
        <v>86</v>
      </c>
      <c r="B132" t="s">
        <v>430</v>
      </c>
      <c r="D132" t="s">
        <v>125</v>
      </c>
      <c r="E132">
        <v>415</v>
      </c>
      <c r="F132" t="str">
        <f>VLOOKUP(E132,CompDbase!B:L,4,FALSE)</f>
        <v>1,2-Dichloropropane</v>
      </c>
      <c r="G132" s="95" t="str">
        <f>VLOOKUP(E132,CompDbase!B:M,12,FALSE)</f>
        <v>ClAlk</v>
      </c>
      <c r="H132" s="95">
        <f>VLOOKUP(E132,CompDbase!B:L,8,FALSE)</f>
        <v>113</v>
      </c>
      <c r="I132" s="95" t="e">
        <f>VLOOKUP(E132,CompDbase!B:L,11,FALSE)</f>
        <v>#DIV/0!</v>
      </c>
      <c r="J132" s="95">
        <f>VLOOKUP(E132,CompDbase!B:L,9,FALSE)</f>
        <v>1469</v>
      </c>
      <c r="K132" s="95">
        <f>VLOOKUP(E132,CompDbase!B:L,10,FALSE)</f>
        <v>1.99</v>
      </c>
      <c r="L132" s="4" t="s">
        <v>769</v>
      </c>
      <c r="N132" s="416">
        <v>940000</v>
      </c>
      <c r="O132" s="4" t="s">
        <v>1044</v>
      </c>
      <c r="P132">
        <v>293</v>
      </c>
      <c r="Q132" s="4" t="s">
        <v>1049</v>
      </c>
      <c r="R132" s="289" t="s">
        <v>1988</v>
      </c>
      <c r="T132" s="95">
        <v>1</v>
      </c>
      <c r="V132" s="36">
        <v>7.4999999999999997E-2</v>
      </c>
      <c r="W132" s="95">
        <f t="shared" si="103"/>
        <v>47.991831177671884</v>
      </c>
      <c r="X132" s="288">
        <f t="shared" si="104"/>
        <v>1.6811673212011422</v>
      </c>
      <c r="Z132" s="190"/>
      <c r="AC132" t="s">
        <v>68</v>
      </c>
      <c r="AG132" s="138">
        <f t="shared" si="109"/>
        <v>1.6811673212011422</v>
      </c>
      <c r="AH132">
        <f t="shared" si="110"/>
        <v>1.99</v>
      </c>
      <c r="AI132">
        <f t="shared" si="110"/>
        <v>1.99</v>
      </c>
      <c r="AL132">
        <f t="shared" si="116"/>
        <v>1.99</v>
      </c>
      <c r="AO132">
        <f t="shared" si="117"/>
        <v>1.99</v>
      </c>
      <c r="BW132" s="138"/>
      <c r="BX132">
        <f t="shared" si="113"/>
        <v>3.1670217957902564</v>
      </c>
      <c r="BY132">
        <f t="shared" si="113"/>
        <v>3.1670217957902564</v>
      </c>
      <c r="CB132">
        <f t="shared" si="118"/>
        <v>3.1670217957902564</v>
      </c>
      <c r="CE132">
        <f t="shared" si="119"/>
        <v>3.1670217957902564</v>
      </c>
      <c r="DG132" s="138"/>
      <c r="EY132" s="479">
        <f>VLOOKUP(B132,Literatuur!$A:$B,2,FALSE)</f>
        <v>37</v>
      </c>
      <c r="EZ132" t="str">
        <f t="shared" si="93"/>
        <v>1,2-dichloorpropaan</v>
      </c>
      <c r="FA132" t="str">
        <f t="shared" si="94"/>
        <v>ClAlk</v>
      </c>
      <c r="FB132" t="str">
        <f t="shared" si="95"/>
        <v>LDPE</v>
      </c>
      <c r="FC132" t="str">
        <f t="shared" si="96"/>
        <v>Immersion</v>
      </c>
      <c r="FD132">
        <f t="shared" si="97"/>
        <v>293</v>
      </c>
      <c r="FE132" t="str">
        <f t="shared" si="98"/>
        <v>water</v>
      </c>
      <c r="FF132" t="str">
        <f t="shared" si="99"/>
        <v xml:space="preserve">saturated </v>
      </c>
      <c r="FG132" s="408">
        <f t="shared" si="92"/>
        <v>1</v>
      </c>
      <c r="FH132" s="138">
        <f t="shared" si="100"/>
        <v>1.6811673212011422</v>
      </c>
      <c r="FI132" s="106">
        <f t="shared" si="87"/>
        <v>1.4989444461842143</v>
      </c>
      <c r="FJ132" s="138" t="str">
        <f t="shared" si="101"/>
        <v/>
      </c>
      <c r="FK132" s="138" t="str">
        <f t="shared" si="102"/>
        <v>**</v>
      </c>
    </row>
    <row r="133" spans="1:167" ht="12.75" hidden="1" customHeight="1" x14ac:dyDescent="0.2">
      <c r="A133">
        <v>87</v>
      </c>
      <c r="B133" t="s">
        <v>430</v>
      </c>
      <c r="D133" t="s">
        <v>311</v>
      </c>
      <c r="E133">
        <v>-402</v>
      </c>
      <c r="F133" t="str">
        <f>VLOOKUP(E133,CompDbase!B:L,4,FALSE)</f>
        <v>Dichloromethane</v>
      </c>
      <c r="G133" s="95" t="str">
        <f>VLOOKUP(E133,CompDbase!B:M,12,FALSE)</f>
        <v>ClAlk</v>
      </c>
      <c r="H133" s="95">
        <f>VLOOKUP(E133,CompDbase!B:L,8,FALSE)</f>
        <v>84.93</v>
      </c>
      <c r="I133" s="95">
        <f>VLOOKUP(E133,CompDbase!B:L,11,FALSE)</f>
        <v>64.5</v>
      </c>
      <c r="J133" s="95">
        <f>VLOOKUP(E133,CompDbase!B:L,9,FALSE)</f>
        <v>20000</v>
      </c>
      <c r="K133" s="95">
        <f>VLOOKUP(E133,CompDbase!B:L,10,FALSE)</f>
        <v>1.25</v>
      </c>
      <c r="L133" s="4" t="s">
        <v>769</v>
      </c>
      <c r="N133" s="416">
        <v>940000</v>
      </c>
      <c r="O133" s="4" t="s">
        <v>1044</v>
      </c>
      <c r="P133">
        <v>293</v>
      </c>
      <c r="Q133" s="4" t="s">
        <v>1049</v>
      </c>
      <c r="R133" s="289" t="s">
        <v>1988</v>
      </c>
      <c r="T133" s="95">
        <v>1</v>
      </c>
      <c r="V133" s="36">
        <v>0.105</v>
      </c>
      <c r="W133" s="95">
        <f t="shared" si="103"/>
        <v>4.9349999999999996</v>
      </c>
      <c r="X133" s="288">
        <f t="shared" si="104"/>
        <v>0.69328715700565546</v>
      </c>
      <c r="Z133" s="190"/>
      <c r="AC133" t="s">
        <v>68</v>
      </c>
      <c r="AG133" s="138">
        <f t="shared" si="109"/>
        <v>0.69328715700565546</v>
      </c>
      <c r="AH133">
        <f t="shared" si="110"/>
        <v>1.25</v>
      </c>
      <c r="AI133">
        <f t="shared" si="110"/>
        <v>1.25</v>
      </c>
      <c r="AL133">
        <f t="shared" si="116"/>
        <v>1.25</v>
      </c>
      <c r="AO133">
        <f t="shared" si="117"/>
        <v>1.25</v>
      </c>
      <c r="BW133" s="138"/>
      <c r="BX133">
        <f t="shared" si="113"/>
        <v>4.3010299956639813</v>
      </c>
      <c r="BY133">
        <f t="shared" si="113"/>
        <v>4.3010299956639813</v>
      </c>
      <c r="CB133">
        <f t="shared" si="118"/>
        <v>4.3010299956639813</v>
      </c>
      <c r="CE133">
        <f t="shared" si="119"/>
        <v>4.3010299956639813</v>
      </c>
      <c r="DG133" s="138"/>
      <c r="EY133" s="479">
        <f>VLOOKUP(B133,Literatuur!$A:$B,2,FALSE)</f>
        <v>37</v>
      </c>
      <c r="EZ133" t="str">
        <f t="shared" si="93"/>
        <v>Dichloormethaan</v>
      </c>
      <c r="FA133" t="str">
        <f t="shared" si="94"/>
        <v>ClAlk</v>
      </c>
      <c r="FB133" t="str">
        <f t="shared" si="95"/>
        <v>LDPE</v>
      </c>
      <c r="FC133" t="str">
        <f t="shared" si="96"/>
        <v>Immersion</v>
      </c>
      <c r="FD133">
        <f t="shared" si="97"/>
        <v>293</v>
      </c>
      <c r="FE133" t="str">
        <f t="shared" si="98"/>
        <v>water</v>
      </c>
      <c r="FF133" t="str">
        <f t="shared" si="99"/>
        <v xml:space="preserve">saturated </v>
      </c>
      <c r="FG133" s="408">
        <f t="shared" si="92"/>
        <v>1</v>
      </c>
      <c r="FH133" s="138">
        <f t="shared" si="100"/>
        <v>0.69328715700565546</v>
      </c>
      <c r="FI133" s="106">
        <f t="shared" si="87"/>
        <v>0.68834411821683616</v>
      </c>
      <c r="FJ133" s="138" t="str">
        <f t="shared" si="101"/>
        <v/>
      </c>
      <c r="FK133" s="138" t="str">
        <f t="shared" si="102"/>
        <v>**</v>
      </c>
    </row>
    <row r="134" spans="1:167" ht="12.75" hidden="1" customHeight="1" x14ac:dyDescent="0.2">
      <c r="A134">
        <v>88</v>
      </c>
      <c r="B134" t="s">
        <v>430</v>
      </c>
      <c r="D134" t="s">
        <v>8</v>
      </c>
      <c r="E134">
        <v>403</v>
      </c>
      <c r="F134" t="str">
        <f>VLOOKUP(E134,CompDbase!B:L,4,FALSE)</f>
        <v>Tetrachloroethylene</v>
      </c>
      <c r="G134" s="95" t="str">
        <f>VLOOKUP(E134,CompDbase!B:M,12,FALSE)</f>
        <v>ClAlk</v>
      </c>
      <c r="H134" s="95">
        <f>VLOOKUP(E134,CompDbase!B:L,8,FALSE)</f>
        <v>165.80749949115744</v>
      </c>
      <c r="I134" s="95" t="e">
        <f>VLOOKUP(E134,CompDbase!B:L,11,FALSE)</f>
        <v>#DIV/0!</v>
      </c>
      <c r="J134" s="95">
        <f>VLOOKUP(E134,CompDbase!B:L,9,FALSE)</f>
        <v>118.88250367033854</v>
      </c>
      <c r="K134" s="95">
        <f>VLOOKUP(E134,CompDbase!B:L,10,FALSE)</f>
        <v>3.4</v>
      </c>
      <c r="L134" s="4" t="s">
        <v>769</v>
      </c>
      <c r="M134" s="423"/>
      <c r="N134" s="416">
        <v>940000</v>
      </c>
      <c r="O134" s="4" t="s">
        <v>1044</v>
      </c>
      <c r="P134">
        <v>293</v>
      </c>
      <c r="Q134" s="4" t="s">
        <v>1049</v>
      </c>
      <c r="R134" s="289" t="s">
        <v>1988</v>
      </c>
      <c r="T134" s="95">
        <v>1</v>
      </c>
      <c r="V134" s="36">
        <v>0.14000000000000001</v>
      </c>
      <c r="W134" s="95">
        <f t="shared" si="103"/>
        <v>1106.9753406685236</v>
      </c>
      <c r="X134" s="288">
        <f t="shared" si="104"/>
        <v>3.0441379465057601</v>
      </c>
      <c r="Y134">
        <v>3.7037037037037034E-12</v>
      </c>
      <c r="Z134" s="95">
        <f>LOG(Y134)</f>
        <v>-11.431363764158988</v>
      </c>
      <c r="AA134" s="95">
        <f>W134*Y134</f>
        <v>4.0999086691426792E-9</v>
      </c>
      <c r="AB134" s="288">
        <f>LOG(AA134)</f>
        <v>-8.3872258176532277</v>
      </c>
      <c r="AC134" s="95"/>
      <c r="AD134" s="95"/>
      <c r="AG134" s="138">
        <f t="shared" si="109"/>
        <v>3.0441379465057601</v>
      </c>
      <c r="AH134">
        <f t="shared" si="110"/>
        <v>3.4</v>
      </c>
      <c r="AI134">
        <f t="shared" si="110"/>
        <v>3.4</v>
      </c>
      <c r="AL134">
        <f t="shared" si="116"/>
        <v>3.4</v>
      </c>
      <c r="AO134">
        <f t="shared" si="117"/>
        <v>3.4</v>
      </c>
      <c r="BW134" s="138"/>
      <c r="BX134">
        <f t="shared" si="113"/>
        <v>2.0751179427721769</v>
      </c>
      <c r="BY134">
        <f t="shared" si="113"/>
        <v>2.0751179427721769</v>
      </c>
      <c r="CB134">
        <f t="shared" si="118"/>
        <v>2.0751179427721769</v>
      </c>
      <c r="CE134">
        <f t="shared" si="119"/>
        <v>2.0751179427721769</v>
      </c>
      <c r="DG134">
        <f t="shared" ref="DG134:DG135" si="120">Z134</f>
        <v>-11.431363764158988</v>
      </c>
      <c r="DH134">
        <f t="shared" ref="DH134:DM138" si="121">$H134</f>
        <v>165.80749949115744</v>
      </c>
      <c r="DI134">
        <f t="shared" si="121"/>
        <v>165.80749949115744</v>
      </c>
      <c r="EY134" s="479">
        <f>VLOOKUP(B134,Literatuur!$A:$B,2,FALSE)</f>
        <v>37</v>
      </c>
      <c r="EZ134" t="str">
        <f t="shared" si="93"/>
        <v>Tetrachlooretheen</v>
      </c>
      <c r="FA134" t="str">
        <f t="shared" si="94"/>
        <v>ClAlk</v>
      </c>
      <c r="FB134" t="str">
        <f t="shared" si="95"/>
        <v>LDPE</v>
      </c>
      <c r="FC134" t="str">
        <f t="shared" si="96"/>
        <v>Immersion</v>
      </c>
      <c r="FD134">
        <f t="shared" si="97"/>
        <v>293</v>
      </c>
      <c r="FE134" t="str">
        <f t="shared" si="98"/>
        <v>water</v>
      </c>
      <c r="FF134" t="str">
        <f t="shared" si="99"/>
        <v xml:space="preserve">saturated </v>
      </c>
      <c r="FG134" s="408">
        <f t="shared" si="92"/>
        <v>1</v>
      </c>
      <c r="FH134" s="138">
        <f t="shared" si="100"/>
        <v>3.0441379465057601</v>
      </c>
      <c r="FI134" s="106">
        <f t="shared" si="87"/>
        <v>3.0434666927166512</v>
      </c>
      <c r="FJ134" s="138">
        <f t="shared" si="101"/>
        <v>-11.431363764158988</v>
      </c>
      <c r="FK134" s="138" t="str">
        <f t="shared" si="102"/>
        <v>**</v>
      </c>
    </row>
    <row r="135" spans="1:167" ht="12.75" hidden="1" customHeight="1" x14ac:dyDescent="0.2">
      <c r="A135">
        <v>89</v>
      </c>
      <c r="B135" s="4" t="s">
        <v>430</v>
      </c>
      <c r="C135" s="4"/>
      <c r="D135" t="s">
        <v>8</v>
      </c>
      <c r="E135">
        <v>403</v>
      </c>
      <c r="F135" t="str">
        <f>VLOOKUP(E135,CompDbase!B:L,4,FALSE)</f>
        <v>Tetrachloroethylene</v>
      </c>
      <c r="G135" s="95" t="str">
        <f>VLOOKUP(E135,CompDbase!B:M,12,FALSE)</f>
        <v>ClAlk</v>
      </c>
      <c r="H135" s="95">
        <f>VLOOKUP(E135,CompDbase!B:L,8,FALSE)</f>
        <v>165.80749949115744</v>
      </c>
      <c r="I135" s="95" t="e">
        <f>VLOOKUP(E135,CompDbase!B:L,11,FALSE)</f>
        <v>#DIV/0!</v>
      </c>
      <c r="J135" s="95">
        <f>VLOOKUP(E135,CompDbase!B:L,9,FALSE)</f>
        <v>118.88250367033854</v>
      </c>
      <c r="K135" s="95">
        <f>VLOOKUP(E135,CompDbase!B:L,10,FALSE)</f>
        <v>3.4</v>
      </c>
      <c r="L135" s="4" t="s">
        <v>769</v>
      </c>
      <c r="O135" s="4" t="s">
        <v>1082</v>
      </c>
      <c r="P135">
        <v>293</v>
      </c>
      <c r="Q135" s="4" t="s">
        <v>1049</v>
      </c>
      <c r="R135" s="289" t="s">
        <v>1982</v>
      </c>
      <c r="S135" s="48">
        <v>2.3999999999999998E-3</v>
      </c>
      <c r="T135" s="95">
        <f>S135/J135</f>
        <v>2.0188000133772463E-5</v>
      </c>
      <c r="W135">
        <v>22.6</v>
      </c>
      <c r="X135" s="288">
        <f t="shared" si="104"/>
        <v>1.354108439147401</v>
      </c>
      <c r="Y135">
        <v>3.9351851851851855E-13</v>
      </c>
      <c r="Z135" s="95">
        <f>LOG(Y135)</f>
        <v>-12.405034825436639</v>
      </c>
      <c r="AA135" s="95">
        <f>W135*Y135</f>
        <v>8.8935185185185203E-12</v>
      </c>
      <c r="AB135" s="288">
        <f>LOG(AA135)</f>
        <v>-11.050926386289238</v>
      </c>
      <c r="AC135" s="95" t="s">
        <v>68</v>
      </c>
      <c r="AD135" s="95"/>
      <c r="AG135" s="138">
        <f t="shared" si="109"/>
        <v>1.354108439147401</v>
      </c>
      <c r="AH135">
        <f t="shared" si="110"/>
        <v>3.4</v>
      </c>
      <c r="AK135">
        <f t="shared" si="110"/>
        <v>3.4</v>
      </c>
      <c r="BW135" s="138"/>
      <c r="BX135">
        <f t="shared" ref="BX135:BX154" si="122">LOG(1*$J135)</f>
        <v>2.0751179427721769</v>
      </c>
      <c r="CA135">
        <f>LOG(1*$J135)</f>
        <v>2.0751179427721769</v>
      </c>
      <c r="DG135">
        <f t="shared" si="120"/>
        <v>-12.405034825436639</v>
      </c>
      <c r="DH135">
        <f t="shared" si="121"/>
        <v>165.80749949115744</v>
      </c>
      <c r="DK135">
        <f t="shared" si="121"/>
        <v>165.80749949115744</v>
      </c>
      <c r="DM135">
        <f t="shared" si="121"/>
        <v>165.80749949115744</v>
      </c>
      <c r="DP135">
        <f>$DM$19*DM135+$DM$21</f>
        <v>-12.551068901296079</v>
      </c>
      <c r="DQ135">
        <f>DG135-DP135</f>
        <v>0.14603407585943984</v>
      </c>
      <c r="DR135">
        <f>DQ135^2</f>
        <v>2.1325951312120631E-2</v>
      </c>
      <c r="EY135" s="479">
        <f>VLOOKUP(B135,Literatuur!$A:$B,2,FALSE)</f>
        <v>37</v>
      </c>
      <c r="EZ135" t="str">
        <f t="shared" si="93"/>
        <v>Tetrachlooretheen</v>
      </c>
      <c r="FA135" t="str">
        <f t="shared" si="94"/>
        <v>ClAlk</v>
      </c>
      <c r="FB135" t="str">
        <f t="shared" si="95"/>
        <v>LDPE</v>
      </c>
      <c r="FC135" t="str">
        <f t="shared" si="96"/>
        <v>Permeation</v>
      </c>
      <c r="FD135">
        <f t="shared" si="97"/>
        <v>293</v>
      </c>
      <c r="FE135" t="str">
        <f t="shared" si="98"/>
        <v>water</v>
      </c>
      <c r="FF135" t="str">
        <f t="shared" si="99"/>
        <v>measured 0.0024</v>
      </c>
      <c r="FG135" s="408">
        <f t="shared" si="92"/>
        <v>2.0188000133772463E-5</v>
      </c>
      <c r="FH135" s="138">
        <f t="shared" si="100"/>
        <v>1.354108439147401</v>
      </c>
      <c r="FI135" s="106" t="str">
        <f t="shared" si="87"/>
        <v>**</v>
      </c>
      <c r="FJ135" s="138">
        <f t="shared" si="101"/>
        <v>-12.405034825436639</v>
      </c>
      <c r="FK135" s="138">
        <f t="shared" si="102"/>
        <v>-12.551068901296079</v>
      </c>
    </row>
    <row r="136" spans="1:167" ht="12.75" hidden="1" customHeight="1" x14ac:dyDescent="0.2">
      <c r="A136">
        <v>90</v>
      </c>
      <c r="B136" t="s">
        <v>430</v>
      </c>
      <c r="D136" t="s">
        <v>313</v>
      </c>
      <c r="E136">
        <v>-403</v>
      </c>
      <c r="F136" t="str">
        <f>VLOOKUP(E136,CompDbase!B:L,4,FALSE)</f>
        <v>Tetrachloromethane</v>
      </c>
      <c r="G136" s="95" t="str">
        <f>VLOOKUP(E136,CompDbase!B:M,12,FALSE)</f>
        <v>ClAlk</v>
      </c>
      <c r="H136" s="95">
        <f>VLOOKUP(E136,CompDbase!B:L,8,FALSE)</f>
        <v>153.82</v>
      </c>
      <c r="I136" s="95" t="e">
        <f>VLOOKUP(E136,CompDbase!B:L,11,FALSE)</f>
        <v>#DIV/0!</v>
      </c>
      <c r="J136" s="95">
        <f>VLOOKUP(E136,CompDbase!B:L,9,FALSE)</f>
        <v>800</v>
      </c>
      <c r="K136" s="95">
        <f>VLOOKUP(E136,CompDbase!B:L,10,FALSE)</f>
        <v>2.83</v>
      </c>
      <c r="L136" s="4" t="s">
        <v>769</v>
      </c>
      <c r="N136" s="416">
        <v>940000</v>
      </c>
      <c r="O136" s="4" t="s">
        <v>1044</v>
      </c>
      <c r="P136">
        <v>293</v>
      </c>
      <c r="Q136" s="4" t="s">
        <v>1049</v>
      </c>
      <c r="R136" s="289" t="s">
        <v>1988</v>
      </c>
      <c r="T136" s="95">
        <v>1</v>
      </c>
      <c r="V136" s="36">
        <v>0.28100000000000003</v>
      </c>
      <c r="W136" s="95">
        <f>V136*N136/J136</f>
        <v>330.17500000000001</v>
      </c>
      <c r="X136" s="288">
        <f t="shared" si="104"/>
        <v>2.5187441865128348</v>
      </c>
      <c r="Z136" s="190"/>
      <c r="AC136" t="s">
        <v>68</v>
      </c>
      <c r="AG136" s="138">
        <f t="shared" si="109"/>
        <v>2.5187441865128348</v>
      </c>
      <c r="AH136">
        <f t="shared" si="110"/>
        <v>2.83</v>
      </c>
      <c r="AI136">
        <f t="shared" si="110"/>
        <v>2.83</v>
      </c>
      <c r="AL136">
        <f t="shared" ref="AL136:AL137" si="123">$K136</f>
        <v>2.83</v>
      </c>
      <c r="AO136">
        <f t="shared" ref="AO136:AO137" si="124">$K136</f>
        <v>2.83</v>
      </c>
      <c r="BW136" s="138"/>
      <c r="BX136">
        <f t="shared" si="122"/>
        <v>2.9030899869919438</v>
      </c>
      <c r="BY136">
        <f>LOG(1*$J136)</f>
        <v>2.9030899869919438</v>
      </c>
      <c r="CB136">
        <f>LOG(1*$J136)</f>
        <v>2.9030899869919438</v>
      </c>
      <c r="CE136">
        <f>LOG(1*$J136)</f>
        <v>2.9030899869919438</v>
      </c>
      <c r="DG136" s="138"/>
      <c r="EY136" s="479">
        <f>VLOOKUP(B136,Literatuur!$A:$B,2,FALSE)</f>
        <v>37</v>
      </c>
      <c r="EZ136" t="str">
        <f t="shared" si="93"/>
        <v>Tetrachloormethaan</v>
      </c>
      <c r="FA136" t="str">
        <f t="shared" si="94"/>
        <v>ClAlk</v>
      </c>
      <c r="FB136" t="str">
        <f t="shared" si="95"/>
        <v>LDPE</v>
      </c>
      <c r="FC136" t="str">
        <f t="shared" si="96"/>
        <v>Immersion</v>
      </c>
      <c r="FD136">
        <f t="shared" si="97"/>
        <v>293</v>
      </c>
      <c r="FE136" t="str">
        <f t="shared" si="98"/>
        <v>water</v>
      </c>
      <c r="FF136" t="str">
        <f t="shared" si="99"/>
        <v xml:space="preserve">saturated </v>
      </c>
      <c r="FG136" s="408">
        <f t="shared" si="92"/>
        <v>1</v>
      </c>
      <c r="FH136" s="138">
        <f t="shared" si="100"/>
        <v>2.5187441865128348</v>
      </c>
      <c r="FI136" s="106">
        <f t="shared" si="87"/>
        <v>2.4190853590120494</v>
      </c>
      <c r="FJ136" s="138" t="str">
        <f t="shared" si="101"/>
        <v/>
      </c>
      <c r="FK136" s="138" t="str">
        <f t="shared" si="102"/>
        <v>**</v>
      </c>
    </row>
    <row r="137" spans="1:167" ht="12.75" hidden="1" customHeight="1" x14ac:dyDescent="0.2">
      <c r="A137">
        <v>91</v>
      </c>
      <c r="B137" t="s">
        <v>430</v>
      </c>
      <c r="D137" t="s">
        <v>28</v>
      </c>
      <c r="E137">
        <v>405</v>
      </c>
      <c r="F137" t="str">
        <f>VLOOKUP(E137,CompDbase!B:L,4,FALSE)</f>
        <v>Trichloroethylene</v>
      </c>
      <c r="G137" s="95" t="str">
        <f>VLOOKUP(E137,CompDbase!B:M,12,FALSE)</f>
        <v>ClAlk</v>
      </c>
      <c r="H137" s="95">
        <f>VLOOKUP(E137,CompDbase!B:L,8,FALSE)</f>
        <v>131.4</v>
      </c>
      <c r="I137" s="95" t="e">
        <f>VLOOKUP(E137,CompDbase!B:L,11,FALSE)</f>
        <v>#DIV/0!</v>
      </c>
      <c r="J137" s="95">
        <f>VLOOKUP(E137,CompDbase!B:L,9,FALSE)</f>
        <v>1164.8441611748488</v>
      </c>
      <c r="K137" s="95">
        <f>VLOOKUP(E137,CompDbase!B:L,10,FALSE)</f>
        <v>2.61</v>
      </c>
      <c r="L137" s="4" t="s">
        <v>769</v>
      </c>
      <c r="N137" s="416">
        <v>940000</v>
      </c>
      <c r="O137" s="4" t="s">
        <v>1044</v>
      </c>
      <c r="P137">
        <v>293</v>
      </c>
      <c r="Q137" s="4" t="s">
        <v>1049</v>
      </c>
      <c r="R137" s="289" t="s">
        <v>1988</v>
      </c>
      <c r="T137" s="95">
        <v>1</v>
      </c>
      <c r="V137" s="40">
        <v>0.254</v>
      </c>
      <c r="W137" s="95">
        <f>V137*N137/J137</f>
        <v>204.97162449540832</v>
      </c>
      <c r="X137" s="288">
        <f t="shared" si="104"/>
        <v>2.311693743114176</v>
      </c>
      <c r="Y137">
        <v>7.5231481481481478E-12</v>
      </c>
      <c r="Z137" s="95">
        <f>LOG(Y137)</f>
        <v>-11.123600385836038</v>
      </c>
      <c r="AA137" s="95">
        <f>W137*Y137</f>
        <v>1.5420318972455486E-9</v>
      </c>
      <c r="AB137" s="288">
        <f>LOG(AA137)</f>
        <v>-8.811906642721862</v>
      </c>
      <c r="AC137" s="95"/>
      <c r="AD137" s="95"/>
      <c r="AG137" s="138">
        <f t="shared" si="109"/>
        <v>2.311693743114176</v>
      </c>
      <c r="AH137">
        <f t="shared" si="110"/>
        <v>2.61</v>
      </c>
      <c r="AI137">
        <f t="shared" si="110"/>
        <v>2.61</v>
      </c>
      <c r="AL137">
        <f t="shared" si="123"/>
        <v>2.61</v>
      </c>
      <c r="AO137">
        <f t="shared" si="124"/>
        <v>2.61</v>
      </c>
      <c r="BW137" s="138"/>
      <c r="BX137">
        <f t="shared" si="122"/>
        <v>3.0662678271054604</v>
      </c>
      <c r="BY137">
        <f>LOG(1*$J137)</f>
        <v>3.0662678271054604</v>
      </c>
      <c r="CB137">
        <f>LOG(1*$J137)</f>
        <v>3.0662678271054604</v>
      </c>
      <c r="CE137">
        <f>LOG(1*$J137)</f>
        <v>3.0662678271054604</v>
      </c>
      <c r="DG137">
        <f t="shared" ref="DG137:DG138" si="125">Z137</f>
        <v>-11.123600385836038</v>
      </c>
      <c r="DH137">
        <f t="shared" ref="DH137:DH138" si="126">$H137</f>
        <v>131.4</v>
      </c>
      <c r="DI137">
        <f t="shared" si="121"/>
        <v>131.4</v>
      </c>
      <c r="EY137" s="479">
        <f>VLOOKUP(B137,Literatuur!$A:$B,2,FALSE)</f>
        <v>37</v>
      </c>
      <c r="EZ137" t="str">
        <f t="shared" si="93"/>
        <v>Trichlooretheen</v>
      </c>
      <c r="FA137" t="str">
        <f t="shared" si="94"/>
        <v>ClAlk</v>
      </c>
      <c r="FB137" t="str">
        <f t="shared" si="95"/>
        <v>LDPE</v>
      </c>
      <c r="FC137" t="str">
        <f t="shared" si="96"/>
        <v>Immersion</v>
      </c>
      <c r="FD137">
        <f t="shared" si="97"/>
        <v>293</v>
      </c>
      <c r="FE137" t="str">
        <f t="shared" si="98"/>
        <v>water</v>
      </c>
      <c r="FF137" t="str">
        <f t="shared" si="99"/>
        <v xml:space="preserve">saturated </v>
      </c>
      <c r="FG137" s="408">
        <f t="shared" si="92"/>
        <v>1</v>
      </c>
      <c r="FH137" s="138">
        <f t="shared" si="100"/>
        <v>2.311693743114176</v>
      </c>
      <c r="FI137" s="106">
        <f t="shared" si="87"/>
        <v>2.1780960723190446</v>
      </c>
      <c r="FJ137" s="138">
        <f t="shared" si="101"/>
        <v>-11.123600385836038</v>
      </c>
      <c r="FK137" s="138" t="str">
        <f t="shared" si="102"/>
        <v>**</v>
      </c>
    </row>
    <row r="138" spans="1:167" ht="12.75" hidden="1" customHeight="1" x14ac:dyDescent="0.2">
      <c r="A138">
        <v>92</v>
      </c>
      <c r="B138" s="4" t="s">
        <v>430</v>
      </c>
      <c r="C138" s="4"/>
      <c r="D138" t="s">
        <v>28</v>
      </c>
      <c r="E138">
        <v>405</v>
      </c>
      <c r="F138" t="str">
        <f>VLOOKUP(E138,CompDbase!B:L,4,FALSE)</f>
        <v>Trichloroethylene</v>
      </c>
      <c r="G138" s="95" t="str">
        <f>VLOOKUP(E138,CompDbase!B:M,12,FALSE)</f>
        <v>ClAlk</v>
      </c>
      <c r="H138" s="95">
        <f>VLOOKUP(E138,CompDbase!B:L,8,FALSE)</f>
        <v>131.4</v>
      </c>
      <c r="I138" s="95" t="e">
        <f>VLOOKUP(E138,CompDbase!B:L,11,FALSE)</f>
        <v>#DIV/0!</v>
      </c>
      <c r="J138" s="95">
        <f>VLOOKUP(E138,CompDbase!B:L,9,FALSE)</f>
        <v>1164.8441611748488</v>
      </c>
      <c r="K138" s="95">
        <f>VLOOKUP(E138,CompDbase!B:L,10,FALSE)</f>
        <v>2.61</v>
      </c>
      <c r="L138" s="4" t="s">
        <v>769</v>
      </c>
      <c r="M138" s="423"/>
      <c r="N138" s="423"/>
      <c r="O138" s="4" t="s">
        <v>1082</v>
      </c>
      <c r="P138">
        <v>293</v>
      </c>
      <c r="Q138" s="4" t="s">
        <v>1049</v>
      </c>
      <c r="R138" s="289" t="s">
        <v>1982</v>
      </c>
      <c r="S138" s="48">
        <v>3.8199999999999998E-2</v>
      </c>
      <c r="T138" s="95">
        <f>S138/J138</f>
        <v>3.2794086344968161E-5</v>
      </c>
      <c r="W138">
        <v>32.299999999999997</v>
      </c>
      <c r="X138" s="288">
        <f t="shared" si="104"/>
        <v>1.5092025223311027</v>
      </c>
      <c r="Y138">
        <v>5.9027777777777773E-13</v>
      </c>
      <c r="Z138" s="95">
        <f>LOG(Y138)</f>
        <v>-12.228943566380957</v>
      </c>
      <c r="AA138" s="95">
        <f>W138*Y138</f>
        <v>1.906597222222222E-11</v>
      </c>
      <c r="AB138" s="288">
        <f>LOG(AA138)</f>
        <v>-10.719741044049854</v>
      </c>
      <c r="AC138" s="95" t="s">
        <v>68</v>
      </c>
      <c r="AD138" s="95"/>
      <c r="AG138" s="138">
        <f t="shared" si="109"/>
        <v>1.5092025223311027</v>
      </c>
      <c r="AH138">
        <f t="shared" si="110"/>
        <v>2.61</v>
      </c>
      <c r="AK138">
        <f t="shared" si="110"/>
        <v>2.61</v>
      </c>
      <c r="BW138" s="138"/>
      <c r="BX138">
        <f t="shared" si="122"/>
        <v>3.0662678271054604</v>
      </c>
      <c r="CA138">
        <f>LOG(1*$J138)</f>
        <v>3.0662678271054604</v>
      </c>
      <c r="DG138">
        <f t="shared" si="125"/>
        <v>-12.228943566380957</v>
      </c>
      <c r="DH138">
        <f t="shared" si="126"/>
        <v>131.4</v>
      </c>
      <c r="DK138">
        <f t="shared" si="121"/>
        <v>131.4</v>
      </c>
      <c r="DM138">
        <f>$H138</f>
        <v>131.4</v>
      </c>
      <c r="DP138">
        <f>$DM$19*DM138+$DM$21</f>
        <v>-12.164526312706865</v>
      </c>
      <c r="DQ138">
        <f>DG138-DP138</f>
        <v>-6.4417253674092123E-2</v>
      </c>
      <c r="DR138">
        <f>DQ138^2</f>
        <v>4.1495825709123354E-3</v>
      </c>
      <c r="EY138" s="479">
        <f>VLOOKUP(B138,Literatuur!$A:$B,2,FALSE)</f>
        <v>37</v>
      </c>
      <c r="EZ138" t="str">
        <f t="shared" si="93"/>
        <v>Trichlooretheen</v>
      </c>
      <c r="FA138" t="str">
        <f t="shared" si="94"/>
        <v>ClAlk</v>
      </c>
      <c r="FB138" t="str">
        <f t="shared" si="95"/>
        <v>LDPE</v>
      </c>
      <c r="FC138" t="str">
        <f t="shared" si="96"/>
        <v>Permeation</v>
      </c>
      <c r="FD138">
        <f t="shared" si="97"/>
        <v>293</v>
      </c>
      <c r="FE138" t="str">
        <f t="shared" si="98"/>
        <v>water</v>
      </c>
      <c r="FF138" t="str">
        <f t="shared" si="99"/>
        <v>measured 0.0382</v>
      </c>
      <c r="FG138" s="408">
        <f t="shared" si="92"/>
        <v>3.2794086344968161E-5</v>
      </c>
      <c r="FH138" s="138">
        <f t="shared" si="100"/>
        <v>1.5092025223311027</v>
      </c>
      <c r="FI138" s="106" t="str">
        <f t="shared" si="87"/>
        <v>**</v>
      </c>
      <c r="FJ138" s="138">
        <f t="shared" si="101"/>
        <v>-12.228943566380957</v>
      </c>
      <c r="FK138" s="138">
        <f t="shared" si="102"/>
        <v>-12.164526312706865</v>
      </c>
    </row>
    <row r="139" spans="1:167" ht="12.75" hidden="1" customHeight="1" x14ac:dyDescent="0.2">
      <c r="A139">
        <v>93</v>
      </c>
      <c r="B139" t="s">
        <v>430</v>
      </c>
      <c r="D139" t="s">
        <v>300</v>
      </c>
      <c r="E139">
        <v>530</v>
      </c>
      <c r="F139" t="str">
        <f>VLOOKUP(E139,CompDbase!B:L,4,FALSE)</f>
        <v>1,2,3-Trichlorobenzene</v>
      </c>
      <c r="G139" s="95" t="str">
        <f>VLOOKUP(E139,CompDbase!B:M,12,FALSE)</f>
        <v>ClArom</v>
      </c>
      <c r="H139" s="95">
        <f>VLOOKUP(E139,CompDbase!B:L,8,FALSE)</f>
        <v>181.43999503992538</v>
      </c>
      <c r="I139" s="95" t="e">
        <f>VLOOKUP(E139,CompDbase!B:L,11,FALSE)</f>
        <v>#DIV/0!</v>
      </c>
      <c r="J139" s="95">
        <f>VLOOKUP(E139,CompDbase!B:L,9,FALSE)</f>
        <v>13.623987011866511</v>
      </c>
      <c r="K139" s="95">
        <f>VLOOKUP(E139,CompDbase!B:L,10,FALSE)</f>
        <v>4.1399999999999997</v>
      </c>
      <c r="L139" s="4" t="s">
        <v>769</v>
      </c>
      <c r="N139" s="416">
        <v>940000</v>
      </c>
      <c r="O139" s="4" t="s">
        <v>1044</v>
      </c>
      <c r="P139">
        <v>293</v>
      </c>
      <c r="Q139" s="4" t="s">
        <v>1049</v>
      </c>
      <c r="R139" s="289" t="s">
        <v>1988</v>
      </c>
      <c r="T139" s="95">
        <v>1</v>
      </c>
      <c r="V139" s="36">
        <v>4.2000000000000003E-2</v>
      </c>
      <c r="W139" s="95">
        <f>V139*N139/J139</f>
        <v>2897.8301260572889</v>
      </c>
      <c r="X139" s="288">
        <f t="shared" si="104"/>
        <v>3.4620729230681127</v>
      </c>
      <c r="Z139" s="190"/>
      <c r="AC139" t="s">
        <v>68</v>
      </c>
      <c r="AG139" s="138">
        <f t="shared" si="109"/>
        <v>3.4620729230681127</v>
      </c>
      <c r="AH139">
        <f t="shared" si="110"/>
        <v>4.1399999999999997</v>
      </c>
      <c r="AI139">
        <f t="shared" si="110"/>
        <v>4.1399999999999997</v>
      </c>
      <c r="AL139">
        <f t="shared" ref="AL139:AL143" si="127">$K139</f>
        <v>4.1399999999999997</v>
      </c>
      <c r="AO139">
        <f t="shared" ref="AO139:AO143" si="128">$K139</f>
        <v>4.1399999999999997</v>
      </c>
      <c r="BW139" s="138"/>
      <c r="BX139">
        <f t="shared" si="122"/>
        <v>1.1343042209294865</v>
      </c>
      <c r="BY139">
        <f>LOG(1*$J139)</f>
        <v>1.1343042209294865</v>
      </c>
      <c r="CB139">
        <f>LOG(1*$J139)</f>
        <v>1.1343042209294865</v>
      </c>
      <c r="CE139">
        <f>LOG(1*$J139)</f>
        <v>1.1343042209294865</v>
      </c>
      <c r="DG139" s="138"/>
      <c r="EY139" s="479">
        <f>VLOOKUP(B139,Literatuur!$A:$B,2,FALSE)</f>
        <v>37</v>
      </c>
      <c r="EZ139" t="str">
        <f t="shared" si="93"/>
        <v>1,2,3-Trichloorbenzeen</v>
      </c>
      <c r="FA139" t="str">
        <f t="shared" si="94"/>
        <v>ClArom</v>
      </c>
      <c r="FB139" t="str">
        <f t="shared" si="95"/>
        <v>LDPE</v>
      </c>
      <c r="FC139" t="str">
        <f t="shared" si="96"/>
        <v>Immersion</v>
      </c>
      <c r="FD139">
        <f t="shared" si="97"/>
        <v>293</v>
      </c>
      <c r="FE139" t="str">
        <f t="shared" si="98"/>
        <v>water</v>
      </c>
      <c r="FF139" t="str">
        <f t="shared" si="99"/>
        <v xml:space="preserve">saturated </v>
      </c>
      <c r="FG139" s="408">
        <f t="shared" si="92"/>
        <v>1</v>
      </c>
      <c r="FH139" s="138">
        <f t="shared" si="100"/>
        <v>3.4620729230681127</v>
      </c>
      <c r="FI139" s="106">
        <f t="shared" si="87"/>
        <v>3.8540670206840293</v>
      </c>
      <c r="FJ139" s="138" t="str">
        <f t="shared" si="101"/>
        <v/>
      </c>
      <c r="FK139" s="138" t="str">
        <f t="shared" si="102"/>
        <v>**</v>
      </c>
    </row>
    <row r="140" spans="1:167" s="13" customFormat="1" ht="12.75" hidden="1" customHeight="1" x14ac:dyDescent="0.2">
      <c r="A140">
        <v>94</v>
      </c>
      <c r="B140" s="13" t="s">
        <v>430</v>
      </c>
      <c r="D140" s="13" t="s">
        <v>302</v>
      </c>
      <c r="E140" s="13">
        <v>502</v>
      </c>
      <c r="F140" s="13" t="str">
        <f>VLOOKUP(E140,CompDbase!B:L,4,FALSE)</f>
        <v>1,2,4-Trichlorobenzene</v>
      </c>
      <c r="G140" s="182" t="str">
        <f>VLOOKUP(E140,CompDbase!B:M,12,FALSE)</f>
        <v>ClArom</v>
      </c>
      <c r="H140" s="182">
        <f>VLOOKUP(E140,CompDbase!B:L,8,FALSE)</f>
        <v>181.43999503992538</v>
      </c>
      <c r="I140" s="182" t="e">
        <f>VLOOKUP(E140,CompDbase!B:L,11,FALSE)</f>
        <v>#DIV/0!</v>
      </c>
      <c r="J140" s="182">
        <f>VLOOKUP(E140,CompDbase!B:L,9,FALSE)</f>
        <v>28.808020153910686</v>
      </c>
      <c r="K140" s="182">
        <f>VLOOKUP(E140,CompDbase!B:L,10,FALSE)</f>
        <v>4.05</v>
      </c>
      <c r="L140" s="14" t="s">
        <v>769</v>
      </c>
      <c r="M140" s="424"/>
      <c r="N140" s="424">
        <v>940000</v>
      </c>
      <c r="O140" s="14" t="s">
        <v>1044</v>
      </c>
      <c r="P140">
        <v>293</v>
      </c>
      <c r="Q140" s="14" t="s">
        <v>1049</v>
      </c>
      <c r="R140" s="405" t="s">
        <v>1988</v>
      </c>
      <c r="T140" s="182">
        <v>1</v>
      </c>
      <c r="V140" s="411">
        <v>0.159</v>
      </c>
      <c r="W140" s="182">
        <f>V140*N140/J140</f>
        <v>5188.1385531352043</v>
      </c>
      <c r="X140" s="317">
        <f t="shared" si="104"/>
        <v>3.7150115657271123</v>
      </c>
      <c r="Z140" s="191"/>
      <c r="AC140" s="13" t="s">
        <v>68</v>
      </c>
      <c r="AG140" s="138">
        <f t="shared" si="109"/>
        <v>3.7150115657271123</v>
      </c>
      <c r="AH140">
        <f t="shared" si="110"/>
        <v>4.05</v>
      </c>
      <c r="AI140">
        <f t="shared" si="110"/>
        <v>4.05</v>
      </c>
      <c r="AL140">
        <f t="shared" si="127"/>
        <v>4.05</v>
      </c>
      <c r="AM140"/>
      <c r="AN140"/>
      <c r="AO140">
        <f t="shared" si="128"/>
        <v>4.05</v>
      </c>
      <c r="BW140" s="138"/>
      <c r="BX140">
        <f t="shared" si="122"/>
        <v>1.459513412193038</v>
      </c>
      <c r="BY140">
        <f>LOG(1*$J140)</f>
        <v>1.459513412193038</v>
      </c>
      <c r="CB140">
        <f>LOG(1*$J140)</f>
        <v>1.459513412193038</v>
      </c>
      <c r="CC140"/>
      <c r="CD140"/>
      <c r="CE140">
        <f>LOG(1*$J140)</f>
        <v>1.459513412193038</v>
      </c>
      <c r="DF140"/>
      <c r="DG140" s="138"/>
      <c r="DH140"/>
      <c r="DI140"/>
      <c r="DL140"/>
      <c r="DM140"/>
      <c r="DN140"/>
      <c r="DO140"/>
      <c r="DP140"/>
      <c r="EY140" s="479">
        <f>VLOOKUP(B140,Literatuur!$A:$B,2,FALSE)</f>
        <v>37</v>
      </c>
      <c r="EZ140" t="str">
        <f t="shared" si="93"/>
        <v>1,2,4-Trichloorbenzeen</v>
      </c>
      <c r="FA140" t="str">
        <f t="shared" si="94"/>
        <v>ClArom</v>
      </c>
      <c r="FB140" t="str">
        <f t="shared" si="95"/>
        <v>LDPE</v>
      </c>
      <c r="FC140" t="str">
        <f t="shared" si="96"/>
        <v>Immersion</v>
      </c>
      <c r="FD140">
        <f t="shared" si="97"/>
        <v>293</v>
      </c>
      <c r="FE140" t="str">
        <f t="shared" si="98"/>
        <v>water</v>
      </c>
      <c r="FF140" t="str">
        <f t="shared" si="99"/>
        <v xml:space="preserve">saturated </v>
      </c>
      <c r="FG140" s="408">
        <f t="shared" si="92"/>
        <v>1</v>
      </c>
      <c r="FH140" s="138">
        <f t="shared" si="100"/>
        <v>3.7150115657271123</v>
      </c>
      <c r="FI140" s="106">
        <f t="shared" si="87"/>
        <v>3.7554804943096185</v>
      </c>
      <c r="FJ140" s="138" t="str">
        <f t="shared" si="101"/>
        <v/>
      </c>
      <c r="FK140" s="138" t="str">
        <f t="shared" si="102"/>
        <v>**</v>
      </c>
    </row>
    <row r="141" spans="1:167" ht="12.75" hidden="1" customHeight="1" x14ac:dyDescent="0.2">
      <c r="A141">
        <v>95</v>
      </c>
      <c r="B141" t="s">
        <v>430</v>
      </c>
      <c r="D141" t="s">
        <v>294</v>
      </c>
      <c r="E141">
        <v>528</v>
      </c>
      <c r="F141" t="str">
        <f>VLOOKUP(E141,CompDbase!B:L,4,FALSE)</f>
        <v>1,2-Dichlorobenzene</v>
      </c>
      <c r="G141" s="95" t="str">
        <f>VLOOKUP(E141,CompDbase!B:M,12,FALSE)</f>
        <v>ClArom</v>
      </c>
      <c r="H141" s="95">
        <f>VLOOKUP(E141,CompDbase!B:L,8,FALSE)</f>
        <v>147.002499936227</v>
      </c>
      <c r="I141" s="95" t="e">
        <f>VLOOKUP(E141,CompDbase!B:L,11,FALSE)</f>
        <v>#DIV/0!</v>
      </c>
      <c r="J141" s="95">
        <f>VLOOKUP(E141,CompDbase!B:L,9,FALSE)</f>
        <v>140.21858602054385</v>
      </c>
      <c r="K141" s="95">
        <f>VLOOKUP(E141,CompDbase!B:L,10,FALSE)</f>
        <v>3.43</v>
      </c>
      <c r="L141" s="4" t="s">
        <v>769</v>
      </c>
      <c r="N141" s="416">
        <v>940000</v>
      </c>
      <c r="O141" s="4" t="s">
        <v>1044</v>
      </c>
      <c r="P141">
        <v>293</v>
      </c>
      <c r="Q141" s="4" t="s">
        <v>1049</v>
      </c>
      <c r="R141" s="289" t="s">
        <v>1988</v>
      </c>
      <c r="T141" s="95">
        <v>1</v>
      </c>
      <c r="V141" s="36">
        <v>0.13700000000000001</v>
      </c>
      <c r="W141" s="95">
        <f>V141*N141/J141</f>
        <v>918.42318236707979</v>
      </c>
      <c r="X141" s="288">
        <f t="shared" si="104"/>
        <v>2.963042837430895</v>
      </c>
      <c r="Z141" s="190"/>
      <c r="AC141" t="s">
        <v>68</v>
      </c>
      <c r="AG141" s="138">
        <f t="shared" si="109"/>
        <v>2.963042837430895</v>
      </c>
      <c r="AH141">
        <f t="shared" si="110"/>
        <v>3.43</v>
      </c>
      <c r="AI141">
        <f t="shared" si="110"/>
        <v>3.43</v>
      </c>
      <c r="AL141">
        <f t="shared" si="127"/>
        <v>3.43</v>
      </c>
      <c r="AO141">
        <f t="shared" si="128"/>
        <v>3.43</v>
      </c>
      <c r="BW141" s="138"/>
      <c r="BX141">
        <f t="shared" si="122"/>
        <v>2.1468055833252104</v>
      </c>
      <c r="BY141">
        <f>LOG(1*$J141)</f>
        <v>2.1468055833252104</v>
      </c>
      <c r="CB141">
        <f>LOG(1*$J141)</f>
        <v>2.1468055833252104</v>
      </c>
      <c r="CE141">
        <f>LOG(1*$J141)</f>
        <v>2.1468055833252104</v>
      </c>
      <c r="DG141" s="138"/>
      <c r="EY141" s="479">
        <f>VLOOKUP(B141,Literatuur!$A:$B,2,FALSE)</f>
        <v>37</v>
      </c>
      <c r="EZ141" t="str">
        <f t="shared" si="93"/>
        <v>1,2-Dichloorbenzeen</v>
      </c>
      <c r="FA141" t="str">
        <f t="shared" si="94"/>
        <v>ClArom</v>
      </c>
      <c r="FB141" t="str">
        <f t="shared" si="95"/>
        <v>LDPE</v>
      </c>
      <c r="FC141" t="str">
        <f t="shared" si="96"/>
        <v>Immersion</v>
      </c>
      <c r="FD141">
        <f t="shared" si="97"/>
        <v>293</v>
      </c>
      <c r="FE141" t="str">
        <f t="shared" si="98"/>
        <v>water</v>
      </c>
      <c r="FF141" t="str">
        <f t="shared" si="99"/>
        <v xml:space="preserve">saturated </v>
      </c>
      <c r="FG141" s="408">
        <f t="shared" si="92"/>
        <v>1</v>
      </c>
      <c r="FH141" s="138">
        <f t="shared" si="100"/>
        <v>2.963042837430895</v>
      </c>
      <c r="FI141" s="106">
        <f t="shared" si="87"/>
        <v>3.0763288681747887</v>
      </c>
      <c r="FJ141" s="138" t="str">
        <f t="shared" si="101"/>
        <v/>
      </c>
      <c r="FK141" s="138" t="str">
        <f t="shared" si="102"/>
        <v>**</v>
      </c>
    </row>
    <row r="142" spans="1:167" ht="12.75" hidden="1" customHeight="1" x14ac:dyDescent="0.2">
      <c r="A142">
        <v>96</v>
      </c>
      <c r="B142" t="s">
        <v>430</v>
      </c>
      <c r="D142" t="s">
        <v>304</v>
      </c>
      <c r="E142">
        <v>531</v>
      </c>
      <c r="F142" t="str">
        <f>VLOOKUP(E142,CompDbase!B:L,4,FALSE)</f>
        <v>1,3,5-Trichlorobenzene</v>
      </c>
      <c r="G142" s="95" t="str">
        <f>VLOOKUP(E142,CompDbase!B:M,12,FALSE)</f>
        <v>ClArom</v>
      </c>
      <c r="H142" s="95">
        <f>VLOOKUP(E142,CompDbase!B:L,8,FALSE)</f>
        <v>181.42499827752513</v>
      </c>
      <c r="I142" s="95" t="e">
        <f>VLOOKUP(E142,CompDbase!B:L,11,FALSE)</f>
        <v>#DIV/0!</v>
      </c>
      <c r="J142" s="95">
        <f>VLOOKUP(E142,CompDbase!B:L,9,FALSE)</f>
        <v>4.7119534067902347</v>
      </c>
      <c r="K142" s="95">
        <f>VLOOKUP(E142,CompDbase!B:L,10,FALSE)</f>
        <v>4.1900000000000004</v>
      </c>
      <c r="L142" s="4" t="s">
        <v>769</v>
      </c>
      <c r="N142" s="416">
        <v>940000</v>
      </c>
      <c r="O142" s="4" t="s">
        <v>1044</v>
      </c>
      <c r="P142">
        <v>293</v>
      </c>
      <c r="Q142" s="4" t="s">
        <v>1049</v>
      </c>
      <c r="R142" s="289" t="s">
        <v>1988</v>
      </c>
      <c r="T142" s="95">
        <v>1</v>
      </c>
      <c r="V142" s="36">
        <v>4.3999999999999997E-2</v>
      </c>
      <c r="W142" s="95">
        <f>V142*N142/J142</f>
        <v>8777.6759295619358</v>
      </c>
      <c r="X142" s="288">
        <f t="shared" si="104"/>
        <v>3.9433795427198164</v>
      </c>
      <c r="Z142" s="190"/>
      <c r="AC142" t="s">
        <v>68</v>
      </c>
      <c r="AG142" s="138">
        <f t="shared" si="109"/>
        <v>3.9433795427198164</v>
      </c>
      <c r="AH142">
        <f t="shared" si="110"/>
        <v>4.1900000000000004</v>
      </c>
      <c r="AI142">
        <f t="shared" si="110"/>
        <v>4.1900000000000004</v>
      </c>
      <c r="AL142">
        <f t="shared" si="127"/>
        <v>4.1900000000000004</v>
      </c>
      <c r="AO142">
        <f t="shared" si="128"/>
        <v>4.1900000000000004</v>
      </c>
      <c r="BW142" s="138"/>
      <c r="BX142">
        <f t="shared" si="122"/>
        <v>0.6732009873660697</v>
      </c>
      <c r="BY142">
        <f>LOG(1*$J142)</f>
        <v>0.6732009873660697</v>
      </c>
      <c r="CB142">
        <f>LOG(1*$J142)</f>
        <v>0.6732009873660697</v>
      </c>
      <c r="CE142">
        <f>LOG(1*$J142)</f>
        <v>0.6732009873660697</v>
      </c>
      <c r="DG142" s="138"/>
      <c r="EY142" s="479">
        <f>VLOOKUP(B142,Literatuur!$A:$B,2,FALSE)</f>
        <v>37</v>
      </c>
      <c r="EZ142" t="str">
        <f t="shared" si="93"/>
        <v>1,3,5-Trichloorbenzeen</v>
      </c>
      <c r="FA142" t="str">
        <f t="shared" si="94"/>
        <v>ClArom</v>
      </c>
      <c r="FB142" t="str">
        <f t="shared" si="95"/>
        <v>LDPE</v>
      </c>
      <c r="FC142" t="str">
        <f t="shared" si="96"/>
        <v>Immersion</v>
      </c>
      <c r="FD142">
        <f t="shared" si="97"/>
        <v>293</v>
      </c>
      <c r="FE142" t="str">
        <f t="shared" si="98"/>
        <v>water</v>
      </c>
      <c r="FF142" t="str">
        <f t="shared" si="99"/>
        <v xml:space="preserve">saturated </v>
      </c>
      <c r="FG142" s="408">
        <f t="shared" si="92"/>
        <v>1</v>
      </c>
      <c r="FH142" s="138">
        <f t="shared" si="100"/>
        <v>3.9433795427198164</v>
      </c>
      <c r="FI142" s="106">
        <f t="shared" si="87"/>
        <v>3.9088373131142582</v>
      </c>
      <c r="FJ142" s="138" t="str">
        <f t="shared" si="101"/>
        <v/>
      </c>
      <c r="FK142" s="138" t="str">
        <f t="shared" si="102"/>
        <v>**</v>
      </c>
    </row>
    <row r="143" spans="1:167" ht="12.75" hidden="1" customHeight="1" x14ac:dyDescent="0.2">
      <c r="A143">
        <v>97</v>
      </c>
      <c r="B143" t="s">
        <v>430</v>
      </c>
      <c r="D143" t="s">
        <v>296</v>
      </c>
      <c r="E143">
        <v>-505</v>
      </c>
      <c r="F143" t="str">
        <f>VLOOKUP(E143,CompDbase!B:L,4,FALSE)</f>
        <v>1,3-Dichlorobenzene</v>
      </c>
      <c r="G143" s="95" t="str">
        <f>VLOOKUP(E143,CompDbase!B:M,12,FALSE)</f>
        <v>ClArom</v>
      </c>
      <c r="H143" s="95">
        <f>VLOOKUP(E143,CompDbase!B:L,8,FALSE)</f>
        <v>147</v>
      </c>
      <c r="I143" s="95" t="e">
        <f>VLOOKUP(E143,CompDbase!B:L,11,FALSE)</f>
        <v>#DIV/0!</v>
      </c>
      <c r="J143" s="95">
        <f>VLOOKUP(E143,CompDbase!B:L,9,FALSE)</f>
        <v>114.33333333333333</v>
      </c>
      <c r="K143" s="95">
        <f>VLOOKUP(E143,CompDbase!B:L,10,FALSE)</f>
        <v>3.4</v>
      </c>
      <c r="L143" s="4" t="s">
        <v>769</v>
      </c>
      <c r="N143" s="416">
        <v>940000</v>
      </c>
      <c r="O143" s="4" t="s">
        <v>1044</v>
      </c>
      <c r="P143">
        <v>293</v>
      </c>
      <c r="Q143" s="4" t="s">
        <v>1049</v>
      </c>
      <c r="R143" s="289" t="s">
        <v>1988</v>
      </c>
      <c r="T143" s="95">
        <v>1</v>
      </c>
      <c r="V143" s="36">
        <v>0.16700000000000001</v>
      </c>
      <c r="W143" s="95">
        <f>V143*N143/J143</f>
        <v>1373.0029154518952</v>
      </c>
      <c r="X143" s="288">
        <f t="shared" si="104"/>
        <v>3.1376714594241739</v>
      </c>
      <c r="Y143">
        <v>2.1990740740740741E-12</v>
      </c>
      <c r="Z143" s="190">
        <f>LOG(Y143)</f>
        <v>-11.657760141526065</v>
      </c>
      <c r="AA143" s="95">
        <f>W143*Y143</f>
        <v>3.0193351149983807E-9</v>
      </c>
      <c r="AB143" s="193">
        <f>LOG(AA143)</f>
        <v>-8.5200886821018909</v>
      </c>
      <c r="AC143" s="192"/>
      <c r="AD143" s="192"/>
      <c r="AG143" s="138">
        <f t="shared" si="109"/>
        <v>3.1376714594241739</v>
      </c>
      <c r="AH143">
        <f t="shared" si="110"/>
        <v>3.4</v>
      </c>
      <c r="AI143">
        <f t="shared" si="110"/>
        <v>3.4</v>
      </c>
      <c r="AL143">
        <f t="shared" si="127"/>
        <v>3.4</v>
      </c>
      <c r="AO143">
        <f t="shared" si="128"/>
        <v>3.4</v>
      </c>
      <c r="BW143" s="138"/>
      <c r="BX143">
        <f t="shared" si="122"/>
        <v>2.0581728653231082</v>
      </c>
      <c r="BY143">
        <f>LOG(1*$J143)</f>
        <v>2.0581728653231082</v>
      </c>
      <c r="CB143">
        <f>LOG(1*$J143)</f>
        <v>2.0581728653231082</v>
      </c>
      <c r="CE143">
        <f>LOG(1*$J143)</f>
        <v>2.0581728653231082</v>
      </c>
      <c r="DG143">
        <f t="shared" ref="DG143:DG144" si="129">Z143</f>
        <v>-11.657760141526065</v>
      </c>
      <c r="DH143">
        <f t="shared" ref="DH143:DI144" si="130">$H143</f>
        <v>147</v>
      </c>
      <c r="DI143">
        <f t="shared" si="130"/>
        <v>147</v>
      </c>
      <c r="EY143" s="479">
        <f>VLOOKUP(B143,Literatuur!$A:$B,2,FALSE)</f>
        <v>37</v>
      </c>
      <c r="EZ143" t="str">
        <f t="shared" si="93"/>
        <v>1,3-Dichloorbenzeen</v>
      </c>
      <c r="FA143" t="str">
        <f t="shared" si="94"/>
        <v>ClArom</v>
      </c>
      <c r="FB143" t="str">
        <f t="shared" si="95"/>
        <v>LDPE</v>
      </c>
      <c r="FC143" t="str">
        <f t="shared" si="96"/>
        <v>Immersion</v>
      </c>
      <c r="FD143">
        <f t="shared" si="97"/>
        <v>293</v>
      </c>
      <c r="FE143" t="str">
        <f t="shared" si="98"/>
        <v>water</v>
      </c>
      <c r="FF143" t="str">
        <f t="shared" si="99"/>
        <v xml:space="preserve">saturated </v>
      </c>
      <c r="FG143" s="408">
        <f t="shared" si="92"/>
        <v>1</v>
      </c>
      <c r="FH143" s="138">
        <f t="shared" si="100"/>
        <v>3.1376714594241739</v>
      </c>
      <c r="FI143" s="106">
        <f t="shared" si="87"/>
        <v>3.0434666927166512</v>
      </c>
      <c r="FJ143" s="138">
        <f t="shared" si="101"/>
        <v>-11.657760141526065</v>
      </c>
      <c r="FK143" s="138" t="str">
        <f t="shared" si="102"/>
        <v>**</v>
      </c>
    </row>
    <row r="144" spans="1:167" ht="12.75" hidden="1" customHeight="1" x14ac:dyDescent="0.2">
      <c r="A144">
        <v>98</v>
      </c>
      <c r="B144" s="4" t="s">
        <v>430</v>
      </c>
      <c r="C144" s="4"/>
      <c r="D144" t="s">
        <v>296</v>
      </c>
      <c r="E144">
        <v>-505</v>
      </c>
      <c r="F144" t="str">
        <f>VLOOKUP(E144,CompDbase!B:L,4,FALSE)</f>
        <v>1,3-Dichlorobenzene</v>
      </c>
      <c r="G144" s="95" t="str">
        <f>VLOOKUP(E144,CompDbase!B:M,12,FALSE)</f>
        <v>ClArom</v>
      </c>
      <c r="H144" s="95">
        <f>VLOOKUP(E144,CompDbase!B:L,8,FALSE)</f>
        <v>147</v>
      </c>
      <c r="I144" s="95" t="e">
        <f>VLOOKUP(E144,CompDbase!B:L,11,FALSE)</f>
        <v>#DIV/0!</v>
      </c>
      <c r="J144" s="95">
        <f>VLOOKUP(E144,CompDbase!B:L,9,FALSE)</f>
        <v>114.33333333333333</v>
      </c>
      <c r="K144" s="95">
        <f>VLOOKUP(E144,CompDbase!B:L,10,FALSE)</f>
        <v>3.4</v>
      </c>
      <c r="L144" s="4" t="s">
        <v>769</v>
      </c>
      <c r="M144" s="423"/>
      <c r="N144" s="423"/>
      <c r="O144" s="4" t="s">
        <v>1082</v>
      </c>
      <c r="P144">
        <v>293</v>
      </c>
      <c r="Q144" s="4" t="s">
        <v>1049</v>
      </c>
      <c r="R144" s="289" t="s">
        <v>1982</v>
      </c>
      <c r="S144" s="41">
        <v>6.0000000000000001E-3</v>
      </c>
      <c r="T144" s="95">
        <f>S144/J144</f>
        <v>5.2478134110787174E-5</v>
      </c>
      <c r="W144">
        <v>47.8</v>
      </c>
      <c r="X144" s="288">
        <f t="shared" si="104"/>
        <v>1.6794278966121188</v>
      </c>
      <c r="Y144">
        <v>4.5138888888888883E-13</v>
      </c>
      <c r="Z144" s="95">
        <f>LOG(Y144)</f>
        <v>-12.345449135452395</v>
      </c>
      <c r="AA144" s="95">
        <f>W144*Y144</f>
        <v>2.1576388888888884E-11</v>
      </c>
      <c r="AB144" s="288">
        <f>LOG(AA144)</f>
        <v>-10.666021238840274</v>
      </c>
      <c r="AC144" s="95" t="s">
        <v>68</v>
      </c>
      <c r="AD144" s="95"/>
      <c r="AG144" s="138">
        <f t="shared" si="109"/>
        <v>1.6794278966121188</v>
      </c>
      <c r="AH144">
        <f t="shared" si="110"/>
        <v>3.4</v>
      </c>
      <c r="AK144">
        <f t="shared" si="110"/>
        <v>3.4</v>
      </c>
      <c r="BW144" s="138"/>
      <c r="BX144">
        <f t="shared" si="122"/>
        <v>2.0581728653231082</v>
      </c>
      <c r="CA144">
        <f>LOG(1*$J144)</f>
        <v>2.0581728653231082</v>
      </c>
      <c r="DG144">
        <f t="shared" si="129"/>
        <v>-12.345449135452395</v>
      </c>
      <c r="DH144">
        <f t="shared" si="130"/>
        <v>147</v>
      </c>
      <c r="DK144">
        <f t="shared" ref="DK144" si="131">$H144</f>
        <v>147</v>
      </c>
      <c r="DM144">
        <f t="shared" ref="DM144" si="132">$H144</f>
        <v>147</v>
      </c>
      <c r="DP144">
        <f>$DM$19*DM144+$DM$21</f>
        <v>-12.339780675016495</v>
      </c>
      <c r="DQ144">
        <f>DG144-DP144</f>
        <v>-5.6684604358991919E-3</v>
      </c>
      <c r="DR144">
        <f>DQ144^2</f>
        <v>3.2131443713354458E-5</v>
      </c>
      <c r="EY144" s="479">
        <f>VLOOKUP(B144,Literatuur!$A:$B,2,FALSE)</f>
        <v>37</v>
      </c>
      <c r="EZ144" t="str">
        <f t="shared" si="93"/>
        <v>1,3-Dichloorbenzeen</v>
      </c>
      <c r="FA144" t="str">
        <f t="shared" si="94"/>
        <v>ClArom</v>
      </c>
      <c r="FB144" t="str">
        <f t="shared" si="95"/>
        <v>LDPE</v>
      </c>
      <c r="FC144" t="str">
        <f t="shared" si="96"/>
        <v>Permeation</v>
      </c>
      <c r="FD144">
        <f t="shared" si="97"/>
        <v>293</v>
      </c>
      <c r="FE144" t="str">
        <f t="shared" si="98"/>
        <v>water</v>
      </c>
      <c r="FF144" t="str">
        <f t="shared" si="99"/>
        <v>measured 0.006</v>
      </c>
      <c r="FG144" s="408">
        <f t="shared" si="92"/>
        <v>5.2478134110787174E-5</v>
      </c>
      <c r="FH144" s="138">
        <f t="shared" si="100"/>
        <v>1.6794278966121188</v>
      </c>
      <c r="FI144" s="106" t="str">
        <f t="shared" si="87"/>
        <v>**</v>
      </c>
      <c r="FJ144" s="138">
        <f t="shared" si="101"/>
        <v>-12.345449135452395</v>
      </c>
      <c r="FK144" s="138">
        <f t="shared" si="102"/>
        <v>-12.339780675016495</v>
      </c>
    </row>
    <row r="145" spans="1:167" ht="12.75" hidden="1" customHeight="1" x14ac:dyDescent="0.2">
      <c r="A145">
        <v>99</v>
      </c>
      <c r="B145" t="s">
        <v>430</v>
      </c>
      <c r="D145" t="s">
        <v>298</v>
      </c>
      <c r="E145">
        <v>501</v>
      </c>
      <c r="F145" t="str">
        <f>VLOOKUP(E145,CompDbase!B:L,4,FALSE)</f>
        <v>1,4-Dichlorobenzene</v>
      </c>
      <c r="G145" s="95" t="str">
        <f>VLOOKUP(E145,CompDbase!B:M,12,FALSE)</f>
        <v>ClArom</v>
      </c>
      <c r="H145" s="95">
        <f>VLOOKUP(E145,CompDbase!B:L,8,FALSE)</f>
        <v>147.00199994558051</v>
      </c>
      <c r="I145" s="95" t="e">
        <f>VLOOKUP(E145,CompDbase!B:L,11,FALSE)</f>
        <v>#DIV/0!</v>
      </c>
      <c r="J145" s="95">
        <f>VLOOKUP(E145,CompDbase!B:L,9,FALSE)</f>
        <v>60.526307160070552</v>
      </c>
      <c r="K145" s="95">
        <f>VLOOKUP(E145,CompDbase!B:L,10,FALSE)</f>
        <v>3.44</v>
      </c>
      <c r="L145" s="4" t="s">
        <v>769</v>
      </c>
      <c r="N145" s="416">
        <v>940000</v>
      </c>
      <c r="O145" s="4" t="s">
        <v>1044</v>
      </c>
      <c r="P145">
        <v>293</v>
      </c>
      <c r="Q145" s="4" t="s">
        <v>1049</v>
      </c>
      <c r="R145" s="289" t="s">
        <v>1988</v>
      </c>
      <c r="T145" s="95">
        <v>1</v>
      </c>
      <c r="V145" s="36">
        <v>4.3999999999999997E-2</v>
      </c>
      <c r="W145" s="95">
        <f>V145*N145/J145</f>
        <v>683.33922786033372</v>
      </c>
      <c r="X145" s="288">
        <f t="shared" si="104"/>
        <v>2.8346363526036651</v>
      </c>
      <c r="Z145" s="190"/>
      <c r="AC145" t="s">
        <v>68</v>
      </c>
      <c r="AG145" s="138">
        <f t="shared" si="109"/>
        <v>2.8346363526036651</v>
      </c>
      <c r="AH145">
        <f t="shared" si="110"/>
        <v>3.44</v>
      </c>
      <c r="AI145">
        <f t="shared" si="110"/>
        <v>3.44</v>
      </c>
      <c r="AL145">
        <f t="shared" ref="AL145:AL148" si="133">$K145</f>
        <v>3.44</v>
      </c>
      <c r="AO145">
        <f t="shared" ref="AO145:AO148" si="134">$K145</f>
        <v>3.44</v>
      </c>
      <c r="BW145" s="138"/>
      <c r="BX145">
        <f t="shared" si="122"/>
        <v>1.7819441774822209</v>
      </c>
      <c r="BY145">
        <f>LOG(1*$J145)</f>
        <v>1.7819441774822209</v>
      </c>
      <c r="CB145">
        <f>LOG(1*$J145)</f>
        <v>1.7819441774822209</v>
      </c>
      <c r="CE145">
        <f>LOG(1*$J145)</f>
        <v>1.7819441774822209</v>
      </c>
      <c r="DG145" s="138"/>
      <c r="EY145" s="479">
        <f>VLOOKUP(B145,Literatuur!$A:$B,2,FALSE)</f>
        <v>37</v>
      </c>
      <c r="EZ145" t="str">
        <f t="shared" si="93"/>
        <v>1,4-Dichloorbenzeen</v>
      </c>
      <c r="FA145" t="str">
        <f t="shared" si="94"/>
        <v>ClArom</v>
      </c>
      <c r="FB145" t="str">
        <f t="shared" si="95"/>
        <v>LDPE</v>
      </c>
      <c r="FC145" t="str">
        <f t="shared" si="96"/>
        <v>Immersion</v>
      </c>
      <c r="FD145">
        <f t="shared" si="97"/>
        <v>293</v>
      </c>
      <c r="FE145" t="str">
        <f t="shared" si="98"/>
        <v>water</v>
      </c>
      <c r="FF145" t="str">
        <f t="shared" si="99"/>
        <v xml:space="preserve">saturated </v>
      </c>
      <c r="FG145" s="408">
        <f t="shared" si="92"/>
        <v>1</v>
      </c>
      <c r="FH145" s="138">
        <f t="shared" si="100"/>
        <v>2.8346363526036651</v>
      </c>
      <c r="FI145" s="106">
        <f t="shared" si="87"/>
        <v>3.0872829266608339</v>
      </c>
      <c r="FJ145" s="138" t="str">
        <f t="shared" si="101"/>
        <v/>
      </c>
      <c r="FK145" s="138" t="str">
        <f t="shared" si="102"/>
        <v>**</v>
      </c>
    </row>
    <row r="146" spans="1:167" ht="12.75" hidden="1" customHeight="1" x14ac:dyDescent="0.2">
      <c r="A146">
        <v>100</v>
      </c>
      <c r="B146" t="s">
        <v>430</v>
      </c>
      <c r="D146" t="s">
        <v>285</v>
      </c>
      <c r="E146">
        <v>-500</v>
      </c>
      <c r="F146" t="str">
        <f>VLOOKUP(E146,CompDbase!B:L,4,FALSE)</f>
        <v>Benzyl chloride</v>
      </c>
      <c r="G146" s="95" t="str">
        <f>VLOOKUP(E146,CompDbase!B:M,12,FALSE)</f>
        <v>ClArom</v>
      </c>
      <c r="H146" s="95">
        <f>VLOOKUP(E146,CompDbase!B:L,8,FALSE)</f>
        <v>126.59</v>
      </c>
      <c r="I146" s="95" t="e">
        <f>VLOOKUP(E146,CompDbase!B:L,11,FALSE)</f>
        <v>#DIV/0!</v>
      </c>
      <c r="J146" s="95">
        <f>VLOOKUP(E146,CompDbase!B:L,9,FALSE)</f>
        <v>476.5</v>
      </c>
      <c r="K146" s="95">
        <f>VLOOKUP(E146,CompDbase!B:L,10,FALSE)</f>
        <v>2.2999999999999998</v>
      </c>
      <c r="L146" s="4" t="s">
        <v>769</v>
      </c>
      <c r="N146" s="416">
        <v>940000</v>
      </c>
      <c r="O146" s="4" t="s">
        <v>1044</v>
      </c>
      <c r="P146">
        <v>293</v>
      </c>
      <c r="Q146" s="4" t="s">
        <v>1049</v>
      </c>
      <c r="R146" s="289" t="s">
        <v>1988</v>
      </c>
      <c r="T146" s="95">
        <v>1</v>
      </c>
      <c r="V146" s="36">
        <v>4.5999999999999999E-2</v>
      </c>
      <c r="W146" s="95">
        <f>V146*N146/J146</f>
        <v>90.745015739769144</v>
      </c>
      <c r="X146" s="288">
        <f t="shared" si="104"/>
        <v>1.9578227803069275</v>
      </c>
      <c r="Z146" s="190"/>
      <c r="AC146" t="s">
        <v>68</v>
      </c>
      <c r="AG146" s="138">
        <f t="shared" si="109"/>
        <v>1.9578227803069275</v>
      </c>
      <c r="AH146">
        <f t="shared" si="110"/>
        <v>2.2999999999999998</v>
      </c>
      <c r="AI146">
        <f t="shared" si="110"/>
        <v>2.2999999999999998</v>
      </c>
      <c r="AL146">
        <f t="shared" si="133"/>
        <v>2.2999999999999998</v>
      </c>
      <c r="AO146">
        <f t="shared" si="134"/>
        <v>2.2999999999999998</v>
      </c>
      <c r="BW146" s="138"/>
      <c r="BX146">
        <f t="shared" si="122"/>
        <v>2.6780629049743454</v>
      </c>
      <c r="BY146">
        <f>LOG(1*$J146)</f>
        <v>2.6780629049743454</v>
      </c>
      <c r="CB146">
        <f>LOG(1*$J146)</f>
        <v>2.6780629049743454</v>
      </c>
      <c r="CE146">
        <f>LOG(1*$J146)</f>
        <v>2.6780629049743454</v>
      </c>
      <c r="DG146" s="138"/>
      <c r="EY146" s="479">
        <f>VLOOKUP(B146,Literatuur!$A:$B,2,FALSE)</f>
        <v>37</v>
      </c>
      <c r="EZ146" t="str">
        <f t="shared" si="93"/>
        <v>Benzylchloride</v>
      </c>
      <c r="FA146" t="str">
        <f t="shared" si="94"/>
        <v>ClArom</v>
      </c>
      <c r="FB146" t="str">
        <f t="shared" si="95"/>
        <v>LDPE</v>
      </c>
      <c r="FC146" t="str">
        <f t="shared" si="96"/>
        <v>Immersion</v>
      </c>
      <c r="FD146">
        <f t="shared" si="97"/>
        <v>293</v>
      </c>
      <c r="FE146" t="str">
        <f t="shared" si="98"/>
        <v>water</v>
      </c>
      <c r="FF146" t="str">
        <f t="shared" si="99"/>
        <v xml:space="preserve">saturated </v>
      </c>
      <c r="FG146" s="408">
        <f t="shared" si="92"/>
        <v>1</v>
      </c>
      <c r="FH146" s="138">
        <f t="shared" si="100"/>
        <v>1.9578227803069275</v>
      </c>
      <c r="FI146" s="106">
        <f t="shared" si="87"/>
        <v>1.8385202592516294</v>
      </c>
      <c r="FJ146" s="138" t="str">
        <f t="shared" si="101"/>
        <v/>
      </c>
      <c r="FK146" s="138" t="str">
        <f t="shared" si="102"/>
        <v>**</v>
      </c>
    </row>
    <row r="147" spans="1:167" ht="12.75" hidden="1" customHeight="1" x14ac:dyDescent="0.2">
      <c r="A147">
        <v>101</v>
      </c>
      <c r="B147" t="s">
        <v>430</v>
      </c>
      <c r="D147" t="s">
        <v>290</v>
      </c>
      <c r="E147">
        <v>-503</v>
      </c>
      <c r="F147" t="str">
        <f>VLOOKUP(E147,CompDbase!B:L,4,FALSE)</f>
        <v>mo-Chlorotoluene</v>
      </c>
      <c r="G147" s="95" t="str">
        <f>VLOOKUP(E147,CompDbase!B:M,12,FALSE)</f>
        <v>ClArom</v>
      </c>
      <c r="H147" s="95">
        <f>VLOOKUP(E147,CompDbase!B:L,8,FALSE)</f>
        <v>126.586</v>
      </c>
      <c r="I147" s="95" t="e">
        <f>VLOOKUP(E147,CompDbase!B:L,11,FALSE)</f>
        <v>#DIV/0!</v>
      </c>
      <c r="J147" s="95">
        <f>VLOOKUP(E147,CompDbase!B:L,9,FALSE)</f>
        <v>117</v>
      </c>
      <c r="K147" s="95">
        <f>VLOOKUP(E147,CompDbase!B:L,10,FALSE)</f>
        <v>3.7639999999999998</v>
      </c>
      <c r="L147" s="4" t="s">
        <v>769</v>
      </c>
      <c r="N147" s="416">
        <v>940000</v>
      </c>
      <c r="O147" s="4" t="s">
        <v>1044</v>
      </c>
      <c r="P147">
        <v>293</v>
      </c>
      <c r="Q147" s="4" t="s">
        <v>1049</v>
      </c>
      <c r="R147" s="289" t="s">
        <v>1988</v>
      </c>
      <c r="T147" s="95">
        <v>1</v>
      </c>
      <c r="V147" s="36">
        <v>0.127</v>
      </c>
      <c r="W147" s="95">
        <f>V147*N147/J147</f>
        <v>1020.3418803418804</v>
      </c>
      <c r="X147" s="288">
        <f t="shared" si="104"/>
        <v>3.0087457128094939</v>
      </c>
      <c r="Z147" s="190"/>
      <c r="AC147" t="s">
        <v>68</v>
      </c>
      <c r="AG147" s="138">
        <f t="shared" si="109"/>
        <v>3.0087457128094939</v>
      </c>
      <c r="AH147">
        <f t="shared" si="110"/>
        <v>3.7639999999999998</v>
      </c>
      <c r="AI147">
        <f t="shared" si="110"/>
        <v>3.7639999999999998</v>
      </c>
      <c r="AL147">
        <f t="shared" si="133"/>
        <v>3.7639999999999998</v>
      </c>
      <c r="AO147">
        <f t="shared" si="134"/>
        <v>3.7639999999999998</v>
      </c>
      <c r="BW147" s="138"/>
      <c r="BX147">
        <f t="shared" si="122"/>
        <v>2.0681858617461617</v>
      </c>
      <c r="BY147">
        <f>LOG(1*$J147)</f>
        <v>2.0681858617461617</v>
      </c>
      <c r="CB147">
        <f>LOG(1*$J147)</f>
        <v>2.0681858617461617</v>
      </c>
      <c r="CE147">
        <f>LOG(1*$J147)</f>
        <v>2.0681858617461617</v>
      </c>
      <c r="DG147" s="138"/>
      <c r="EY147" s="479">
        <f>VLOOKUP(B147,Literatuur!$A:$B,2,FALSE)</f>
        <v>37</v>
      </c>
      <c r="EZ147" t="str">
        <f t="shared" si="93"/>
        <v>m-Chloortolueen</v>
      </c>
      <c r="FA147" t="str">
        <f t="shared" si="94"/>
        <v>ClArom</v>
      </c>
      <c r="FB147" t="str">
        <f t="shared" si="95"/>
        <v>LDPE</v>
      </c>
      <c r="FC147" t="str">
        <f t="shared" si="96"/>
        <v>Immersion</v>
      </c>
      <c r="FD147">
        <f t="shared" si="97"/>
        <v>293</v>
      </c>
      <c r="FE147" t="str">
        <f t="shared" si="98"/>
        <v>water</v>
      </c>
      <c r="FF147" t="str">
        <f t="shared" si="99"/>
        <v xml:space="preserve">saturated </v>
      </c>
      <c r="FG147" s="408">
        <f t="shared" si="92"/>
        <v>1</v>
      </c>
      <c r="FH147" s="138">
        <f t="shared" si="100"/>
        <v>3.0087457128094939</v>
      </c>
      <c r="FI147" s="106">
        <f t="shared" si="87"/>
        <v>3.442194421608713</v>
      </c>
      <c r="FJ147" s="138" t="str">
        <f t="shared" si="101"/>
        <v/>
      </c>
      <c r="FK147" s="138" t="str">
        <f t="shared" si="102"/>
        <v>**</v>
      </c>
    </row>
    <row r="148" spans="1:167" ht="12.75" hidden="1" customHeight="1" x14ac:dyDescent="0.2">
      <c r="A148">
        <v>102</v>
      </c>
      <c r="B148" t="s">
        <v>430</v>
      </c>
      <c r="D148" t="s">
        <v>127</v>
      </c>
      <c r="E148">
        <v>500</v>
      </c>
      <c r="F148" t="str">
        <f>VLOOKUP(E148,CompDbase!B:L,4,FALSE)</f>
        <v>Chlorobenzene</v>
      </c>
      <c r="G148" s="95" t="str">
        <f>VLOOKUP(E148,CompDbase!B:M,12,FALSE)</f>
        <v>ClArom</v>
      </c>
      <c r="H148" s="95">
        <f>VLOOKUP(E148,CompDbase!B:L,8,FALSE)</f>
        <v>112.58999866757466</v>
      </c>
      <c r="I148" s="95" t="e">
        <f>VLOOKUP(E148,CompDbase!B:L,11,FALSE)</f>
        <v>#DIV/0!</v>
      </c>
      <c r="J148" s="95">
        <f>VLOOKUP(E148,CompDbase!B:L,9,FALSE)</f>
        <v>507.42586202944472</v>
      </c>
      <c r="K148" s="95">
        <f>VLOOKUP(E148,CompDbase!B:L,10,FALSE)</f>
        <v>2.89</v>
      </c>
      <c r="L148" s="4" t="s">
        <v>769</v>
      </c>
      <c r="N148" s="416">
        <v>940000</v>
      </c>
      <c r="O148" s="4" t="s">
        <v>1044</v>
      </c>
      <c r="P148">
        <v>293</v>
      </c>
      <c r="Q148" s="4" t="s">
        <v>1049</v>
      </c>
      <c r="R148" s="289" t="s">
        <v>1988</v>
      </c>
      <c r="T148" s="95">
        <v>1</v>
      </c>
      <c r="V148" s="36">
        <v>0.13600000000000001</v>
      </c>
      <c r="W148" s="95">
        <f>V148*N148/J148</f>
        <v>251.93828215358437</v>
      </c>
      <c r="X148" s="288">
        <f t="shared" si="104"/>
        <v>2.4012941637857232</v>
      </c>
      <c r="Z148" s="190"/>
      <c r="AG148" s="138">
        <f t="shared" si="109"/>
        <v>2.4012941637857232</v>
      </c>
      <c r="AH148">
        <f t="shared" si="110"/>
        <v>2.89</v>
      </c>
      <c r="AI148">
        <f t="shared" si="110"/>
        <v>2.89</v>
      </c>
      <c r="AL148">
        <f t="shared" si="133"/>
        <v>2.89</v>
      </c>
      <c r="AO148">
        <f t="shared" si="134"/>
        <v>2.89</v>
      </c>
      <c r="BW148" s="138"/>
      <c r="BX148">
        <f t="shared" si="122"/>
        <v>2.705372598184193</v>
      </c>
      <c r="BY148">
        <f>LOG(1*$J148)</f>
        <v>2.705372598184193</v>
      </c>
      <c r="CB148">
        <f>LOG(1*$J148)</f>
        <v>2.705372598184193</v>
      </c>
      <c r="CE148">
        <f>LOG(1*$J148)</f>
        <v>2.705372598184193</v>
      </c>
      <c r="DG148" s="138"/>
      <c r="EY148" s="479">
        <f>VLOOKUP(B148,Literatuur!$A:$B,2,FALSE)</f>
        <v>37</v>
      </c>
      <c r="EZ148" t="str">
        <f t="shared" si="93"/>
        <v>Monochloorbenzeen</v>
      </c>
      <c r="FA148" t="str">
        <f t="shared" si="94"/>
        <v>ClArom</v>
      </c>
      <c r="FB148" t="str">
        <f t="shared" si="95"/>
        <v>LDPE</v>
      </c>
      <c r="FC148" t="str">
        <f t="shared" si="96"/>
        <v>Immersion</v>
      </c>
      <c r="FD148">
        <f t="shared" si="97"/>
        <v>293</v>
      </c>
      <c r="FE148" t="str">
        <f t="shared" si="98"/>
        <v>water</v>
      </c>
      <c r="FF148" t="str">
        <f t="shared" si="99"/>
        <v xml:space="preserve">saturated </v>
      </c>
      <c r="FG148" s="408">
        <f t="shared" si="92"/>
        <v>1</v>
      </c>
      <c r="FH148" s="138">
        <f t="shared" si="100"/>
        <v>2.4012941637857232</v>
      </c>
      <c r="FI148" s="106">
        <f t="shared" si="87"/>
        <v>2.4848097099283231</v>
      </c>
      <c r="FJ148" s="138" t="str">
        <f t="shared" si="101"/>
        <v/>
      </c>
      <c r="FK148" s="138" t="str">
        <f t="shared" si="102"/>
        <v>**</v>
      </c>
    </row>
    <row r="149" spans="1:167" ht="12.75" hidden="1" customHeight="1" x14ac:dyDescent="0.2">
      <c r="A149">
        <v>103</v>
      </c>
      <c r="B149" s="4" t="s">
        <v>430</v>
      </c>
      <c r="C149" s="4"/>
      <c r="D149" t="s">
        <v>127</v>
      </c>
      <c r="E149">
        <v>500</v>
      </c>
      <c r="F149" t="str">
        <f>VLOOKUP(E149,CompDbase!B:L,4,FALSE)</f>
        <v>Chlorobenzene</v>
      </c>
      <c r="G149" s="95" t="str">
        <f>VLOOKUP(E149,CompDbase!B:M,12,FALSE)</f>
        <v>ClArom</v>
      </c>
      <c r="H149" s="95">
        <f>VLOOKUP(E149,CompDbase!B:L,8,FALSE)</f>
        <v>112.58999866757466</v>
      </c>
      <c r="I149" s="95" t="e">
        <f>VLOOKUP(E149,CompDbase!B:L,11,FALSE)</f>
        <v>#DIV/0!</v>
      </c>
      <c r="J149" s="95">
        <f>VLOOKUP(E149,CompDbase!B:L,9,FALSE)</f>
        <v>507.42586202944472</v>
      </c>
      <c r="K149" s="95">
        <f>VLOOKUP(E149,CompDbase!B:L,10,FALSE)</f>
        <v>2.89</v>
      </c>
      <c r="L149" s="4" t="s">
        <v>769</v>
      </c>
      <c r="M149" s="423"/>
      <c r="N149" s="423"/>
      <c r="O149" s="4" t="s">
        <v>1082</v>
      </c>
      <c r="P149">
        <v>293</v>
      </c>
      <c r="Q149" s="4" t="s">
        <v>1049</v>
      </c>
      <c r="R149" s="289" t="s">
        <v>1982</v>
      </c>
      <c r="S149" s="41">
        <v>6.6000000000000003E-2</v>
      </c>
      <c r="T149" s="95">
        <f>S149/J149</f>
        <v>1.300682620630207E-4</v>
      </c>
      <c r="W149">
        <v>35.6</v>
      </c>
      <c r="X149" s="288">
        <f t="shared" si="104"/>
        <v>1.5514499979728751</v>
      </c>
      <c r="Y149">
        <v>1.1342592592592593E-12</v>
      </c>
      <c r="Z149" s="95">
        <f>LOG(Y149)</f>
        <v>-11.945287666786399</v>
      </c>
      <c r="AA149" s="95">
        <f>W149*Y149</f>
        <v>4.0379629629629629E-11</v>
      </c>
      <c r="AB149" s="288">
        <f>LOG(AA149)</f>
        <v>-10.393837668813523</v>
      </c>
      <c r="AC149" s="95" t="s">
        <v>68</v>
      </c>
      <c r="AD149" s="95"/>
      <c r="AG149" s="138">
        <f t="shared" si="109"/>
        <v>1.5514499979728751</v>
      </c>
      <c r="AH149">
        <f t="shared" si="110"/>
        <v>2.89</v>
      </c>
      <c r="AK149">
        <f t="shared" si="110"/>
        <v>2.89</v>
      </c>
      <c r="BW149" s="138"/>
      <c r="BX149">
        <f t="shared" si="122"/>
        <v>2.705372598184193</v>
      </c>
      <c r="CA149">
        <f>LOG(1*$J149)</f>
        <v>2.705372598184193</v>
      </c>
      <c r="DG149">
        <f>Z149</f>
        <v>-11.945287666786399</v>
      </c>
      <c r="DH149">
        <f>$H149</f>
        <v>112.58999866757466</v>
      </c>
      <c r="DK149">
        <f t="shared" ref="DK149" si="135">$H149</f>
        <v>112.58999866757466</v>
      </c>
      <c r="DM149">
        <f t="shared" ref="DM149" si="136">$H149</f>
        <v>112.58999866757466</v>
      </c>
      <c r="DP149">
        <f>$DM$19*DM149+$DM$21</f>
        <v>-11.953209980107024</v>
      </c>
      <c r="DQ149">
        <f>DG149-DP149</f>
        <v>7.9223133206252072E-3</v>
      </c>
      <c r="DR149">
        <f>DQ149^2</f>
        <v>6.2763048350155594E-5</v>
      </c>
      <c r="EY149" s="479">
        <f>VLOOKUP(B149,Literatuur!$A:$B,2,FALSE)</f>
        <v>37</v>
      </c>
      <c r="EZ149" t="str">
        <f t="shared" si="93"/>
        <v>Monochloorbenzeen</v>
      </c>
      <c r="FA149" t="str">
        <f t="shared" si="94"/>
        <v>ClArom</v>
      </c>
      <c r="FB149" t="str">
        <f t="shared" si="95"/>
        <v>LDPE</v>
      </c>
      <c r="FC149" t="str">
        <f t="shared" si="96"/>
        <v>Permeation</v>
      </c>
      <c r="FD149">
        <f t="shared" si="97"/>
        <v>293</v>
      </c>
      <c r="FE149" t="str">
        <f t="shared" si="98"/>
        <v>water</v>
      </c>
      <c r="FF149" t="str">
        <f t="shared" si="99"/>
        <v>measured 0.066</v>
      </c>
      <c r="FG149" s="408">
        <f t="shared" si="92"/>
        <v>1.300682620630207E-4</v>
      </c>
      <c r="FH149" s="138">
        <f t="shared" si="100"/>
        <v>1.5514499979728751</v>
      </c>
      <c r="FI149" s="106" t="str">
        <f t="shared" si="87"/>
        <v>**</v>
      </c>
      <c r="FJ149" s="138">
        <f t="shared" si="101"/>
        <v>-11.945287666786399</v>
      </c>
      <c r="FK149" s="138">
        <f t="shared" si="102"/>
        <v>-11.953209980107024</v>
      </c>
    </row>
    <row r="150" spans="1:167" ht="12.75" hidden="1" customHeight="1" x14ac:dyDescent="0.2">
      <c r="A150">
        <v>104</v>
      </c>
      <c r="B150" t="s">
        <v>430</v>
      </c>
      <c r="D150" t="s">
        <v>287</v>
      </c>
      <c r="E150">
        <v>-502</v>
      </c>
      <c r="F150" t="str">
        <f>VLOOKUP(E150,CompDbase!B:L,4,FALSE)</f>
        <v>o-Chlorotoluene</v>
      </c>
      <c r="G150" s="95" t="str">
        <f>VLOOKUP(E150,CompDbase!B:M,12,FALSE)</f>
        <v>ClArom</v>
      </c>
      <c r="H150" s="95">
        <f>VLOOKUP(E150,CompDbase!B:L,8,FALSE)</f>
        <v>126.586</v>
      </c>
      <c r="I150" s="95" t="e">
        <f>VLOOKUP(E150,CompDbase!B:L,11,FALSE)</f>
        <v>#DIV/0!</v>
      </c>
      <c r="J150" s="95">
        <f>VLOOKUP(E150,CompDbase!B:L,9,FALSE)</f>
        <v>154</v>
      </c>
      <c r="K150" s="95">
        <f>VLOOKUP(E150,CompDbase!B:L,10,FALSE)</f>
        <v>3.2</v>
      </c>
      <c r="L150" s="4" t="s">
        <v>769</v>
      </c>
      <c r="N150" s="416">
        <v>940000</v>
      </c>
      <c r="O150" s="4" t="s">
        <v>1044</v>
      </c>
      <c r="P150">
        <v>293</v>
      </c>
      <c r="Q150" s="4" t="s">
        <v>1049</v>
      </c>
      <c r="R150" s="289" t="s">
        <v>1988</v>
      </c>
      <c r="T150" s="95">
        <v>1</v>
      </c>
      <c r="V150" s="36">
        <v>0.14399999999999999</v>
      </c>
      <c r="W150" s="95">
        <f>V150*N150/J150</f>
        <v>878.96103896103898</v>
      </c>
      <c r="X150" s="288">
        <f t="shared" si="104"/>
        <v>2.9439696248584855</v>
      </c>
      <c r="Z150" s="190"/>
      <c r="AC150" t="s">
        <v>68</v>
      </c>
      <c r="AG150" s="138">
        <f t="shared" si="109"/>
        <v>2.9439696248584855</v>
      </c>
      <c r="AH150">
        <f t="shared" si="110"/>
        <v>3.2</v>
      </c>
      <c r="AI150">
        <f t="shared" si="110"/>
        <v>3.2</v>
      </c>
      <c r="AL150">
        <f t="shared" ref="AL150:AL154" si="137">$K150</f>
        <v>3.2</v>
      </c>
      <c r="AO150">
        <f t="shared" ref="AO150:AO154" si="138">$K150</f>
        <v>3.2</v>
      </c>
      <c r="BW150" s="138"/>
      <c r="BX150">
        <f t="shared" si="122"/>
        <v>2.1875207208364631</v>
      </c>
      <c r="BY150">
        <f>LOG(1*$J150)</f>
        <v>2.1875207208364631</v>
      </c>
      <c r="CB150">
        <f>LOG(1*$J150)</f>
        <v>2.1875207208364631</v>
      </c>
      <c r="CE150">
        <f>LOG(1*$J150)</f>
        <v>2.1875207208364631</v>
      </c>
      <c r="DG150" s="138"/>
      <c r="EY150" s="479">
        <f>VLOOKUP(B150,Literatuur!$A:$B,2,FALSE)</f>
        <v>37</v>
      </c>
      <c r="EZ150" t="str">
        <f t="shared" si="93"/>
        <v>o-Chloortolueen</v>
      </c>
      <c r="FA150" t="str">
        <f t="shared" si="94"/>
        <v>ClArom</v>
      </c>
      <c r="FB150" t="str">
        <f t="shared" si="95"/>
        <v>LDPE</v>
      </c>
      <c r="FC150" t="str">
        <f t="shared" si="96"/>
        <v>Immersion</v>
      </c>
      <c r="FD150">
        <f t="shared" si="97"/>
        <v>293</v>
      </c>
      <c r="FE150" t="str">
        <f t="shared" si="98"/>
        <v>water</v>
      </c>
      <c r="FF150" t="str">
        <f t="shared" si="99"/>
        <v xml:space="preserve">saturated </v>
      </c>
      <c r="FG150" s="408">
        <f t="shared" si="92"/>
        <v>1</v>
      </c>
      <c r="FH150" s="138">
        <f t="shared" si="100"/>
        <v>2.9439696248584855</v>
      </c>
      <c r="FI150" s="106">
        <f t="shared" si="87"/>
        <v>2.8243855229957386</v>
      </c>
      <c r="FJ150" s="138" t="str">
        <f t="shared" si="101"/>
        <v/>
      </c>
      <c r="FK150" s="138" t="str">
        <f t="shared" si="102"/>
        <v>**</v>
      </c>
    </row>
    <row r="151" spans="1:167" ht="12.75" hidden="1" customHeight="1" x14ac:dyDescent="0.2">
      <c r="A151">
        <v>105</v>
      </c>
      <c r="B151" t="s">
        <v>430</v>
      </c>
      <c r="D151" t="s">
        <v>292</v>
      </c>
      <c r="E151">
        <v>-504</v>
      </c>
      <c r="F151" t="str">
        <f>VLOOKUP(E151,CompDbase!B:L,4,FALSE)</f>
        <v>p-Chlorotoluene</v>
      </c>
      <c r="G151" s="95" t="str">
        <f>VLOOKUP(E151,CompDbase!B:M,12,FALSE)</f>
        <v>ClArom</v>
      </c>
      <c r="H151" s="95">
        <f>VLOOKUP(E151,CompDbase!B:L,8,FALSE)</f>
        <v>126.586</v>
      </c>
      <c r="I151" s="95" t="e">
        <f>VLOOKUP(E151,CompDbase!B:L,11,FALSE)</f>
        <v>#DIV/0!</v>
      </c>
      <c r="J151" s="95">
        <f>VLOOKUP(E151,CompDbase!B:L,9,FALSE)</f>
        <v>123</v>
      </c>
      <c r="K151" s="95">
        <f>VLOOKUP(E151,CompDbase!B:L,10,FALSE)</f>
        <v>3.33</v>
      </c>
      <c r="L151" s="4" t="s">
        <v>769</v>
      </c>
      <c r="N151" s="416">
        <v>940000</v>
      </c>
      <c r="O151" s="4" t="s">
        <v>1044</v>
      </c>
      <c r="P151">
        <v>293</v>
      </c>
      <c r="Q151" s="4" t="s">
        <v>1049</v>
      </c>
      <c r="R151" s="289" t="s">
        <v>1988</v>
      </c>
      <c r="T151" s="95">
        <v>1</v>
      </c>
      <c r="V151" s="36">
        <v>0.128</v>
      </c>
      <c r="W151" s="95">
        <f>V151*N151/J151</f>
        <v>978.21138211382117</v>
      </c>
      <c r="X151" s="288">
        <f t="shared" si="104"/>
        <v>2.9904327118081691</v>
      </c>
      <c r="Z151" s="190"/>
      <c r="AC151" t="s">
        <v>68</v>
      </c>
      <c r="AG151" s="138">
        <f t="shared" si="109"/>
        <v>2.9904327118081691</v>
      </c>
      <c r="AH151">
        <f t="shared" si="110"/>
        <v>3.33</v>
      </c>
      <c r="AI151">
        <f t="shared" si="110"/>
        <v>3.33</v>
      </c>
      <c r="AL151">
        <f t="shared" si="137"/>
        <v>3.33</v>
      </c>
      <c r="AO151">
        <f t="shared" si="138"/>
        <v>3.33</v>
      </c>
      <c r="BW151" s="138"/>
      <c r="BX151">
        <f t="shared" si="122"/>
        <v>2.0899051114393981</v>
      </c>
      <c r="BY151">
        <f>LOG(1*$J151)</f>
        <v>2.0899051114393981</v>
      </c>
      <c r="CB151">
        <f>LOG(1*$J151)</f>
        <v>2.0899051114393981</v>
      </c>
      <c r="CE151">
        <f>LOG(1*$J151)</f>
        <v>2.0899051114393981</v>
      </c>
      <c r="DG151" s="138"/>
      <c r="EY151" s="479">
        <f>VLOOKUP(B151,Literatuur!$A:$B,2,FALSE)</f>
        <v>37</v>
      </c>
      <c r="EZ151" t="str">
        <f t="shared" si="93"/>
        <v>p-Chloortolueen</v>
      </c>
      <c r="FA151" t="str">
        <f t="shared" si="94"/>
        <v>ClArom</v>
      </c>
      <c r="FB151" t="str">
        <f t="shared" si="95"/>
        <v>LDPE</v>
      </c>
      <c r="FC151" t="str">
        <f t="shared" si="96"/>
        <v>Immersion</v>
      </c>
      <c r="FD151">
        <f t="shared" si="97"/>
        <v>293</v>
      </c>
      <c r="FE151" t="str">
        <f t="shared" si="98"/>
        <v>water</v>
      </c>
      <c r="FF151" t="str">
        <f t="shared" si="99"/>
        <v xml:space="preserve">saturated </v>
      </c>
      <c r="FG151" s="408">
        <f t="shared" si="92"/>
        <v>1</v>
      </c>
      <c r="FH151" s="138">
        <f t="shared" si="100"/>
        <v>2.9904327118081691</v>
      </c>
      <c r="FI151" s="106">
        <f t="shared" si="87"/>
        <v>2.9667882833143318</v>
      </c>
      <c r="FJ151" s="138" t="str">
        <f t="shared" si="101"/>
        <v/>
      </c>
      <c r="FK151" s="138" t="str">
        <f t="shared" si="102"/>
        <v>**</v>
      </c>
    </row>
    <row r="152" spans="1:167" ht="12.75" hidden="1" customHeight="1" x14ac:dyDescent="0.2">
      <c r="A152">
        <v>106</v>
      </c>
      <c r="B152" t="s">
        <v>430</v>
      </c>
      <c r="D152" t="s">
        <v>131</v>
      </c>
      <c r="E152">
        <v>504</v>
      </c>
      <c r="F152" t="str">
        <f>VLOOKUP(E152,CompDbase!B:L,4,FALSE)</f>
        <v>Pentachlorobenzene</v>
      </c>
      <c r="G152" s="95" t="str">
        <f>VLOOKUP(E152,CompDbase!B:M,12,FALSE)</f>
        <v>ClArom</v>
      </c>
      <c r="H152" s="95">
        <f>VLOOKUP(E152,CompDbase!B:L,8,FALSE)</f>
        <v>250.12977852353896</v>
      </c>
      <c r="I152" s="95" t="e">
        <f>VLOOKUP(E152,CompDbase!B:L,11,FALSE)</f>
        <v>#DIV/0!</v>
      </c>
      <c r="J152" s="95">
        <f>VLOOKUP(E152,CompDbase!B:L,9,FALSE)</f>
        <v>0.32281846202218883</v>
      </c>
      <c r="K152" s="95">
        <f>VLOOKUP(E152,CompDbase!B:L,10,FALSE)</f>
        <v>5.0766666666666671</v>
      </c>
      <c r="L152" s="4" t="s">
        <v>769</v>
      </c>
      <c r="N152" s="416">
        <v>940000</v>
      </c>
      <c r="O152" s="4" t="s">
        <v>1044</v>
      </c>
      <c r="P152">
        <v>293</v>
      </c>
      <c r="Q152" s="4" t="s">
        <v>1049</v>
      </c>
      <c r="R152" s="289" t="s">
        <v>1988</v>
      </c>
      <c r="T152" s="95">
        <v>1</v>
      </c>
      <c r="V152" s="36">
        <v>7.0000000000000001E-3</v>
      </c>
      <c r="W152" s="95">
        <f>V152*N152/J152</f>
        <v>20382.973014559884</v>
      </c>
      <c r="X152" s="288">
        <f t="shared" si="104"/>
        <v>4.3092675295060445</v>
      </c>
      <c r="Z152" s="190"/>
      <c r="AC152" t="s">
        <v>68</v>
      </c>
      <c r="AG152" s="138">
        <f t="shared" si="109"/>
        <v>4.3092675295060445</v>
      </c>
      <c r="AH152">
        <f t="shared" si="110"/>
        <v>5.0766666666666671</v>
      </c>
      <c r="AI152">
        <f t="shared" si="110"/>
        <v>5.0766666666666671</v>
      </c>
      <c r="AL152">
        <f t="shared" si="137"/>
        <v>5.0766666666666671</v>
      </c>
      <c r="AO152">
        <f t="shared" si="138"/>
        <v>5.0766666666666671</v>
      </c>
      <c r="BW152" s="138"/>
      <c r="BX152">
        <f t="shared" si="122"/>
        <v>-0.49104163589208866</v>
      </c>
      <c r="BY152">
        <f>LOG(1*$J152)</f>
        <v>-0.49104163589208866</v>
      </c>
      <c r="CB152">
        <f>LOG(1*$J152)</f>
        <v>-0.49104163589208866</v>
      </c>
      <c r="CE152">
        <f>LOG(1*$J152)</f>
        <v>-0.49104163589208866</v>
      </c>
      <c r="DG152" s="138"/>
      <c r="EY152" s="479">
        <f>VLOOKUP(B152,Literatuur!$A:$B,2,FALSE)</f>
        <v>37</v>
      </c>
      <c r="EZ152" t="str">
        <f t="shared" si="93"/>
        <v>Pentachloorbenzeen</v>
      </c>
      <c r="FA152" t="str">
        <f t="shared" si="94"/>
        <v>ClArom</v>
      </c>
      <c r="FB152" t="str">
        <f t="shared" si="95"/>
        <v>LDPE</v>
      </c>
      <c r="FC152" t="str">
        <f t="shared" si="96"/>
        <v>Immersion</v>
      </c>
      <c r="FD152">
        <f t="shared" si="97"/>
        <v>293</v>
      </c>
      <c r="FE152" t="str">
        <f t="shared" si="98"/>
        <v>water</v>
      </c>
      <c r="FF152" t="str">
        <f t="shared" si="99"/>
        <v xml:space="preserve">saturated </v>
      </c>
      <c r="FG152" s="408">
        <f t="shared" si="92"/>
        <v>1</v>
      </c>
      <c r="FH152" s="138">
        <f t="shared" si="100"/>
        <v>4.3092675295060445</v>
      </c>
      <c r="FI152" s="106">
        <f t="shared" si="87"/>
        <v>4.8800971655436394</v>
      </c>
      <c r="FJ152" s="138" t="str">
        <f t="shared" si="101"/>
        <v/>
      </c>
      <c r="FK152" s="138" t="str">
        <f t="shared" si="102"/>
        <v>**</v>
      </c>
    </row>
    <row r="153" spans="1:167" ht="12.75" hidden="1" customHeight="1" x14ac:dyDescent="0.2">
      <c r="A153">
        <v>107</v>
      </c>
      <c r="B153" t="s">
        <v>430</v>
      </c>
      <c r="D153" t="s">
        <v>308</v>
      </c>
      <c r="E153">
        <v>-507</v>
      </c>
      <c r="F153" t="str">
        <f>VLOOKUP(E153,CompDbase!B:L,4,FALSE)</f>
        <v>1,2,4,5-tetrachlorobenzene</v>
      </c>
      <c r="G153" s="95" t="str">
        <f>VLOOKUP(E153,CompDbase!B:M,12,FALSE)</f>
        <v>ClArom</v>
      </c>
      <c r="H153" s="95">
        <f>VLOOKUP(E153,CompDbase!B:L,8,FALSE)</f>
        <v>216</v>
      </c>
      <c r="I153" s="95" t="e">
        <f>VLOOKUP(E153,CompDbase!B:L,11,FALSE)</f>
        <v>#DIV/0!</v>
      </c>
      <c r="J153" s="95">
        <f>VLOOKUP(E153,CompDbase!B:L,9,FALSE)</f>
        <v>4.16</v>
      </c>
      <c r="K153" s="95">
        <f>VLOOKUP(E153,CompDbase!B:L,10,FALSE)</f>
        <v>4.5999999999999996</v>
      </c>
      <c r="L153" s="4" t="s">
        <v>769</v>
      </c>
      <c r="N153" s="416">
        <v>940000</v>
      </c>
      <c r="O153" s="4" t="s">
        <v>1044</v>
      </c>
      <c r="P153">
        <v>293</v>
      </c>
      <c r="Q153" s="4" t="s">
        <v>1049</v>
      </c>
      <c r="R153" s="289" t="s">
        <v>1988</v>
      </c>
      <c r="T153" s="95">
        <v>1</v>
      </c>
      <c r="V153" s="47">
        <v>3.5000000000000003E-2</v>
      </c>
      <c r="W153" s="95">
        <f>V153*N153/J153</f>
        <v>7908.6538461538457</v>
      </c>
      <c r="X153" s="288">
        <f t="shared" si="104"/>
        <v>3.8981025673232317</v>
      </c>
      <c r="Z153" s="190"/>
      <c r="AC153" t="s">
        <v>68</v>
      </c>
      <c r="AG153" s="138">
        <f t="shared" si="109"/>
        <v>3.8981025673232317</v>
      </c>
      <c r="AH153">
        <f t="shared" si="110"/>
        <v>4.5999999999999996</v>
      </c>
      <c r="AI153">
        <f t="shared" si="110"/>
        <v>4.5999999999999996</v>
      </c>
      <c r="AL153">
        <f t="shared" si="137"/>
        <v>4.5999999999999996</v>
      </c>
      <c r="AO153">
        <f t="shared" si="138"/>
        <v>4.5999999999999996</v>
      </c>
      <c r="BW153" s="138"/>
      <c r="BX153">
        <f t="shared" si="122"/>
        <v>0.61909333062674277</v>
      </c>
      <c r="BY153">
        <f>LOG(1*$J153)</f>
        <v>0.61909333062674277</v>
      </c>
      <c r="CB153">
        <f>LOG(1*$J153)</f>
        <v>0.61909333062674277</v>
      </c>
      <c r="CE153">
        <f>LOG(1*$J153)</f>
        <v>0.61909333062674277</v>
      </c>
      <c r="DG153" s="138"/>
      <c r="EY153" s="479">
        <f>VLOOKUP(B153,Literatuur!$A:$B,2,FALSE)</f>
        <v>37</v>
      </c>
      <c r="EZ153" t="str">
        <f t="shared" si="93"/>
        <v>Tetrachloorbenzeen</v>
      </c>
      <c r="FA153" t="str">
        <f t="shared" si="94"/>
        <v>ClArom</v>
      </c>
      <c r="FB153" t="str">
        <f t="shared" si="95"/>
        <v>LDPE</v>
      </c>
      <c r="FC153" t="str">
        <f t="shared" si="96"/>
        <v>Immersion</v>
      </c>
      <c r="FD153">
        <f t="shared" si="97"/>
        <v>293</v>
      </c>
      <c r="FE153" t="str">
        <f t="shared" si="98"/>
        <v>water</v>
      </c>
      <c r="FF153" t="str">
        <f t="shared" si="99"/>
        <v xml:space="preserve">saturated </v>
      </c>
      <c r="FG153" s="408">
        <f t="shared" si="92"/>
        <v>1</v>
      </c>
      <c r="FH153" s="138">
        <f t="shared" si="100"/>
        <v>3.8981025673232317</v>
      </c>
      <c r="FI153" s="106">
        <f t="shared" si="87"/>
        <v>4.3579537110421294</v>
      </c>
      <c r="FJ153" s="138" t="str">
        <f t="shared" si="101"/>
        <v/>
      </c>
      <c r="FK153" s="138" t="str">
        <f t="shared" si="102"/>
        <v>**</v>
      </c>
    </row>
    <row r="154" spans="1:167" ht="12.75" hidden="1" customHeight="1" x14ac:dyDescent="0.2">
      <c r="A154">
        <v>108</v>
      </c>
      <c r="B154" t="s">
        <v>430</v>
      </c>
      <c r="D154" t="s">
        <v>306</v>
      </c>
      <c r="E154">
        <v>-506</v>
      </c>
      <c r="F154" t="str">
        <f>VLOOKUP(E154,CompDbase!B:L,4,FALSE)</f>
        <v>Benzotrichloride</v>
      </c>
      <c r="G154" s="95" t="str">
        <f>VLOOKUP(E154,CompDbase!B:M,12,FALSE)</f>
        <v>ClArom</v>
      </c>
      <c r="H154" s="95">
        <f>VLOOKUP(E154,CompDbase!B:L,8,FALSE)</f>
        <v>195.47499999999999</v>
      </c>
      <c r="I154" s="95" t="e">
        <f>VLOOKUP(E154,CompDbase!B:L,11,FALSE)</f>
        <v>#DIV/0!</v>
      </c>
      <c r="J154" s="95">
        <f>VLOOKUP(E154,CompDbase!B:L,9,FALSE)</f>
        <v>51.5</v>
      </c>
      <c r="K154" s="95">
        <f>VLOOKUP(E154,CompDbase!B:L,10,FALSE)</f>
        <v>2.92</v>
      </c>
      <c r="L154" s="4" t="s">
        <v>769</v>
      </c>
      <c r="N154" s="416">
        <v>940000</v>
      </c>
      <c r="O154" s="4" t="s">
        <v>1044</v>
      </c>
      <c r="P154">
        <v>293</v>
      </c>
      <c r="Q154" s="4" t="s">
        <v>1049</v>
      </c>
      <c r="R154" s="289" t="s">
        <v>1988</v>
      </c>
      <c r="T154" s="95">
        <v>1</v>
      </c>
      <c r="V154" s="36">
        <v>0.104</v>
      </c>
      <c r="W154" s="95">
        <f>V154*N154/J154</f>
        <v>1898.2524271844661</v>
      </c>
      <c r="X154" s="288">
        <f t="shared" si="104"/>
        <v>3.2783539638572878</v>
      </c>
      <c r="Z154" s="190"/>
      <c r="AC154" t="s">
        <v>68</v>
      </c>
      <c r="AG154" s="138">
        <f t="shared" si="109"/>
        <v>3.2783539638572878</v>
      </c>
      <c r="AH154">
        <f t="shared" si="110"/>
        <v>2.92</v>
      </c>
      <c r="AI154">
        <f t="shared" si="110"/>
        <v>2.92</v>
      </c>
      <c r="AL154">
        <f t="shared" si="137"/>
        <v>2.92</v>
      </c>
      <c r="AO154">
        <f t="shared" si="138"/>
        <v>2.92</v>
      </c>
      <c r="BW154" s="138"/>
      <c r="BX154">
        <f t="shared" si="122"/>
        <v>1.711807229041191</v>
      </c>
      <c r="BY154">
        <f>LOG(1*$J154)</f>
        <v>1.711807229041191</v>
      </c>
      <c r="CB154">
        <f>LOG(1*$J154)</f>
        <v>1.711807229041191</v>
      </c>
      <c r="CE154">
        <f>LOG(1*$J154)</f>
        <v>1.711807229041191</v>
      </c>
      <c r="DG154" s="138"/>
      <c r="EY154" s="479">
        <f>VLOOKUP(B154,Literatuur!$A:$B,2,FALSE)</f>
        <v>37</v>
      </c>
      <c r="EZ154" t="str">
        <f t="shared" si="93"/>
        <v>α,α,α-Trichloortolueen</v>
      </c>
      <c r="FA154" t="str">
        <f t="shared" si="94"/>
        <v>ClArom</v>
      </c>
      <c r="FB154" t="str">
        <f t="shared" si="95"/>
        <v>LDPE</v>
      </c>
      <c r="FC154" t="str">
        <f t="shared" si="96"/>
        <v>Immersion</v>
      </c>
      <c r="FD154">
        <f t="shared" si="97"/>
        <v>293</v>
      </c>
      <c r="FE154" t="str">
        <f t="shared" si="98"/>
        <v>water</v>
      </c>
      <c r="FF154" t="str">
        <f t="shared" si="99"/>
        <v xml:space="preserve">saturated </v>
      </c>
      <c r="FG154" s="408">
        <f t="shared" si="92"/>
        <v>1</v>
      </c>
      <c r="FH154" s="138">
        <f t="shared" si="100"/>
        <v>3.2783539638572878</v>
      </c>
      <c r="FI154" s="106">
        <f t="shared" si="87"/>
        <v>2.5176718853864601</v>
      </c>
      <c r="FJ154" s="138" t="str">
        <f t="shared" si="101"/>
        <v/>
      </c>
      <c r="FK154" s="138" t="str">
        <f t="shared" si="102"/>
        <v>**</v>
      </c>
    </row>
    <row r="155" spans="1:167" ht="12.75" hidden="1" customHeight="1" x14ac:dyDescent="0.2">
      <c r="A155">
        <v>109</v>
      </c>
      <c r="B155" s="4" t="s">
        <v>1226</v>
      </c>
      <c r="C155" s="4"/>
      <c r="D155" s="4" t="s">
        <v>548</v>
      </c>
      <c r="E155">
        <v>200</v>
      </c>
      <c r="F155" t="str">
        <f>VLOOKUP(E155,CompDbase!B:L,4,FALSE)</f>
        <v>Benzene</v>
      </c>
      <c r="G155" s="95" t="str">
        <f>VLOOKUP(E155,CompDbase!B:M,12,FALSE)</f>
        <v>MAK</v>
      </c>
      <c r="H155" s="95">
        <f>VLOOKUP(E155,CompDbase!B:L,8,FALSE)</f>
        <v>78.106666524406961</v>
      </c>
      <c r="I155" s="95">
        <f>VLOOKUP(E155,CompDbase!B:L,11,FALSE)</f>
        <v>89.4</v>
      </c>
      <c r="J155" s="95">
        <f>VLOOKUP(E155,CompDbase!B:L,9,FALSE)</f>
        <v>1988.89882593368</v>
      </c>
      <c r="K155" s="95">
        <f>VLOOKUP(E155,CompDbase!B:L,10,FALSE)</f>
        <v>2.13</v>
      </c>
      <c r="L155" s="4" t="s">
        <v>769</v>
      </c>
      <c r="M155" s="420"/>
      <c r="N155" s="420"/>
      <c r="O155" s="4"/>
      <c r="P155">
        <v>296</v>
      </c>
      <c r="Q155" s="4" t="s">
        <v>1049</v>
      </c>
      <c r="S155" s="4"/>
      <c r="Y155">
        <v>9.9000000000000002E-13</v>
      </c>
      <c r="Z155" s="95">
        <f t="shared" ref="Z155:Z172" si="139">LOG(Y155)</f>
        <v>-12.004364805402449</v>
      </c>
      <c r="DG155">
        <f t="shared" ref="DG155:DG172" si="140">Z155</f>
        <v>-12.004364805402449</v>
      </c>
      <c r="DH155">
        <f t="shared" ref="DH155:DH172" si="141">$H155</f>
        <v>78.106666524406961</v>
      </c>
      <c r="EY155" s="479">
        <f>VLOOKUP(B155,Literatuur!$A:$B,2,FALSE)</f>
        <v>12</v>
      </c>
      <c r="EZ155" t="str">
        <f t="shared" si="93"/>
        <v>Benzene</v>
      </c>
      <c r="FA155" t="str">
        <f t="shared" si="94"/>
        <v>MAK</v>
      </c>
      <c r="FB155" t="str">
        <f t="shared" si="95"/>
        <v>LDPE</v>
      </c>
      <c r="FC155" t="str">
        <f t="shared" si="96"/>
        <v/>
      </c>
      <c r="FD155">
        <f t="shared" si="97"/>
        <v>296</v>
      </c>
      <c r="FE155" t="str">
        <f t="shared" si="98"/>
        <v>water</v>
      </c>
      <c r="FF155" t="str">
        <f t="shared" si="99"/>
        <v xml:space="preserve"> </v>
      </c>
      <c r="FG155" s="408" t="str">
        <f t="shared" si="92"/>
        <v/>
      </c>
      <c r="FH155" s="138" t="str">
        <f t="shared" si="100"/>
        <v/>
      </c>
      <c r="FI155" s="106" t="str">
        <f t="shared" si="87"/>
        <v>**</v>
      </c>
      <c r="FJ155" s="138">
        <f t="shared" si="101"/>
        <v>-12.004364805402449</v>
      </c>
      <c r="FK155" s="138" t="str">
        <f t="shared" si="102"/>
        <v>**</v>
      </c>
    </row>
    <row r="156" spans="1:167" ht="12.75" hidden="1" customHeight="1" x14ac:dyDescent="0.2">
      <c r="A156">
        <v>110</v>
      </c>
      <c r="B156" s="4" t="s">
        <v>1226</v>
      </c>
      <c r="C156" s="4"/>
      <c r="D156" s="4" t="s">
        <v>548</v>
      </c>
      <c r="E156">
        <v>200</v>
      </c>
      <c r="F156" t="str">
        <f>VLOOKUP(E156,CompDbase!B:L,4,FALSE)</f>
        <v>Benzene</v>
      </c>
      <c r="G156" s="95" t="str">
        <f>VLOOKUP(E156,CompDbase!B:M,12,FALSE)</f>
        <v>MAK</v>
      </c>
      <c r="H156" s="95">
        <f>VLOOKUP(E156,CompDbase!B:L,8,FALSE)</f>
        <v>78.106666524406961</v>
      </c>
      <c r="I156" s="95">
        <f>VLOOKUP(E156,CompDbase!B:L,11,FALSE)</f>
        <v>89.4</v>
      </c>
      <c r="J156" s="95">
        <f>VLOOKUP(E156,CompDbase!B:L,9,FALSE)</f>
        <v>1988.89882593368</v>
      </c>
      <c r="K156" s="95">
        <f>VLOOKUP(E156,CompDbase!B:L,10,FALSE)</f>
        <v>2.13</v>
      </c>
      <c r="L156" s="4" t="s">
        <v>769</v>
      </c>
      <c r="M156" s="420"/>
      <c r="N156" s="420"/>
      <c r="O156" s="4"/>
      <c r="P156">
        <v>296</v>
      </c>
      <c r="Q156" s="4" t="s">
        <v>1049</v>
      </c>
      <c r="S156" s="4"/>
      <c r="Y156">
        <v>1.1000000000000002E-12</v>
      </c>
      <c r="Z156" s="95">
        <f t="shared" si="139"/>
        <v>-11.958607314841775</v>
      </c>
      <c r="DG156">
        <f t="shared" si="140"/>
        <v>-11.958607314841775</v>
      </c>
      <c r="DH156">
        <f t="shared" si="141"/>
        <v>78.106666524406961</v>
      </c>
      <c r="EY156" s="479">
        <f>VLOOKUP(B156,Literatuur!$A:$B,2,FALSE)</f>
        <v>12</v>
      </c>
      <c r="EZ156" t="str">
        <f t="shared" si="93"/>
        <v>Benzene</v>
      </c>
      <c r="FA156" t="str">
        <f t="shared" si="94"/>
        <v>MAK</v>
      </c>
      <c r="FB156" t="str">
        <f t="shared" si="95"/>
        <v>LDPE</v>
      </c>
      <c r="FC156" t="str">
        <f t="shared" si="96"/>
        <v/>
      </c>
      <c r="FD156">
        <f t="shared" si="97"/>
        <v>296</v>
      </c>
      <c r="FE156" t="str">
        <f t="shared" si="98"/>
        <v>water</v>
      </c>
      <c r="FF156" t="str">
        <f t="shared" si="99"/>
        <v xml:space="preserve"> </v>
      </c>
      <c r="FG156" s="408" t="str">
        <f t="shared" si="92"/>
        <v/>
      </c>
      <c r="FH156" s="138" t="str">
        <f t="shared" si="100"/>
        <v/>
      </c>
      <c r="FI156" s="106" t="str">
        <f t="shared" si="87"/>
        <v>**</v>
      </c>
      <c r="FJ156" s="138">
        <f t="shared" si="101"/>
        <v>-11.958607314841775</v>
      </c>
      <c r="FK156" s="138" t="str">
        <f t="shared" si="102"/>
        <v>**</v>
      </c>
    </row>
    <row r="157" spans="1:167" ht="12.75" hidden="1" customHeight="1" x14ac:dyDescent="0.2">
      <c r="A157">
        <v>111</v>
      </c>
      <c r="B157" s="4" t="s">
        <v>1226</v>
      </c>
      <c r="C157" s="4"/>
      <c r="D157" s="4" t="s">
        <v>548</v>
      </c>
      <c r="E157">
        <v>200</v>
      </c>
      <c r="F157" t="str">
        <f>VLOOKUP(E157,CompDbase!B:L,4,FALSE)</f>
        <v>Benzene</v>
      </c>
      <c r="G157" s="95" t="str">
        <f>VLOOKUP(E157,CompDbase!B:M,12,FALSE)</f>
        <v>MAK</v>
      </c>
      <c r="H157" s="95">
        <f>VLOOKUP(E157,CompDbase!B:L,8,FALSE)</f>
        <v>78.106666524406961</v>
      </c>
      <c r="I157" s="95">
        <f>VLOOKUP(E157,CompDbase!B:L,11,FALSE)</f>
        <v>89.4</v>
      </c>
      <c r="J157" s="95">
        <f>VLOOKUP(E157,CompDbase!B:L,9,FALSE)</f>
        <v>1988.89882593368</v>
      </c>
      <c r="K157" s="95">
        <f>VLOOKUP(E157,CompDbase!B:L,10,FALSE)</f>
        <v>2.13</v>
      </c>
      <c r="L157" s="4" t="s">
        <v>769</v>
      </c>
      <c r="M157" s="420"/>
      <c r="N157" s="420"/>
      <c r="O157" s="4"/>
      <c r="P157">
        <v>296</v>
      </c>
      <c r="Q157" s="4" t="s">
        <v>1049</v>
      </c>
      <c r="S157" s="4"/>
      <c r="Y157">
        <v>3.0000000000000005E-12</v>
      </c>
      <c r="Z157" s="95">
        <f t="shared" si="139"/>
        <v>-11.522878745280337</v>
      </c>
      <c r="DG157">
        <f t="shared" si="140"/>
        <v>-11.522878745280337</v>
      </c>
      <c r="DH157">
        <f t="shared" si="141"/>
        <v>78.106666524406961</v>
      </c>
      <c r="EY157" s="479">
        <f>VLOOKUP(B157,Literatuur!$A:$B,2,FALSE)</f>
        <v>12</v>
      </c>
      <c r="EZ157" t="str">
        <f t="shared" si="93"/>
        <v>Benzene</v>
      </c>
      <c r="FA157" t="str">
        <f t="shared" si="94"/>
        <v>MAK</v>
      </c>
      <c r="FB157" t="str">
        <f t="shared" si="95"/>
        <v>LDPE</v>
      </c>
      <c r="FC157" t="str">
        <f t="shared" si="96"/>
        <v/>
      </c>
      <c r="FD157">
        <f t="shared" si="97"/>
        <v>296</v>
      </c>
      <c r="FE157" t="str">
        <f t="shared" si="98"/>
        <v>water</v>
      </c>
      <c r="FF157" t="str">
        <f t="shared" si="99"/>
        <v xml:space="preserve"> </v>
      </c>
      <c r="FG157" s="408" t="str">
        <f t="shared" si="92"/>
        <v/>
      </c>
      <c r="FH157" s="138" t="str">
        <f t="shared" si="100"/>
        <v/>
      </c>
      <c r="FI157" s="106" t="str">
        <f t="shared" si="87"/>
        <v>**</v>
      </c>
      <c r="FJ157" s="138">
        <f t="shared" si="101"/>
        <v>-11.522878745280337</v>
      </c>
      <c r="FK157" s="138" t="str">
        <f t="shared" si="102"/>
        <v>**</v>
      </c>
    </row>
    <row r="158" spans="1:167" ht="12.75" hidden="1" customHeight="1" x14ac:dyDescent="0.2">
      <c r="A158">
        <v>112</v>
      </c>
      <c r="B158" s="4" t="s">
        <v>1226</v>
      </c>
      <c r="C158" s="4"/>
      <c r="D158" s="4" t="s">
        <v>548</v>
      </c>
      <c r="E158">
        <v>200</v>
      </c>
      <c r="F158" t="str">
        <f>VLOOKUP(E158,CompDbase!B:L,4,FALSE)</f>
        <v>Benzene</v>
      </c>
      <c r="G158" s="95" t="str">
        <f>VLOOKUP(E158,CompDbase!B:M,12,FALSE)</f>
        <v>MAK</v>
      </c>
      <c r="H158" s="95">
        <f>VLOOKUP(E158,CompDbase!B:L,8,FALSE)</f>
        <v>78.106666524406961</v>
      </c>
      <c r="I158" s="95">
        <f>VLOOKUP(E158,CompDbase!B:L,11,FALSE)</f>
        <v>89.4</v>
      </c>
      <c r="J158" s="95">
        <f>VLOOKUP(E158,CompDbase!B:L,9,FALSE)</f>
        <v>1988.89882593368</v>
      </c>
      <c r="K158" s="95">
        <f>VLOOKUP(E158,CompDbase!B:L,10,FALSE)</f>
        <v>2.13</v>
      </c>
      <c r="L158" s="4" t="s">
        <v>769</v>
      </c>
      <c r="M158" s="420"/>
      <c r="N158" s="420"/>
      <c r="O158" s="4"/>
      <c r="P158">
        <v>296</v>
      </c>
      <c r="Q158" s="4" t="s">
        <v>1049</v>
      </c>
      <c r="S158" s="4"/>
      <c r="Y158">
        <v>1.2000000000000001E-12</v>
      </c>
      <c r="Z158" s="95">
        <f t="shared" si="139"/>
        <v>-11.920818753952375</v>
      </c>
      <c r="DG158">
        <f t="shared" si="140"/>
        <v>-11.920818753952375</v>
      </c>
      <c r="DH158">
        <f t="shared" si="141"/>
        <v>78.106666524406961</v>
      </c>
      <c r="EY158" s="479">
        <f>VLOOKUP(B158,Literatuur!$A:$B,2,FALSE)</f>
        <v>12</v>
      </c>
      <c r="EZ158" t="str">
        <f t="shared" si="93"/>
        <v>Benzene</v>
      </c>
      <c r="FA158" t="str">
        <f t="shared" si="94"/>
        <v>MAK</v>
      </c>
      <c r="FB158" t="str">
        <f t="shared" si="95"/>
        <v>LDPE</v>
      </c>
      <c r="FC158" t="str">
        <f t="shared" si="96"/>
        <v/>
      </c>
      <c r="FD158">
        <f t="shared" si="97"/>
        <v>296</v>
      </c>
      <c r="FE158" t="str">
        <f t="shared" si="98"/>
        <v>water</v>
      </c>
      <c r="FF158" t="str">
        <f t="shared" si="99"/>
        <v xml:space="preserve"> </v>
      </c>
      <c r="FG158" s="408" t="str">
        <f t="shared" si="92"/>
        <v/>
      </c>
      <c r="FH158" s="138" t="str">
        <f t="shared" si="100"/>
        <v/>
      </c>
      <c r="FI158" s="106" t="str">
        <f t="shared" si="87"/>
        <v>**</v>
      </c>
      <c r="FJ158" s="138">
        <f t="shared" si="101"/>
        <v>-11.920818753952375</v>
      </c>
      <c r="FK158" s="138" t="str">
        <f t="shared" si="102"/>
        <v>**</v>
      </c>
    </row>
    <row r="159" spans="1:167" ht="12.75" hidden="1" customHeight="1" x14ac:dyDescent="0.2">
      <c r="A159">
        <v>113</v>
      </c>
      <c r="B159" s="4" t="s">
        <v>1226</v>
      </c>
      <c r="C159" s="4"/>
      <c r="D159" s="4" t="s">
        <v>548</v>
      </c>
      <c r="E159">
        <v>200</v>
      </c>
      <c r="F159" t="str">
        <f>VLOOKUP(E159,CompDbase!B:L,4,FALSE)</f>
        <v>Benzene</v>
      </c>
      <c r="G159" s="95" t="str">
        <f>VLOOKUP(E159,CompDbase!B:M,12,FALSE)</f>
        <v>MAK</v>
      </c>
      <c r="H159" s="95">
        <f>VLOOKUP(E159,CompDbase!B:L,8,FALSE)</f>
        <v>78.106666524406961</v>
      </c>
      <c r="I159" s="95">
        <f>VLOOKUP(E159,CompDbase!B:L,11,FALSE)</f>
        <v>89.4</v>
      </c>
      <c r="J159" s="95">
        <f>VLOOKUP(E159,CompDbase!B:L,9,FALSE)</f>
        <v>1988.89882593368</v>
      </c>
      <c r="K159" s="95">
        <f>VLOOKUP(E159,CompDbase!B:L,10,FALSE)</f>
        <v>2.13</v>
      </c>
      <c r="L159" s="4" t="s">
        <v>769</v>
      </c>
      <c r="M159" s="420"/>
      <c r="N159" s="420"/>
      <c r="O159" s="4"/>
      <c r="P159">
        <v>296</v>
      </c>
      <c r="Q159" s="4" t="s">
        <v>1049</v>
      </c>
      <c r="S159" s="4"/>
      <c r="Y159">
        <v>1.5000000000000003E-12</v>
      </c>
      <c r="Z159" s="95">
        <f t="shared" si="139"/>
        <v>-11.823908740944319</v>
      </c>
      <c r="DG159">
        <f t="shared" si="140"/>
        <v>-11.823908740944319</v>
      </c>
      <c r="DH159">
        <f t="shared" si="141"/>
        <v>78.106666524406961</v>
      </c>
      <c r="EY159" s="479">
        <f>VLOOKUP(B159,Literatuur!$A:$B,2,FALSE)</f>
        <v>12</v>
      </c>
      <c r="EZ159" t="str">
        <f t="shared" si="93"/>
        <v>Benzene</v>
      </c>
      <c r="FA159" t="str">
        <f t="shared" si="94"/>
        <v>MAK</v>
      </c>
      <c r="FB159" t="str">
        <f t="shared" si="95"/>
        <v>LDPE</v>
      </c>
      <c r="FC159" t="str">
        <f t="shared" si="96"/>
        <v/>
      </c>
      <c r="FD159">
        <f t="shared" si="97"/>
        <v>296</v>
      </c>
      <c r="FE159" t="str">
        <f t="shared" si="98"/>
        <v>water</v>
      </c>
      <c r="FF159" t="str">
        <f t="shared" si="99"/>
        <v xml:space="preserve"> </v>
      </c>
      <c r="FG159" s="408" t="str">
        <f t="shared" si="92"/>
        <v/>
      </c>
      <c r="FH159" s="138" t="str">
        <f t="shared" si="100"/>
        <v/>
      </c>
      <c r="FI159" s="106" t="str">
        <f t="shared" si="87"/>
        <v>**</v>
      </c>
      <c r="FJ159" s="138">
        <f t="shared" si="101"/>
        <v>-11.823908740944319</v>
      </c>
      <c r="FK159" s="138" t="str">
        <f t="shared" si="102"/>
        <v>**</v>
      </c>
    </row>
    <row r="160" spans="1:167" ht="12.75" hidden="1" customHeight="1" x14ac:dyDescent="0.2">
      <c r="A160">
        <v>114</v>
      </c>
      <c r="B160" s="4" t="s">
        <v>1226</v>
      </c>
      <c r="C160" s="4"/>
      <c r="D160" s="4" t="s">
        <v>548</v>
      </c>
      <c r="E160">
        <v>200</v>
      </c>
      <c r="F160" t="str">
        <f>VLOOKUP(E160,CompDbase!B:L,4,FALSE)</f>
        <v>Benzene</v>
      </c>
      <c r="G160" s="95" t="str">
        <f>VLOOKUP(E160,CompDbase!B:M,12,FALSE)</f>
        <v>MAK</v>
      </c>
      <c r="H160" s="95">
        <f>VLOOKUP(E160,CompDbase!B:L,8,FALSE)</f>
        <v>78.106666524406961</v>
      </c>
      <c r="I160" s="95">
        <f>VLOOKUP(E160,CompDbase!B:L,11,FALSE)</f>
        <v>89.4</v>
      </c>
      <c r="J160" s="95">
        <f>VLOOKUP(E160,CompDbase!B:L,9,FALSE)</f>
        <v>1988.89882593368</v>
      </c>
      <c r="K160" s="95">
        <f>VLOOKUP(E160,CompDbase!B:L,10,FALSE)</f>
        <v>2.13</v>
      </c>
      <c r="L160" s="4" t="s">
        <v>769</v>
      </c>
      <c r="M160" s="420"/>
      <c r="N160" s="420"/>
      <c r="O160" s="4"/>
      <c r="P160">
        <v>296</v>
      </c>
      <c r="Q160" s="4" t="s">
        <v>1049</v>
      </c>
      <c r="S160" s="4"/>
      <c r="Y160">
        <v>3.8000000000000005E-13</v>
      </c>
      <c r="Z160" s="95">
        <f t="shared" si="139"/>
        <v>-12.42021640338319</v>
      </c>
      <c r="DG160">
        <f t="shared" si="140"/>
        <v>-12.42021640338319</v>
      </c>
      <c r="DH160">
        <f t="shared" si="141"/>
        <v>78.106666524406961</v>
      </c>
      <c r="EY160" s="479">
        <f>VLOOKUP(B160,Literatuur!$A:$B,2,FALSE)</f>
        <v>12</v>
      </c>
      <c r="EZ160" t="str">
        <f t="shared" si="93"/>
        <v>Benzene</v>
      </c>
      <c r="FA160" t="str">
        <f t="shared" si="94"/>
        <v>MAK</v>
      </c>
      <c r="FB160" t="str">
        <f t="shared" si="95"/>
        <v>LDPE</v>
      </c>
      <c r="FC160" t="str">
        <f t="shared" si="96"/>
        <v/>
      </c>
      <c r="FD160">
        <f t="shared" si="97"/>
        <v>296</v>
      </c>
      <c r="FE160" t="str">
        <f t="shared" si="98"/>
        <v>water</v>
      </c>
      <c r="FF160" t="str">
        <f t="shared" si="99"/>
        <v xml:space="preserve"> </v>
      </c>
      <c r="FG160" s="408" t="str">
        <f t="shared" si="92"/>
        <v/>
      </c>
      <c r="FH160" s="138" t="str">
        <f t="shared" si="100"/>
        <v/>
      </c>
      <c r="FI160" s="106" t="str">
        <f t="shared" ref="FI160:FI223" si="142">IF(ISNUMBER(AL160),AL160*AL$19+AL$21,IF(ISNUMBER(AM160),AM160*AM$19+AM$21,IF(ISNUMBER(AN160),AN160*AN$19+AN$21,"**")))</f>
        <v>**</v>
      </c>
      <c r="FJ160" s="138">
        <f t="shared" si="101"/>
        <v>-12.42021640338319</v>
      </c>
      <c r="FK160" s="138" t="str">
        <f t="shared" si="102"/>
        <v>**</v>
      </c>
    </row>
    <row r="161" spans="1:167" ht="12.75" hidden="1" customHeight="1" x14ac:dyDescent="0.2">
      <c r="A161">
        <v>115</v>
      </c>
      <c r="B161" s="4" t="s">
        <v>1226</v>
      </c>
      <c r="C161" s="4"/>
      <c r="D161" s="4" t="s">
        <v>548</v>
      </c>
      <c r="E161">
        <v>200</v>
      </c>
      <c r="F161" t="str">
        <f>VLOOKUP(E161,CompDbase!B:L,4,FALSE)</f>
        <v>Benzene</v>
      </c>
      <c r="G161" s="95" t="str">
        <f>VLOOKUP(E161,CompDbase!B:M,12,FALSE)</f>
        <v>MAK</v>
      </c>
      <c r="H161" s="95">
        <f>VLOOKUP(E161,CompDbase!B:L,8,FALSE)</f>
        <v>78.106666524406961</v>
      </c>
      <c r="I161" s="95">
        <f>VLOOKUP(E161,CompDbase!B:L,11,FALSE)</f>
        <v>89.4</v>
      </c>
      <c r="J161" s="95">
        <f>VLOOKUP(E161,CompDbase!B:L,9,FALSE)</f>
        <v>1988.89882593368</v>
      </c>
      <c r="K161" s="95">
        <f>VLOOKUP(E161,CompDbase!B:L,10,FALSE)</f>
        <v>2.13</v>
      </c>
      <c r="L161" s="4" t="s">
        <v>769</v>
      </c>
      <c r="M161" s="420"/>
      <c r="N161" s="420"/>
      <c r="O161" s="4"/>
      <c r="P161">
        <v>296</v>
      </c>
      <c r="Q161" s="4" t="s">
        <v>1049</v>
      </c>
      <c r="S161" s="4"/>
      <c r="Y161">
        <v>1.08E-12</v>
      </c>
      <c r="Z161" s="95">
        <f t="shared" si="139"/>
        <v>-11.96657624451305</v>
      </c>
      <c r="DG161">
        <f t="shared" si="140"/>
        <v>-11.96657624451305</v>
      </c>
      <c r="DH161">
        <f t="shared" si="141"/>
        <v>78.106666524406961</v>
      </c>
      <c r="EY161" s="479">
        <f>VLOOKUP(B161,Literatuur!$A:$B,2,FALSE)</f>
        <v>12</v>
      </c>
      <c r="EZ161" t="str">
        <f t="shared" si="93"/>
        <v>Benzene</v>
      </c>
      <c r="FA161" t="str">
        <f t="shared" si="94"/>
        <v>MAK</v>
      </c>
      <c r="FB161" t="str">
        <f t="shared" si="95"/>
        <v>LDPE</v>
      </c>
      <c r="FC161" t="str">
        <f t="shared" si="96"/>
        <v/>
      </c>
      <c r="FD161">
        <f t="shared" si="97"/>
        <v>296</v>
      </c>
      <c r="FE161" t="str">
        <f t="shared" si="98"/>
        <v>water</v>
      </c>
      <c r="FF161" t="str">
        <f t="shared" si="99"/>
        <v xml:space="preserve"> </v>
      </c>
      <c r="FG161" s="408" t="str">
        <f t="shared" si="92"/>
        <v/>
      </c>
      <c r="FH161" s="138" t="str">
        <f t="shared" si="100"/>
        <v/>
      </c>
      <c r="FI161" s="106" t="str">
        <f t="shared" si="142"/>
        <v>**</v>
      </c>
      <c r="FJ161" s="138">
        <f t="shared" si="101"/>
        <v>-11.96657624451305</v>
      </c>
      <c r="FK161" s="138" t="str">
        <f t="shared" si="102"/>
        <v>**</v>
      </c>
    </row>
    <row r="162" spans="1:167" ht="12.75" hidden="1" customHeight="1" x14ac:dyDescent="0.2">
      <c r="A162">
        <v>116</v>
      </c>
      <c r="B162" s="4" t="s">
        <v>1226</v>
      </c>
      <c r="C162" s="4"/>
      <c r="D162" s="4" t="s">
        <v>548</v>
      </c>
      <c r="E162">
        <v>200</v>
      </c>
      <c r="F162" t="str">
        <f>VLOOKUP(E162,CompDbase!B:L,4,FALSE)</f>
        <v>Benzene</v>
      </c>
      <c r="G162" s="95" t="str">
        <f>VLOOKUP(E162,CompDbase!B:M,12,FALSE)</f>
        <v>MAK</v>
      </c>
      <c r="H162" s="95">
        <f>VLOOKUP(E162,CompDbase!B:L,8,FALSE)</f>
        <v>78.106666524406961</v>
      </c>
      <c r="I162" s="95">
        <f>VLOOKUP(E162,CompDbase!B:L,11,FALSE)</f>
        <v>89.4</v>
      </c>
      <c r="J162" s="95">
        <f>VLOOKUP(E162,CompDbase!B:L,9,FALSE)</f>
        <v>1988.89882593368</v>
      </c>
      <c r="K162" s="95">
        <f>VLOOKUP(E162,CompDbase!B:L,10,FALSE)</f>
        <v>2.13</v>
      </c>
      <c r="L162" s="4" t="s">
        <v>769</v>
      </c>
      <c r="M162" s="420"/>
      <c r="N162" s="420"/>
      <c r="O162" s="4"/>
      <c r="P162">
        <v>298</v>
      </c>
      <c r="Q162" s="4" t="s">
        <v>1049</v>
      </c>
      <c r="S162" s="4"/>
      <c r="Y162">
        <v>2E-12</v>
      </c>
      <c r="Z162" s="95">
        <f t="shared" si="139"/>
        <v>-11.698970004336019</v>
      </c>
      <c r="AG162" s="138"/>
      <c r="BW162" s="138"/>
      <c r="DG162">
        <f t="shared" si="140"/>
        <v>-11.698970004336019</v>
      </c>
      <c r="DH162">
        <f t="shared" si="141"/>
        <v>78.106666524406961</v>
      </c>
      <c r="EY162" s="479">
        <f>VLOOKUP(B162,Literatuur!$A:$B,2,FALSE)</f>
        <v>12</v>
      </c>
      <c r="EZ162" t="str">
        <f t="shared" si="93"/>
        <v>Benzene</v>
      </c>
      <c r="FA162" t="str">
        <f t="shared" si="94"/>
        <v>MAK</v>
      </c>
      <c r="FB162" t="str">
        <f t="shared" si="95"/>
        <v>LDPE</v>
      </c>
      <c r="FC162" t="str">
        <f t="shared" si="96"/>
        <v/>
      </c>
      <c r="FD162">
        <f t="shared" si="97"/>
        <v>298</v>
      </c>
      <c r="FE162" t="str">
        <f t="shared" si="98"/>
        <v>water</v>
      </c>
      <c r="FF162" t="str">
        <f t="shared" si="99"/>
        <v xml:space="preserve"> </v>
      </c>
      <c r="FG162" s="408" t="str">
        <f t="shared" si="92"/>
        <v/>
      </c>
      <c r="FH162" s="138" t="str">
        <f t="shared" si="100"/>
        <v/>
      </c>
      <c r="FI162" s="106" t="str">
        <f t="shared" si="142"/>
        <v>**</v>
      </c>
      <c r="FJ162" s="138">
        <f t="shared" si="101"/>
        <v>-11.698970004336019</v>
      </c>
      <c r="FK162" s="138" t="str">
        <f t="shared" si="102"/>
        <v>**</v>
      </c>
    </row>
    <row r="163" spans="1:167" ht="12.75" hidden="1" customHeight="1" x14ac:dyDescent="0.2">
      <c r="A163">
        <v>117</v>
      </c>
      <c r="B163" s="4" t="s">
        <v>1226</v>
      </c>
      <c r="C163" s="4"/>
      <c r="D163" s="4" t="s">
        <v>548</v>
      </c>
      <c r="E163">
        <v>200</v>
      </c>
      <c r="F163" t="str">
        <f>VLOOKUP(E163,CompDbase!B:L,4,FALSE)</f>
        <v>Benzene</v>
      </c>
      <c r="G163" s="95" t="str">
        <f>VLOOKUP(E163,CompDbase!B:M,12,FALSE)</f>
        <v>MAK</v>
      </c>
      <c r="H163" s="95">
        <f>VLOOKUP(E163,CompDbase!B:L,8,FALSE)</f>
        <v>78.106666524406961</v>
      </c>
      <c r="I163" s="95">
        <f>VLOOKUP(E163,CompDbase!B:L,11,FALSE)</f>
        <v>89.4</v>
      </c>
      <c r="J163" s="95">
        <f>VLOOKUP(E163,CompDbase!B:L,9,FALSE)</f>
        <v>1988.89882593368</v>
      </c>
      <c r="K163" s="95">
        <f>VLOOKUP(E163,CompDbase!B:L,10,FALSE)</f>
        <v>2.13</v>
      </c>
      <c r="L163" s="4" t="s">
        <v>769</v>
      </c>
      <c r="M163" s="420"/>
      <c r="N163" s="420"/>
      <c r="O163" s="4"/>
      <c r="P163">
        <v>298</v>
      </c>
      <c r="Q163" s="4" t="s">
        <v>1049</v>
      </c>
      <c r="S163" s="4"/>
      <c r="Y163">
        <v>4.0000000000000006E-13</v>
      </c>
      <c r="Z163" s="95">
        <f t="shared" si="139"/>
        <v>-12.397940008672037</v>
      </c>
      <c r="AG163" s="138"/>
      <c r="BW163" s="138"/>
      <c r="DG163">
        <f t="shared" si="140"/>
        <v>-12.397940008672037</v>
      </c>
      <c r="DH163">
        <f t="shared" si="141"/>
        <v>78.106666524406961</v>
      </c>
      <c r="EY163" s="479">
        <f>VLOOKUP(B163,Literatuur!$A:$B,2,FALSE)</f>
        <v>12</v>
      </c>
      <c r="EZ163" t="str">
        <f t="shared" si="93"/>
        <v>Benzene</v>
      </c>
      <c r="FA163" t="str">
        <f t="shared" si="94"/>
        <v>MAK</v>
      </c>
      <c r="FB163" t="str">
        <f t="shared" si="95"/>
        <v>LDPE</v>
      </c>
      <c r="FC163" t="str">
        <f t="shared" si="96"/>
        <v/>
      </c>
      <c r="FD163">
        <f t="shared" si="97"/>
        <v>298</v>
      </c>
      <c r="FE163" t="str">
        <f t="shared" si="98"/>
        <v>water</v>
      </c>
      <c r="FF163" t="str">
        <f t="shared" si="99"/>
        <v xml:space="preserve"> </v>
      </c>
      <c r="FG163" s="408" t="str">
        <f t="shared" si="92"/>
        <v/>
      </c>
      <c r="FH163" s="138" t="str">
        <f t="shared" si="100"/>
        <v/>
      </c>
      <c r="FI163" s="106" t="str">
        <f t="shared" si="142"/>
        <v>**</v>
      </c>
      <c r="FJ163" s="138">
        <f t="shared" si="101"/>
        <v>-12.397940008672037</v>
      </c>
      <c r="FK163" s="138" t="str">
        <f t="shared" si="102"/>
        <v>**</v>
      </c>
    </row>
    <row r="164" spans="1:167" ht="12.75" hidden="1" customHeight="1" x14ac:dyDescent="0.2">
      <c r="A164">
        <v>118</v>
      </c>
      <c r="B164" s="4" t="s">
        <v>1226</v>
      </c>
      <c r="C164" s="4"/>
      <c r="D164" s="4" t="s">
        <v>762</v>
      </c>
      <c r="E164">
        <v>205</v>
      </c>
      <c r="F164" t="str">
        <f>VLOOKUP(E164,CompDbase!B:L,4,FALSE)</f>
        <v>m-Xylene</v>
      </c>
      <c r="G164" s="95" t="str">
        <f>VLOOKUP(E164,CompDbase!B:M,12,FALSE)</f>
        <v>MAK</v>
      </c>
      <c r="H164" s="95">
        <f>VLOOKUP(E164,CompDbase!B:L,8,FALSE)</f>
        <v>106.18999905823263</v>
      </c>
      <c r="I164" s="95" t="e">
        <f>VLOOKUP(E164,CompDbase!B:L,11,FALSE)</f>
        <v>#DIV/0!</v>
      </c>
      <c r="J164" s="95">
        <f>VLOOKUP(E164,CompDbase!B:L,9,FALSE)</f>
        <v>197.40652052455141</v>
      </c>
      <c r="K164" s="95">
        <f>VLOOKUP(E164,CompDbase!B:L,10,FALSE)</f>
        <v>3.2</v>
      </c>
      <c r="L164" s="4" t="s">
        <v>769</v>
      </c>
      <c r="M164" s="420"/>
      <c r="N164" s="420"/>
      <c r="O164" s="4"/>
      <c r="P164">
        <v>298</v>
      </c>
      <c r="Q164" s="4" t="s">
        <v>1049</v>
      </c>
      <c r="S164" s="4"/>
      <c r="Y164">
        <v>1.46E-12</v>
      </c>
      <c r="Z164" s="95">
        <f t="shared" si="139"/>
        <v>-11.835647144215564</v>
      </c>
      <c r="AG164" s="138"/>
      <c r="BW164" s="138"/>
      <c r="DG164">
        <f t="shared" si="140"/>
        <v>-11.835647144215564</v>
      </c>
      <c r="DH164">
        <f t="shared" si="141"/>
        <v>106.18999905823263</v>
      </c>
      <c r="EY164" s="479">
        <f>VLOOKUP(B164,Literatuur!$A:$B,2,FALSE)</f>
        <v>12</v>
      </c>
      <c r="EZ164" t="str">
        <f t="shared" si="93"/>
        <v>m-Xylene</v>
      </c>
      <c r="FA164" t="str">
        <f t="shared" si="94"/>
        <v>MAK</v>
      </c>
      <c r="FB164" t="str">
        <f t="shared" si="95"/>
        <v>LDPE</v>
      </c>
      <c r="FC164" t="str">
        <f t="shared" si="96"/>
        <v/>
      </c>
      <c r="FD164">
        <f t="shared" si="97"/>
        <v>298</v>
      </c>
      <c r="FE164" t="str">
        <f t="shared" si="98"/>
        <v>water</v>
      </c>
      <c r="FF164" t="str">
        <f t="shared" si="99"/>
        <v xml:space="preserve"> </v>
      </c>
      <c r="FG164" s="408" t="str">
        <f t="shared" si="92"/>
        <v/>
      </c>
      <c r="FH164" s="138" t="str">
        <f t="shared" si="100"/>
        <v/>
      </c>
      <c r="FI164" s="106" t="str">
        <f t="shared" si="142"/>
        <v>**</v>
      </c>
      <c r="FJ164" s="138">
        <f t="shared" si="101"/>
        <v>-11.835647144215564</v>
      </c>
      <c r="FK164" s="138" t="str">
        <f t="shared" si="102"/>
        <v>**</v>
      </c>
    </row>
    <row r="165" spans="1:167" ht="12.75" hidden="1" customHeight="1" x14ac:dyDescent="0.2">
      <c r="A165">
        <v>119</v>
      </c>
      <c r="B165" s="4" t="s">
        <v>1226</v>
      </c>
      <c r="C165" s="4"/>
      <c r="D165" s="4" t="s">
        <v>872</v>
      </c>
      <c r="E165">
        <v>218</v>
      </c>
      <c r="F165" t="str">
        <f>VLOOKUP(E165,CompDbase!B:L,4,FALSE)</f>
        <v>o-Xylene</v>
      </c>
      <c r="G165" s="95" t="str">
        <f>VLOOKUP(E165,CompDbase!B:M,12,FALSE)</f>
        <v>MAK</v>
      </c>
      <c r="H165" s="95">
        <f>VLOOKUP(E165,CompDbase!B:L,8,FALSE)</f>
        <v>106.18666499232586</v>
      </c>
      <c r="I165" s="95" t="e">
        <f>VLOOKUP(E165,CompDbase!B:L,11,FALSE)</f>
        <v>#DIV/0!</v>
      </c>
      <c r="J165" s="95">
        <f>VLOOKUP(E165,CompDbase!B:L,9,FALSE)</f>
        <v>218.93359574593291</v>
      </c>
      <c r="K165" s="95">
        <f>VLOOKUP(E165,CompDbase!B:L,10,FALSE)</f>
        <v>3.12</v>
      </c>
      <c r="L165" s="4" t="s">
        <v>769</v>
      </c>
      <c r="M165" s="420"/>
      <c r="N165" s="420"/>
      <c r="O165" s="4"/>
      <c r="P165">
        <v>298</v>
      </c>
      <c r="Q165" s="4" t="s">
        <v>1049</v>
      </c>
      <c r="S165" s="4"/>
      <c r="Y165">
        <v>9.4000000000000003E-13</v>
      </c>
      <c r="Z165" s="95">
        <f t="shared" si="139"/>
        <v>-12.026872146400301</v>
      </c>
      <c r="AG165" s="138"/>
      <c r="BW165" s="138"/>
      <c r="DG165">
        <f t="shared" si="140"/>
        <v>-12.026872146400301</v>
      </c>
      <c r="DH165">
        <f t="shared" si="141"/>
        <v>106.18666499232586</v>
      </c>
      <c r="EY165" s="479">
        <f>VLOOKUP(B165,Literatuur!$A:$B,2,FALSE)</f>
        <v>12</v>
      </c>
      <c r="EZ165" t="str">
        <f t="shared" si="93"/>
        <v>o-Xylene</v>
      </c>
      <c r="FA165" t="str">
        <f t="shared" si="94"/>
        <v>MAK</v>
      </c>
      <c r="FB165" t="str">
        <f t="shared" si="95"/>
        <v>LDPE</v>
      </c>
      <c r="FC165" t="str">
        <f t="shared" si="96"/>
        <v/>
      </c>
      <c r="FD165">
        <f t="shared" si="97"/>
        <v>298</v>
      </c>
      <c r="FE165" t="str">
        <f t="shared" si="98"/>
        <v>water</v>
      </c>
      <c r="FF165" t="str">
        <f t="shared" si="99"/>
        <v xml:space="preserve"> </v>
      </c>
      <c r="FG165" s="408" t="str">
        <f t="shared" si="92"/>
        <v/>
      </c>
      <c r="FH165" s="138" t="str">
        <f t="shared" si="100"/>
        <v/>
      </c>
      <c r="FI165" s="106" t="str">
        <f t="shared" si="142"/>
        <v>**</v>
      </c>
      <c r="FJ165" s="138">
        <f t="shared" si="101"/>
        <v>-12.026872146400301</v>
      </c>
      <c r="FK165" s="138" t="str">
        <f t="shared" si="102"/>
        <v>**</v>
      </c>
    </row>
    <row r="166" spans="1:167" ht="12.75" hidden="1" customHeight="1" x14ac:dyDescent="0.2">
      <c r="A166">
        <v>120</v>
      </c>
      <c r="B166" s="4" t="s">
        <v>1226</v>
      </c>
      <c r="C166" s="4"/>
      <c r="D166" s="4" t="s">
        <v>492</v>
      </c>
      <c r="E166">
        <v>204</v>
      </c>
      <c r="F166" t="str">
        <f>VLOOKUP(E166,CompDbase!B:L,4,FALSE)</f>
        <v>Toluene</v>
      </c>
      <c r="G166" s="95" t="str">
        <f>VLOOKUP(E166,CompDbase!B:M,12,FALSE)</f>
        <v>MAK</v>
      </c>
      <c r="H166" s="95">
        <f>VLOOKUP(E166,CompDbase!B:L,8,FALSE)</f>
        <v>92.14249284505685</v>
      </c>
      <c r="I166" s="95">
        <f>VLOOKUP(E166,CompDbase!B:L,11,FALSE)</f>
        <v>106.9</v>
      </c>
      <c r="J166" s="95">
        <f>VLOOKUP(E166,CompDbase!B:L,9,FALSE)</f>
        <v>610.59105234897152</v>
      </c>
      <c r="K166" s="95">
        <f>VLOOKUP(E166,CompDbase!B:L,10,FALSE)</f>
        <v>2.73</v>
      </c>
      <c r="L166" s="4" t="s">
        <v>769</v>
      </c>
      <c r="M166" s="420"/>
      <c r="N166" s="420"/>
      <c r="O166" s="4"/>
      <c r="P166">
        <v>296</v>
      </c>
      <c r="Q166" s="4" t="s">
        <v>1049</v>
      </c>
      <c r="R166" s="289" t="s">
        <v>1976</v>
      </c>
      <c r="S166" s="4"/>
      <c r="T166" s="319">
        <v>1E-3</v>
      </c>
      <c r="Y166">
        <v>1.0500000000000002E-12</v>
      </c>
      <c r="Z166" s="95">
        <f t="shared" si="139"/>
        <v>-11.978810700930062</v>
      </c>
      <c r="DG166">
        <f t="shared" si="140"/>
        <v>-11.978810700930062</v>
      </c>
      <c r="DH166">
        <f t="shared" si="141"/>
        <v>92.14249284505685</v>
      </c>
      <c r="EY166" s="479">
        <f>VLOOKUP(B166,Literatuur!$A:$B,2,FALSE)</f>
        <v>12</v>
      </c>
      <c r="EZ166" t="str">
        <f t="shared" si="93"/>
        <v>Toluene</v>
      </c>
      <c r="FA166" t="str">
        <f t="shared" si="94"/>
        <v>MAK</v>
      </c>
      <c r="FB166" t="str">
        <f t="shared" si="95"/>
        <v>LDPE</v>
      </c>
      <c r="FC166" t="str">
        <f t="shared" si="96"/>
        <v/>
      </c>
      <c r="FD166">
        <f t="shared" si="97"/>
        <v>296</v>
      </c>
      <c r="FE166" t="str">
        <f t="shared" si="98"/>
        <v>water</v>
      </c>
      <c r="FF166" t="str">
        <f t="shared" si="99"/>
        <v xml:space="preserve">almost 0 </v>
      </c>
      <c r="FG166" s="408">
        <f t="shared" si="92"/>
        <v>1E-3</v>
      </c>
      <c r="FH166" s="138" t="str">
        <f t="shared" si="100"/>
        <v/>
      </c>
      <c r="FI166" s="106" t="str">
        <f t="shared" si="142"/>
        <v>**</v>
      </c>
      <c r="FJ166" s="138">
        <f t="shared" si="101"/>
        <v>-11.978810700930062</v>
      </c>
      <c r="FK166" s="138" t="str">
        <f t="shared" si="102"/>
        <v>**</v>
      </c>
    </row>
    <row r="167" spans="1:167" ht="12.75" hidden="1" customHeight="1" x14ac:dyDescent="0.2">
      <c r="A167">
        <v>121</v>
      </c>
      <c r="B167" s="4" t="s">
        <v>1226</v>
      </c>
      <c r="C167" s="4"/>
      <c r="D167" s="4" t="s">
        <v>492</v>
      </c>
      <c r="E167">
        <v>204</v>
      </c>
      <c r="F167" t="str">
        <f>VLOOKUP(E167,CompDbase!B:L,4,FALSE)</f>
        <v>Toluene</v>
      </c>
      <c r="G167" s="95" t="str">
        <f>VLOOKUP(E167,CompDbase!B:M,12,FALSE)</f>
        <v>MAK</v>
      </c>
      <c r="H167" s="95">
        <f>VLOOKUP(E167,CompDbase!B:L,8,FALSE)</f>
        <v>92.14249284505685</v>
      </c>
      <c r="I167" s="95">
        <f>VLOOKUP(E167,CompDbase!B:L,11,FALSE)</f>
        <v>106.9</v>
      </c>
      <c r="J167" s="95">
        <f>VLOOKUP(E167,CompDbase!B:L,9,FALSE)</f>
        <v>610.59105234897152</v>
      </c>
      <c r="K167" s="95">
        <f>VLOOKUP(E167,CompDbase!B:L,10,FALSE)</f>
        <v>2.73</v>
      </c>
      <c r="L167" s="4" t="s">
        <v>769</v>
      </c>
      <c r="M167" s="420"/>
      <c r="N167" s="420"/>
      <c r="O167" s="4"/>
      <c r="P167">
        <v>296</v>
      </c>
      <c r="Q167" s="4" t="s">
        <v>1049</v>
      </c>
      <c r="R167" s="289" t="s">
        <v>1976</v>
      </c>
      <c r="S167" s="4"/>
      <c r="T167" s="319">
        <v>1E-3</v>
      </c>
      <c r="Y167">
        <v>1.4000000000000001E-12</v>
      </c>
      <c r="Z167" s="95">
        <f t="shared" si="139"/>
        <v>-11.853871964321762</v>
      </c>
      <c r="DG167">
        <f t="shared" si="140"/>
        <v>-11.853871964321762</v>
      </c>
      <c r="DH167">
        <f t="shared" si="141"/>
        <v>92.14249284505685</v>
      </c>
      <c r="EY167" s="479">
        <f>VLOOKUP(B167,Literatuur!$A:$B,2,FALSE)</f>
        <v>12</v>
      </c>
      <c r="EZ167" t="str">
        <f t="shared" si="93"/>
        <v>Toluene</v>
      </c>
      <c r="FA167" t="str">
        <f t="shared" si="94"/>
        <v>MAK</v>
      </c>
      <c r="FB167" t="str">
        <f t="shared" si="95"/>
        <v>LDPE</v>
      </c>
      <c r="FC167" t="str">
        <f t="shared" si="96"/>
        <v/>
      </c>
      <c r="FD167">
        <f t="shared" si="97"/>
        <v>296</v>
      </c>
      <c r="FE167" t="str">
        <f t="shared" si="98"/>
        <v>water</v>
      </c>
      <c r="FF167" t="str">
        <f t="shared" si="99"/>
        <v xml:space="preserve">almost 0 </v>
      </c>
      <c r="FG167" s="408">
        <f t="shared" si="92"/>
        <v>1E-3</v>
      </c>
      <c r="FH167" s="138" t="str">
        <f t="shared" si="100"/>
        <v/>
      </c>
      <c r="FI167" s="106" t="str">
        <f t="shared" si="142"/>
        <v>**</v>
      </c>
      <c r="FJ167" s="138">
        <f t="shared" si="101"/>
        <v>-11.853871964321762</v>
      </c>
      <c r="FK167" s="138" t="str">
        <f t="shared" si="102"/>
        <v>**</v>
      </c>
    </row>
    <row r="168" spans="1:167" ht="12.75" hidden="1" customHeight="1" x14ac:dyDescent="0.2">
      <c r="A168">
        <v>122</v>
      </c>
      <c r="B168" s="4" t="s">
        <v>1226</v>
      </c>
      <c r="C168" s="4"/>
      <c r="D168" s="4" t="s">
        <v>492</v>
      </c>
      <c r="E168">
        <v>204</v>
      </c>
      <c r="F168" t="str">
        <f>VLOOKUP(E168,CompDbase!B:L,4,FALSE)</f>
        <v>Toluene</v>
      </c>
      <c r="G168" s="95" t="str">
        <f>VLOOKUP(E168,CompDbase!B:M,12,FALSE)</f>
        <v>MAK</v>
      </c>
      <c r="H168" s="95">
        <f>VLOOKUP(E168,CompDbase!B:L,8,FALSE)</f>
        <v>92.14249284505685</v>
      </c>
      <c r="I168" s="95">
        <f>VLOOKUP(E168,CompDbase!B:L,11,FALSE)</f>
        <v>106.9</v>
      </c>
      <c r="J168" s="95">
        <f>VLOOKUP(E168,CompDbase!B:L,9,FALSE)</f>
        <v>610.59105234897152</v>
      </c>
      <c r="K168" s="95">
        <f>VLOOKUP(E168,CompDbase!B:L,10,FALSE)</f>
        <v>2.73</v>
      </c>
      <c r="L168" s="4" t="s">
        <v>769</v>
      </c>
      <c r="M168" s="420"/>
      <c r="N168" s="420"/>
      <c r="O168" s="4"/>
      <c r="P168">
        <v>298</v>
      </c>
      <c r="Q168" s="4" t="s">
        <v>1049</v>
      </c>
      <c r="R168" s="289" t="s">
        <v>1976</v>
      </c>
      <c r="S168" s="4"/>
      <c r="T168" s="319">
        <v>1E-3</v>
      </c>
      <c r="Y168">
        <v>1.8000000000000004E-12</v>
      </c>
      <c r="Z168" s="95">
        <f t="shared" si="139"/>
        <v>-11.744727494896694</v>
      </c>
      <c r="AG168" s="138"/>
      <c r="BW168" s="138"/>
      <c r="DG168">
        <f t="shared" si="140"/>
        <v>-11.744727494896694</v>
      </c>
      <c r="DH168">
        <f t="shared" si="141"/>
        <v>92.14249284505685</v>
      </c>
      <c r="EY168" s="479">
        <f>VLOOKUP(B168,Literatuur!$A:$B,2,FALSE)</f>
        <v>12</v>
      </c>
      <c r="EZ168" t="str">
        <f t="shared" si="93"/>
        <v>Toluene</v>
      </c>
      <c r="FA168" t="str">
        <f t="shared" si="94"/>
        <v>MAK</v>
      </c>
      <c r="FB168" t="str">
        <f t="shared" si="95"/>
        <v>LDPE</v>
      </c>
      <c r="FC168" t="str">
        <f t="shared" si="96"/>
        <v/>
      </c>
      <c r="FD168">
        <f t="shared" si="97"/>
        <v>298</v>
      </c>
      <c r="FE168" t="str">
        <f t="shared" si="98"/>
        <v>water</v>
      </c>
      <c r="FF168" t="str">
        <f t="shared" si="99"/>
        <v xml:space="preserve">almost 0 </v>
      </c>
      <c r="FG168" s="408">
        <f t="shared" si="92"/>
        <v>1E-3</v>
      </c>
      <c r="FH168" s="138" t="str">
        <f t="shared" si="100"/>
        <v/>
      </c>
      <c r="FI168" s="106" t="str">
        <f t="shared" si="142"/>
        <v>**</v>
      </c>
      <c r="FJ168" s="138">
        <f t="shared" si="101"/>
        <v>-11.744727494896694</v>
      </c>
      <c r="FK168" s="138" t="str">
        <f t="shared" si="102"/>
        <v>**</v>
      </c>
    </row>
    <row r="169" spans="1:167" ht="12.75" hidden="1" customHeight="1" x14ac:dyDescent="0.2">
      <c r="A169">
        <v>123</v>
      </c>
      <c r="B169" s="4" t="s">
        <v>1226</v>
      </c>
      <c r="C169" s="4"/>
      <c r="D169" s="4" t="s">
        <v>492</v>
      </c>
      <c r="E169">
        <v>204</v>
      </c>
      <c r="F169" t="str">
        <f>VLOOKUP(E169,CompDbase!B:L,4,FALSE)</f>
        <v>Toluene</v>
      </c>
      <c r="G169" s="95" t="str">
        <f>VLOOKUP(E169,CompDbase!B:M,12,FALSE)</f>
        <v>MAK</v>
      </c>
      <c r="H169" s="95">
        <f>VLOOKUP(E169,CompDbase!B:L,8,FALSE)</f>
        <v>92.14249284505685</v>
      </c>
      <c r="I169" s="95">
        <f>VLOOKUP(E169,CompDbase!B:L,11,FALSE)</f>
        <v>106.9</v>
      </c>
      <c r="J169" s="95">
        <f>VLOOKUP(E169,CompDbase!B:L,9,FALSE)</f>
        <v>610.59105234897152</v>
      </c>
      <c r="K169" s="95">
        <f>VLOOKUP(E169,CompDbase!B:L,10,FALSE)</f>
        <v>2.73</v>
      </c>
      <c r="L169" s="4" t="s">
        <v>769</v>
      </c>
      <c r="M169" s="420"/>
      <c r="N169" s="420"/>
      <c r="O169" s="4"/>
      <c r="P169">
        <v>298</v>
      </c>
      <c r="Q169" s="4" t="s">
        <v>1049</v>
      </c>
      <c r="R169" s="289" t="s">
        <v>1976</v>
      </c>
      <c r="S169" s="4"/>
      <c r="T169" s="319">
        <v>1E-3</v>
      </c>
      <c r="Y169">
        <v>3.2000000000000005E-12</v>
      </c>
      <c r="Z169" s="95">
        <f t="shared" si="139"/>
        <v>-11.494850021680094</v>
      </c>
      <c r="AG169" s="138"/>
      <c r="BW169" s="138"/>
      <c r="DG169">
        <f t="shared" si="140"/>
        <v>-11.494850021680094</v>
      </c>
      <c r="DH169">
        <f t="shared" si="141"/>
        <v>92.14249284505685</v>
      </c>
      <c r="EY169" s="479">
        <f>VLOOKUP(B169,Literatuur!$A:$B,2,FALSE)</f>
        <v>12</v>
      </c>
      <c r="EZ169" t="str">
        <f t="shared" si="93"/>
        <v>Toluene</v>
      </c>
      <c r="FA169" t="str">
        <f t="shared" si="94"/>
        <v>MAK</v>
      </c>
      <c r="FB169" t="str">
        <f t="shared" si="95"/>
        <v>LDPE</v>
      </c>
      <c r="FC169" t="str">
        <f t="shared" si="96"/>
        <v/>
      </c>
      <c r="FD169">
        <f t="shared" si="97"/>
        <v>298</v>
      </c>
      <c r="FE169" t="str">
        <f t="shared" si="98"/>
        <v>water</v>
      </c>
      <c r="FF169" t="str">
        <f t="shared" si="99"/>
        <v xml:space="preserve">almost 0 </v>
      </c>
      <c r="FG169" s="408">
        <f t="shared" si="92"/>
        <v>1E-3</v>
      </c>
      <c r="FH169" s="138" t="str">
        <f t="shared" si="100"/>
        <v/>
      </c>
      <c r="FI169" s="106" t="str">
        <f t="shared" si="142"/>
        <v>**</v>
      </c>
      <c r="FJ169" s="138">
        <f t="shared" si="101"/>
        <v>-11.494850021680094</v>
      </c>
      <c r="FK169" s="138" t="str">
        <f t="shared" si="102"/>
        <v>**</v>
      </c>
    </row>
    <row r="170" spans="1:167" ht="12.75" hidden="1" customHeight="1" x14ac:dyDescent="0.2">
      <c r="A170">
        <v>124</v>
      </c>
      <c r="B170" t="s">
        <v>1235</v>
      </c>
      <c r="D170" s="4" t="s">
        <v>834</v>
      </c>
      <c r="E170">
        <v>-1664</v>
      </c>
      <c r="F170" t="str">
        <f>VLOOKUP(E170,CompDbase!B:L,4,FALSE)</f>
        <v>4-Isopropyl-tuluene</v>
      </c>
      <c r="G170" s="95" t="str">
        <f>VLOOKUP(E170,CompDbase!B:M,12,FALSE)</f>
        <v>MAK</v>
      </c>
      <c r="H170" s="95">
        <f>VLOOKUP(E170,CompDbase!B:L,8,FALSE)</f>
        <v>134</v>
      </c>
      <c r="I170" s="95" t="e">
        <f>VLOOKUP(E170,CompDbase!B:L,11,FALSE)</f>
        <v>#DIV/0!</v>
      </c>
      <c r="J170" s="95" t="e">
        <f>VLOOKUP(E170,CompDbase!B:L,9,FALSE)</f>
        <v>#DIV/0!</v>
      </c>
      <c r="K170" s="95" t="e">
        <f>VLOOKUP(E170,CompDbase!B:L,10,FALSE)</f>
        <v>#DIV/0!</v>
      </c>
      <c r="L170" s="4" t="s">
        <v>769</v>
      </c>
      <c r="M170" s="423"/>
      <c r="N170" s="423"/>
      <c r="O170" s="4"/>
      <c r="P170">
        <v>296</v>
      </c>
      <c r="Q170" s="4" t="s">
        <v>1049</v>
      </c>
      <c r="T170" s="95"/>
      <c r="Y170">
        <v>5.4000000000000002E-13</v>
      </c>
      <c r="Z170" s="95">
        <f t="shared" si="139"/>
        <v>-12.267606240177031</v>
      </c>
      <c r="DG170">
        <f t="shared" si="140"/>
        <v>-12.267606240177031</v>
      </c>
      <c r="DH170">
        <f t="shared" si="141"/>
        <v>134</v>
      </c>
      <c r="EY170" s="479">
        <f>VLOOKUP(B170,Literatuur!$A:$B,2,FALSE)</f>
        <v>21</v>
      </c>
      <c r="EZ170" t="str">
        <f t="shared" si="93"/>
        <v>4-Isopropyl-tuluene</v>
      </c>
      <c r="FA170" t="str">
        <f t="shared" si="94"/>
        <v>MAK</v>
      </c>
      <c r="FB170" t="str">
        <f t="shared" si="95"/>
        <v>LDPE</v>
      </c>
      <c r="FC170" t="str">
        <f t="shared" si="96"/>
        <v/>
      </c>
      <c r="FD170">
        <f t="shared" si="97"/>
        <v>296</v>
      </c>
      <c r="FE170" t="str">
        <f t="shared" si="98"/>
        <v>water</v>
      </c>
      <c r="FF170" t="str">
        <f t="shared" si="99"/>
        <v xml:space="preserve"> </v>
      </c>
      <c r="FG170" s="408" t="str">
        <f t="shared" si="92"/>
        <v/>
      </c>
      <c r="FH170" s="138" t="str">
        <f t="shared" si="100"/>
        <v/>
      </c>
      <c r="FI170" s="106" t="str">
        <f t="shared" si="142"/>
        <v>**</v>
      </c>
      <c r="FJ170" s="138">
        <f t="shared" si="101"/>
        <v>-12.267606240177031</v>
      </c>
      <c r="FK170" s="138" t="str">
        <f t="shared" si="102"/>
        <v>**</v>
      </c>
    </row>
    <row r="171" spans="1:167" ht="12.75" hidden="1" customHeight="1" x14ac:dyDescent="0.2">
      <c r="A171">
        <v>125</v>
      </c>
      <c r="B171" t="s">
        <v>1235</v>
      </c>
      <c r="D171" s="4" t="s">
        <v>548</v>
      </c>
      <c r="E171">
        <v>200</v>
      </c>
      <c r="F171" t="str">
        <f>VLOOKUP(E171,CompDbase!B:L,4,FALSE)</f>
        <v>Benzene</v>
      </c>
      <c r="G171" s="95" t="str">
        <f>VLOOKUP(E171,CompDbase!B:M,12,FALSE)</f>
        <v>MAK</v>
      </c>
      <c r="H171" s="95">
        <f>VLOOKUP(E171,CompDbase!B:L,8,FALSE)</f>
        <v>78.106666524406961</v>
      </c>
      <c r="I171" s="95">
        <f>VLOOKUP(E171,CompDbase!B:L,11,FALSE)</f>
        <v>89.4</v>
      </c>
      <c r="J171" s="95">
        <f>VLOOKUP(E171,CompDbase!B:L,9,FALSE)</f>
        <v>1988.89882593368</v>
      </c>
      <c r="K171" s="95">
        <f>VLOOKUP(E171,CompDbase!B:L,10,FALSE)</f>
        <v>2.13</v>
      </c>
      <c r="L171" s="4" t="s">
        <v>769</v>
      </c>
      <c r="M171" s="423"/>
      <c r="N171" s="423"/>
      <c r="O171" s="4"/>
      <c r="P171">
        <v>296</v>
      </c>
      <c r="Q171" s="4" t="s">
        <v>1049</v>
      </c>
      <c r="T171" s="95"/>
      <c r="Y171">
        <v>1.05E-12</v>
      </c>
      <c r="Z171" s="95">
        <f t="shared" si="139"/>
        <v>-11.978810700930062</v>
      </c>
      <c r="DG171">
        <f t="shared" si="140"/>
        <v>-11.978810700930062</v>
      </c>
      <c r="DH171">
        <f t="shared" si="141"/>
        <v>78.106666524406961</v>
      </c>
      <c r="EY171" s="479">
        <f>VLOOKUP(B171,Literatuur!$A:$B,2,FALSE)</f>
        <v>21</v>
      </c>
      <c r="EZ171" t="str">
        <f t="shared" si="93"/>
        <v>Benzene</v>
      </c>
      <c r="FA171" t="str">
        <f t="shared" si="94"/>
        <v>MAK</v>
      </c>
      <c r="FB171" t="str">
        <f t="shared" si="95"/>
        <v>LDPE</v>
      </c>
      <c r="FC171" t="str">
        <f t="shared" si="96"/>
        <v/>
      </c>
      <c r="FD171">
        <f t="shared" si="97"/>
        <v>296</v>
      </c>
      <c r="FE171" t="str">
        <f t="shared" si="98"/>
        <v>water</v>
      </c>
      <c r="FF171" t="str">
        <f t="shared" si="99"/>
        <v xml:space="preserve"> </v>
      </c>
      <c r="FG171" s="408" t="str">
        <f t="shared" si="92"/>
        <v/>
      </c>
      <c r="FH171" s="138" t="str">
        <f t="shared" si="100"/>
        <v/>
      </c>
      <c r="FI171" s="106" t="str">
        <f t="shared" si="142"/>
        <v>**</v>
      </c>
      <c r="FJ171" s="138">
        <f t="shared" si="101"/>
        <v>-11.978810700930062</v>
      </c>
      <c r="FK171" s="138" t="str">
        <f t="shared" si="102"/>
        <v>**</v>
      </c>
    </row>
    <row r="172" spans="1:167" ht="12.75" hidden="1" customHeight="1" x14ac:dyDescent="0.2">
      <c r="A172">
        <v>126</v>
      </c>
      <c r="B172" t="s">
        <v>1235</v>
      </c>
      <c r="D172" s="4" t="s">
        <v>548</v>
      </c>
      <c r="E172">
        <v>200</v>
      </c>
      <c r="F172" t="str">
        <f>VLOOKUP(E172,CompDbase!B:L,4,FALSE)</f>
        <v>Benzene</v>
      </c>
      <c r="G172" s="95" t="str">
        <f>VLOOKUP(E172,CompDbase!B:M,12,FALSE)</f>
        <v>MAK</v>
      </c>
      <c r="H172" s="95">
        <f>VLOOKUP(E172,CompDbase!B:L,8,FALSE)</f>
        <v>78.106666524406961</v>
      </c>
      <c r="I172" s="95">
        <f>VLOOKUP(E172,CompDbase!B:L,11,FALSE)</f>
        <v>89.4</v>
      </c>
      <c r="J172" s="95">
        <f>VLOOKUP(E172,CompDbase!B:L,9,FALSE)</f>
        <v>1988.89882593368</v>
      </c>
      <c r="K172" s="95">
        <f>VLOOKUP(E172,CompDbase!B:L,10,FALSE)</f>
        <v>2.13</v>
      </c>
      <c r="L172" s="4" t="s">
        <v>769</v>
      </c>
      <c r="M172" s="423"/>
      <c r="N172" s="423"/>
      <c r="O172" s="4"/>
      <c r="P172">
        <v>296</v>
      </c>
      <c r="Q172" s="4" t="s">
        <v>1049</v>
      </c>
      <c r="T172" s="95"/>
      <c r="Y172">
        <v>4.0000000000000006E-13</v>
      </c>
      <c r="Z172" s="95">
        <f t="shared" si="139"/>
        <v>-12.397940008672037</v>
      </c>
      <c r="AC172" t="s">
        <v>68</v>
      </c>
      <c r="DG172">
        <f t="shared" si="140"/>
        <v>-12.397940008672037</v>
      </c>
      <c r="DH172">
        <f t="shared" si="141"/>
        <v>78.106666524406961</v>
      </c>
      <c r="EY172" s="479">
        <f>VLOOKUP(B172,Literatuur!$A:$B,2,FALSE)</f>
        <v>21</v>
      </c>
      <c r="EZ172" t="str">
        <f t="shared" si="93"/>
        <v>Benzene</v>
      </c>
      <c r="FA172" t="str">
        <f t="shared" si="94"/>
        <v>MAK</v>
      </c>
      <c r="FB172" t="str">
        <f t="shared" si="95"/>
        <v>LDPE</v>
      </c>
      <c r="FC172" t="str">
        <f t="shared" si="96"/>
        <v/>
      </c>
      <c r="FD172">
        <f t="shared" si="97"/>
        <v>296</v>
      </c>
      <c r="FE172" t="str">
        <f t="shared" si="98"/>
        <v>water</v>
      </c>
      <c r="FF172" t="str">
        <f t="shared" si="99"/>
        <v xml:space="preserve"> </v>
      </c>
      <c r="FG172" s="408" t="str">
        <f t="shared" si="92"/>
        <v/>
      </c>
      <c r="FH172" s="138" t="str">
        <f t="shared" si="100"/>
        <v/>
      </c>
      <c r="FI172" s="106" t="str">
        <f t="shared" si="142"/>
        <v>**</v>
      </c>
      <c r="FJ172" s="138">
        <f t="shared" si="101"/>
        <v>-12.397940008672037</v>
      </c>
      <c r="FK172" s="138" t="str">
        <f t="shared" si="102"/>
        <v>**</v>
      </c>
    </row>
    <row r="173" spans="1:167" ht="12.75" hidden="1" customHeight="1" x14ac:dyDescent="0.2">
      <c r="A173">
        <v>127</v>
      </c>
      <c r="B173" t="s">
        <v>430</v>
      </c>
      <c r="D173" t="s">
        <v>268</v>
      </c>
      <c r="E173">
        <v>-201</v>
      </c>
      <c r="F173" t="str">
        <f>VLOOKUP(E173,CompDbase!B:L,4,FALSE)</f>
        <v>1,3,5-Trimethylbenzene</v>
      </c>
      <c r="G173" s="95" t="str">
        <f>VLOOKUP(E173,CompDbase!B:M,12,FALSE)</f>
        <v>MAK</v>
      </c>
      <c r="H173" s="95">
        <f>VLOOKUP(E173,CompDbase!B:L,8,FALSE)</f>
        <v>120.19</v>
      </c>
      <c r="I173" s="95" t="e">
        <f>VLOOKUP(E173,CompDbase!B:L,11,FALSE)</f>
        <v>#DIV/0!</v>
      </c>
      <c r="J173" s="95">
        <f>VLOOKUP(E173,CompDbase!B:L,9,FALSE)</f>
        <v>11.45</v>
      </c>
      <c r="K173" s="95">
        <f>VLOOKUP(E173,CompDbase!B:L,10,FALSE)</f>
        <v>3.51</v>
      </c>
      <c r="L173" s="4" t="s">
        <v>769</v>
      </c>
      <c r="N173" s="416">
        <v>940000</v>
      </c>
      <c r="O173" s="4" t="s">
        <v>1044</v>
      </c>
      <c r="P173">
        <v>293</v>
      </c>
      <c r="Q173" s="4" t="s">
        <v>1049</v>
      </c>
      <c r="R173" s="289" t="s">
        <v>1988</v>
      </c>
      <c r="T173" s="95">
        <v>1</v>
      </c>
      <c r="V173" s="33">
        <v>0.115</v>
      </c>
      <c r="W173" s="95">
        <f t="shared" ref="W173:W181" si="143">V173*N173/J173</f>
        <v>9441.048034934498</v>
      </c>
      <c r="X173" s="288">
        <f t="shared" ref="X173:X189" si="144">LOG(W173)</f>
        <v>3.9750202072774035</v>
      </c>
      <c r="Z173" s="190"/>
      <c r="AC173" t="s">
        <v>68</v>
      </c>
      <c r="AG173" s="138">
        <f t="shared" ref="AG173:AG188" si="145">X173</f>
        <v>3.9750202072774035</v>
      </c>
      <c r="AH173">
        <f t="shared" ref="AH173:AI188" si="146">$K173</f>
        <v>3.51</v>
      </c>
      <c r="AI173">
        <f t="shared" si="146"/>
        <v>3.51</v>
      </c>
      <c r="AL173">
        <f t="shared" ref="AL173:AL181" si="147">$K173</f>
        <v>3.51</v>
      </c>
      <c r="AO173">
        <f t="shared" ref="AO173:AO181" si="148">$K173</f>
        <v>3.51</v>
      </c>
      <c r="BW173" s="138"/>
      <c r="BX173">
        <f t="shared" ref="BX173:BY181" si="149">LOG(1*$J173)</f>
        <v>1.0588054866759067</v>
      </c>
      <c r="BY173">
        <f t="shared" si="149"/>
        <v>1.0588054866759067</v>
      </c>
      <c r="CB173">
        <f t="shared" ref="CB173:CB181" si="150">LOG(1*$J173)</f>
        <v>1.0588054866759067</v>
      </c>
      <c r="CE173">
        <f t="shared" ref="CE173:CE181" si="151">LOG(1*$J173)</f>
        <v>1.0588054866759067</v>
      </c>
      <c r="DG173" s="138"/>
      <c r="EY173" s="479">
        <f>VLOOKUP(B173,Literatuur!$A:$B,2,FALSE)</f>
        <v>37</v>
      </c>
      <c r="EZ173" t="str">
        <f t="shared" si="93"/>
        <v>1,3,5-Trimethylbenzeen</v>
      </c>
      <c r="FA173" t="str">
        <f t="shared" si="94"/>
        <v>MAK</v>
      </c>
      <c r="FB173" t="str">
        <f t="shared" si="95"/>
        <v>LDPE</v>
      </c>
      <c r="FC173" t="str">
        <f t="shared" si="96"/>
        <v>Immersion</v>
      </c>
      <c r="FD173">
        <f t="shared" si="97"/>
        <v>293</v>
      </c>
      <c r="FE173" t="str">
        <f t="shared" si="98"/>
        <v>water</v>
      </c>
      <c r="FF173" t="str">
        <f t="shared" si="99"/>
        <v xml:space="preserve">saturated </v>
      </c>
      <c r="FG173" s="408">
        <f t="shared" si="92"/>
        <v>1</v>
      </c>
      <c r="FH173" s="138">
        <f t="shared" si="100"/>
        <v>3.9750202072774035</v>
      </c>
      <c r="FI173" s="106">
        <f t="shared" si="142"/>
        <v>3.1639613360631533</v>
      </c>
      <c r="FJ173" s="138" t="str">
        <f t="shared" si="101"/>
        <v/>
      </c>
      <c r="FK173" s="138" t="str">
        <f t="shared" si="102"/>
        <v>**</v>
      </c>
    </row>
    <row r="174" spans="1:167" ht="12.75" hidden="1" customHeight="1" x14ac:dyDescent="0.2">
      <c r="A174">
        <v>128</v>
      </c>
      <c r="B174" t="s">
        <v>430</v>
      </c>
      <c r="D174" t="s">
        <v>0</v>
      </c>
      <c r="E174">
        <v>200</v>
      </c>
      <c r="F174" t="str">
        <f>VLOOKUP(E174,CompDbase!B:L,4,FALSE)</f>
        <v>Benzene</v>
      </c>
      <c r="G174" s="95" t="str">
        <f>VLOOKUP(E174,CompDbase!B:M,12,FALSE)</f>
        <v>MAK</v>
      </c>
      <c r="H174" s="95">
        <f>VLOOKUP(E174,CompDbase!B:L,8,FALSE)</f>
        <v>78.106666524406961</v>
      </c>
      <c r="I174" s="95">
        <f>VLOOKUP(E174,CompDbase!B:L,11,FALSE)</f>
        <v>89.4</v>
      </c>
      <c r="J174" s="95">
        <f>VLOOKUP(E174,CompDbase!B:L,9,FALSE)</f>
        <v>1988.89882593368</v>
      </c>
      <c r="K174" s="95">
        <f>VLOOKUP(E174,CompDbase!B:L,10,FALSE)</f>
        <v>2.13</v>
      </c>
      <c r="L174" s="4" t="s">
        <v>769</v>
      </c>
      <c r="N174" s="416">
        <v>940000</v>
      </c>
      <c r="O174" s="4" t="s">
        <v>1044</v>
      </c>
      <c r="P174">
        <v>293</v>
      </c>
      <c r="Q174" s="4" t="s">
        <v>1049</v>
      </c>
      <c r="R174" s="289" t="s">
        <v>1988</v>
      </c>
      <c r="T174" s="95">
        <v>1</v>
      </c>
      <c r="V174" s="33">
        <v>0.105</v>
      </c>
      <c r="W174" s="95">
        <f t="shared" si="143"/>
        <v>49.625450381401734</v>
      </c>
      <c r="X174" s="288">
        <f t="shared" si="144"/>
        <v>1.6957044612778704</v>
      </c>
      <c r="Z174" s="95"/>
      <c r="AB174" s="95"/>
      <c r="AC174" s="95" t="s">
        <v>68</v>
      </c>
      <c r="AD174" s="95"/>
      <c r="AG174" s="138">
        <f t="shared" si="145"/>
        <v>1.6957044612778704</v>
      </c>
      <c r="AH174">
        <f t="shared" si="146"/>
        <v>2.13</v>
      </c>
      <c r="AI174">
        <f t="shared" si="146"/>
        <v>2.13</v>
      </c>
      <c r="AL174">
        <f t="shared" si="147"/>
        <v>2.13</v>
      </c>
      <c r="AO174">
        <f t="shared" si="148"/>
        <v>2.13</v>
      </c>
      <c r="BW174" s="138"/>
      <c r="BX174">
        <f t="shared" si="149"/>
        <v>3.2986126913917664</v>
      </c>
      <c r="BY174">
        <f t="shared" si="149"/>
        <v>3.2986126913917664</v>
      </c>
      <c r="CB174">
        <f t="shared" si="150"/>
        <v>3.2986126913917664</v>
      </c>
      <c r="CE174">
        <f t="shared" si="151"/>
        <v>3.2986126913917664</v>
      </c>
      <c r="DG174" s="138"/>
      <c r="EY174" s="479">
        <f>VLOOKUP(B174,Literatuur!$A:$B,2,FALSE)</f>
        <v>37</v>
      </c>
      <c r="EZ174" t="str">
        <f t="shared" si="93"/>
        <v>Benzeen</v>
      </c>
      <c r="FA174" t="str">
        <f t="shared" si="94"/>
        <v>MAK</v>
      </c>
      <c r="FB174" t="str">
        <f t="shared" si="95"/>
        <v>LDPE</v>
      </c>
      <c r="FC174" t="str">
        <f t="shared" si="96"/>
        <v>Immersion</v>
      </c>
      <c r="FD174">
        <f t="shared" si="97"/>
        <v>293</v>
      </c>
      <c r="FE174" t="str">
        <f t="shared" si="98"/>
        <v>water</v>
      </c>
      <c r="FF174" t="str">
        <f t="shared" si="99"/>
        <v xml:space="preserve">saturated </v>
      </c>
      <c r="FG174" s="408">
        <f t="shared" si="92"/>
        <v>1</v>
      </c>
      <c r="FH174" s="138">
        <f t="shared" si="100"/>
        <v>1.6957044612778704</v>
      </c>
      <c r="FI174" s="106">
        <f t="shared" si="142"/>
        <v>1.6523012649888535</v>
      </c>
      <c r="FJ174" s="138" t="str">
        <f t="shared" si="101"/>
        <v/>
      </c>
      <c r="FK174" s="138" t="str">
        <f t="shared" si="102"/>
        <v>**</v>
      </c>
    </row>
    <row r="175" spans="1:167" ht="12.75" hidden="1" customHeight="1" x14ac:dyDescent="0.2">
      <c r="A175">
        <v>129</v>
      </c>
      <c r="B175" t="s">
        <v>430</v>
      </c>
      <c r="D175" t="s">
        <v>3</v>
      </c>
      <c r="E175">
        <v>201</v>
      </c>
      <c r="F175" t="str">
        <f>VLOOKUP(E175,CompDbase!B:L,4,FALSE)</f>
        <v>Ethylbenzene</v>
      </c>
      <c r="G175" s="95" t="str">
        <f>VLOOKUP(E175,CompDbase!B:M,12,FALSE)</f>
        <v>MAK</v>
      </c>
      <c r="H175" s="95">
        <f>VLOOKUP(E175,CompDbase!B:L,8,FALSE)</f>
        <v>106.18666499232586</v>
      </c>
      <c r="I175" s="95" t="e">
        <f>VLOOKUP(E175,CompDbase!B:L,11,FALSE)</f>
        <v>#DIV/0!</v>
      </c>
      <c r="J175" s="95">
        <f>VLOOKUP(E175,CompDbase!B:L,9,FALSE)</f>
        <v>159.4494296665228</v>
      </c>
      <c r="K175" s="95">
        <f>VLOOKUP(E175,CompDbase!B:L,10,FALSE)</f>
        <v>3.15</v>
      </c>
      <c r="L175" s="4" t="s">
        <v>769</v>
      </c>
      <c r="N175" s="416">
        <v>940000</v>
      </c>
      <c r="O175" s="4" t="s">
        <v>1044</v>
      </c>
      <c r="P175">
        <v>293</v>
      </c>
      <c r="Q175" s="4" t="s">
        <v>1049</v>
      </c>
      <c r="R175" s="289" t="s">
        <v>1988</v>
      </c>
      <c r="T175" s="95">
        <v>1</v>
      </c>
      <c r="V175" s="33">
        <v>0.10100000000000001</v>
      </c>
      <c r="W175" s="95">
        <f t="shared" si="143"/>
        <v>595.4238920675997</v>
      </c>
      <c r="X175" s="288">
        <f t="shared" si="144"/>
        <v>2.774826257225282</v>
      </c>
      <c r="Z175" s="190"/>
      <c r="AC175" t="s">
        <v>68</v>
      </c>
      <c r="AG175" s="138">
        <f t="shared" si="145"/>
        <v>2.774826257225282</v>
      </c>
      <c r="AH175">
        <f t="shared" si="146"/>
        <v>3.15</v>
      </c>
      <c r="AI175">
        <f t="shared" si="146"/>
        <v>3.15</v>
      </c>
      <c r="AL175">
        <f t="shared" si="147"/>
        <v>3.15</v>
      </c>
      <c r="AO175">
        <f t="shared" si="148"/>
        <v>3.15</v>
      </c>
      <c r="BW175" s="138"/>
      <c r="BX175">
        <f t="shared" si="149"/>
        <v>2.202622970157059</v>
      </c>
      <c r="BY175">
        <f t="shared" si="149"/>
        <v>2.202622970157059</v>
      </c>
      <c r="CB175">
        <f t="shared" si="150"/>
        <v>2.202622970157059</v>
      </c>
      <c r="CE175">
        <f t="shared" si="151"/>
        <v>2.202622970157059</v>
      </c>
      <c r="DG175" s="138"/>
      <c r="EY175" s="479">
        <f>VLOOKUP(B175,Literatuur!$A:$B,2,FALSE)</f>
        <v>37</v>
      </c>
      <c r="EZ175" t="str">
        <f t="shared" si="93"/>
        <v>Ethylbenzeen</v>
      </c>
      <c r="FA175" t="str">
        <f t="shared" si="94"/>
        <v>MAK</v>
      </c>
      <c r="FB175" t="str">
        <f t="shared" si="95"/>
        <v>LDPE</v>
      </c>
      <c r="FC175" t="str">
        <f t="shared" si="96"/>
        <v>Immersion</v>
      </c>
      <c r="FD175">
        <f t="shared" si="97"/>
        <v>293</v>
      </c>
      <c r="FE175" t="str">
        <f t="shared" si="98"/>
        <v>water</v>
      </c>
      <c r="FF175" t="str">
        <f t="shared" si="99"/>
        <v xml:space="preserve">saturated </v>
      </c>
      <c r="FG175" s="408">
        <f t="shared" ref="FG175:FG238" si="152">IF(ISNUMBER(T175),T175,"")</f>
        <v>1</v>
      </c>
      <c r="FH175" s="138">
        <f t="shared" si="100"/>
        <v>2.774826257225282</v>
      </c>
      <c r="FI175" s="106">
        <f t="shared" si="142"/>
        <v>2.7696152305655097</v>
      </c>
      <c r="FJ175" s="138" t="str">
        <f t="shared" si="101"/>
        <v/>
      </c>
      <c r="FK175" s="138" t="str">
        <f t="shared" si="102"/>
        <v>**</v>
      </c>
    </row>
    <row r="176" spans="1:167" ht="12.75" hidden="1" customHeight="1" x14ac:dyDescent="0.2">
      <c r="A176">
        <v>130</v>
      </c>
      <c r="B176" t="s">
        <v>430</v>
      </c>
      <c r="D176" t="s">
        <v>91</v>
      </c>
      <c r="E176">
        <v>205</v>
      </c>
      <c r="F176" t="str">
        <f>VLOOKUP(E176,CompDbase!B:L,4,FALSE)</f>
        <v>m-Xylene</v>
      </c>
      <c r="G176" s="95" t="str">
        <f>VLOOKUP(E176,CompDbase!B:M,12,FALSE)</f>
        <v>MAK</v>
      </c>
      <c r="H176" s="95">
        <f>VLOOKUP(E176,CompDbase!B:L,8,FALSE)</f>
        <v>106.18999905823263</v>
      </c>
      <c r="I176" s="95" t="e">
        <f>VLOOKUP(E176,CompDbase!B:L,11,FALSE)</f>
        <v>#DIV/0!</v>
      </c>
      <c r="J176" s="95">
        <f>VLOOKUP(E176,CompDbase!B:L,9,FALSE)</f>
        <v>197.40652052455141</v>
      </c>
      <c r="K176" s="95">
        <f>VLOOKUP(E176,CompDbase!B:L,10,FALSE)</f>
        <v>3.2</v>
      </c>
      <c r="L176" s="4" t="s">
        <v>769</v>
      </c>
      <c r="N176" s="416">
        <v>940000</v>
      </c>
      <c r="O176" s="4" t="s">
        <v>1044</v>
      </c>
      <c r="P176">
        <v>293</v>
      </c>
      <c r="Q176" s="4" t="s">
        <v>1049</v>
      </c>
      <c r="R176" s="289" t="s">
        <v>1988</v>
      </c>
      <c r="T176" s="95">
        <v>1</v>
      </c>
      <c r="V176" s="33">
        <v>0.11799999999999999</v>
      </c>
      <c r="W176" s="95">
        <f t="shared" si="143"/>
        <v>561.88620165768486</v>
      </c>
      <c r="X176" s="288">
        <f t="shared" si="144"/>
        <v>2.7496483671767535</v>
      </c>
      <c r="Z176" s="190"/>
      <c r="AC176" t="s">
        <v>68</v>
      </c>
      <c r="AG176" s="138">
        <f t="shared" si="145"/>
        <v>2.7496483671767535</v>
      </c>
      <c r="AH176">
        <f t="shared" si="146"/>
        <v>3.2</v>
      </c>
      <c r="AI176">
        <f t="shared" si="146"/>
        <v>3.2</v>
      </c>
      <c r="AL176">
        <f t="shared" si="147"/>
        <v>3.2</v>
      </c>
      <c r="AO176">
        <f t="shared" si="148"/>
        <v>3.2</v>
      </c>
      <c r="BW176" s="138"/>
      <c r="BX176">
        <f t="shared" si="149"/>
        <v>2.2953614937290703</v>
      </c>
      <c r="BY176">
        <f t="shared" si="149"/>
        <v>2.2953614937290703</v>
      </c>
      <c r="CB176">
        <f t="shared" si="150"/>
        <v>2.2953614937290703</v>
      </c>
      <c r="CE176">
        <f t="shared" si="151"/>
        <v>2.2953614937290703</v>
      </c>
      <c r="DG176" s="138"/>
      <c r="EY176" s="479">
        <f>VLOOKUP(B176,Literatuur!$A:$B,2,FALSE)</f>
        <v>37</v>
      </c>
      <c r="EZ176" t="str">
        <f t="shared" ref="EZ176:EZ239" si="153">D176</f>
        <v>m-Xyleen</v>
      </c>
      <c r="FA176" t="str">
        <f t="shared" ref="FA176:FA239" si="154">G176</f>
        <v>MAK</v>
      </c>
      <c r="FB176" t="str">
        <f t="shared" ref="FB176:FB239" si="155">L176</f>
        <v>LDPE</v>
      </c>
      <c r="FC176" t="str">
        <f t="shared" ref="FC176:FC239" si="156">CONCATENATE(O176)</f>
        <v>Immersion</v>
      </c>
      <c r="FD176">
        <f t="shared" ref="FD176:FD239" si="157">P176</f>
        <v>293</v>
      </c>
      <c r="FE176" t="str">
        <f t="shared" ref="FE176:FE239" si="158">Q176</f>
        <v>water</v>
      </c>
      <c r="FF176" t="str">
        <f t="shared" ref="FF176:FF239" si="159">CONCATENATE(R176," ",S176)</f>
        <v xml:space="preserve">saturated </v>
      </c>
      <c r="FG176" s="408">
        <f t="shared" si="152"/>
        <v>1</v>
      </c>
      <c r="FH176" s="138">
        <f t="shared" ref="FH176:FH239" si="160">IF(ISNUMBER(X176),X176,"")</f>
        <v>2.7496483671767535</v>
      </c>
      <c r="FI176" s="106">
        <f t="shared" si="142"/>
        <v>2.8243855229957386</v>
      </c>
      <c r="FJ176" s="138" t="str">
        <f t="shared" ref="FJ176:FJ239" si="161">IF(ISNUMBER(Z176),Z176,"")</f>
        <v/>
      </c>
      <c r="FK176" s="138" t="str">
        <f t="shared" ref="FK176:FK239" si="162">IF(ISNUMBER(DM176),DM176*DM$19+DM$21,IF(ISNUMBER(DN176),DN176*DN$19+DN$21,IF(ISNUMBER(DO176),DO176*DO$19+DO$21,"**")))</f>
        <v>**</v>
      </c>
    </row>
    <row r="177" spans="1:167" ht="12.75" hidden="1" customHeight="1" x14ac:dyDescent="0.2">
      <c r="A177">
        <v>131</v>
      </c>
      <c r="B177" t="s">
        <v>430</v>
      </c>
      <c r="D177" t="s">
        <v>98</v>
      </c>
      <c r="E177">
        <v>218</v>
      </c>
      <c r="F177" t="str">
        <f>VLOOKUP(E177,CompDbase!B:L,4,FALSE)</f>
        <v>o-Xylene</v>
      </c>
      <c r="G177" s="95" t="str">
        <f>VLOOKUP(E177,CompDbase!B:M,12,FALSE)</f>
        <v>MAK</v>
      </c>
      <c r="H177" s="95">
        <f>VLOOKUP(E177,CompDbase!B:L,8,FALSE)</f>
        <v>106.18666499232586</v>
      </c>
      <c r="I177" s="95" t="e">
        <f>VLOOKUP(E177,CompDbase!B:L,11,FALSE)</f>
        <v>#DIV/0!</v>
      </c>
      <c r="J177" s="95">
        <f>VLOOKUP(E177,CompDbase!B:L,9,FALSE)</f>
        <v>218.93359574593291</v>
      </c>
      <c r="K177" s="95">
        <f>VLOOKUP(E177,CompDbase!B:L,10,FALSE)</f>
        <v>3.12</v>
      </c>
      <c r="L177" s="4" t="s">
        <v>769</v>
      </c>
      <c r="N177" s="416">
        <v>940000</v>
      </c>
      <c r="O177" s="4" t="s">
        <v>1044</v>
      </c>
      <c r="P177">
        <v>293</v>
      </c>
      <c r="Q177" s="4" t="s">
        <v>1049</v>
      </c>
      <c r="R177" s="289" t="s">
        <v>1988</v>
      </c>
      <c r="T177" s="95">
        <v>1</v>
      </c>
      <c r="V177" s="33">
        <v>0.121</v>
      </c>
      <c r="W177" s="95">
        <f t="shared" si="143"/>
        <v>519.51825672288544</v>
      </c>
      <c r="X177" s="288">
        <f t="shared" si="144"/>
        <v>2.7156008139811458</v>
      </c>
      <c r="Z177" s="190"/>
      <c r="AB177" s="95"/>
      <c r="AC177" s="95" t="s">
        <v>68</v>
      </c>
      <c r="AD177" s="95"/>
      <c r="AG177" s="138">
        <f t="shared" si="145"/>
        <v>2.7156008139811458</v>
      </c>
      <c r="AH177">
        <f t="shared" si="146"/>
        <v>3.12</v>
      </c>
      <c r="AI177">
        <f t="shared" si="146"/>
        <v>3.12</v>
      </c>
      <c r="AL177">
        <f t="shared" si="147"/>
        <v>3.12</v>
      </c>
      <c r="AO177">
        <f t="shared" si="148"/>
        <v>3.12</v>
      </c>
      <c r="BW177" s="138"/>
      <c r="BX177">
        <f t="shared" si="149"/>
        <v>2.3403124099350032</v>
      </c>
      <c r="BY177">
        <f t="shared" si="149"/>
        <v>2.3403124099350032</v>
      </c>
      <c r="CB177">
        <f t="shared" si="150"/>
        <v>2.3403124099350032</v>
      </c>
      <c r="CE177">
        <f t="shared" si="151"/>
        <v>2.3403124099350032</v>
      </c>
      <c r="DG177" s="138"/>
      <c r="EY177" s="479">
        <f>VLOOKUP(B177,Literatuur!$A:$B,2,FALSE)</f>
        <v>37</v>
      </c>
      <c r="EZ177" t="str">
        <f t="shared" si="153"/>
        <v>o-Xyleen</v>
      </c>
      <c r="FA177" t="str">
        <f t="shared" si="154"/>
        <v>MAK</v>
      </c>
      <c r="FB177" t="str">
        <f t="shared" si="155"/>
        <v>LDPE</v>
      </c>
      <c r="FC177" t="str">
        <f t="shared" si="156"/>
        <v>Immersion</v>
      </c>
      <c r="FD177">
        <f t="shared" si="157"/>
        <v>293</v>
      </c>
      <c r="FE177" t="str">
        <f t="shared" si="158"/>
        <v>water</v>
      </c>
      <c r="FF177" t="str">
        <f t="shared" si="159"/>
        <v xml:space="preserve">saturated </v>
      </c>
      <c r="FG177" s="408">
        <f t="shared" si="152"/>
        <v>1</v>
      </c>
      <c r="FH177" s="138">
        <f t="shared" si="160"/>
        <v>2.7156008139811458</v>
      </c>
      <c r="FI177" s="106">
        <f t="shared" si="142"/>
        <v>2.7367530551073731</v>
      </c>
      <c r="FJ177" s="138" t="str">
        <f t="shared" si="161"/>
        <v/>
      </c>
      <c r="FK177" s="138" t="str">
        <f t="shared" si="162"/>
        <v>**</v>
      </c>
    </row>
    <row r="178" spans="1:167" ht="12.75" hidden="1" customHeight="1" x14ac:dyDescent="0.2">
      <c r="A178">
        <v>132</v>
      </c>
      <c r="B178" t="s">
        <v>430</v>
      </c>
      <c r="D178" t="s">
        <v>273</v>
      </c>
      <c r="E178">
        <v>-203</v>
      </c>
      <c r="F178" t="str">
        <f>VLOOKUP(E178,CompDbase!B:L,4,FALSE)</f>
        <v>Penthylbenzene</v>
      </c>
      <c r="G178" s="95" t="str">
        <f>VLOOKUP(E178,CompDbase!B:M,12,FALSE)</f>
        <v>MAK</v>
      </c>
      <c r="H178" s="95">
        <f>VLOOKUP(E178,CompDbase!B:L,8,FALSE)</f>
        <v>148.25</v>
      </c>
      <c r="I178" s="95" t="e">
        <f>VLOOKUP(E178,CompDbase!B:L,11,FALSE)</f>
        <v>#DIV/0!</v>
      </c>
      <c r="J178" s="95">
        <f>VLOOKUP(E178,CompDbase!B:L,9,FALSE)</f>
        <v>3.37</v>
      </c>
      <c r="K178" s="95">
        <f>VLOOKUP(E178,CompDbase!B:L,10,FALSE)</f>
        <v>4.9000000000000004</v>
      </c>
      <c r="L178" s="4" t="s">
        <v>769</v>
      </c>
      <c r="N178" s="416">
        <v>940000</v>
      </c>
      <c r="O178" s="4" t="s">
        <v>1044</v>
      </c>
      <c r="P178">
        <v>293</v>
      </c>
      <c r="Q178" s="4" t="s">
        <v>1049</v>
      </c>
      <c r="R178" s="289" t="s">
        <v>1988</v>
      </c>
      <c r="T178" s="95">
        <v>1</v>
      </c>
      <c r="V178" s="33">
        <v>8.3000000000000004E-2</v>
      </c>
      <c r="W178" s="95">
        <f t="shared" si="143"/>
        <v>23151.3353115727</v>
      </c>
      <c r="X178" s="288">
        <f t="shared" si="144"/>
        <v>4.3645760451044335</v>
      </c>
      <c r="Z178" s="190"/>
      <c r="AC178" t="s">
        <v>68</v>
      </c>
      <c r="AG178" s="138">
        <f t="shared" si="145"/>
        <v>4.3645760451044335</v>
      </c>
      <c r="AH178">
        <f t="shared" si="146"/>
        <v>4.9000000000000004</v>
      </c>
      <c r="AI178">
        <f t="shared" si="146"/>
        <v>4.9000000000000004</v>
      </c>
      <c r="AL178">
        <f t="shared" si="147"/>
        <v>4.9000000000000004</v>
      </c>
      <c r="AO178">
        <f t="shared" si="148"/>
        <v>4.9000000000000004</v>
      </c>
      <c r="BW178" s="138"/>
      <c r="BX178">
        <f t="shared" si="149"/>
        <v>0.52762990087133865</v>
      </c>
      <c r="BY178">
        <f t="shared" si="149"/>
        <v>0.52762990087133865</v>
      </c>
      <c r="CB178">
        <f t="shared" si="150"/>
        <v>0.52762990087133865</v>
      </c>
      <c r="CE178">
        <f t="shared" si="151"/>
        <v>0.52762990087133865</v>
      </c>
      <c r="DG178" s="138"/>
      <c r="EY178" s="479">
        <f>VLOOKUP(B178,Literatuur!$A:$B,2,FALSE)</f>
        <v>37</v>
      </c>
      <c r="EZ178" t="str">
        <f t="shared" si="153"/>
        <v>Pentylbenzeen</v>
      </c>
      <c r="FA178" t="str">
        <f t="shared" si="154"/>
        <v>MAK</v>
      </c>
      <c r="FB178" t="str">
        <f t="shared" si="155"/>
        <v>LDPE</v>
      </c>
      <c r="FC178" t="str">
        <f t="shared" si="156"/>
        <v>Immersion</v>
      </c>
      <c r="FD178">
        <f t="shared" si="157"/>
        <v>293</v>
      </c>
      <c r="FE178" t="str">
        <f t="shared" si="158"/>
        <v>water</v>
      </c>
      <c r="FF178" t="str">
        <f t="shared" si="159"/>
        <v xml:space="preserve">saturated </v>
      </c>
      <c r="FG178" s="408">
        <f t="shared" si="152"/>
        <v>1</v>
      </c>
      <c r="FH178" s="138">
        <f t="shared" si="160"/>
        <v>4.3645760451044335</v>
      </c>
      <c r="FI178" s="106">
        <f t="shared" si="142"/>
        <v>4.6865754656234992</v>
      </c>
      <c r="FJ178" s="138" t="str">
        <f t="shared" si="161"/>
        <v/>
      </c>
      <c r="FK178" s="138" t="str">
        <f t="shared" si="162"/>
        <v>**</v>
      </c>
    </row>
    <row r="179" spans="1:167" ht="12.75" hidden="1" customHeight="1" x14ac:dyDescent="0.2">
      <c r="A179">
        <v>133</v>
      </c>
      <c r="B179" t="s">
        <v>430</v>
      </c>
      <c r="D179" t="s">
        <v>271</v>
      </c>
      <c r="E179">
        <v>-202</v>
      </c>
      <c r="F179" t="str">
        <f>VLOOKUP(E179,CompDbase!B:L,4,FALSE)</f>
        <v>Propylbenzene</v>
      </c>
      <c r="G179" s="95" t="str">
        <f>VLOOKUP(E179,CompDbase!B:M,12,FALSE)</f>
        <v>MAK</v>
      </c>
      <c r="H179" s="95">
        <f>VLOOKUP(E179,CompDbase!B:L,8,FALSE)</f>
        <v>120.19</v>
      </c>
      <c r="I179" s="95" t="e">
        <f>VLOOKUP(E179,CompDbase!B:L,11,FALSE)</f>
        <v>#DIV/0!</v>
      </c>
      <c r="J179" s="95">
        <f>VLOOKUP(E179,CompDbase!B:L,9,FALSE)</f>
        <v>54.006333333333338</v>
      </c>
      <c r="K179" s="95">
        <f>VLOOKUP(E179,CompDbase!B:L,10,FALSE)</f>
        <v>3.71</v>
      </c>
      <c r="L179" s="4" t="s">
        <v>769</v>
      </c>
      <c r="N179" s="416">
        <v>940000</v>
      </c>
      <c r="O179" s="4" t="s">
        <v>1044</v>
      </c>
      <c r="P179">
        <v>293</v>
      </c>
      <c r="Q179" s="4" t="s">
        <v>1049</v>
      </c>
      <c r="R179" s="289" t="s">
        <v>1988</v>
      </c>
      <c r="T179" s="95">
        <v>1</v>
      </c>
      <c r="V179" s="33">
        <v>9.6000000000000002E-2</v>
      </c>
      <c r="W179" s="95">
        <f t="shared" si="143"/>
        <v>1670.9151395823944</v>
      </c>
      <c r="X179" s="288">
        <f t="shared" si="144"/>
        <v>3.2229543940304706</v>
      </c>
      <c r="Z179" s="190"/>
      <c r="AC179" t="s">
        <v>68</v>
      </c>
      <c r="AG179" s="138">
        <f t="shared" si="145"/>
        <v>3.2229543940304706</v>
      </c>
      <c r="AH179">
        <f t="shared" si="146"/>
        <v>3.71</v>
      </c>
      <c r="AI179">
        <f t="shared" si="146"/>
        <v>3.71</v>
      </c>
      <c r="AL179">
        <f t="shared" si="147"/>
        <v>3.71</v>
      </c>
      <c r="AO179">
        <f t="shared" si="148"/>
        <v>3.71</v>
      </c>
      <c r="BW179" s="138"/>
      <c r="BX179">
        <f t="shared" si="149"/>
        <v>1.7324446926087966</v>
      </c>
      <c r="BY179">
        <f t="shared" si="149"/>
        <v>1.7324446926087966</v>
      </c>
      <c r="CB179">
        <f t="shared" si="150"/>
        <v>1.7324446926087966</v>
      </c>
      <c r="CE179">
        <f t="shared" si="151"/>
        <v>1.7324446926087966</v>
      </c>
      <c r="DG179" s="138"/>
      <c r="EY179" s="479">
        <f>VLOOKUP(B179,Literatuur!$A:$B,2,FALSE)</f>
        <v>37</v>
      </c>
      <c r="EZ179" t="str">
        <f t="shared" si="153"/>
        <v>Propylbenzeen</v>
      </c>
      <c r="FA179" t="str">
        <f t="shared" si="154"/>
        <v>MAK</v>
      </c>
      <c r="FB179" t="str">
        <f t="shared" si="155"/>
        <v>LDPE</v>
      </c>
      <c r="FC179" t="str">
        <f t="shared" si="156"/>
        <v>Immersion</v>
      </c>
      <c r="FD179">
        <f t="shared" si="157"/>
        <v>293</v>
      </c>
      <c r="FE179" t="str">
        <f t="shared" si="158"/>
        <v>water</v>
      </c>
      <c r="FF179" t="str">
        <f t="shared" si="159"/>
        <v xml:space="preserve">saturated </v>
      </c>
      <c r="FG179" s="408">
        <f t="shared" si="152"/>
        <v>1</v>
      </c>
      <c r="FH179" s="138">
        <f t="shared" si="160"/>
        <v>3.2229543940304706</v>
      </c>
      <c r="FI179" s="106">
        <f t="shared" si="142"/>
        <v>3.3830425057840667</v>
      </c>
      <c r="FJ179" s="138" t="str">
        <f t="shared" si="161"/>
        <v/>
      </c>
      <c r="FK179" s="138" t="str">
        <f t="shared" si="162"/>
        <v>**</v>
      </c>
    </row>
    <row r="180" spans="1:167" ht="12.75" hidden="1" customHeight="1" x14ac:dyDescent="0.2">
      <c r="A180">
        <v>134</v>
      </c>
      <c r="B180" t="s">
        <v>430</v>
      </c>
      <c r="D180" t="s">
        <v>99</v>
      </c>
      <c r="E180">
        <v>219</v>
      </c>
      <c r="F180" t="str">
        <f>VLOOKUP(E180,CompDbase!B:L,4,FALSE)</f>
        <v>p-Xylene</v>
      </c>
      <c r="G180" s="95" t="str">
        <f>VLOOKUP(E180,CompDbase!B:M,12,FALSE)</f>
        <v>MAK</v>
      </c>
      <c r="H180" s="95">
        <f>VLOOKUP(E180,CompDbase!B:L,8,FALSE)</f>
        <v>106.18666499232586</v>
      </c>
      <c r="I180" s="95">
        <f>VLOOKUP(E180,CompDbase!B:L,11,FALSE)</f>
        <v>123.9</v>
      </c>
      <c r="J180" s="95">
        <f>VLOOKUP(E180,CompDbase!B:L,9,FALSE)</f>
        <v>210.93846155625408</v>
      </c>
      <c r="K180" s="95">
        <f>VLOOKUP(E180,CompDbase!B:L,10,FALSE)</f>
        <v>3.15</v>
      </c>
      <c r="L180" s="4" t="s">
        <v>769</v>
      </c>
      <c r="N180" s="416">
        <v>940000</v>
      </c>
      <c r="O180" s="4" t="s">
        <v>1044</v>
      </c>
      <c r="P180">
        <v>293</v>
      </c>
      <c r="Q180" s="4" t="s">
        <v>1049</v>
      </c>
      <c r="R180" s="289" t="s">
        <v>1988</v>
      </c>
      <c r="T180" s="95">
        <v>1</v>
      </c>
      <c r="V180" s="33">
        <v>0.124</v>
      </c>
      <c r="W180" s="95">
        <f t="shared" si="143"/>
        <v>552.57822181904567</v>
      </c>
      <c r="X180" s="288">
        <f t="shared" si="144"/>
        <v>2.7423937645287486</v>
      </c>
      <c r="Z180" s="190"/>
      <c r="AC180" t="s">
        <v>68</v>
      </c>
      <c r="AG180" s="138">
        <f t="shared" si="145"/>
        <v>2.7423937645287486</v>
      </c>
      <c r="AH180">
        <f t="shared" si="146"/>
        <v>3.15</v>
      </c>
      <c r="AI180">
        <f t="shared" si="146"/>
        <v>3.15</v>
      </c>
      <c r="AL180">
        <f t="shared" si="147"/>
        <v>3.15</v>
      </c>
      <c r="AO180">
        <f t="shared" si="148"/>
        <v>3.15</v>
      </c>
      <c r="BW180" s="138"/>
      <c r="BX180">
        <f t="shared" si="149"/>
        <v>2.3241557742331853</v>
      </c>
      <c r="BY180">
        <f t="shared" si="149"/>
        <v>2.3241557742331853</v>
      </c>
      <c r="CB180">
        <f t="shared" si="150"/>
        <v>2.3241557742331853</v>
      </c>
      <c r="CE180">
        <f t="shared" si="151"/>
        <v>2.3241557742331853</v>
      </c>
      <c r="DG180" s="138"/>
      <c r="EY180" s="479">
        <f>VLOOKUP(B180,Literatuur!$A:$B,2,FALSE)</f>
        <v>37</v>
      </c>
      <c r="EZ180" t="str">
        <f t="shared" si="153"/>
        <v>p-Xyleen</v>
      </c>
      <c r="FA180" t="str">
        <f t="shared" si="154"/>
        <v>MAK</v>
      </c>
      <c r="FB180" t="str">
        <f t="shared" si="155"/>
        <v>LDPE</v>
      </c>
      <c r="FC180" t="str">
        <f t="shared" si="156"/>
        <v>Immersion</v>
      </c>
      <c r="FD180">
        <f t="shared" si="157"/>
        <v>293</v>
      </c>
      <c r="FE180" t="str">
        <f t="shared" si="158"/>
        <v>water</v>
      </c>
      <c r="FF180" t="str">
        <f t="shared" si="159"/>
        <v xml:space="preserve">saturated </v>
      </c>
      <c r="FG180" s="408">
        <f t="shared" si="152"/>
        <v>1</v>
      </c>
      <c r="FH180" s="138">
        <f t="shared" si="160"/>
        <v>2.7423937645287486</v>
      </c>
      <c r="FI180" s="106">
        <f t="shared" si="142"/>
        <v>2.7696152305655097</v>
      </c>
      <c r="FJ180" s="138" t="str">
        <f t="shared" si="161"/>
        <v/>
      </c>
      <c r="FK180" s="138" t="str">
        <f t="shared" si="162"/>
        <v>**</v>
      </c>
    </row>
    <row r="181" spans="1:167" ht="12.75" hidden="1" customHeight="1" x14ac:dyDescent="0.2">
      <c r="A181">
        <v>135</v>
      </c>
      <c r="B181" t="s">
        <v>430</v>
      </c>
      <c r="D181" t="s">
        <v>20</v>
      </c>
      <c r="E181">
        <v>204</v>
      </c>
      <c r="F181" t="str">
        <f>VLOOKUP(E181,CompDbase!B:L,4,FALSE)</f>
        <v>Toluene</v>
      </c>
      <c r="G181" s="95" t="str">
        <f>VLOOKUP(E181,CompDbase!B:M,12,FALSE)</f>
        <v>MAK</v>
      </c>
      <c r="H181" s="95">
        <f>VLOOKUP(E181,CompDbase!B:L,8,FALSE)</f>
        <v>92.14249284505685</v>
      </c>
      <c r="I181" s="95">
        <f>VLOOKUP(E181,CompDbase!B:L,11,FALSE)</f>
        <v>106.9</v>
      </c>
      <c r="J181" s="95">
        <f>VLOOKUP(E181,CompDbase!B:L,9,FALSE)</f>
        <v>610.59105234897152</v>
      </c>
      <c r="K181" s="95">
        <f>VLOOKUP(E181,CompDbase!B:L,10,FALSE)</f>
        <v>2.73</v>
      </c>
      <c r="L181" s="4" t="s">
        <v>769</v>
      </c>
      <c r="N181" s="416">
        <v>940000</v>
      </c>
      <c r="O181" s="4" t="s">
        <v>1044</v>
      </c>
      <c r="P181">
        <v>293</v>
      </c>
      <c r="Q181" s="4" t="s">
        <v>1049</v>
      </c>
      <c r="R181" s="289" t="s">
        <v>1988</v>
      </c>
      <c r="T181" s="95">
        <v>1</v>
      </c>
      <c r="V181" s="33">
        <v>0.11600000000000001</v>
      </c>
      <c r="W181" s="95">
        <f t="shared" si="143"/>
        <v>178.58106433187675</v>
      </c>
      <c r="X181" s="288">
        <f t="shared" si="144"/>
        <v>2.2518354070040654</v>
      </c>
      <c r="Y181">
        <v>3.9351851851851855E-12</v>
      </c>
      <c r="Z181" s="95">
        <f t="shared" ref="Z181:Z188" si="163">LOG(Y181)</f>
        <v>-11.405034825436639</v>
      </c>
      <c r="AA181" s="95">
        <f t="shared" ref="AA181:AA188" si="164">W181*Y181</f>
        <v>7.0274955871340388E-10</v>
      </c>
      <c r="AB181" s="288">
        <f t="shared" ref="AB181:AB188" si="165">LOG(AA181)</f>
        <v>-9.1531994184325729</v>
      </c>
      <c r="AC181" s="95"/>
      <c r="AD181" s="95"/>
      <c r="AG181" s="138">
        <f t="shared" si="145"/>
        <v>2.2518354070040654</v>
      </c>
      <c r="AH181">
        <f t="shared" si="146"/>
        <v>2.73</v>
      </c>
      <c r="AI181">
        <f t="shared" si="146"/>
        <v>2.73</v>
      </c>
      <c r="AL181">
        <f t="shared" si="147"/>
        <v>2.73</v>
      </c>
      <c r="AO181">
        <f t="shared" si="148"/>
        <v>2.73</v>
      </c>
      <c r="BW181" s="138"/>
      <c r="BX181">
        <f t="shared" si="149"/>
        <v>2.7857504358225516</v>
      </c>
      <c r="BY181">
        <f t="shared" si="149"/>
        <v>2.7857504358225516</v>
      </c>
      <c r="CB181">
        <f t="shared" si="150"/>
        <v>2.7857504358225516</v>
      </c>
      <c r="CE181">
        <f t="shared" si="151"/>
        <v>2.7857504358225516</v>
      </c>
      <c r="DG181">
        <f t="shared" ref="DG181:DG188" si="166">Z181</f>
        <v>-11.405034825436639</v>
      </c>
      <c r="DH181">
        <f t="shared" ref="DH181:DI188" si="167">$H181</f>
        <v>92.14249284505685</v>
      </c>
      <c r="DI181">
        <f t="shared" si="167"/>
        <v>92.14249284505685</v>
      </c>
      <c r="EY181" s="479">
        <f>VLOOKUP(B181,Literatuur!$A:$B,2,FALSE)</f>
        <v>37</v>
      </c>
      <c r="EZ181" t="str">
        <f t="shared" si="153"/>
        <v>Tolueen</v>
      </c>
      <c r="FA181" t="str">
        <f t="shared" si="154"/>
        <v>MAK</v>
      </c>
      <c r="FB181" t="str">
        <f t="shared" si="155"/>
        <v>LDPE</v>
      </c>
      <c r="FC181" t="str">
        <f t="shared" si="156"/>
        <v>Immersion</v>
      </c>
      <c r="FD181">
        <f t="shared" si="157"/>
        <v>293</v>
      </c>
      <c r="FE181" t="str">
        <f t="shared" si="158"/>
        <v>water</v>
      </c>
      <c r="FF181" t="str">
        <f t="shared" si="159"/>
        <v xml:space="preserve">saturated </v>
      </c>
      <c r="FG181" s="408">
        <f t="shared" si="152"/>
        <v>1</v>
      </c>
      <c r="FH181" s="138">
        <f t="shared" si="160"/>
        <v>2.2518354070040654</v>
      </c>
      <c r="FI181" s="106">
        <f t="shared" si="142"/>
        <v>2.3095447741515924</v>
      </c>
      <c r="FJ181" s="138">
        <f t="shared" si="161"/>
        <v>-11.405034825436639</v>
      </c>
      <c r="FK181" s="138" t="str">
        <f t="shared" si="162"/>
        <v>**</v>
      </c>
    </row>
    <row r="182" spans="1:167" ht="12.75" hidden="1" customHeight="1" x14ac:dyDescent="0.2">
      <c r="A182">
        <v>136</v>
      </c>
      <c r="B182" s="4" t="s">
        <v>430</v>
      </c>
      <c r="C182" s="4"/>
      <c r="D182" t="s">
        <v>20</v>
      </c>
      <c r="E182">
        <v>204</v>
      </c>
      <c r="F182" t="str">
        <f>VLOOKUP(E182,CompDbase!B:L,4,FALSE)</f>
        <v>Toluene</v>
      </c>
      <c r="G182" s="95" t="str">
        <f>VLOOKUP(E182,CompDbase!B:M,12,FALSE)</f>
        <v>MAK</v>
      </c>
      <c r="H182" s="95">
        <f>VLOOKUP(E182,CompDbase!B:L,8,FALSE)</f>
        <v>92.14249284505685</v>
      </c>
      <c r="I182" s="95">
        <f>VLOOKUP(E182,CompDbase!B:L,11,FALSE)</f>
        <v>106.9</v>
      </c>
      <c r="J182" s="95">
        <f>VLOOKUP(E182,CompDbase!B:L,9,FALSE)</f>
        <v>610.59105234897152</v>
      </c>
      <c r="K182" s="95">
        <f>VLOOKUP(E182,CompDbase!B:L,10,FALSE)</f>
        <v>2.73</v>
      </c>
      <c r="L182" s="4" t="s">
        <v>769</v>
      </c>
      <c r="M182" s="423"/>
      <c r="N182" s="423"/>
      <c r="O182" s="4" t="s">
        <v>1082</v>
      </c>
      <c r="P182">
        <v>293</v>
      </c>
      <c r="Q182" s="4" t="s">
        <v>1049</v>
      </c>
      <c r="R182" s="289" t="s">
        <v>1982</v>
      </c>
      <c r="S182" s="41">
        <v>2.8999999999999998E-3</v>
      </c>
      <c r="T182" s="95">
        <f t="shared" ref="T182:T188" si="168">S182/J182</f>
        <v>4.749496391805232E-6</v>
      </c>
      <c r="W182">
        <v>39.1</v>
      </c>
      <c r="X182" s="288">
        <f t="shared" si="144"/>
        <v>1.5921767573958667</v>
      </c>
      <c r="Y182">
        <v>4.0509259259259265E-13</v>
      </c>
      <c r="Z182" s="95">
        <f t="shared" si="163"/>
        <v>-12.392445698128618</v>
      </c>
      <c r="AA182" s="95">
        <f t="shared" si="164"/>
        <v>1.5839120370370374E-11</v>
      </c>
      <c r="AB182" s="288">
        <f t="shared" si="165"/>
        <v>-10.800268940732751</v>
      </c>
      <c r="AC182" s="95">
        <v>1</v>
      </c>
      <c r="AD182" s="95">
        <v>1</v>
      </c>
      <c r="AG182" s="138">
        <f t="shared" si="145"/>
        <v>1.5921767573958667</v>
      </c>
      <c r="AH182">
        <f t="shared" si="146"/>
        <v>2.73</v>
      </c>
      <c r="BW182" s="138"/>
      <c r="BX182">
        <f t="shared" ref="BX182:BX188" si="169">LOG(1*$J182)</f>
        <v>2.7857504358225516</v>
      </c>
      <c r="DG182">
        <f t="shared" si="166"/>
        <v>-12.392445698128618</v>
      </c>
      <c r="DH182">
        <f t="shared" si="167"/>
        <v>92.14249284505685</v>
      </c>
      <c r="EY182" s="479">
        <f>VLOOKUP(B182,Literatuur!$A:$B,2,FALSE)</f>
        <v>37</v>
      </c>
      <c r="EZ182" t="str">
        <f t="shared" si="153"/>
        <v>Tolueen</v>
      </c>
      <c r="FA182" t="str">
        <f t="shared" si="154"/>
        <v>MAK</v>
      </c>
      <c r="FB182" t="str">
        <f t="shared" si="155"/>
        <v>LDPE</v>
      </c>
      <c r="FC182" t="str">
        <f t="shared" si="156"/>
        <v>Permeation</v>
      </c>
      <c r="FD182">
        <f t="shared" si="157"/>
        <v>293</v>
      </c>
      <c r="FE182" t="str">
        <f t="shared" si="158"/>
        <v>water</v>
      </c>
      <c r="FF182" t="str">
        <f t="shared" si="159"/>
        <v>measured 0.0029</v>
      </c>
      <c r="FG182" s="408">
        <f t="shared" si="152"/>
        <v>4.749496391805232E-6</v>
      </c>
      <c r="FH182" s="138">
        <f t="shared" si="160"/>
        <v>1.5921767573958667</v>
      </c>
      <c r="FI182" s="106" t="str">
        <f t="shared" si="142"/>
        <v>**</v>
      </c>
      <c r="FJ182" s="138">
        <f t="shared" si="161"/>
        <v>-12.392445698128618</v>
      </c>
      <c r="FK182" s="138" t="str">
        <f t="shared" si="162"/>
        <v>**</v>
      </c>
    </row>
    <row r="183" spans="1:167" ht="12.75" hidden="1" customHeight="1" x14ac:dyDescent="0.2">
      <c r="A183">
        <v>137</v>
      </c>
      <c r="B183" s="4" t="s">
        <v>430</v>
      </c>
      <c r="C183" s="4"/>
      <c r="D183" t="s">
        <v>20</v>
      </c>
      <c r="E183">
        <v>204</v>
      </c>
      <c r="F183" t="str">
        <f>VLOOKUP(E183,CompDbase!B:L,4,FALSE)</f>
        <v>Toluene</v>
      </c>
      <c r="G183" s="95" t="str">
        <f>VLOOKUP(E183,CompDbase!B:M,12,FALSE)</f>
        <v>MAK</v>
      </c>
      <c r="H183" s="95">
        <f>VLOOKUP(E183,CompDbase!B:L,8,FALSE)</f>
        <v>92.14249284505685</v>
      </c>
      <c r="I183" s="95">
        <f>VLOOKUP(E183,CompDbase!B:L,11,FALSE)</f>
        <v>106.9</v>
      </c>
      <c r="J183" s="95">
        <f>VLOOKUP(E183,CompDbase!B:L,9,FALSE)</f>
        <v>610.59105234897152</v>
      </c>
      <c r="K183" s="95">
        <f>VLOOKUP(E183,CompDbase!B:L,10,FALSE)</f>
        <v>2.73</v>
      </c>
      <c r="L183" s="4" t="s">
        <v>769</v>
      </c>
      <c r="M183" s="423"/>
      <c r="N183" s="423"/>
      <c r="O183" s="4" t="s">
        <v>1082</v>
      </c>
      <c r="P183">
        <v>293</v>
      </c>
      <c r="Q183" s="4" t="s">
        <v>1049</v>
      </c>
      <c r="R183" s="289" t="s">
        <v>1982</v>
      </c>
      <c r="S183" s="41">
        <v>8.6999999999999994E-3</v>
      </c>
      <c r="T183" s="95">
        <f t="shared" si="168"/>
        <v>1.4248489175415696E-5</v>
      </c>
      <c r="W183">
        <v>22.2</v>
      </c>
      <c r="X183" s="288">
        <f t="shared" si="144"/>
        <v>1.3463529744506386</v>
      </c>
      <c r="Y183">
        <v>5.2083333333333335E-13</v>
      </c>
      <c r="Z183" s="95">
        <f t="shared" si="163"/>
        <v>-12.28330122870355</v>
      </c>
      <c r="AA183" s="95">
        <f t="shared" si="164"/>
        <v>1.15625E-11</v>
      </c>
      <c r="AB183" s="288">
        <f t="shared" si="165"/>
        <v>-10.936948254252911</v>
      </c>
      <c r="AC183" s="95">
        <v>1</v>
      </c>
      <c r="AD183" s="95">
        <v>1</v>
      </c>
      <c r="AG183" s="138">
        <f t="shared" si="145"/>
        <v>1.3463529744506386</v>
      </c>
      <c r="AH183">
        <f t="shared" si="146"/>
        <v>2.73</v>
      </c>
      <c r="BW183" s="138"/>
      <c r="BX183">
        <f t="shared" si="169"/>
        <v>2.7857504358225516</v>
      </c>
      <c r="DG183">
        <f t="shared" si="166"/>
        <v>-12.28330122870355</v>
      </c>
      <c r="DH183">
        <f t="shared" si="167"/>
        <v>92.14249284505685</v>
      </c>
      <c r="EY183" s="479">
        <f>VLOOKUP(B183,Literatuur!$A:$B,2,FALSE)</f>
        <v>37</v>
      </c>
      <c r="EZ183" t="str">
        <f t="shared" si="153"/>
        <v>Tolueen</v>
      </c>
      <c r="FA183" t="str">
        <f t="shared" si="154"/>
        <v>MAK</v>
      </c>
      <c r="FB183" t="str">
        <f t="shared" si="155"/>
        <v>LDPE</v>
      </c>
      <c r="FC183" t="str">
        <f t="shared" si="156"/>
        <v>Permeation</v>
      </c>
      <c r="FD183">
        <f t="shared" si="157"/>
        <v>293</v>
      </c>
      <c r="FE183" t="str">
        <f t="shared" si="158"/>
        <v>water</v>
      </c>
      <c r="FF183" t="str">
        <f t="shared" si="159"/>
        <v>measured 0.0087</v>
      </c>
      <c r="FG183" s="408">
        <f t="shared" si="152"/>
        <v>1.4248489175415696E-5</v>
      </c>
      <c r="FH183" s="138">
        <f t="shared" si="160"/>
        <v>1.3463529744506386</v>
      </c>
      <c r="FI183" s="106" t="str">
        <f t="shared" si="142"/>
        <v>**</v>
      </c>
      <c r="FJ183" s="138">
        <f t="shared" si="161"/>
        <v>-12.28330122870355</v>
      </c>
      <c r="FK183" s="138" t="str">
        <f t="shared" si="162"/>
        <v>**</v>
      </c>
    </row>
    <row r="184" spans="1:167" ht="12.75" hidden="1" customHeight="1" x14ac:dyDescent="0.2">
      <c r="A184">
        <v>138</v>
      </c>
      <c r="B184" s="4" t="s">
        <v>430</v>
      </c>
      <c r="C184" s="4"/>
      <c r="D184" t="s">
        <v>20</v>
      </c>
      <c r="E184">
        <v>204</v>
      </c>
      <c r="F184" t="str">
        <f>VLOOKUP(E184,CompDbase!B:L,4,FALSE)</f>
        <v>Toluene</v>
      </c>
      <c r="G184" s="95" t="str">
        <f>VLOOKUP(E184,CompDbase!B:M,12,FALSE)</f>
        <v>MAK</v>
      </c>
      <c r="H184" s="95">
        <f>VLOOKUP(E184,CompDbase!B:L,8,FALSE)</f>
        <v>92.14249284505685</v>
      </c>
      <c r="I184" s="95">
        <f>VLOOKUP(E184,CompDbase!B:L,11,FALSE)</f>
        <v>106.9</v>
      </c>
      <c r="J184" s="95">
        <f>VLOOKUP(E184,CompDbase!B:L,9,FALSE)</f>
        <v>610.59105234897152</v>
      </c>
      <c r="K184" s="95">
        <f>VLOOKUP(E184,CompDbase!B:L,10,FALSE)</f>
        <v>2.73</v>
      </c>
      <c r="L184" s="4" t="s">
        <v>769</v>
      </c>
      <c r="M184" s="423"/>
      <c r="N184" s="423"/>
      <c r="O184" s="4" t="s">
        <v>1082</v>
      </c>
      <c r="P184">
        <v>293</v>
      </c>
      <c r="Q184" s="4" t="s">
        <v>1049</v>
      </c>
      <c r="R184" s="289" t="s">
        <v>1982</v>
      </c>
      <c r="S184" s="41">
        <v>3.1E-2</v>
      </c>
      <c r="T184" s="95">
        <f t="shared" si="168"/>
        <v>5.077047867102145E-5</v>
      </c>
      <c r="W184">
        <v>59.7</v>
      </c>
      <c r="X184" s="288">
        <f t="shared" si="144"/>
        <v>1.7759743311293692</v>
      </c>
      <c r="Y184">
        <v>3.9351851851851855E-13</v>
      </c>
      <c r="Z184" s="95">
        <f t="shared" si="163"/>
        <v>-12.405034825436639</v>
      </c>
      <c r="AA184" s="95">
        <f t="shared" si="164"/>
        <v>2.3493055555555557E-11</v>
      </c>
      <c r="AB184" s="288">
        <f t="shared" si="165"/>
        <v>-10.62906049430727</v>
      </c>
      <c r="AC184" s="95">
        <v>1</v>
      </c>
      <c r="AD184" s="95">
        <v>1</v>
      </c>
      <c r="AG184" s="138">
        <f t="shared" si="145"/>
        <v>1.7759743311293692</v>
      </c>
      <c r="AH184">
        <f t="shared" si="146"/>
        <v>2.73</v>
      </c>
      <c r="BW184" s="138"/>
      <c r="BX184">
        <f t="shared" si="169"/>
        <v>2.7857504358225516</v>
      </c>
      <c r="DG184">
        <f t="shared" si="166"/>
        <v>-12.405034825436639</v>
      </c>
      <c r="DH184">
        <f t="shared" si="167"/>
        <v>92.14249284505685</v>
      </c>
      <c r="EY184" s="479">
        <f>VLOOKUP(B184,Literatuur!$A:$B,2,FALSE)</f>
        <v>37</v>
      </c>
      <c r="EZ184" t="str">
        <f t="shared" si="153"/>
        <v>Tolueen</v>
      </c>
      <c r="FA184" t="str">
        <f t="shared" si="154"/>
        <v>MAK</v>
      </c>
      <c r="FB184" t="str">
        <f t="shared" si="155"/>
        <v>LDPE</v>
      </c>
      <c r="FC184" t="str">
        <f t="shared" si="156"/>
        <v>Permeation</v>
      </c>
      <c r="FD184">
        <f t="shared" si="157"/>
        <v>293</v>
      </c>
      <c r="FE184" t="str">
        <f t="shared" si="158"/>
        <v>water</v>
      </c>
      <c r="FF184" t="str">
        <f t="shared" si="159"/>
        <v>measured 0.031</v>
      </c>
      <c r="FG184" s="408">
        <f t="shared" si="152"/>
        <v>5.077047867102145E-5</v>
      </c>
      <c r="FH184" s="138">
        <f t="shared" si="160"/>
        <v>1.7759743311293692</v>
      </c>
      <c r="FI184" s="106" t="str">
        <f t="shared" si="142"/>
        <v>**</v>
      </c>
      <c r="FJ184" s="138">
        <f t="shared" si="161"/>
        <v>-12.405034825436639</v>
      </c>
      <c r="FK184" s="138" t="str">
        <f t="shared" si="162"/>
        <v>**</v>
      </c>
    </row>
    <row r="185" spans="1:167" ht="12.75" hidden="1" customHeight="1" x14ac:dyDescent="0.2">
      <c r="A185">
        <v>139</v>
      </c>
      <c r="B185" s="4" t="s">
        <v>430</v>
      </c>
      <c r="C185" s="4"/>
      <c r="D185" t="s">
        <v>20</v>
      </c>
      <c r="E185">
        <v>204</v>
      </c>
      <c r="F185" t="str">
        <f>VLOOKUP(E185,CompDbase!B:L,4,FALSE)</f>
        <v>Toluene</v>
      </c>
      <c r="G185" s="95" t="str">
        <f>VLOOKUP(E185,CompDbase!B:M,12,FALSE)</f>
        <v>MAK</v>
      </c>
      <c r="H185" s="95">
        <f>VLOOKUP(E185,CompDbase!B:L,8,FALSE)</f>
        <v>92.14249284505685</v>
      </c>
      <c r="I185" s="95">
        <f>VLOOKUP(E185,CompDbase!B:L,11,FALSE)</f>
        <v>106.9</v>
      </c>
      <c r="J185" s="95">
        <f>VLOOKUP(E185,CompDbase!B:L,9,FALSE)</f>
        <v>610.59105234897152</v>
      </c>
      <c r="K185" s="95">
        <f>VLOOKUP(E185,CompDbase!B:L,10,FALSE)</f>
        <v>2.73</v>
      </c>
      <c r="L185" s="4" t="s">
        <v>769</v>
      </c>
      <c r="M185" s="423"/>
      <c r="N185" s="423"/>
      <c r="O185" s="4" t="s">
        <v>1082</v>
      </c>
      <c r="P185">
        <v>293</v>
      </c>
      <c r="Q185" s="4" t="s">
        <v>1049</v>
      </c>
      <c r="R185" s="289" t="s">
        <v>1982</v>
      </c>
      <c r="S185" s="41">
        <v>4.9000000000000002E-2</v>
      </c>
      <c r="T185" s="95">
        <f t="shared" si="168"/>
        <v>8.0250111447743584E-5</v>
      </c>
      <c r="W185">
        <v>54</v>
      </c>
      <c r="X185" s="288">
        <f t="shared" si="144"/>
        <v>1.7323937598229686</v>
      </c>
      <c r="Y185">
        <v>3.9351851851851855E-13</v>
      </c>
      <c r="Z185" s="95">
        <f t="shared" si="163"/>
        <v>-12.405034825436639</v>
      </c>
      <c r="AA185" s="95">
        <f t="shared" si="164"/>
        <v>2.1250000000000001E-11</v>
      </c>
      <c r="AB185" s="288">
        <f t="shared" si="165"/>
        <v>-10.67264106561367</v>
      </c>
      <c r="AC185" s="95">
        <v>1</v>
      </c>
      <c r="AD185" s="95">
        <v>1</v>
      </c>
      <c r="AG185" s="138">
        <f t="shared" si="145"/>
        <v>1.7323937598229686</v>
      </c>
      <c r="AH185">
        <f t="shared" si="146"/>
        <v>2.73</v>
      </c>
      <c r="BW185" s="138"/>
      <c r="BX185">
        <f t="shared" si="169"/>
        <v>2.7857504358225516</v>
      </c>
      <c r="DG185">
        <f t="shared" si="166"/>
        <v>-12.405034825436639</v>
      </c>
      <c r="DH185">
        <f t="shared" si="167"/>
        <v>92.14249284505685</v>
      </c>
      <c r="EY185" s="479">
        <f>VLOOKUP(B185,Literatuur!$A:$B,2,FALSE)</f>
        <v>37</v>
      </c>
      <c r="EZ185" t="str">
        <f t="shared" si="153"/>
        <v>Tolueen</v>
      </c>
      <c r="FA185" t="str">
        <f t="shared" si="154"/>
        <v>MAK</v>
      </c>
      <c r="FB185" t="str">
        <f t="shared" si="155"/>
        <v>LDPE</v>
      </c>
      <c r="FC185" t="str">
        <f t="shared" si="156"/>
        <v>Permeation</v>
      </c>
      <c r="FD185">
        <f t="shared" si="157"/>
        <v>293</v>
      </c>
      <c r="FE185" t="str">
        <f t="shared" si="158"/>
        <v>water</v>
      </c>
      <c r="FF185" t="str">
        <f t="shared" si="159"/>
        <v>measured 0.049</v>
      </c>
      <c r="FG185" s="408">
        <f t="shared" si="152"/>
        <v>8.0250111447743584E-5</v>
      </c>
      <c r="FH185" s="138">
        <f t="shared" si="160"/>
        <v>1.7323937598229686</v>
      </c>
      <c r="FI185" s="106" t="str">
        <f t="shared" si="142"/>
        <v>**</v>
      </c>
      <c r="FJ185" s="138">
        <f t="shared" si="161"/>
        <v>-12.405034825436639</v>
      </c>
      <c r="FK185" s="138" t="str">
        <f t="shared" si="162"/>
        <v>**</v>
      </c>
    </row>
    <row r="186" spans="1:167" ht="12.75" hidden="1" customHeight="1" x14ac:dyDescent="0.2">
      <c r="A186">
        <v>140</v>
      </c>
      <c r="B186" s="4" t="s">
        <v>430</v>
      </c>
      <c r="C186" s="4"/>
      <c r="D186" t="s">
        <v>20</v>
      </c>
      <c r="E186">
        <v>204</v>
      </c>
      <c r="F186" t="str">
        <f>VLOOKUP(E186,CompDbase!B:L,4,FALSE)</f>
        <v>Toluene</v>
      </c>
      <c r="G186" s="95" t="str">
        <f>VLOOKUP(E186,CompDbase!B:M,12,FALSE)</f>
        <v>MAK</v>
      </c>
      <c r="H186" s="95">
        <f>VLOOKUP(E186,CompDbase!B:L,8,FALSE)</f>
        <v>92.14249284505685</v>
      </c>
      <c r="I186" s="95">
        <f>VLOOKUP(E186,CompDbase!B:L,11,FALSE)</f>
        <v>106.9</v>
      </c>
      <c r="J186" s="95">
        <f>VLOOKUP(E186,CompDbase!B:L,9,FALSE)</f>
        <v>610.59105234897152</v>
      </c>
      <c r="K186" s="95">
        <f>VLOOKUP(E186,CompDbase!B:L,10,FALSE)</f>
        <v>2.73</v>
      </c>
      <c r="L186" s="4" t="s">
        <v>769</v>
      </c>
      <c r="M186" s="423"/>
      <c r="N186" s="423"/>
      <c r="O186" s="4" t="s">
        <v>1082</v>
      </c>
      <c r="P186">
        <v>293</v>
      </c>
      <c r="Q186" s="4" t="s">
        <v>1049</v>
      </c>
      <c r="R186" s="289" t="s">
        <v>1982</v>
      </c>
      <c r="S186" s="41">
        <v>9.0999999999999998E-2</v>
      </c>
      <c r="T186" s="95">
        <f t="shared" si="168"/>
        <v>1.4903592126009523E-4</v>
      </c>
      <c r="W186">
        <v>39.700000000000003</v>
      </c>
      <c r="X186" s="288">
        <f t="shared" si="144"/>
        <v>1.5987905067631152</v>
      </c>
      <c r="Y186">
        <v>4.7453703703703697E-13</v>
      </c>
      <c r="Z186" s="95">
        <f t="shared" si="163"/>
        <v>-12.323729885759159</v>
      </c>
      <c r="AA186" s="95">
        <f t="shared" si="164"/>
        <v>1.883912037037037E-11</v>
      </c>
      <c r="AB186" s="288">
        <f t="shared" si="165"/>
        <v>-10.724939378996043</v>
      </c>
      <c r="AC186" s="95">
        <v>1</v>
      </c>
      <c r="AD186" s="95">
        <v>1</v>
      </c>
      <c r="AG186" s="138">
        <f t="shared" si="145"/>
        <v>1.5987905067631152</v>
      </c>
      <c r="AH186">
        <f t="shared" si="146"/>
        <v>2.73</v>
      </c>
      <c r="BW186" s="138"/>
      <c r="BX186">
        <f t="shared" si="169"/>
        <v>2.7857504358225516</v>
      </c>
      <c r="DG186">
        <f t="shared" si="166"/>
        <v>-12.323729885759159</v>
      </c>
      <c r="DH186">
        <f t="shared" si="167"/>
        <v>92.14249284505685</v>
      </c>
      <c r="EY186" s="479">
        <f>VLOOKUP(B186,Literatuur!$A:$B,2,FALSE)</f>
        <v>37</v>
      </c>
      <c r="EZ186" t="str">
        <f t="shared" si="153"/>
        <v>Tolueen</v>
      </c>
      <c r="FA186" t="str">
        <f t="shared" si="154"/>
        <v>MAK</v>
      </c>
      <c r="FB186" t="str">
        <f t="shared" si="155"/>
        <v>LDPE</v>
      </c>
      <c r="FC186" t="str">
        <f t="shared" si="156"/>
        <v>Permeation</v>
      </c>
      <c r="FD186">
        <f t="shared" si="157"/>
        <v>293</v>
      </c>
      <c r="FE186" t="str">
        <f t="shared" si="158"/>
        <v>water</v>
      </c>
      <c r="FF186" t="str">
        <f t="shared" si="159"/>
        <v>measured 0.091</v>
      </c>
      <c r="FG186" s="408">
        <f t="shared" si="152"/>
        <v>1.4903592126009523E-4</v>
      </c>
      <c r="FH186" s="138">
        <f t="shared" si="160"/>
        <v>1.5987905067631152</v>
      </c>
      <c r="FI186" s="106" t="str">
        <f t="shared" si="142"/>
        <v>**</v>
      </c>
      <c r="FJ186" s="138">
        <f t="shared" si="161"/>
        <v>-12.323729885759159</v>
      </c>
      <c r="FK186" s="138" t="str">
        <f t="shared" si="162"/>
        <v>**</v>
      </c>
    </row>
    <row r="187" spans="1:167" ht="12.75" hidden="1" customHeight="1" x14ac:dyDescent="0.2">
      <c r="A187">
        <v>141</v>
      </c>
      <c r="B187" s="4" t="s">
        <v>430</v>
      </c>
      <c r="C187" s="4"/>
      <c r="D187" t="s">
        <v>20</v>
      </c>
      <c r="E187">
        <v>204</v>
      </c>
      <c r="F187" t="str">
        <f>VLOOKUP(E187,CompDbase!B:L,4,FALSE)</f>
        <v>Toluene</v>
      </c>
      <c r="G187" s="95" t="str">
        <f>VLOOKUP(E187,CompDbase!B:M,12,FALSE)</f>
        <v>MAK</v>
      </c>
      <c r="H187" s="95">
        <f>VLOOKUP(E187,CompDbase!B:L,8,FALSE)</f>
        <v>92.14249284505685</v>
      </c>
      <c r="I187" s="95">
        <f>VLOOKUP(E187,CompDbase!B:L,11,FALSE)</f>
        <v>106.9</v>
      </c>
      <c r="J187" s="95">
        <f>VLOOKUP(E187,CompDbase!B:L,9,FALSE)</f>
        <v>610.59105234897152</v>
      </c>
      <c r="K187" s="95">
        <f>VLOOKUP(E187,CompDbase!B:L,10,FALSE)</f>
        <v>2.73</v>
      </c>
      <c r="L187" s="4" t="s">
        <v>769</v>
      </c>
      <c r="M187" s="423"/>
      <c r="N187" s="423"/>
      <c r="O187" s="4" t="s">
        <v>1082</v>
      </c>
      <c r="P187">
        <v>293</v>
      </c>
      <c r="Q187" s="4" t="s">
        <v>1049</v>
      </c>
      <c r="R187" s="289" t="s">
        <v>1982</v>
      </c>
      <c r="S187" s="41">
        <v>0.16700000000000001</v>
      </c>
      <c r="T187" s="95">
        <f t="shared" si="168"/>
        <v>2.7350548187292199E-4</v>
      </c>
      <c r="W187">
        <v>39.9</v>
      </c>
      <c r="X187" s="288">
        <f t="shared" si="144"/>
        <v>1.6009728956867482</v>
      </c>
      <c r="Y187">
        <v>7.1759259259259253E-13</v>
      </c>
      <c r="Z187" s="95">
        <f t="shared" si="163"/>
        <v>-12.14412205298064</v>
      </c>
      <c r="AA187" s="95">
        <f t="shared" si="164"/>
        <v>2.863194444444444E-11</v>
      </c>
      <c r="AB187" s="288">
        <f t="shared" si="165"/>
        <v>-10.543149157293891</v>
      </c>
      <c r="AC187" s="95">
        <v>1</v>
      </c>
      <c r="AD187" s="95">
        <v>1</v>
      </c>
      <c r="AG187" s="138">
        <f t="shared" si="145"/>
        <v>1.6009728956867482</v>
      </c>
      <c r="AH187">
        <f t="shared" si="146"/>
        <v>2.73</v>
      </c>
      <c r="BW187" s="138"/>
      <c r="BX187">
        <f t="shared" si="169"/>
        <v>2.7857504358225516</v>
      </c>
      <c r="DG187">
        <f t="shared" si="166"/>
        <v>-12.14412205298064</v>
      </c>
      <c r="DH187">
        <f t="shared" si="167"/>
        <v>92.14249284505685</v>
      </c>
      <c r="EY187" s="479">
        <f>VLOOKUP(B187,Literatuur!$A:$B,2,FALSE)</f>
        <v>37</v>
      </c>
      <c r="EZ187" t="str">
        <f t="shared" si="153"/>
        <v>Tolueen</v>
      </c>
      <c r="FA187" t="str">
        <f t="shared" si="154"/>
        <v>MAK</v>
      </c>
      <c r="FB187" t="str">
        <f t="shared" si="155"/>
        <v>LDPE</v>
      </c>
      <c r="FC187" t="str">
        <f t="shared" si="156"/>
        <v>Permeation</v>
      </c>
      <c r="FD187">
        <f t="shared" si="157"/>
        <v>293</v>
      </c>
      <c r="FE187" t="str">
        <f t="shared" si="158"/>
        <v>water</v>
      </c>
      <c r="FF187" t="str">
        <f t="shared" si="159"/>
        <v>measured 0.167</v>
      </c>
      <c r="FG187" s="408">
        <f t="shared" si="152"/>
        <v>2.7350548187292199E-4</v>
      </c>
      <c r="FH187" s="138">
        <f t="shared" si="160"/>
        <v>1.6009728956867482</v>
      </c>
      <c r="FI187" s="106" t="str">
        <f t="shared" si="142"/>
        <v>**</v>
      </c>
      <c r="FJ187" s="138">
        <f t="shared" si="161"/>
        <v>-12.14412205298064</v>
      </c>
      <c r="FK187" s="138" t="str">
        <f t="shared" si="162"/>
        <v>**</v>
      </c>
    </row>
    <row r="188" spans="1:167" ht="12.75" hidden="1" customHeight="1" x14ac:dyDescent="0.2">
      <c r="A188">
        <v>142</v>
      </c>
      <c r="B188" s="4" t="s">
        <v>430</v>
      </c>
      <c r="C188" s="4"/>
      <c r="D188" t="s">
        <v>20</v>
      </c>
      <c r="E188">
        <v>204</v>
      </c>
      <c r="F188" t="str">
        <f>VLOOKUP(E188,CompDbase!B:L,4,FALSE)</f>
        <v>Toluene</v>
      </c>
      <c r="G188" s="95" t="str">
        <f>VLOOKUP(E188,CompDbase!B:M,12,FALSE)</f>
        <v>MAK</v>
      </c>
      <c r="H188" s="95">
        <f>VLOOKUP(E188,CompDbase!B:L,8,FALSE)</f>
        <v>92.14249284505685</v>
      </c>
      <c r="I188" s="95">
        <f>VLOOKUP(E188,CompDbase!B:L,11,FALSE)</f>
        <v>106.9</v>
      </c>
      <c r="J188" s="95">
        <f>VLOOKUP(E188,CompDbase!B:L,9,FALSE)</f>
        <v>610.59105234897152</v>
      </c>
      <c r="K188" s="95">
        <f>VLOOKUP(E188,CompDbase!B:L,10,FALSE)</f>
        <v>2.73</v>
      </c>
      <c r="L188" s="4" t="s">
        <v>769</v>
      </c>
      <c r="M188" s="423"/>
      <c r="N188" s="423"/>
      <c r="O188" s="4" t="s">
        <v>1082</v>
      </c>
      <c r="P188">
        <v>293</v>
      </c>
      <c r="Q188" s="4" t="s">
        <v>1049</v>
      </c>
      <c r="R188" s="289" t="s">
        <v>1982</v>
      </c>
      <c r="S188" s="41">
        <v>0.313</v>
      </c>
      <c r="T188" s="95">
        <f t="shared" si="168"/>
        <v>5.1261805883966822E-4</v>
      </c>
      <c r="W188">
        <v>54</v>
      </c>
      <c r="X188" s="288">
        <f t="shared" si="144"/>
        <v>1.7323937598229686</v>
      </c>
      <c r="Y188">
        <v>9.0277777777777766E-13</v>
      </c>
      <c r="Z188" s="95">
        <f t="shared" si="163"/>
        <v>-12.044419139788413</v>
      </c>
      <c r="AA188" s="95">
        <f t="shared" si="164"/>
        <v>4.8749999999999993E-11</v>
      </c>
      <c r="AB188" s="288">
        <f t="shared" si="165"/>
        <v>-10.312025379965444</v>
      </c>
      <c r="AC188" s="95" t="s">
        <v>68</v>
      </c>
      <c r="AD188" s="95"/>
      <c r="AG188" s="138">
        <f t="shared" si="145"/>
        <v>1.7323937598229686</v>
      </c>
      <c r="AH188">
        <f t="shared" si="146"/>
        <v>2.73</v>
      </c>
      <c r="AK188">
        <f t="shared" ref="AK188" si="170">$K188</f>
        <v>2.73</v>
      </c>
      <c r="BW188" s="138"/>
      <c r="BX188">
        <f t="shared" si="169"/>
        <v>2.7857504358225516</v>
      </c>
      <c r="CA188">
        <f>LOG(1*$J188)</f>
        <v>2.7857504358225516</v>
      </c>
      <c r="DG188">
        <f t="shared" si="166"/>
        <v>-12.044419139788413</v>
      </c>
      <c r="DH188">
        <f t="shared" si="167"/>
        <v>92.14249284505685</v>
      </c>
      <c r="DK188">
        <f t="shared" ref="DK188" si="171">$H188</f>
        <v>92.14249284505685</v>
      </c>
      <c r="DM188">
        <f t="shared" ref="DM188" si="172">$H188</f>
        <v>92.14249284505685</v>
      </c>
      <c r="DP188">
        <f>$DM$19*DM188+$DM$21</f>
        <v>-11.72349750614883</v>
      </c>
      <c r="DQ188">
        <f>DG188-DP188</f>
        <v>-0.3209216336395837</v>
      </c>
      <c r="DR188">
        <f>DQ188^2</f>
        <v>0.10299069493789918</v>
      </c>
      <c r="EY188" s="479">
        <f>VLOOKUP(B188,Literatuur!$A:$B,2,FALSE)</f>
        <v>37</v>
      </c>
      <c r="EZ188" t="str">
        <f t="shared" si="153"/>
        <v>Tolueen</v>
      </c>
      <c r="FA188" t="str">
        <f t="shared" si="154"/>
        <v>MAK</v>
      </c>
      <c r="FB188" t="str">
        <f t="shared" si="155"/>
        <v>LDPE</v>
      </c>
      <c r="FC188" t="str">
        <f t="shared" si="156"/>
        <v>Permeation</v>
      </c>
      <c r="FD188">
        <f t="shared" si="157"/>
        <v>293</v>
      </c>
      <c r="FE188" t="str">
        <f t="shared" si="158"/>
        <v>water</v>
      </c>
      <c r="FF188" t="str">
        <f t="shared" si="159"/>
        <v>measured 0.313</v>
      </c>
      <c r="FG188" s="408">
        <f t="shared" si="152"/>
        <v>5.1261805883966822E-4</v>
      </c>
      <c r="FH188" s="138">
        <f t="shared" si="160"/>
        <v>1.7323937598229686</v>
      </c>
      <c r="FI188" s="106" t="str">
        <f t="shared" si="142"/>
        <v>**</v>
      </c>
      <c r="FJ188" s="138">
        <f t="shared" si="161"/>
        <v>-12.044419139788413</v>
      </c>
      <c r="FK188" s="138">
        <f t="shared" si="162"/>
        <v>-11.72349750614883</v>
      </c>
    </row>
    <row r="189" spans="1:167" ht="12.75" hidden="1" customHeight="1" x14ac:dyDescent="0.2">
      <c r="A189">
        <v>143</v>
      </c>
      <c r="B189" t="s">
        <v>430</v>
      </c>
      <c r="D189" t="s">
        <v>14</v>
      </c>
      <c r="E189">
        <v>-200</v>
      </c>
      <c r="F189" t="str">
        <f>VLOOKUP(E189,CompDbase!B:L,4,FALSE)</f>
        <v>Xylene</v>
      </c>
      <c r="G189" s="95" t="str">
        <f>VLOOKUP(E189,CompDbase!B:M,12,FALSE)</f>
        <v>MAK</v>
      </c>
      <c r="H189" s="95">
        <f>VLOOKUP(E189,CompDbase!B:L,8,FALSE)</f>
        <v>120.20888801685282</v>
      </c>
      <c r="I189" s="95" t="e">
        <f>VLOOKUP(E189,CompDbase!B:L,11,FALSE)</f>
        <v>#DIV/0!</v>
      </c>
      <c r="J189" s="95" t="e">
        <f>VLOOKUP(E189,CompDbase!B:L,9,FALSE)</f>
        <v>#DIV/0!</v>
      </c>
      <c r="K189" s="95">
        <f>VLOOKUP(E189,CompDbase!B:L,10,FALSE)</f>
        <v>3.74</v>
      </c>
      <c r="L189" s="4" t="s">
        <v>769</v>
      </c>
      <c r="N189" s="416">
        <v>940000</v>
      </c>
      <c r="O189" s="4" t="s">
        <v>1044</v>
      </c>
      <c r="P189">
        <v>293</v>
      </c>
      <c r="Q189" s="4" t="s">
        <v>1049</v>
      </c>
      <c r="R189" s="289" t="s">
        <v>1988</v>
      </c>
      <c r="T189" s="95">
        <v>1</v>
      </c>
      <c r="V189" s="50" t="e">
        <f>AVERAGE(V182:V184)</f>
        <v>#DIV/0!</v>
      </c>
      <c r="W189" s="95" t="e">
        <f>V189*N189/J189</f>
        <v>#DIV/0!</v>
      </c>
      <c r="X189" s="288" t="e">
        <f t="shared" si="144"/>
        <v>#DIV/0!</v>
      </c>
      <c r="Z189" s="190"/>
      <c r="AC189" t="s">
        <v>68</v>
      </c>
      <c r="AG189" s="138"/>
      <c r="BW189" s="138"/>
      <c r="DG189" s="138"/>
      <c r="EY189" s="479">
        <f>VLOOKUP(B189,Literatuur!$A:$B,2,FALSE)</f>
        <v>37</v>
      </c>
      <c r="EZ189" t="str">
        <f t="shared" si="153"/>
        <v>Xyleen</v>
      </c>
      <c r="FA189" t="str">
        <f t="shared" si="154"/>
        <v>MAK</v>
      </c>
      <c r="FB189" t="str">
        <f t="shared" si="155"/>
        <v>LDPE</v>
      </c>
      <c r="FC189" t="str">
        <f t="shared" si="156"/>
        <v>Immersion</v>
      </c>
      <c r="FD189">
        <f t="shared" si="157"/>
        <v>293</v>
      </c>
      <c r="FE189" t="str">
        <f t="shared" si="158"/>
        <v>water</v>
      </c>
      <c r="FF189" t="str">
        <f t="shared" si="159"/>
        <v xml:space="preserve">saturated </v>
      </c>
      <c r="FG189" s="408">
        <f t="shared" si="152"/>
        <v>1</v>
      </c>
      <c r="FH189" s="138" t="str">
        <f t="shared" si="160"/>
        <v/>
      </c>
      <c r="FI189" s="106" t="str">
        <f t="shared" si="142"/>
        <v>**</v>
      </c>
      <c r="FJ189" s="138" t="str">
        <f t="shared" si="161"/>
        <v/>
      </c>
      <c r="FK189" s="138" t="str">
        <f t="shared" si="162"/>
        <v>**</v>
      </c>
    </row>
    <row r="190" spans="1:167" ht="12.75" hidden="1" customHeight="1" x14ac:dyDescent="0.2">
      <c r="A190">
        <v>144</v>
      </c>
      <c r="B190" s="4" t="s">
        <v>1226</v>
      </c>
      <c r="C190" s="4"/>
      <c r="D190" s="4" t="s">
        <v>336</v>
      </c>
      <c r="E190">
        <v>-1411</v>
      </c>
      <c r="F190" t="str">
        <f>VLOOKUP(E190,CompDbase!B:L,4,FALSE)</f>
        <v>1-Hexanol</v>
      </c>
      <c r="G190" s="95" t="str">
        <f>VLOOKUP(E190,CompDbase!B:M,12,FALSE)</f>
        <v>O2</v>
      </c>
      <c r="H190" s="95">
        <f>VLOOKUP(E190,CompDbase!B:L,8,FALSE)</f>
        <v>102.18</v>
      </c>
      <c r="I190" s="95" t="e">
        <f>VLOOKUP(E190,CompDbase!B:L,11,FALSE)</f>
        <v>#DIV/0!</v>
      </c>
      <c r="J190" s="95">
        <f>VLOOKUP(E190,CompDbase!B:L,9,FALSE)</f>
        <v>5900</v>
      </c>
      <c r="K190" s="95">
        <f>VLOOKUP(E190,CompDbase!B:L,10,FALSE)</f>
        <v>2.0299999999999998</v>
      </c>
      <c r="L190" s="4" t="s">
        <v>769</v>
      </c>
      <c r="M190" s="420"/>
      <c r="N190" s="420"/>
      <c r="O190" s="4"/>
      <c r="P190">
        <v>298</v>
      </c>
      <c r="Q190" s="4" t="s">
        <v>1049</v>
      </c>
      <c r="S190" s="4"/>
      <c r="Y190">
        <v>1.4400000000000001E-12</v>
      </c>
      <c r="Z190" s="95">
        <f t="shared" ref="Z190:Z224" si="173">LOG(Y190)</f>
        <v>-11.84163750790475</v>
      </c>
      <c r="AC190" t="s">
        <v>68</v>
      </c>
      <c r="DG190">
        <f t="shared" ref="DG190:DG224" si="174">Z190</f>
        <v>-11.84163750790475</v>
      </c>
      <c r="DH190">
        <f t="shared" ref="DH190:DH224" si="175">$H190</f>
        <v>102.18</v>
      </c>
      <c r="EY190" s="479">
        <f>VLOOKUP(B190,Literatuur!$A:$B,2,FALSE)</f>
        <v>12</v>
      </c>
      <c r="EZ190" t="str">
        <f t="shared" si="153"/>
        <v>1-Hexanol</v>
      </c>
      <c r="FA190" t="str">
        <f t="shared" si="154"/>
        <v>O2</v>
      </c>
      <c r="FB190" t="str">
        <f t="shared" si="155"/>
        <v>LDPE</v>
      </c>
      <c r="FC190" t="str">
        <f t="shared" si="156"/>
        <v/>
      </c>
      <c r="FD190">
        <f t="shared" si="157"/>
        <v>298</v>
      </c>
      <c r="FE190" t="str">
        <f t="shared" si="158"/>
        <v>water</v>
      </c>
      <c r="FF190" t="str">
        <f t="shared" si="159"/>
        <v xml:space="preserve"> </v>
      </c>
      <c r="FG190" s="408" t="str">
        <f t="shared" si="152"/>
        <v/>
      </c>
      <c r="FH190" s="138" t="str">
        <f t="shared" si="160"/>
        <v/>
      </c>
      <c r="FI190" s="106" t="str">
        <f t="shared" si="142"/>
        <v>**</v>
      </c>
      <c r="FJ190" s="138">
        <f t="shared" si="161"/>
        <v>-11.84163750790475</v>
      </c>
      <c r="FK190" s="138" t="str">
        <f t="shared" si="162"/>
        <v>**</v>
      </c>
    </row>
    <row r="191" spans="1:167" ht="12.75" hidden="1" customHeight="1" x14ac:dyDescent="0.2">
      <c r="A191">
        <v>145</v>
      </c>
      <c r="B191" s="4" t="s">
        <v>1226</v>
      </c>
      <c r="C191" s="4"/>
      <c r="D191" s="4" t="s">
        <v>465</v>
      </c>
      <c r="E191">
        <v>-1519</v>
      </c>
      <c r="F191" t="str">
        <f>VLOOKUP(E191,CompDbase!B:L,4,FALSE)</f>
        <v>1-Pentanol</v>
      </c>
      <c r="G191" s="95" t="str">
        <f>VLOOKUP(E191,CompDbase!B:M,12,FALSE)</f>
        <v>O2</v>
      </c>
      <c r="H191" s="95">
        <f>VLOOKUP(E191,CompDbase!B:L,8,FALSE)</f>
        <v>88.15</v>
      </c>
      <c r="I191" s="95" t="e">
        <f>VLOOKUP(E191,CompDbase!B:L,11,FALSE)</f>
        <v>#DIV/0!</v>
      </c>
      <c r="J191" s="95">
        <f>VLOOKUP(E191,CompDbase!B:L,9,FALSE)</f>
        <v>22000</v>
      </c>
      <c r="K191" s="95">
        <f>VLOOKUP(E191,CompDbase!B:L,10,FALSE)</f>
        <v>1.51</v>
      </c>
      <c r="L191" s="4" t="s">
        <v>769</v>
      </c>
      <c r="M191" s="420"/>
      <c r="N191" s="420"/>
      <c r="O191" s="4"/>
      <c r="P191">
        <v>298</v>
      </c>
      <c r="Q191" s="4" t="s">
        <v>1049</v>
      </c>
      <c r="S191" s="4"/>
      <c r="Y191">
        <v>6.3500000000000012E-13</v>
      </c>
      <c r="Z191" s="95">
        <f t="shared" si="173"/>
        <v>-12.197226274708024</v>
      </c>
      <c r="AC191" t="s">
        <v>68</v>
      </c>
      <c r="AG191" s="138"/>
      <c r="BW191" s="138"/>
      <c r="DG191">
        <f t="shared" si="174"/>
        <v>-12.197226274708024</v>
      </c>
      <c r="DH191">
        <f t="shared" si="175"/>
        <v>88.15</v>
      </c>
      <c r="EY191" s="479">
        <f>VLOOKUP(B191,Literatuur!$A:$B,2,FALSE)</f>
        <v>12</v>
      </c>
      <c r="EZ191" t="str">
        <f t="shared" si="153"/>
        <v>1-Pentanol</v>
      </c>
      <c r="FA191" t="str">
        <f t="shared" si="154"/>
        <v>O2</v>
      </c>
      <c r="FB191" t="str">
        <f t="shared" si="155"/>
        <v>LDPE</v>
      </c>
      <c r="FC191" t="str">
        <f t="shared" si="156"/>
        <v/>
      </c>
      <c r="FD191">
        <f t="shared" si="157"/>
        <v>298</v>
      </c>
      <c r="FE191" t="str">
        <f t="shared" si="158"/>
        <v>water</v>
      </c>
      <c r="FF191" t="str">
        <f t="shared" si="159"/>
        <v xml:space="preserve"> </v>
      </c>
      <c r="FG191" s="408" t="str">
        <f t="shared" si="152"/>
        <v/>
      </c>
      <c r="FH191" s="138" t="str">
        <f t="shared" si="160"/>
        <v/>
      </c>
      <c r="FI191" s="106" t="str">
        <f t="shared" si="142"/>
        <v>**</v>
      </c>
      <c r="FJ191" s="138">
        <f t="shared" si="161"/>
        <v>-12.197226274708024</v>
      </c>
      <c r="FK191" s="138" t="str">
        <f t="shared" si="162"/>
        <v>**</v>
      </c>
    </row>
    <row r="192" spans="1:167" ht="12.75" hidden="1" customHeight="1" x14ac:dyDescent="0.2">
      <c r="A192">
        <v>146</v>
      </c>
      <c r="B192" s="4" t="s">
        <v>1226</v>
      </c>
      <c r="C192" s="4"/>
      <c r="D192" s="4" t="s">
        <v>476</v>
      </c>
      <c r="E192">
        <v>-1525</v>
      </c>
      <c r="F192" t="str">
        <f>VLOOKUP(E192,CompDbase!B:L,4,FALSE)</f>
        <v>2-Hexanol</v>
      </c>
      <c r="G192" s="95" t="str">
        <f>VLOOKUP(E192,CompDbase!B:M,12,FALSE)</f>
        <v>O2</v>
      </c>
      <c r="H192" s="95">
        <f>VLOOKUP(E192,CompDbase!B:L,8,FALSE)</f>
        <v>102.18</v>
      </c>
      <c r="I192" s="95" t="e">
        <f>VLOOKUP(E192,CompDbase!B:L,11,FALSE)</f>
        <v>#DIV/0!</v>
      </c>
      <c r="J192" s="95">
        <f>VLOOKUP(E192,CompDbase!B:L,9,FALSE)</f>
        <v>14350</v>
      </c>
      <c r="K192" s="95">
        <f>VLOOKUP(E192,CompDbase!B:L,10,FALSE)</f>
        <v>1.76</v>
      </c>
      <c r="L192" s="4" t="s">
        <v>769</v>
      </c>
      <c r="M192" s="420"/>
      <c r="N192" s="420"/>
      <c r="O192" s="4"/>
      <c r="P192">
        <v>298</v>
      </c>
      <c r="Q192" s="4" t="s">
        <v>1049</v>
      </c>
      <c r="S192" s="4"/>
      <c r="Y192">
        <v>4.0500000000000009E-13</v>
      </c>
      <c r="Z192" s="95">
        <f t="shared" si="173"/>
        <v>-12.392544976785331</v>
      </c>
      <c r="AC192" t="s">
        <v>68</v>
      </c>
      <c r="AG192" s="138"/>
      <c r="BW192" s="138"/>
      <c r="DG192">
        <f t="shared" si="174"/>
        <v>-12.392544976785331</v>
      </c>
      <c r="DH192">
        <f t="shared" si="175"/>
        <v>102.18</v>
      </c>
      <c r="EY192" s="479">
        <f>VLOOKUP(B192,Literatuur!$A:$B,2,FALSE)</f>
        <v>12</v>
      </c>
      <c r="EZ192" t="str">
        <f t="shared" si="153"/>
        <v>2-Hexanol</v>
      </c>
      <c r="FA192" t="str">
        <f t="shared" si="154"/>
        <v>O2</v>
      </c>
      <c r="FB192" t="str">
        <f t="shared" si="155"/>
        <v>LDPE</v>
      </c>
      <c r="FC192" t="str">
        <f t="shared" si="156"/>
        <v/>
      </c>
      <c r="FD192">
        <f t="shared" si="157"/>
        <v>298</v>
      </c>
      <c r="FE192" t="str">
        <f t="shared" si="158"/>
        <v>water</v>
      </c>
      <c r="FF192" t="str">
        <f t="shared" si="159"/>
        <v xml:space="preserve"> </v>
      </c>
      <c r="FG192" s="408" t="str">
        <f t="shared" si="152"/>
        <v/>
      </c>
      <c r="FH192" s="138" t="str">
        <f t="shared" si="160"/>
        <v/>
      </c>
      <c r="FI192" s="106" t="str">
        <f t="shared" si="142"/>
        <v>**</v>
      </c>
      <c r="FJ192" s="138">
        <f t="shared" si="161"/>
        <v>-12.392544976785331</v>
      </c>
      <c r="FK192" s="138" t="str">
        <f t="shared" si="162"/>
        <v>**</v>
      </c>
    </row>
    <row r="193" spans="1:167" ht="12.75" hidden="1" customHeight="1" x14ac:dyDescent="0.2">
      <c r="A193">
        <v>147</v>
      </c>
      <c r="B193" s="4" t="s">
        <v>1226</v>
      </c>
      <c r="C193" s="4"/>
      <c r="D193" s="4" t="s">
        <v>467</v>
      </c>
      <c r="E193">
        <v>-1520</v>
      </c>
      <c r="F193" t="str">
        <f>VLOOKUP(E193,CompDbase!B:L,4,FALSE)</f>
        <v>2-Pentanol</v>
      </c>
      <c r="G193" s="95" t="str">
        <f>VLOOKUP(E193,CompDbase!B:M,12,FALSE)</f>
        <v>O2</v>
      </c>
      <c r="H193" s="95">
        <f>VLOOKUP(E193,CompDbase!B:L,8,FALSE)</f>
        <v>88.15</v>
      </c>
      <c r="I193" s="95" t="e">
        <f>VLOOKUP(E193,CompDbase!B:L,11,FALSE)</f>
        <v>#DIV/0!</v>
      </c>
      <c r="J193" s="95">
        <f>VLOOKUP(E193,CompDbase!B:L,9,FALSE)</f>
        <v>166000</v>
      </c>
      <c r="K193" s="95">
        <f>VLOOKUP(E193,CompDbase!B:L,10,FALSE)</f>
        <v>1.25</v>
      </c>
      <c r="L193" s="4" t="s">
        <v>769</v>
      </c>
      <c r="M193" s="420"/>
      <c r="N193" s="420"/>
      <c r="O193" s="4"/>
      <c r="P193">
        <v>298</v>
      </c>
      <c r="Q193" s="4" t="s">
        <v>1049</v>
      </c>
      <c r="S193" s="4"/>
      <c r="Y193">
        <v>9.6900000000000001E-13</v>
      </c>
      <c r="Z193" s="95">
        <f t="shared" si="173"/>
        <v>-12.013676222949234</v>
      </c>
      <c r="AC193" t="s">
        <v>68</v>
      </c>
      <c r="AG193" s="138"/>
      <c r="BW193" s="138"/>
      <c r="DG193">
        <f t="shared" si="174"/>
        <v>-12.013676222949234</v>
      </c>
      <c r="DH193">
        <f t="shared" si="175"/>
        <v>88.15</v>
      </c>
      <c r="EY193" s="479">
        <f>VLOOKUP(B193,Literatuur!$A:$B,2,FALSE)</f>
        <v>12</v>
      </c>
      <c r="EZ193" t="str">
        <f t="shared" si="153"/>
        <v>2-Pentanol</v>
      </c>
      <c r="FA193" t="str">
        <f t="shared" si="154"/>
        <v>O2</v>
      </c>
      <c r="FB193" t="str">
        <f t="shared" si="155"/>
        <v>LDPE</v>
      </c>
      <c r="FC193" t="str">
        <f t="shared" si="156"/>
        <v/>
      </c>
      <c r="FD193">
        <f t="shared" si="157"/>
        <v>298</v>
      </c>
      <c r="FE193" t="str">
        <f t="shared" si="158"/>
        <v>water</v>
      </c>
      <c r="FF193" t="str">
        <f t="shared" si="159"/>
        <v xml:space="preserve"> </v>
      </c>
      <c r="FG193" s="408" t="str">
        <f t="shared" si="152"/>
        <v/>
      </c>
      <c r="FH193" s="138" t="str">
        <f t="shared" si="160"/>
        <v/>
      </c>
      <c r="FI193" s="106" t="str">
        <f t="shared" si="142"/>
        <v>**</v>
      </c>
      <c r="FJ193" s="138">
        <f t="shared" si="161"/>
        <v>-12.013676222949234</v>
      </c>
      <c r="FK193" s="138" t="str">
        <f t="shared" si="162"/>
        <v>**</v>
      </c>
    </row>
    <row r="194" spans="1:167" ht="12.75" hidden="1" customHeight="1" x14ac:dyDescent="0.2">
      <c r="A194">
        <v>148</v>
      </c>
      <c r="B194" s="4" t="s">
        <v>1226</v>
      </c>
      <c r="C194" s="4"/>
      <c r="D194" s="4" t="s">
        <v>448</v>
      </c>
      <c r="E194">
        <v>-1507</v>
      </c>
      <c r="F194" t="str">
        <f>VLOOKUP(E194,CompDbase!B:L,4,FALSE)</f>
        <v>Acetone</v>
      </c>
      <c r="G194" s="95" t="str">
        <f>VLOOKUP(E194,CompDbase!B:M,12,FALSE)</f>
        <v>O2</v>
      </c>
      <c r="H194" s="95">
        <f>VLOOKUP(E194,CompDbase!B:L,8,FALSE)</f>
        <v>58.08</v>
      </c>
      <c r="I194" s="95">
        <f>VLOOKUP(E194,CompDbase!B:L,11,FALSE)</f>
        <v>74</v>
      </c>
      <c r="J194" s="95">
        <f>VLOOKUP(E194,CompDbase!B:L,9,FALSE)</f>
        <v>790000</v>
      </c>
      <c r="K194" s="95">
        <f>VLOOKUP(E194,CompDbase!B:L,10,FALSE)</f>
        <v>-0.24</v>
      </c>
      <c r="L194" s="4" t="s">
        <v>769</v>
      </c>
      <c r="M194" s="420"/>
      <c r="N194" s="420"/>
      <c r="O194" s="4"/>
      <c r="P194">
        <v>298</v>
      </c>
      <c r="Q194" s="4" t="s">
        <v>1049</v>
      </c>
      <c r="S194" s="4"/>
      <c r="Y194">
        <v>7.0000000000000005E-13</v>
      </c>
      <c r="Z194" s="95">
        <f t="shared" si="173"/>
        <v>-12.154901959985743</v>
      </c>
      <c r="AC194" t="s">
        <v>68</v>
      </c>
      <c r="DG194">
        <f t="shared" si="174"/>
        <v>-12.154901959985743</v>
      </c>
      <c r="DH194">
        <f t="shared" si="175"/>
        <v>58.08</v>
      </c>
      <c r="EY194" s="479">
        <f>VLOOKUP(B194,Literatuur!$A:$B,2,FALSE)</f>
        <v>12</v>
      </c>
      <c r="EZ194" t="str">
        <f t="shared" si="153"/>
        <v>Acetone</v>
      </c>
      <c r="FA194" t="str">
        <f t="shared" si="154"/>
        <v>O2</v>
      </c>
      <c r="FB194" t="str">
        <f t="shared" si="155"/>
        <v>LDPE</v>
      </c>
      <c r="FC194" t="str">
        <f t="shared" si="156"/>
        <v/>
      </c>
      <c r="FD194">
        <f t="shared" si="157"/>
        <v>298</v>
      </c>
      <c r="FE194" t="str">
        <f t="shared" si="158"/>
        <v>water</v>
      </c>
      <c r="FF194" t="str">
        <f t="shared" si="159"/>
        <v xml:space="preserve"> </v>
      </c>
      <c r="FG194" s="408" t="str">
        <f t="shared" si="152"/>
        <v/>
      </c>
      <c r="FH194" s="138" t="str">
        <f t="shared" si="160"/>
        <v/>
      </c>
      <c r="FI194" s="106" t="str">
        <f t="shared" si="142"/>
        <v>**</v>
      </c>
      <c r="FJ194" s="138">
        <f t="shared" si="161"/>
        <v>-12.154901959985743</v>
      </c>
      <c r="FK194" s="138" t="str">
        <f t="shared" si="162"/>
        <v>**</v>
      </c>
    </row>
    <row r="195" spans="1:167" ht="12.75" hidden="1" customHeight="1" x14ac:dyDescent="0.2">
      <c r="A195">
        <v>149</v>
      </c>
      <c r="B195" s="4" t="s">
        <v>1226</v>
      </c>
      <c r="C195" s="4"/>
      <c r="D195" s="4" t="s">
        <v>851</v>
      </c>
      <c r="E195">
        <v>-1512</v>
      </c>
      <c r="F195" t="str">
        <f>VLOOKUP(E195,CompDbase!B:L,4,FALSE)</f>
        <v xml:space="preserve">Butylalcohol </v>
      </c>
      <c r="G195" s="95" t="str">
        <f>VLOOKUP(E195,CompDbase!B:M,12,FALSE)</f>
        <v>O2</v>
      </c>
      <c r="H195" s="95">
        <f>VLOOKUP(E195,CompDbase!B:L,8,FALSE)</f>
        <v>74.12</v>
      </c>
      <c r="I195" s="95" t="e">
        <f>VLOOKUP(E195,CompDbase!B:L,11,FALSE)</f>
        <v>#DIV/0!</v>
      </c>
      <c r="J195" s="95">
        <f>VLOOKUP(E195,CompDbase!B:L,9,FALSE)</f>
        <v>77000</v>
      </c>
      <c r="K195" s="95">
        <f>VLOOKUP(E195,CompDbase!B:L,10,FALSE)</f>
        <v>0.84</v>
      </c>
      <c r="L195" s="4" t="s">
        <v>769</v>
      </c>
      <c r="M195" s="420"/>
      <c r="N195" s="420"/>
      <c r="O195" s="4"/>
      <c r="P195">
        <v>298</v>
      </c>
      <c r="Q195" s="4" t="s">
        <v>1049</v>
      </c>
      <c r="S195" s="4"/>
      <c r="Y195">
        <v>2.8000000000000004E-14</v>
      </c>
      <c r="Z195" s="95">
        <f t="shared" si="173"/>
        <v>-13.552841968657781</v>
      </c>
      <c r="AG195" s="138"/>
      <c r="BW195" s="138"/>
      <c r="DG195">
        <f t="shared" si="174"/>
        <v>-13.552841968657781</v>
      </c>
      <c r="DH195">
        <f t="shared" si="175"/>
        <v>74.12</v>
      </c>
      <c r="EY195" s="479">
        <f>VLOOKUP(B195,Literatuur!$A:$B,2,FALSE)</f>
        <v>12</v>
      </c>
      <c r="EZ195" t="str">
        <f t="shared" si="153"/>
        <v>Butanol</v>
      </c>
      <c r="FA195" t="str">
        <f t="shared" si="154"/>
        <v>O2</v>
      </c>
      <c r="FB195" t="str">
        <f t="shared" si="155"/>
        <v>LDPE</v>
      </c>
      <c r="FC195" t="str">
        <f t="shared" si="156"/>
        <v/>
      </c>
      <c r="FD195">
        <f t="shared" si="157"/>
        <v>298</v>
      </c>
      <c r="FE195" t="str">
        <f t="shared" si="158"/>
        <v>water</v>
      </c>
      <c r="FF195" t="str">
        <f t="shared" si="159"/>
        <v xml:space="preserve"> </v>
      </c>
      <c r="FG195" s="408" t="str">
        <f t="shared" si="152"/>
        <v/>
      </c>
      <c r="FH195" s="138" t="str">
        <f t="shared" si="160"/>
        <v/>
      </c>
      <c r="FI195" s="106" t="str">
        <f t="shared" si="142"/>
        <v>**</v>
      </c>
      <c r="FJ195" s="138">
        <f t="shared" si="161"/>
        <v>-13.552841968657781</v>
      </c>
      <c r="FK195" s="138" t="str">
        <f t="shared" si="162"/>
        <v>**</v>
      </c>
    </row>
    <row r="196" spans="1:167" ht="12.75" hidden="1" customHeight="1" x14ac:dyDescent="0.2">
      <c r="A196">
        <v>150</v>
      </c>
      <c r="B196" s="4" t="s">
        <v>1226</v>
      </c>
      <c r="C196" s="4"/>
      <c r="D196" s="4" t="s">
        <v>452</v>
      </c>
      <c r="E196">
        <v>-1512</v>
      </c>
      <c r="F196" t="str">
        <f>VLOOKUP(E196,CompDbase!B:L,4,FALSE)</f>
        <v xml:space="preserve">Butylalcohol </v>
      </c>
      <c r="G196" s="95" t="str">
        <f>VLOOKUP(E196,CompDbase!B:M,12,FALSE)</f>
        <v>O2</v>
      </c>
      <c r="H196" s="95">
        <f>VLOOKUP(E196,CompDbase!B:L,8,FALSE)</f>
        <v>74.12</v>
      </c>
      <c r="I196" s="95" t="e">
        <f>VLOOKUP(E196,CompDbase!B:L,11,FALSE)</f>
        <v>#DIV/0!</v>
      </c>
      <c r="J196" s="95">
        <f>VLOOKUP(E196,CompDbase!B:L,9,FALSE)</f>
        <v>77000</v>
      </c>
      <c r="K196" s="95">
        <f>VLOOKUP(E196,CompDbase!B:L,10,FALSE)</f>
        <v>0.84</v>
      </c>
      <c r="L196" s="4" t="s">
        <v>769</v>
      </c>
      <c r="M196" s="420"/>
      <c r="N196" s="420"/>
      <c r="O196" s="4"/>
      <c r="P196">
        <v>298</v>
      </c>
      <c r="Q196" s="4" t="s">
        <v>1049</v>
      </c>
      <c r="S196" s="4"/>
      <c r="Y196">
        <v>1.08E-12</v>
      </c>
      <c r="Z196" s="95">
        <f t="shared" si="173"/>
        <v>-11.96657624451305</v>
      </c>
      <c r="AG196" s="138"/>
      <c r="BW196" s="138"/>
      <c r="DG196">
        <f t="shared" si="174"/>
        <v>-11.96657624451305</v>
      </c>
      <c r="DH196">
        <f t="shared" si="175"/>
        <v>74.12</v>
      </c>
      <c r="EY196" s="479">
        <f>VLOOKUP(B196,Literatuur!$A:$B,2,FALSE)</f>
        <v>12</v>
      </c>
      <c r="EZ196" t="str">
        <f t="shared" si="153"/>
        <v>Butylalcohol</v>
      </c>
      <c r="FA196" t="str">
        <f t="shared" si="154"/>
        <v>O2</v>
      </c>
      <c r="FB196" t="str">
        <f t="shared" si="155"/>
        <v>LDPE</v>
      </c>
      <c r="FC196" t="str">
        <f t="shared" si="156"/>
        <v/>
      </c>
      <c r="FD196">
        <f t="shared" si="157"/>
        <v>298</v>
      </c>
      <c r="FE196" t="str">
        <f t="shared" si="158"/>
        <v>water</v>
      </c>
      <c r="FF196" t="str">
        <f t="shared" si="159"/>
        <v xml:space="preserve"> </v>
      </c>
      <c r="FG196" s="408" t="str">
        <f t="shared" si="152"/>
        <v/>
      </c>
      <c r="FH196" s="138" t="str">
        <f t="shared" si="160"/>
        <v/>
      </c>
      <c r="FI196" s="106" t="str">
        <f t="shared" si="142"/>
        <v>**</v>
      </c>
      <c r="FJ196" s="138">
        <f t="shared" si="161"/>
        <v>-11.96657624451305</v>
      </c>
      <c r="FK196" s="138" t="str">
        <f t="shared" si="162"/>
        <v>**</v>
      </c>
    </row>
    <row r="197" spans="1:167" ht="12.75" hidden="1" customHeight="1" x14ac:dyDescent="0.2">
      <c r="A197">
        <v>151</v>
      </c>
      <c r="B197" s="4" t="s">
        <v>1226</v>
      </c>
      <c r="C197" s="4"/>
      <c r="D197" s="4" t="s">
        <v>452</v>
      </c>
      <c r="E197">
        <v>-1512</v>
      </c>
      <c r="F197" t="str">
        <f>VLOOKUP(E197,CompDbase!B:L,4,FALSE)</f>
        <v xml:space="preserve">Butylalcohol </v>
      </c>
      <c r="G197" s="95" t="str">
        <f>VLOOKUP(E197,CompDbase!B:M,12,FALSE)</f>
        <v>O2</v>
      </c>
      <c r="H197" s="95">
        <f>VLOOKUP(E197,CompDbase!B:L,8,FALSE)</f>
        <v>74.12</v>
      </c>
      <c r="I197" s="95" t="e">
        <f>VLOOKUP(E197,CompDbase!B:L,11,FALSE)</f>
        <v>#DIV/0!</v>
      </c>
      <c r="J197" s="95">
        <f>VLOOKUP(E197,CompDbase!B:L,9,FALSE)</f>
        <v>77000</v>
      </c>
      <c r="K197" s="95">
        <f>VLOOKUP(E197,CompDbase!B:L,10,FALSE)</f>
        <v>0.84</v>
      </c>
      <c r="L197" s="4" t="s">
        <v>769</v>
      </c>
      <c r="M197" s="420"/>
      <c r="N197" s="420"/>
      <c r="O197" s="4"/>
      <c r="P197">
        <v>298</v>
      </c>
      <c r="Q197" s="4" t="s">
        <v>1049</v>
      </c>
      <c r="S197" s="4"/>
      <c r="Y197">
        <v>9.000000000000002E-13</v>
      </c>
      <c r="Z197" s="95">
        <f t="shared" si="173"/>
        <v>-12.045757490560675</v>
      </c>
      <c r="AG197" s="138"/>
      <c r="BW197" s="138"/>
      <c r="DG197">
        <f t="shared" si="174"/>
        <v>-12.045757490560675</v>
      </c>
      <c r="DH197">
        <f t="shared" si="175"/>
        <v>74.12</v>
      </c>
      <c r="EY197" s="479">
        <f>VLOOKUP(B197,Literatuur!$A:$B,2,FALSE)</f>
        <v>12</v>
      </c>
      <c r="EZ197" t="str">
        <f t="shared" si="153"/>
        <v>Butylalcohol</v>
      </c>
      <c r="FA197" t="str">
        <f t="shared" si="154"/>
        <v>O2</v>
      </c>
      <c r="FB197" t="str">
        <f t="shared" si="155"/>
        <v>LDPE</v>
      </c>
      <c r="FC197" t="str">
        <f t="shared" si="156"/>
        <v/>
      </c>
      <c r="FD197">
        <f t="shared" si="157"/>
        <v>298</v>
      </c>
      <c r="FE197" t="str">
        <f t="shared" si="158"/>
        <v>water</v>
      </c>
      <c r="FF197" t="str">
        <f t="shared" si="159"/>
        <v xml:space="preserve"> </v>
      </c>
      <c r="FG197" s="408" t="str">
        <f t="shared" si="152"/>
        <v/>
      </c>
      <c r="FH197" s="138" t="str">
        <f t="shared" si="160"/>
        <v/>
      </c>
      <c r="FI197" s="106" t="str">
        <f t="shared" si="142"/>
        <v>**</v>
      </c>
      <c r="FJ197" s="138">
        <f t="shared" si="161"/>
        <v>-12.045757490560675</v>
      </c>
      <c r="FK197" s="138" t="str">
        <f t="shared" si="162"/>
        <v>**</v>
      </c>
    </row>
    <row r="198" spans="1:167" ht="12.75" hidden="1" customHeight="1" x14ac:dyDescent="0.2">
      <c r="A198">
        <v>152</v>
      </c>
      <c r="B198" s="4" t="s">
        <v>1226</v>
      </c>
      <c r="C198" s="4"/>
      <c r="D198" s="4" t="s">
        <v>868</v>
      </c>
      <c r="E198">
        <v>-1521</v>
      </c>
      <c r="F198" t="str">
        <f>VLOOKUP(E198,CompDbase!B:L,4,FALSE)</f>
        <v>cis-Hex-3-en-1-ol</v>
      </c>
      <c r="G198" s="95" t="str">
        <f>VLOOKUP(E198,CompDbase!B:M,12,FALSE)</f>
        <v>O2</v>
      </c>
      <c r="H198" s="95">
        <f>VLOOKUP(E198,CompDbase!B:L,8,FALSE)</f>
        <v>100.16</v>
      </c>
      <c r="I198" s="95" t="e">
        <f>VLOOKUP(E198,CompDbase!B:L,11,FALSE)</f>
        <v>#DIV/0!</v>
      </c>
      <c r="J198" s="95">
        <f>VLOOKUP(E198,CompDbase!B:L,9,FALSE)</f>
        <v>19300</v>
      </c>
      <c r="K198" s="95">
        <f>VLOOKUP(E198,CompDbase!B:L,10,FALSE)</f>
        <v>1.61</v>
      </c>
      <c r="L198" s="4" t="s">
        <v>769</v>
      </c>
      <c r="M198" s="420"/>
      <c r="N198" s="420"/>
      <c r="O198" s="4"/>
      <c r="P198">
        <v>296</v>
      </c>
      <c r="Q198" s="4" t="s">
        <v>1049</v>
      </c>
      <c r="S198" s="4"/>
      <c r="Y198">
        <v>1.4000000000000001E-12</v>
      </c>
      <c r="Z198" s="95">
        <f t="shared" si="173"/>
        <v>-11.853871964321762</v>
      </c>
      <c r="DG198">
        <f t="shared" si="174"/>
        <v>-11.853871964321762</v>
      </c>
      <c r="DH198">
        <f t="shared" si="175"/>
        <v>100.16</v>
      </c>
      <c r="EY198" s="479">
        <f>VLOOKUP(B198,Literatuur!$A:$B,2,FALSE)</f>
        <v>12</v>
      </c>
      <c r="EZ198" t="str">
        <f t="shared" si="153"/>
        <v>cis-3-Hexen-1-ol</v>
      </c>
      <c r="FA198" t="str">
        <f t="shared" si="154"/>
        <v>O2</v>
      </c>
      <c r="FB198" t="str">
        <f t="shared" si="155"/>
        <v>LDPE</v>
      </c>
      <c r="FC198" t="str">
        <f t="shared" si="156"/>
        <v/>
      </c>
      <c r="FD198">
        <f t="shared" si="157"/>
        <v>296</v>
      </c>
      <c r="FE198" t="str">
        <f t="shared" si="158"/>
        <v>water</v>
      </c>
      <c r="FF198" t="str">
        <f t="shared" si="159"/>
        <v xml:space="preserve"> </v>
      </c>
      <c r="FG198" s="408" t="str">
        <f t="shared" si="152"/>
        <v/>
      </c>
      <c r="FH198" s="138" t="str">
        <f t="shared" si="160"/>
        <v/>
      </c>
      <c r="FI198" s="106" t="str">
        <f t="shared" si="142"/>
        <v>**</v>
      </c>
      <c r="FJ198" s="138">
        <f t="shared" si="161"/>
        <v>-11.853871964321762</v>
      </c>
      <c r="FK198" s="138" t="str">
        <f t="shared" si="162"/>
        <v>**</v>
      </c>
    </row>
    <row r="199" spans="1:167" ht="12.75" hidden="1" customHeight="1" x14ac:dyDescent="0.2">
      <c r="A199">
        <v>153</v>
      </c>
      <c r="B199" s="4" t="s">
        <v>1226</v>
      </c>
      <c r="C199" s="4"/>
      <c r="D199" s="4" t="s">
        <v>863</v>
      </c>
      <c r="E199">
        <v>11143</v>
      </c>
      <c r="F199" t="str">
        <f>VLOOKUP(E199,CompDbase!B:L,4,FALSE)</f>
        <v>Ethylacetaat</v>
      </c>
      <c r="G199" s="95" t="str">
        <f>VLOOKUP(E199,CompDbase!B:M,12,FALSE)</f>
        <v>O2</v>
      </c>
      <c r="H199" s="95">
        <f>VLOOKUP(E199,CompDbase!B:L,8,FALSE)</f>
        <v>88.100000000000009</v>
      </c>
      <c r="I199" s="95" t="e">
        <f>VLOOKUP(E199,CompDbase!B:L,11,FALSE)</f>
        <v>#DIV/0!</v>
      </c>
      <c r="J199" s="95">
        <f>VLOOKUP(E199,CompDbase!B:L,9,FALSE)</f>
        <v>62100</v>
      </c>
      <c r="K199" s="95">
        <f>VLOOKUP(E199,CompDbase!B:L,10,FALSE)</f>
        <v>0.73</v>
      </c>
      <c r="L199" s="4" t="s">
        <v>769</v>
      </c>
      <c r="M199" s="420"/>
      <c r="N199" s="420"/>
      <c r="O199" s="4"/>
      <c r="P199">
        <v>298</v>
      </c>
      <c r="Q199" s="4" t="s">
        <v>1049</v>
      </c>
      <c r="S199" s="4"/>
      <c r="Y199">
        <v>5.3000000000000004E-12</v>
      </c>
      <c r="Z199" s="95">
        <f t="shared" si="173"/>
        <v>-11.275724130399212</v>
      </c>
      <c r="DG199">
        <f t="shared" si="174"/>
        <v>-11.275724130399212</v>
      </c>
      <c r="DH199">
        <f t="shared" si="175"/>
        <v>88.100000000000009</v>
      </c>
      <c r="EY199" s="479">
        <f>VLOOKUP(B199,Literatuur!$A:$B,2,FALSE)</f>
        <v>12</v>
      </c>
      <c r="EZ199" t="str">
        <f t="shared" si="153"/>
        <v>Ethylacetate</v>
      </c>
      <c r="FA199" t="str">
        <f t="shared" si="154"/>
        <v>O2</v>
      </c>
      <c r="FB199" t="str">
        <f t="shared" si="155"/>
        <v>LDPE</v>
      </c>
      <c r="FC199" t="str">
        <f t="shared" si="156"/>
        <v/>
      </c>
      <c r="FD199">
        <f t="shared" si="157"/>
        <v>298</v>
      </c>
      <c r="FE199" t="str">
        <f t="shared" si="158"/>
        <v>water</v>
      </c>
      <c r="FF199" t="str">
        <f t="shared" si="159"/>
        <v xml:space="preserve"> </v>
      </c>
      <c r="FG199" s="408" t="str">
        <f t="shared" si="152"/>
        <v/>
      </c>
      <c r="FH199" s="138" t="str">
        <f t="shared" si="160"/>
        <v/>
      </c>
      <c r="FI199" s="106" t="str">
        <f t="shared" si="142"/>
        <v>**</v>
      </c>
      <c r="FJ199" s="138">
        <f t="shared" si="161"/>
        <v>-11.275724130399212</v>
      </c>
      <c r="FK199" s="138" t="str">
        <f t="shared" si="162"/>
        <v>**</v>
      </c>
    </row>
    <row r="200" spans="1:167" ht="12.75" hidden="1" customHeight="1" x14ac:dyDescent="0.2">
      <c r="A200">
        <v>154</v>
      </c>
      <c r="B200" s="4" t="s">
        <v>1226</v>
      </c>
      <c r="C200" s="4"/>
      <c r="D200" s="4" t="s">
        <v>863</v>
      </c>
      <c r="E200">
        <v>11143</v>
      </c>
      <c r="F200" t="str">
        <f>VLOOKUP(E200,CompDbase!B:L,4,FALSE)</f>
        <v>Ethylacetaat</v>
      </c>
      <c r="G200" s="95" t="str">
        <f>VLOOKUP(E200,CompDbase!B:M,12,FALSE)</f>
        <v>O2</v>
      </c>
      <c r="H200" s="95">
        <f>VLOOKUP(E200,CompDbase!B:L,8,FALSE)</f>
        <v>88.100000000000009</v>
      </c>
      <c r="I200" s="95" t="e">
        <f>VLOOKUP(E200,CompDbase!B:L,11,FALSE)</f>
        <v>#DIV/0!</v>
      </c>
      <c r="J200" s="95">
        <f>VLOOKUP(E200,CompDbase!B:L,9,FALSE)</f>
        <v>62100</v>
      </c>
      <c r="K200" s="95">
        <f>VLOOKUP(E200,CompDbase!B:L,10,FALSE)</f>
        <v>0.73</v>
      </c>
      <c r="L200" s="4" t="s">
        <v>769</v>
      </c>
      <c r="M200" s="420"/>
      <c r="N200" s="420"/>
      <c r="O200" s="4"/>
      <c r="P200">
        <v>298</v>
      </c>
      <c r="Q200" s="4" t="s">
        <v>1049</v>
      </c>
      <c r="S200" s="4"/>
      <c r="Y200">
        <v>4.7000000000000006E-12</v>
      </c>
      <c r="Z200" s="95">
        <f t="shared" si="173"/>
        <v>-11.327902142064282</v>
      </c>
      <c r="DG200">
        <f t="shared" si="174"/>
        <v>-11.327902142064282</v>
      </c>
      <c r="DH200">
        <f t="shared" si="175"/>
        <v>88.100000000000009</v>
      </c>
      <c r="EY200" s="479">
        <f>VLOOKUP(B200,Literatuur!$A:$B,2,FALSE)</f>
        <v>12</v>
      </c>
      <c r="EZ200" t="str">
        <f t="shared" si="153"/>
        <v>Ethylacetate</v>
      </c>
      <c r="FA200" t="str">
        <f t="shared" si="154"/>
        <v>O2</v>
      </c>
      <c r="FB200" t="str">
        <f t="shared" si="155"/>
        <v>LDPE</v>
      </c>
      <c r="FC200" t="str">
        <f t="shared" si="156"/>
        <v/>
      </c>
      <c r="FD200">
        <f t="shared" si="157"/>
        <v>298</v>
      </c>
      <c r="FE200" t="str">
        <f t="shared" si="158"/>
        <v>water</v>
      </c>
      <c r="FF200" t="str">
        <f t="shared" si="159"/>
        <v xml:space="preserve"> </v>
      </c>
      <c r="FG200" s="408" t="str">
        <f t="shared" si="152"/>
        <v/>
      </c>
      <c r="FH200" s="138" t="str">
        <f t="shared" si="160"/>
        <v/>
      </c>
      <c r="FI200" s="106" t="str">
        <f t="shared" si="142"/>
        <v>**</v>
      </c>
      <c r="FJ200" s="138">
        <f t="shared" si="161"/>
        <v>-11.327902142064282</v>
      </c>
      <c r="FK200" s="138" t="str">
        <f t="shared" si="162"/>
        <v>**</v>
      </c>
    </row>
    <row r="201" spans="1:167" ht="12.75" hidden="1" customHeight="1" x14ac:dyDescent="0.2">
      <c r="A201">
        <v>155</v>
      </c>
      <c r="B201" s="4" t="s">
        <v>1226</v>
      </c>
      <c r="C201" s="4"/>
      <c r="D201" s="4" t="s">
        <v>869</v>
      </c>
      <c r="E201">
        <v>-1522</v>
      </c>
      <c r="F201" t="str">
        <f>VLOOKUP(E201,CompDbase!B:L,4,FALSE)</f>
        <v>Hexaldehyde</v>
      </c>
      <c r="G201" s="95" t="str">
        <f>VLOOKUP(E201,CompDbase!B:M,12,FALSE)</f>
        <v>O2</v>
      </c>
      <c r="H201" s="95">
        <f>VLOOKUP(E201,CompDbase!B:L,8,FALSE)</f>
        <v>100.16</v>
      </c>
      <c r="I201" s="95" t="e">
        <f>VLOOKUP(E201,CompDbase!B:L,11,FALSE)</f>
        <v>#DIV/0!</v>
      </c>
      <c r="J201" s="95">
        <f>VLOOKUP(E201,CompDbase!B:L,9,FALSE)</f>
        <v>6000</v>
      </c>
      <c r="K201" s="95">
        <f>VLOOKUP(E201,CompDbase!B:L,10,FALSE)</f>
        <v>1.78</v>
      </c>
      <c r="L201" s="4" t="s">
        <v>769</v>
      </c>
      <c r="M201" s="420"/>
      <c r="N201" s="420"/>
      <c r="O201" s="4"/>
      <c r="P201">
        <v>298</v>
      </c>
      <c r="Q201" s="4" t="s">
        <v>1049</v>
      </c>
      <c r="S201" s="4"/>
      <c r="Y201">
        <v>2.9999999999999998E-14</v>
      </c>
      <c r="Z201" s="95">
        <f t="shared" si="173"/>
        <v>-13.522878745280337</v>
      </c>
      <c r="AG201" s="138"/>
      <c r="BW201" s="138"/>
      <c r="DG201">
        <f t="shared" si="174"/>
        <v>-13.522878745280337</v>
      </c>
      <c r="DH201">
        <f t="shared" si="175"/>
        <v>100.16</v>
      </c>
      <c r="EY201" s="479">
        <f>VLOOKUP(B201,Literatuur!$A:$B,2,FALSE)</f>
        <v>12</v>
      </c>
      <c r="EZ201" t="str">
        <f t="shared" si="153"/>
        <v>Hexanal</v>
      </c>
      <c r="FA201" t="str">
        <f t="shared" si="154"/>
        <v>O2</v>
      </c>
      <c r="FB201" t="str">
        <f t="shared" si="155"/>
        <v>LDPE</v>
      </c>
      <c r="FC201" t="str">
        <f t="shared" si="156"/>
        <v/>
      </c>
      <c r="FD201">
        <f t="shared" si="157"/>
        <v>298</v>
      </c>
      <c r="FE201" t="str">
        <f t="shared" si="158"/>
        <v>water</v>
      </c>
      <c r="FF201" t="str">
        <f t="shared" si="159"/>
        <v xml:space="preserve"> </v>
      </c>
      <c r="FG201" s="408" t="str">
        <f t="shared" si="152"/>
        <v/>
      </c>
      <c r="FH201" s="138" t="str">
        <f t="shared" si="160"/>
        <v/>
      </c>
      <c r="FI201" s="106" t="str">
        <f t="shared" si="142"/>
        <v>**</v>
      </c>
      <c r="FJ201" s="138">
        <f t="shared" si="161"/>
        <v>-13.522878745280337</v>
      </c>
      <c r="FK201" s="138" t="str">
        <f t="shared" si="162"/>
        <v>**</v>
      </c>
    </row>
    <row r="202" spans="1:167" ht="12.75" hidden="1" customHeight="1" x14ac:dyDescent="0.2">
      <c r="A202">
        <v>156</v>
      </c>
      <c r="B202" s="4" t="s">
        <v>1226</v>
      </c>
      <c r="C202" s="4"/>
      <c r="D202" s="4" t="s">
        <v>871</v>
      </c>
      <c r="E202">
        <v>-1411</v>
      </c>
      <c r="F202" t="str">
        <f>VLOOKUP(E202,CompDbase!B:L,4,FALSE)</f>
        <v>1-Hexanol</v>
      </c>
      <c r="G202" s="95" t="str">
        <f>VLOOKUP(E202,CompDbase!B:M,12,FALSE)</f>
        <v>O2</v>
      </c>
      <c r="H202" s="95">
        <f>VLOOKUP(E202,CompDbase!B:L,8,FALSE)</f>
        <v>102.18</v>
      </c>
      <c r="I202" s="95" t="e">
        <f>VLOOKUP(E202,CompDbase!B:L,11,FALSE)</f>
        <v>#DIV/0!</v>
      </c>
      <c r="J202" s="95">
        <f>VLOOKUP(E202,CompDbase!B:L,9,FALSE)</f>
        <v>5900</v>
      </c>
      <c r="K202" s="95">
        <f>VLOOKUP(E202,CompDbase!B:L,10,FALSE)</f>
        <v>2.0299999999999998</v>
      </c>
      <c r="L202" s="4" t="s">
        <v>769</v>
      </c>
      <c r="M202" s="420"/>
      <c r="N202" s="420"/>
      <c r="O202" s="4"/>
      <c r="P202">
        <v>298</v>
      </c>
      <c r="Q202" s="4" t="s">
        <v>1049</v>
      </c>
      <c r="S202" s="4"/>
      <c r="Y202">
        <v>7.0000000000000005E-13</v>
      </c>
      <c r="Z202" s="95">
        <f t="shared" si="173"/>
        <v>-12.154901959985743</v>
      </c>
      <c r="DG202">
        <f t="shared" si="174"/>
        <v>-12.154901959985743</v>
      </c>
      <c r="DH202">
        <f t="shared" si="175"/>
        <v>102.18</v>
      </c>
      <c r="EY202" s="479">
        <f>VLOOKUP(B202,Literatuur!$A:$B,2,FALSE)</f>
        <v>12</v>
      </c>
      <c r="EZ202" t="str">
        <f t="shared" si="153"/>
        <v>Hexylalcohol</v>
      </c>
      <c r="FA202" t="str">
        <f t="shared" si="154"/>
        <v>O2</v>
      </c>
      <c r="FB202" t="str">
        <f t="shared" si="155"/>
        <v>LDPE</v>
      </c>
      <c r="FC202" t="str">
        <f t="shared" si="156"/>
        <v/>
      </c>
      <c r="FD202">
        <f t="shared" si="157"/>
        <v>298</v>
      </c>
      <c r="FE202" t="str">
        <f t="shared" si="158"/>
        <v>water</v>
      </c>
      <c r="FF202" t="str">
        <f t="shared" si="159"/>
        <v xml:space="preserve"> </v>
      </c>
      <c r="FG202" s="408" t="str">
        <f t="shared" si="152"/>
        <v/>
      </c>
      <c r="FH202" s="138" t="str">
        <f t="shared" si="160"/>
        <v/>
      </c>
      <c r="FI202" s="106" t="str">
        <f t="shared" si="142"/>
        <v>**</v>
      </c>
      <c r="FJ202" s="138">
        <f t="shared" si="161"/>
        <v>-12.154901959985743</v>
      </c>
      <c r="FK202" s="138" t="str">
        <f t="shared" si="162"/>
        <v>**</v>
      </c>
    </row>
    <row r="203" spans="1:167" ht="12.75" hidden="1" customHeight="1" x14ac:dyDescent="0.2">
      <c r="A203">
        <v>157</v>
      </c>
      <c r="B203" s="4" t="s">
        <v>1226</v>
      </c>
      <c r="C203" s="4"/>
      <c r="D203" s="4" t="s">
        <v>871</v>
      </c>
      <c r="E203">
        <v>-1411</v>
      </c>
      <c r="F203" t="str">
        <f>VLOOKUP(E203,CompDbase!B:L,4,FALSE)</f>
        <v>1-Hexanol</v>
      </c>
      <c r="G203" s="95" t="str">
        <f>VLOOKUP(E203,CompDbase!B:M,12,FALSE)</f>
        <v>O2</v>
      </c>
      <c r="H203" s="95">
        <f>VLOOKUP(E203,CompDbase!B:L,8,FALSE)</f>
        <v>102.18</v>
      </c>
      <c r="I203" s="95" t="e">
        <f>VLOOKUP(E203,CompDbase!B:L,11,FALSE)</f>
        <v>#DIV/0!</v>
      </c>
      <c r="J203" s="95">
        <f>VLOOKUP(E203,CompDbase!B:L,9,FALSE)</f>
        <v>5900</v>
      </c>
      <c r="K203" s="95">
        <f>VLOOKUP(E203,CompDbase!B:L,10,FALSE)</f>
        <v>2.0299999999999998</v>
      </c>
      <c r="L203" s="4" t="s">
        <v>769</v>
      </c>
      <c r="M203" s="420"/>
      <c r="N203" s="420"/>
      <c r="O203" s="4"/>
      <c r="P203">
        <v>298</v>
      </c>
      <c r="Q203" s="4" t="s">
        <v>1049</v>
      </c>
      <c r="S203" s="4"/>
      <c r="Y203">
        <v>6.0000000000000007E-13</v>
      </c>
      <c r="Z203" s="95">
        <f t="shared" si="173"/>
        <v>-12.221848749616356</v>
      </c>
      <c r="DG203">
        <f t="shared" si="174"/>
        <v>-12.221848749616356</v>
      </c>
      <c r="DH203">
        <f t="shared" si="175"/>
        <v>102.18</v>
      </c>
      <c r="EY203" s="479">
        <f>VLOOKUP(B203,Literatuur!$A:$B,2,FALSE)</f>
        <v>12</v>
      </c>
      <c r="EZ203" t="str">
        <f t="shared" si="153"/>
        <v>Hexylalcohol</v>
      </c>
      <c r="FA203" t="str">
        <f t="shared" si="154"/>
        <v>O2</v>
      </c>
      <c r="FB203" t="str">
        <f t="shared" si="155"/>
        <v>LDPE</v>
      </c>
      <c r="FC203" t="str">
        <f t="shared" si="156"/>
        <v/>
      </c>
      <c r="FD203">
        <f t="shared" si="157"/>
        <v>298</v>
      </c>
      <c r="FE203" t="str">
        <f t="shared" si="158"/>
        <v>water</v>
      </c>
      <c r="FF203" t="str">
        <f t="shared" si="159"/>
        <v xml:space="preserve"> </v>
      </c>
      <c r="FG203" s="408" t="str">
        <f t="shared" si="152"/>
        <v/>
      </c>
      <c r="FH203" s="138" t="str">
        <f t="shared" si="160"/>
        <v/>
      </c>
      <c r="FI203" s="106" t="str">
        <f t="shared" si="142"/>
        <v>**</v>
      </c>
      <c r="FJ203" s="138">
        <f t="shared" si="161"/>
        <v>-12.221848749616356</v>
      </c>
      <c r="FK203" s="138" t="str">
        <f t="shared" si="162"/>
        <v>**</v>
      </c>
    </row>
    <row r="204" spans="1:167" ht="12.75" hidden="1" customHeight="1" x14ac:dyDescent="0.2">
      <c r="A204">
        <v>158</v>
      </c>
      <c r="B204" s="4" t="s">
        <v>1226</v>
      </c>
      <c r="C204" s="4"/>
      <c r="D204" s="4" t="s">
        <v>435</v>
      </c>
      <c r="E204">
        <v>1107</v>
      </c>
      <c r="F204" t="str">
        <f>VLOOKUP(E204,CompDbase!B:L,4,FALSE)</f>
        <v>Methanol</v>
      </c>
      <c r="G204" s="95" t="str">
        <f>VLOOKUP(E204,CompDbase!B:M,12,FALSE)</f>
        <v>O2</v>
      </c>
      <c r="H204" s="95">
        <f>VLOOKUP(E204,CompDbase!B:L,8,FALSE)</f>
        <v>32</v>
      </c>
      <c r="I204" s="95" t="e">
        <f>VLOOKUP(E204,CompDbase!B:L,11,FALSE)</f>
        <v>#DIV/0!</v>
      </c>
      <c r="J204" s="95">
        <f>VLOOKUP(E204,CompDbase!B:L,9,FALSE)</f>
        <v>1056000</v>
      </c>
      <c r="K204" s="95">
        <f>VLOOKUP(E204,CompDbase!B:L,10,FALSE)</f>
        <v>-0.70000000000000007</v>
      </c>
      <c r="L204" s="4" t="s">
        <v>769</v>
      </c>
      <c r="M204" s="420"/>
      <c r="N204" s="420"/>
      <c r="O204" s="4"/>
      <c r="P204">
        <v>296</v>
      </c>
      <c r="Q204" s="4" t="s">
        <v>1049</v>
      </c>
      <c r="S204" s="4"/>
      <c r="Y204">
        <v>4.8000000000000005E-12</v>
      </c>
      <c r="Z204" s="95">
        <f t="shared" si="173"/>
        <v>-11.318758762624412</v>
      </c>
      <c r="DG204">
        <f t="shared" si="174"/>
        <v>-11.318758762624412</v>
      </c>
      <c r="DH204">
        <f t="shared" si="175"/>
        <v>32</v>
      </c>
      <c r="EY204" s="479">
        <f>VLOOKUP(B204,Literatuur!$A:$B,2,FALSE)</f>
        <v>12</v>
      </c>
      <c r="EZ204" t="str">
        <f t="shared" si="153"/>
        <v>Methanol</v>
      </c>
      <c r="FA204" t="str">
        <f t="shared" si="154"/>
        <v>O2</v>
      </c>
      <c r="FB204" t="str">
        <f t="shared" si="155"/>
        <v>LDPE</v>
      </c>
      <c r="FC204" t="str">
        <f t="shared" si="156"/>
        <v/>
      </c>
      <c r="FD204">
        <f t="shared" si="157"/>
        <v>296</v>
      </c>
      <c r="FE204" t="str">
        <f t="shared" si="158"/>
        <v>water</v>
      </c>
      <c r="FF204" t="str">
        <f t="shared" si="159"/>
        <v xml:space="preserve"> </v>
      </c>
      <c r="FG204" s="408" t="str">
        <f t="shared" si="152"/>
        <v/>
      </c>
      <c r="FH204" s="138" t="str">
        <f t="shared" si="160"/>
        <v/>
      </c>
      <c r="FI204" s="106" t="str">
        <f t="shared" si="142"/>
        <v>**</v>
      </c>
      <c r="FJ204" s="138">
        <f t="shared" si="161"/>
        <v>-11.318758762624412</v>
      </c>
      <c r="FK204" s="138" t="str">
        <f t="shared" si="162"/>
        <v>**</v>
      </c>
    </row>
    <row r="205" spans="1:167" ht="12.75" hidden="1" customHeight="1" x14ac:dyDescent="0.2">
      <c r="A205">
        <v>159</v>
      </c>
      <c r="B205" s="4" t="s">
        <v>1226</v>
      </c>
      <c r="C205" s="4"/>
      <c r="D205" s="4" t="s">
        <v>435</v>
      </c>
      <c r="E205">
        <v>1107</v>
      </c>
      <c r="F205" t="str">
        <f>VLOOKUP(E205,CompDbase!B:L,4,FALSE)</f>
        <v>Methanol</v>
      </c>
      <c r="G205" s="95" t="str">
        <f>VLOOKUP(E205,CompDbase!B:M,12,FALSE)</f>
        <v>O2</v>
      </c>
      <c r="H205" s="95">
        <f>VLOOKUP(E205,CompDbase!B:L,8,FALSE)</f>
        <v>32</v>
      </c>
      <c r="I205" s="95" t="e">
        <f>VLOOKUP(E205,CompDbase!B:L,11,FALSE)</f>
        <v>#DIV/0!</v>
      </c>
      <c r="J205" s="95">
        <f>VLOOKUP(E205,CompDbase!B:L,9,FALSE)</f>
        <v>1056000</v>
      </c>
      <c r="K205" s="95">
        <f>VLOOKUP(E205,CompDbase!B:L,10,FALSE)</f>
        <v>-0.70000000000000007</v>
      </c>
      <c r="L205" s="4" t="s">
        <v>769</v>
      </c>
      <c r="M205" s="420"/>
      <c r="N205" s="420"/>
      <c r="O205" s="4"/>
      <c r="P205">
        <v>296</v>
      </c>
      <c r="Q205" s="4" t="s">
        <v>1049</v>
      </c>
      <c r="S205" s="4"/>
      <c r="Y205">
        <v>1.95E-12</v>
      </c>
      <c r="Z205" s="95">
        <f t="shared" si="173"/>
        <v>-11.709965388637482</v>
      </c>
      <c r="DG205">
        <f t="shared" si="174"/>
        <v>-11.709965388637482</v>
      </c>
      <c r="DH205">
        <f t="shared" si="175"/>
        <v>32</v>
      </c>
      <c r="EY205" s="479">
        <f>VLOOKUP(B205,Literatuur!$A:$B,2,FALSE)</f>
        <v>12</v>
      </c>
      <c r="EZ205" t="str">
        <f t="shared" si="153"/>
        <v>Methanol</v>
      </c>
      <c r="FA205" t="str">
        <f t="shared" si="154"/>
        <v>O2</v>
      </c>
      <c r="FB205" t="str">
        <f t="shared" si="155"/>
        <v>LDPE</v>
      </c>
      <c r="FC205" t="str">
        <f t="shared" si="156"/>
        <v/>
      </c>
      <c r="FD205">
        <f t="shared" si="157"/>
        <v>296</v>
      </c>
      <c r="FE205" t="str">
        <f t="shared" si="158"/>
        <v>water</v>
      </c>
      <c r="FF205" t="str">
        <f t="shared" si="159"/>
        <v xml:space="preserve"> </v>
      </c>
      <c r="FG205" s="408" t="str">
        <f t="shared" si="152"/>
        <v/>
      </c>
      <c r="FH205" s="138" t="str">
        <f t="shared" si="160"/>
        <v/>
      </c>
      <c r="FI205" s="106" t="str">
        <f t="shared" si="142"/>
        <v>**</v>
      </c>
      <c r="FJ205" s="138">
        <f t="shared" si="161"/>
        <v>-11.709965388637482</v>
      </c>
      <c r="FK205" s="138" t="str">
        <f t="shared" si="162"/>
        <v>**</v>
      </c>
    </row>
    <row r="206" spans="1:167" ht="12.75" hidden="1" customHeight="1" x14ac:dyDescent="0.2">
      <c r="A206">
        <v>160</v>
      </c>
      <c r="B206" s="4" t="s">
        <v>1226</v>
      </c>
      <c r="C206" s="4"/>
      <c r="D206" s="4" t="s">
        <v>850</v>
      </c>
      <c r="E206">
        <v>-1511</v>
      </c>
      <c r="F206" t="str">
        <f>VLOOKUP(E206,CompDbase!B:L,4,FALSE)</f>
        <v>Butyraldehyde</v>
      </c>
      <c r="G206" s="95" t="str">
        <f>VLOOKUP(E206,CompDbase!B:M,12,FALSE)</f>
        <v>O2</v>
      </c>
      <c r="H206" s="95">
        <f>VLOOKUP(E206,CompDbase!B:L,8,FALSE)</f>
        <v>72.11</v>
      </c>
      <c r="I206" s="95" t="e">
        <f>VLOOKUP(E206,CompDbase!B:L,11,FALSE)</f>
        <v>#DIV/0!</v>
      </c>
      <c r="J206" s="95">
        <f>VLOOKUP(E206,CompDbase!B:L,9,FALSE)</f>
        <v>37000</v>
      </c>
      <c r="K206" s="95">
        <f>VLOOKUP(E206,CompDbase!B:L,10,FALSE)</f>
        <v>0.88</v>
      </c>
      <c r="L206" s="4" t="s">
        <v>769</v>
      </c>
      <c r="M206" s="420"/>
      <c r="N206" s="420"/>
      <c r="O206" s="4"/>
      <c r="P206">
        <v>298</v>
      </c>
      <c r="Q206" s="4" t="s">
        <v>1049</v>
      </c>
      <c r="S206" s="4"/>
      <c r="Y206">
        <v>1.18E-12</v>
      </c>
      <c r="Z206" s="95">
        <f t="shared" si="173"/>
        <v>-11.928117992693874</v>
      </c>
      <c r="AG206" s="138"/>
      <c r="BW206" s="138"/>
      <c r="DG206">
        <f t="shared" si="174"/>
        <v>-11.928117992693874</v>
      </c>
      <c r="DH206">
        <f t="shared" si="175"/>
        <v>72.11</v>
      </c>
      <c r="EY206" s="479">
        <f>VLOOKUP(B206,Literatuur!$A:$B,2,FALSE)</f>
        <v>12</v>
      </c>
      <c r="EZ206" t="str">
        <f t="shared" si="153"/>
        <v>n-Buthylaldehyde</v>
      </c>
      <c r="FA206" t="str">
        <f t="shared" si="154"/>
        <v>O2</v>
      </c>
      <c r="FB206" t="str">
        <f t="shared" si="155"/>
        <v>LDPE</v>
      </c>
      <c r="FC206" t="str">
        <f t="shared" si="156"/>
        <v/>
      </c>
      <c r="FD206">
        <f t="shared" si="157"/>
        <v>298</v>
      </c>
      <c r="FE206" t="str">
        <f t="shared" si="158"/>
        <v>water</v>
      </c>
      <c r="FF206" t="str">
        <f t="shared" si="159"/>
        <v xml:space="preserve"> </v>
      </c>
      <c r="FG206" s="408" t="str">
        <f t="shared" si="152"/>
        <v/>
      </c>
      <c r="FH206" s="138" t="str">
        <f t="shared" si="160"/>
        <v/>
      </c>
      <c r="FI206" s="106" t="str">
        <f t="shared" si="142"/>
        <v>**</v>
      </c>
      <c r="FJ206" s="138">
        <f t="shared" si="161"/>
        <v>-11.928117992693874</v>
      </c>
      <c r="FK206" s="138" t="str">
        <f t="shared" si="162"/>
        <v>**</v>
      </c>
    </row>
    <row r="207" spans="1:167" ht="12.75" hidden="1" customHeight="1" x14ac:dyDescent="0.2">
      <c r="A207">
        <v>161</v>
      </c>
      <c r="B207" s="4" t="s">
        <v>1226</v>
      </c>
      <c r="C207" s="4"/>
      <c r="D207" s="4" t="s">
        <v>850</v>
      </c>
      <c r="E207">
        <v>-1511</v>
      </c>
      <c r="F207" t="str">
        <f>VLOOKUP(E207,CompDbase!B:L,4,FALSE)</f>
        <v>Butyraldehyde</v>
      </c>
      <c r="G207" s="95" t="str">
        <f>VLOOKUP(E207,CompDbase!B:M,12,FALSE)</f>
        <v>O2</v>
      </c>
      <c r="H207" s="95">
        <f>VLOOKUP(E207,CompDbase!B:L,8,FALSE)</f>
        <v>72.11</v>
      </c>
      <c r="I207" s="95" t="e">
        <f>VLOOKUP(E207,CompDbase!B:L,11,FALSE)</f>
        <v>#DIV/0!</v>
      </c>
      <c r="J207" s="95">
        <f>VLOOKUP(E207,CompDbase!B:L,9,FALSE)</f>
        <v>37000</v>
      </c>
      <c r="K207" s="95">
        <f>VLOOKUP(E207,CompDbase!B:L,10,FALSE)</f>
        <v>0.88</v>
      </c>
      <c r="L207" s="4" t="s">
        <v>769</v>
      </c>
      <c r="M207" s="420"/>
      <c r="N207" s="420"/>
      <c r="O207" s="4"/>
      <c r="P207">
        <v>298</v>
      </c>
      <c r="Q207" s="4" t="s">
        <v>1049</v>
      </c>
      <c r="S207" s="4"/>
      <c r="Y207">
        <v>1.0500000000000002E-12</v>
      </c>
      <c r="Z207" s="95">
        <f t="shared" si="173"/>
        <v>-11.978810700930062</v>
      </c>
      <c r="DG207">
        <f t="shared" si="174"/>
        <v>-11.978810700930062</v>
      </c>
      <c r="DH207">
        <f t="shared" si="175"/>
        <v>72.11</v>
      </c>
      <c r="EY207" s="479">
        <f>VLOOKUP(B207,Literatuur!$A:$B,2,FALSE)</f>
        <v>12</v>
      </c>
      <c r="EZ207" t="str">
        <f t="shared" si="153"/>
        <v>n-Buthylaldehyde</v>
      </c>
      <c r="FA207" t="str">
        <f t="shared" si="154"/>
        <v>O2</v>
      </c>
      <c r="FB207" t="str">
        <f t="shared" si="155"/>
        <v>LDPE</v>
      </c>
      <c r="FC207" t="str">
        <f t="shared" si="156"/>
        <v/>
      </c>
      <c r="FD207">
        <f t="shared" si="157"/>
        <v>298</v>
      </c>
      <c r="FE207" t="str">
        <f t="shared" si="158"/>
        <v>water</v>
      </c>
      <c r="FF207" t="str">
        <f t="shared" si="159"/>
        <v xml:space="preserve"> </v>
      </c>
      <c r="FG207" s="408" t="str">
        <f t="shared" si="152"/>
        <v/>
      </c>
      <c r="FH207" s="138" t="str">
        <f t="shared" si="160"/>
        <v/>
      </c>
      <c r="FI207" s="106" t="str">
        <f t="shared" si="142"/>
        <v>**</v>
      </c>
      <c r="FJ207" s="138">
        <f t="shared" si="161"/>
        <v>-11.978810700930062</v>
      </c>
      <c r="FK207" s="138" t="str">
        <f t="shared" si="162"/>
        <v>**</v>
      </c>
    </row>
    <row r="208" spans="1:167" ht="12.75" hidden="1" customHeight="1" x14ac:dyDescent="0.2">
      <c r="A208">
        <v>162</v>
      </c>
      <c r="B208" s="4" t="s">
        <v>1226</v>
      </c>
      <c r="C208" s="4"/>
      <c r="D208" s="4" t="s">
        <v>867</v>
      </c>
      <c r="E208">
        <v>-1522</v>
      </c>
      <c r="F208" t="str">
        <f>VLOOKUP(E208,CompDbase!B:L,4,FALSE)</f>
        <v>Hexaldehyde</v>
      </c>
      <c r="G208" s="95" t="str">
        <f>VLOOKUP(E208,CompDbase!B:M,12,FALSE)</f>
        <v>O2</v>
      </c>
      <c r="H208" s="95">
        <f>VLOOKUP(E208,CompDbase!B:L,8,FALSE)</f>
        <v>100.16</v>
      </c>
      <c r="I208" s="95" t="e">
        <f>VLOOKUP(E208,CompDbase!B:L,11,FALSE)</f>
        <v>#DIV/0!</v>
      </c>
      <c r="J208" s="95">
        <f>VLOOKUP(E208,CompDbase!B:L,9,FALSE)</f>
        <v>6000</v>
      </c>
      <c r="K208" s="95">
        <f>VLOOKUP(E208,CompDbase!B:L,10,FALSE)</f>
        <v>1.78</v>
      </c>
      <c r="L208" s="4" t="s">
        <v>769</v>
      </c>
      <c r="M208" s="420"/>
      <c r="N208" s="420"/>
      <c r="O208" s="4"/>
      <c r="P208">
        <v>296</v>
      </c>
      <c r="Q208" s="4" t="s">
        <v>1049</v>
      </c>
      <c r="S208" s="4"/>
      <c r="Y208">
        <v>8.0000000000000013E-13</v>
      </c>
      <c r="Z208" s="95">
        <f t="shared" si="173"/>
        <v>-12.096910013008056</v>
      </c>
      <c r="DG208">
        <f t="shared" si="174"/>
        <v>-12.096910013008056</v>
      </c>
      <c r="DH208">
        <f t="shared" si="175"/>
        <v>100.16</v>
      </c>
      <c r="EY208" s="479">
        <f>VLOOKUP(B208,Literatuur!$A:$B,2,FALSE)</f>
        <v>12</v>
      </c>
      <c r="EZ208" t="str">
        <f t="shared" si="153"/>
        <v>n-Hexylaldehyde</v>
      </c>
      <c r="FA208" t="str">
        <f t="shared" si="154"/>
        <v>O2</v>
      </c>
      <c r="FB208" t="str">
        <f t="shared" si="155"/>
        <v>LDPE</v>
      </c>
      <c r="FC208" t="str">
        <f t="shared" si="156"/>
        <v/>
      </c>
      <c r="FD208">
        <f t="shared" si="157"/>
        <v>296</v>
      </c>
      <c r="FE208" t="str">
        <f t="shared" si="158"/>
        <v>water</v>
      </c>
      <c r="FF208" t="str">
        <f t="shared" si="159"/>
        <v xml:space="preserve"> </v>
      </c>
      <c r="FG208" s="408" t="str">
        <f t="shared" si="152"/>
        <v/>
      </c>
      <c r="FH208" s="138" t="str">
        <f t="shared" si="160"/>
        <v/>
      </c>
      <c r="FI208" s="106" t="str">
        <f t="shared" si="142"/>
        <v>**</v>
      </c>
      <c r="FJ208" s="138">
        <f t="shared" si="161"/>
        <v>-12.096910013008056</v>
      </c>
      <c r="FK208" s="138" t="str">
        <f t="shared" si="162"/>
        <v>**</v>
      </c>
    </row>
    <row r="209" spans="1:167" ht="12.75" hidden="1" customHeight="1" x14ac:dyDescent="0.2">
      <c r="A209">
        <v>163</v>
      </c>
      <c r="B209" s="4" t="s">
        <v>1226</v>
      </c>
      <c r="C209" s="4"/>
      <c r="D209" s="4" t="s">
        <v>867</v>
      </c>
      <c r="E209">
        <v>-1522</v>
      </c>
      <c r="F209" t="str">
        <f>VLOOKUP(E209,CompDbase!B:L,4,FALSE)</f>
        <v>Hexaldehyde</v>
      </c>
      <c r="G209" s="95" t="str">
        <f>VLOOKUP(E209,CompDbase!B:M,12,FALSE)</f>
        <v>O2</v>
      </c>
      <c r="H209" s="95">
        <f>VLOOKUP(E209,CompDbase!B:L,8,FALSE)</f>
        <v>100.16</v>
      </c>
      <c r="I209" s="95" t="e">
        <f>VLOOKUP(E209,CompDbase!B:L,11,FALSE)</f>
        <v>#DIV/0!</v>
      </c>
      <c r="J209" s="95">
        <f>VLOOKUP(E209,CompDbase!B:L,9,FALSE)</f>
        <v>6000</v>
      </c>
      <c r="K209" s="95">
        <f>VLOOKUP(E209,CompDbase!B:L,10,FALSE)</f>
        <v>1.78</v>
      </c>
      <c r="L209" s="4" t="s">
        <v>769</v>
      </c>
      <c r="M209" s="420"/>
      <c r="N209" s="420"/>
      <c r="O209" s="4"/>
      <c r="P209">
        <v>298</v>
      </c>
      <c r="Q209" s="4" t="s">
        <v>1049</v>
      </c>
      <c r="S209" s="4"/>
      <c r="Y209">
        <v>6.0000000000000007E-13</v>
      </c>
      <c r="Z209" s="95">
        <f t="shared" si="173"/>
        <v>-12.221848749616356</v>
      </c>
      <c r="AG209" s="138"/>
      <c r="BW209" s="138"/>
      <c r="DG209">
        <f t="shared" si="174"/>
        <v>-12.221848749616356</v>
      </c>
      <c r="DH209">
        <f t="shared" si="175"/>
        <v>100.16</v>
      </c>
      <c r="EY209" s="479">
        <f>VLOOKUP(B209,Literatuur!$A:$B,2,FALSE)</f>
        <v>12</v>
      </c>
      <c r="EZ209" t="str">
        <f t="shared" si="153"/>
        <v>n-Hexylaldehyde</v>
      </c>
      <c r="FA209" t="str">
        <f t="shared" si="154"/>
        <v>O2</v>
      </c>
      <c r="FB209" t="str">
        <f t="shared" si="155"/>
        <v>LDPE</v>
      </c>
      <c r="FC209" t="str">
        <f t="shared" si="156"/>
        <v/>
      </c>
      <c r="FD209">
        <f t="shared" si="157"/>
        <v>298</v>
      </c>
      <c r="FE209" t="str">
        <f t="shared" si="158"/>
        <v>water</v>
      </c>
      <c r="FF209" t="str">
        <f t="shared" si="159"/>
        <v xml:space="preserve"> </v>
      </c>
      <c r="FG209" s="408" t="str">
        <f t="shared" si="152"/>
        <v/>
      </c>
      <c r="FH209" s="138" t="str">
        <f t="shared" si="160"/>
        <v/>
      </c>
      <c r="FI209" s="106" t="str">
        <f t="shared" si="142"/>
        <v>**</v>
      </c>
      <c r="FJ209" s="138">
        <f t="shared" si="161"/>
        <v>-12.221848749616356</v>
      </c>
      <c r="FK209" s="138" t="str">
        <f t="shared" si="162"/>
        <v>**</v>
      </c>
    </row>
    <row r="210" spans="1:167" ht="12.75" hidden="1" customHeight="1" x14ac:dyDescent="0.2">
      <c r="A210">
        <v>164</v>
      </c>
      <c r="B210" s="4" t="s">
        <v>1226</v>
      </c>
      <c r="C210" s="4"/>
      <c r="D210" s="4" t="s">
        <v>456</v>
      </c>
      <c r="E210">
        <v>-1515</v>
      </c>
      <c r="F210" t="str">
        <f>VLOOKUP(E210,CompDbase!B:L,4,FALSE)</f>
        <v>Pentanal</v>
      </c>
      <c r="G210" s="95" t="str">
        <f>VLOOKUP(E210,CompDbase!B:M,12,FALSE)</f>
        <v>O2</v>
      </c>
      <c r="H210" s="95">
        <f>VLOOKUP(E210,CompDbase!B:L,8,FALSE)</f>
        <v>86.13</v>
      </c>
      <c r="I210" s="95" t="e">
        <f>VLOOKUP(E210,CompDbase!B:L,11,FALSE)</f>
        <v>#DIV/0!</v>
      </c>
      <c r="J210" s="95">
        <f>VLOOKUP(E210,CompDbase!B:L,9,FALSE)</f>
        <v>14000</v>
      </c>
      <c r="K210" s="95">
        <f>VLOOKUP(E210,CompDbase!B:L,10,FALSE)</f>
        <v>1.31</v>
      </c>
      <c r="L210" s="4" t="s">
        <v>769</v>
      </c>
      <c r="M210" s="420"/>
      <c r="N210" s="420"/>
      <c r="O210" s="4"/>
      <c r="P210">
        <v>298</v>
      </c>
      <c r="Q210" s="4" t="s">
        <v>1049</v>
      </c>
      <c r="S210" s="4"/>
      <c r="Y210">
        <v>7.0000000000000005E-14</v>
      </c>
      <c r="Z210" s="95">
        <f t="shared" si="173"/>
        <v>-13.154901959985743</v>
      </c>
      <c r="AC210" t="s">
        <v>68</v>
      </c>
      <c r="AG210" s="138"/>
      <c r="BW210" s="138"/>
      <c r="DG210">
        <f t="shared" si="174"/>
        <v>-13.154901959985743</v>
      </c>
      <c r="DH210">
        <f t="shared" si="175"/>
        <v>86.13</v>
      </c>
      <c r="EY210" s="479">
        <f>VLOOKUP(B210,Literatuur!$A:$B,2,FALSE)</f>
        <v>12</v>
      </c>
      <c r="EZ210" t="str">
        <f t="shared" si="153"/>
        <v>Pentanal</v>
      </c>
      <c r="FA210" t="str">
        <f t="shared" si="154"/>
        <v>O2</v>
      </c>
      <c r="FB210" t="str">
        <f t="shared" si="155"/>
        <v>LDPE</v>
      </c>
      <c r="FC210" t="str">
        <f t="shared" si="156"/>
        <v/>
      </c>
      <c r="FD210">
        <f t="shared" si="157"/>
        <v>298</v>
      </c>
      <c r="FE210" t="str">
        <f t="shared" si="158"/>
        <v>water</v>
      </c>
      <c r="FF210" t="str">
        <f t="shared" si="159"/>
        <v xml:space="preserve"> </v>
      </c>
      <c r="FG210" s="408" t="str">
        <f t="shared" si="152"/>
        <v/>
      </c>
      <c r="FH210" s="138" t="str">
        <f t="shared" si="160"/>
        <v/>
      </c>
      <c r="FI210" s="106" t="str">
        <f t="shared" si="142"/>
        <v>**</v>
      </c>
      <c r="FJ210" s="138">
        <f t="shared" si="161"/>
        <v>-13.154901959985743</v>
      </c>
      <c r="FK210" s="138" t="str">
        <f t="shared" si="162"/>
        <v>**</v>
      </c>
    </row>
    <row r="211" spans="1:167" ht="12.75" hidden="1" customHeight="1" x14ac:dyDescent="0.2">
      <c r="A211">
        <v>165</v>
      </c>
      <c r="B211" s="4" t="s">
        <v>1226</v>
      </c>
      <c r="C211" s="4"/>
      <c r="D211" s="4" t="s">
        <v>865</v>
      </c>
      <c r="E211">
        <v>202</v>
      </c>
      <c r="F211" t="str">
        <f>VLOOKUP(E211,CompDbase!B:L,4,FALSE)</f>
        <v>Phenol</v>
      </c>
      <c r="G211" s="95" t="str">
        <f>VLOOKUP(E211,CompDbase!B:M,12,FALSE)</f>
        <v>O2</v>
      </c>
      <c r="H211" s="95">
        <f>VLOOKUP(E211,CompDbase!B:L,8,FALSE)</f>
        <v>94.104999867169639</v>
      </c>
      <c r="I211" s="95" t="e">
        <f>VLOOKUP(E211,CompDbase!B:L,11,FALSE)</f>
        <v>#DIV/0!</v>
      </c>
      <c r="J211" s="95">
        <f>VLOOKUP(E211,CompDbase!B:L,9,FALSE)</f>
        <v>65559.556704569273</v>
      </c>
      <c r="K211" s="95">
        <f>VLOOKUP(E211,CompDbase!B:L,10,FALSE)</f>
        <v>1.48</v>
      </c>
      <c r="L211" s="4" t="s">
        <v>769</v>
      </c>
      <c r="M211" s="420"/>
      <c r="N211" s="420"/>
      <c r="O211" s="4"/>
      <c r="P211">
        <v>296</v>
      </c>
      <c r="Q211" s="4" t="s">
        <v>1049</v>
      </c>
      <c r="S211" s="4"/>
      <c r="Y211">
        <v>5.0000000000000008E-15</v>
      </c>
      <c r="Z211" s="95">
        <f t="shared" si="173"/>
        <v>-14.301029995663981</v>
      </c>
      <c r="AC211" t="s">
        <v>68</v>
      </c>
      <c r="DG211">
        <f t="shared" si="174"/>
        <v>-14.301029995663981</v>
      </c>
      <c r="DH211">
        <f t="shared" si="175"/>
        <v>94.104999867169639</v>
      </c>
      <c r="EY211" s="479">
        <f>VLOOKUP(B211,Literatuur!$A:$B,2,FALSE)</f>
        <v>12</v>
      </c>
      <c r="EZ211" t="str">
        <f t="shared" si="153"/>
        <v>Phenol</v>
      </c>
      <c r="FA211" t="str">
        <f t="shared" si="154"/>
        <v>O2</v>
      </c>
      <c r="FB211" t="str">
        <f t="shared" si="155"/>
        <v>LDPE</v>
      </c>
      <c r="FC211" t="str">
        <f t="shared" si="156"/>
        <v/>
      </c>
      <c r="FD211">
        <f t="shared" si="157"/>
        <v>296</v>
      </c>
      <c r="FE211" t="str">
        <f t="shared" si="158"/>
        <v>water</v>
      </c>
      <c r="FF211" t="str">
        <f t="shared" si="159"/>
        <v xml:space="preserve"> </v>
      </c>
      <c r="FG211" s="408" t="str">
        <f t="shared" si="152"/>
        <v/>
      </c>
      <c r="FH211" s="138" t="str">
        <f t="shared" si="160"/>
        <v/>
      </c>
      <c r="FI211" s="106" t="str">
        <f t="shared" si="142"/>
        <v>**</v>
      </c>
      <c r="FJ211" s="138">
        <f t="shared" si="161"/>
        <v>-14.301029995663981</v>
      </c>
      <c r="FK211" s="138" t="str">
        <f t="shared" si="162"/>
        <v>**</v>
      </c>
    </row>
    <row r="212" spans="1:167" ht="12.75" hidden="1" customHeight="1" x14ac:dyDescent="0.2">
      <c r="A212">
        <v>166</v>
      </c>
      <c r="B212" t="s">
        <v>1235</v>
      </c>
      <c r="D212" s="4" t="s">
        <v>806</v>
      </c>
      <c r="E212">
        <v>-1661</v>
      </c>
      <c r="F212" t="str">
        <f>VLOOKUP(E212,CompDbase!B:L,4,FALSE)</f>
        <v>2-Phenly-ehtyl-alcohol</v>
      </c>
      <c r="G212" s="95" t="str">
        <f>VLOOKUP(E212,CompDbase!B:M,12,FALSE)</f>
        <v>O2</v>
      </c>
      <c r="H212" s="95">
        <f>VLOOKUP(E212,CompDbase!B:L,8,FALSE)</f>
        <v>122</v>
      </c>
      <c r="I212" s="95" t="e">
        <f>VLOOKUP(E212,CompDbase!B:L,11,FALSE)</f>
        <v>#DIV/0!</v>
      </c>
      <c r="J212" s="95" t="e">
        <f>VLOOKUP(E212,CompDbase!B:L,9,FALSE)</f>
        <v>#DIV/0!</v>
      </c>
      <c r="K212" s="95" t="e">
        <f>VLOOKUP(E212,CompDbase!B:L,10,FALSE)</f>
        <v>#DIV/0!</v>
      </c>
      <c r="L212" s="4" t="s">
        <v>769</v>
      </c>
      <c r="M212" s="423"/>
      <c r="N212" s="423"/>
      <c r="O212" s="4"/>
      <c r="P212">
        <v>296</v>
      </c>
      <c r="Q212" s="4" t="s">
        <v>1049</v>
      </c>
      <c r="T212" s="95"/>
      <c r="Y212">
        <v>4.3000000000000009E-13</v>
      </c>
      <c r="Z212" s="95">
        <f t="shared" si="173"/>
        <v>-12.366531544420413</v>
      </c>
      <c r="AC212" t="s">
        <v>68</v>
      </c>
      <c r="AG212" s="138"/>
      <c r="BW212" s="138"/>
      <c r="DG212">
        <f t="shared" si="174"/>
        <v>-12.366531544420413</v>
      </c>
      <c r="DH212">
        <f t="shared" si="175"/>
        <v>122</v>
      </c>
      <c r="EY212" s="479">
        <f>VLOOKUP(B212,Literatuur!$A:$B,2,FALSE)</f>
        <v>21</v>
      </c>
      <c r="EZ212" t="str">
        <f t="shared" si="153"/>
        <v>2-Phenly-ehtyl-alcohol</v>
      </c>
      <c r="FA212" t="str">
        <f t="shared" si="154"/>
        <v>O2</v>
      </c>
      <c r="FB212" t="str">
        <f t="shared" si="155"/>
        <v>LDPE</v>
      </c>
      <c r="FC212" t="str">
        <f t="shared" si="156"/>
        <v/>
      </c>
      <c r="FD212">
        <f t="shared" si="157"/>
        <v>296</v>
      </c>
      <c r="FE212" t="str">
        <f t="shared" si="158"/>
        <v>water</v>
      </c>
      <c r="FF212" t="str">
        <f t="shared" si="159"/>
        <v xml:space="preserve"> </v>
      </c>
      <c r="FG212" s="408" t="str">
        <f t="shared" si="152"/>
        <v/>
      </c>
      <c r="FH212" s="138" t="str">
        <f t="shared" si="160"/>
        <v/>
      </c>
      <c r="FI212" s="106" t="str">
        <f t="shared" si="142"/>
        <v>**</v>
      </c>
      <c r="FJ212" s="138">
        <f t="shared" si="161"/>
        <v>-12.366531544420413</v>
      </c>
      <c r="FK212" s="138" t="str">
        <f t="shared" si="162"/>
        <v>**</v>
      </c>
    </row>
    <row r="213" spans="1:167" ht="12.75" hidden="1" customHeight="1" x14ac:dyDescent="0.2">
      <c r="A213">
        <v>167</v>
      </c>
      <c r="B213" t="s">
        <v>1235</v>
      </c>
      <c r="D213" s="4" t="s">
        <v>817</v>
      </c>
      <c r="E213">
        <v>-1673</v>
      </c>
      <c r="F213" t="str">
        <f>VLOOKUP(E213,CompDbase!B:L,4,FALSE)</f>
        <v>3,7-Dimehtyl-octane-3-ol</v>
      </c>
      <c r="G213" s="95" t="str">
        <f>VLOOKUP(E213,CompDbase!B:M,12,FALSE)</f>
        <v>O2</v>
      </c>
      <c r="H213" s="95">
        <f>VLOOKUP(E213,CompDbase!B:L,8,FALSE)</f>
        <v>158</v>
      </c>
      <c r="I213" s="95" t="e">
        <f>VLOOKUP(E213,CompDbase!B:L,11,FALSE)</f>
        <v>#DIV/0!</v>
      </c>
      <c r="J213" s="95" t="e">
        <f>VLOOKUP(E213,CompDbase!B:L,9,FALSE)</f>
        <v>#DIV/0!</v>
      </c>
      <c r="K213" s="95" t="e">
        <f>VLOOKUP(E213,CompDbase!B:L,10,FALSE)</f>
        <v>#DIV/0!</v>
      </c>
      <c r="L213" s="4" t="s">
        <v>769</v>
      </c>
      <c r="M213" s="423"/>
      <c r="N213" s="423"/>
      <c r="O213" s="4"/>
      <c r="P213">
        <v>296</v>
      </c>
      <c r="Q213" s="4" t="s">
        <v>1049</v>
      </c>
      <c r="T213" s="95"/>
      <c r="Y213">
        <v>1.3E-13</v>
      </c>
      <c r="Z213" s="95">
        <f t="shared" si="173"/>
        <v>-12.886056647693163</v>
      </c>
      <c r="AC213" t="s">
        <v>68</v>
      </c>
      <c r="AG213" s="138"/>
      <c r="BW213" s="138"/>
      <c r="DG213">
        <f t="shared" si="174"/>
        <v>-12.886056647693163</v>
      </c>
      <c r="DH213">
        <f t="shared" si="175"/>
        <v>158</v>
      </c>
      <c r="EY213" s="479">
        <f>VLOOKUP(B213,Literatuur!$A:$B,2,FALSE)</f>
        <v>21</v>
      </c>
      <c r="EZ213" t="str">
        <f t="shared" si="153"/>
        <v>3,7-Dimehtyl-octane-3-ol</v>
      </c>
      <c r="FA213" t="str">
        <f t="shared" si="154"/>
        <v>O2</v>
      </c>
      <c r="FB213" t="str">
        <f t="shared" si="155"/>
        <v>LDPE</v>
      </c>
      <c r="FC213" t="str">
        <f t="shared" si="156"/>
        <v/>
      </c>
      <c r="FD213">
        <f t="shared" si="157"/>
        <v>296</v>
      </c>
      <c r="FE213" t="str">
        <f t="shared" si="158"/>
        <v>water</v>
      </c>
      <c r="FF213" t="str">
        <f t="shared" si="159"/>
        <v xml:space="preserve"> </v>
      </c>
      <c r="FG213" s="408" t="str">
        <f t="shared" si="152"/>
        <v/>
      </c>
      <c r="FH213" s="138" t="str">
        <f t="shared" si="160"/>
        <v/>
      </c>
      <c r="FI213" s="106" t="str">
        <f t="shared" si="142"/>
        <v>**</v>
      </c>
      <c r="FJ213" s="138">
        <f t="shared" si="161"/>
        <v>-12.886056647693163</v>
      </c>
      <c r="FK213" s="138" t="str">
        <f t="shared" si="162"/>
        <v>**</v>
      </c>
    </row>
    <row r="214" spans="1:167" ht="12.75" hidden="1" customHeight="1" x14ac:dyDescent="0.2">
      <c r="A214">
        <v>168</v>
      </c>
      <c r="B214" t="s">
        <v>1235</v>
      </c>
      <c r="D214" s="4" t="s">
        <v>815</v>
      </c>
      <c r="E214">
        <v>-1671</v>
      </c>
      <c r="F214" t="str">
        <f>VLOOKUP(E214,CompDbase!B:L,4,FALSE)</f>
        <v>3,7-Dimethyl-6-octene-al</v>
      </c>
      <c r="G214" s="95" t="str">
        <f>VLOOKUP(E214,CompDbase!B:M,12,FALSE)</f>
        <v>O2</v>
      </c>
      <c r="H214" s="95">
        <f>VLOOKUP(E214,CompDbase!B:L,8,FALSE)</f>
        <v>154</v>
      </c>
      <c r="I214" s="95" t="e">
        <f>VLOOKUP(E214,CompDbase!B:L,11,FALSE)</f>
        <v>#DIV/0!</v>
      </c>
      <c r="J214" s="95" t="e">
        <f>VLOOKUP(E214,CompDbase!B:L,9,FALSE)</f>
        <v>#DIV/0!</v>
      </c>
      <c r="K214" s="95" t="e">
        <f>VLOOKUP(E214,CompDbase!B:L,10,FALSE)</f>
        <v>#DIV/0!</v>
      </c>
      <c r="L214" s="4" t="s">
        <v>769</v>
      </c>
      <c r="M214" s="423"/>
      <c r="N214" s="423"/>
      <c r="O214" s="4"/>
      <c r="P214">
        <v>296</v>
      </c>
      <c r="Q214" s="4" t="s">
        <v>1049</v>
      </c>
      <c r="T214" s="95"/>
      <c r="Y214">
        <v>1.0000000000000002E-13</v>
      </c>
      <c r="Z214" s="95">
        <f t="shared" si="173"/>
        <v>-13</v>
      </c>
      <c r="AC214" t="s">
        <v>68</v>
      </c>
      <c r="AG214" s="138"/>
      <c r="BW214" s="138"/>
      <c r="DG214">
        <f t="shared" si="174"/>
        <v>-13</v>
      </c>
      <c r="DH214">
        <f t="shared" si="175"/>
        <v>154</v>
      </c>
      <c r="EY214" s="479">
        <f>VLOOKUP(B214,Literatuur!$A:$B,2,FALSE)</f>
        <v>21</v>
      </c>
      <c r="EZ214" t="str">
        <f t="shared" si="153"/>
        <v>3,7-Dimethyl-6-octene-al</v>
      </c>
      <c r="FA214" t="str">
        <f t="shared" si="154"/>
        <v>O2</v>
      </c>
      <c r="FB214" t="str">
        <f t="shared" si="155"/>
        <v>LDPE</v>
      </c>
      <c r="FC214" t="str">
        <f t="shared" si="156"/>
        <v/>
      </c>
      <c r="FD214">
        <f t="shared" si="157"/>
        <v>296</v>
      </c>
      <c r="FE214" t="str">
        <f t="shared" si="158"/>
        <v>water</v>
      </c>
      <c r="FF214" t="str">
        <f t="shared" si="159"/>
        <v xml:space="preserve"> </v>
      </c>
      <c r="FG214" s="408" t="str">
        <f t="shared" si="152"/>
        <v/>
      </c>
      <c r="FH214" s="138" t="str">
        <f t="shared" si="160"/>
        <v/>
      </c>
      <c r="FI214" s="106" t="str">
        <f t="shared" si="142"/>
        <v>**</v>
      </c>
      <c r="FJ214" s="138">
        <f t="shared" si="161"/>
        <v>-13</v>
      </c>
      <c r="FK214" s="138" t="str">
        <f t="shared" si="162"/>
        <v>**</v>
      </c>
    </row>
    <row r="215" spans="1:167" ht="12.75" hidden="1" customHeight="1" x14ac:dyDescent="0.2">
      <c r="A215">
        <v>169</v>
      </c>
      <c r="B215" t="s">
        <v>1235</v>
      </c>
      <c r="D215" s="4" t="s">
        <v>807</v>
      </c>
      <c r="E215">
        <v>-1662</v>
      </c>
      <c r="F215" t="str">
        <f>VLOOKUP(E215,CompDbase!B:L,4,FALSE)</f>
        <v>3-Octene-2-one</v>
      </c>
      <c r="G215" s="95" t="str">
        <f>VLOOKUP(E215,CompDbase!B:M,12,FALSE)</f>
        <v>O2</v>
      </c>
      <c r="H215" s="95">
        <f>VLOOKUP(E215,CompDbase!B:L,8,FALSE)</f>
        <v>126</v>
      </c>
      <c r="I215" s="95" t="e">
        <f>VLOOKUP(E215,CompDbase!B:L,11,FALSE)</f>
        <v>#DIV/0!</v>
      </c>
      <c r="J215" s="95" t="e">
        <f>VLOOKUP(E215,CompDbase!B:L,9,FALSE)</f>
        <v>#DIV/0!</v>
      </c>
      <c r="K215" s="95" t="e">
        <f>VLOOKUP(E215,CompDbase!B:L,10,FALSE)</f>
        <v>#DIV/0!</v>
      </c>
      <c r="L215" s="4" t="s">
        <v>769</v>
      </c>
      <c r="M215" s="423"/>
      <c r="N215" s="423"/>
      <c r="O215" s="4"/>
      <c r="P215">
        <v>296</v>
      </c>
      <c r="Q215" s="4" t="s">
        <v>1049</v>
      </c>
      <c r="T215" s="95"/>
      <c r="Y215">
        <v>7.3000000000000002E-13</v>
      </c>
      <c r="Z215" s="95">
        <f t="shared" si="173"/>
        <v>-12.136677139879543</v>
      </c>
      <c r="AC215" t="s">
        <v>68</v>
      </c>
      <c r="AG215" s="138"/>
      <c r="BW215" s="138"/>
      <c r="DG215">
        <f t="shared" si="174"/>
        <v>-12.136677139879543</v>
      </c>
      <c r="DH215">
        <f t="shared" si="175"/>
        <v>126</v>
      </c>
      <c r="EY215" s="479">
        <f>VLOOKUP(B215,Literatuur!$A:$B,2,FALSE)</f>
        <v>21</v>
      </c>
      <c r="EZ215" t="str">
        <f t="shared" si="153"/>
        <v>3-Octene-2-one</v>
      </c>
      <c r="FA215" t="str">
        <f t="shared" si="154"/>
        <v>O2</v>
      </c>
      <c r="FB215" t="str">
        <f t="shared" si="155"/>
        <v>LDPE</v>
      </c>
      <c r="FC215" t="str">
        <f t="shared" si="156"/>
        <v/>
      </c>
      <c r="FD215">
        <f t="shared" si="157"/>
        <v>296</v>
      </c>
      <c r="FE215" t="str">
        <f t="shared" si="158"/>
        <v>water</v>
      </c>
      <c r="FF215" t="str">
        <f t="shared" si="159"/>
        <v xml:space="preserve"> </v>
      </c>
      <c r="FG215" s="408" t="str">
        <f t="shared" si="152"/>
        <v/>
      </c>
      <c r="FH215" s="138" t="str">
        <f t="shared" si="160"/>
        <v/>
      </c>
      <c r="FI215" s="106" t="str">
        <f t="shared" si="142"/>
        <v>**</v>
      </c>
      <c r="FJ215" s="138">
        <f t="shared" si="161"/>
        <v>-12.136677139879543</v>
      </c>
      <c r="FK215" s="138" t="str">
        <f t="shared" si="162"/>
        <v>**</v>
      </c>
    </row>
    <row r="216" spans="1:167" ht="12.75" hidden="1" customHeight="1" x14ac:dyDescent="0.2">
      <c r="A216">
        <v>170</v>
      </c>
      <c r="B216" t="s">
        <v>1235</v>
      </c>
      <c r="D216" s="4" t="s">
        <v>810</v>
      </c>
      <c r="E216">
        <v>-1666</v>
      </c>
      <c r="F216" t="str">
        <f>VLOOKUP(E216,CompDbase!B:L,4,FALSE)</f>
        <v>3-Phenyl-1-propanol</v>
      </c>
      <c r="G216" s="95" t="str">
        <f>VLOOKUP(E216,CompDbase!B:M,12,FALSE)</f>
        <v>O2</v>
      </c>
      <c r="H216" s="95">
        <f>VLOOKUP(E216,CompDbase!B:L,8,FALSE)</f>
        <v>136</v>
      </c>
      <c r="I216" s="95" t="e">
        <f>VLOOKUP(E216,CompDbase!B:L,11,FALSE)</f>
        <v>#DIV/0!</v>
      </c>
      <c r="J216" s="95" t="e">
        <f>VLOOKUP(E216,CompDbase!B:L,9,FALSE)</f>
        <v>#DIV/0!</v>
      </c>
      <c r="K216" s="95" t="e">
        <f>VLOOKUP(E216,CompDbase!B:L,10,FALSE)</f>
        <v>#DIV/0!</v>
      </c>
      <c r="L216" s="4" t="s">
        <v>769</v>
      </c>
      <c r="M216" s="423"/>
      <c r="N216" s="423"/>
      <c r="O216" s="4"/>
      <c r="P216">
        <v>296</v>
      </c>
      <c r="Q216" s="4" t="s">
        <v>1049</v>
      </c>
      <c r="T216" s="95"/>
      <c r="Y216">
        <v>2.8000000000000002E-13</v>
      </c>
      <c r="Z216" s="95">
        <f t="shared" si="173"/>
        <v>-12.552841968657781</v>
      </c>
      <c r="AC216" t="s">
        <v>68</v>
      </c>
      <c r="AG216" s="138"/>
      <c r="BW216" s="138"/>
      <c r="DG216">
        <f t="shared" si="174"/>
        <v>-12.552841968657781</v>
      </c>
      <c r="DH216">
        <f t="shared" si="175"/>
        <v>136</v>
      </c>
      <c r="EY216" s="479">
        <f>VLOOKUP(B216,Literatuur!$A:$B,2,FALSE)</f>
        <v>21</v>
      </c>
      <c r="EZ216" t="str">
        <f t="shared" si="153"/>
        <v>3-Phenyl-1-propanol</v>
      </c>
      <c r="FA216" t="str">
        <f t="shared" si="154"/>
        <v>O2</v>
      </c>
      <c r="FB216" t="str">
        <f t="shared" si="155"/>
        <v>LDPE</v>
      </c>
      <c r="FC216" t="str">
        <f t="shared" si="156"/>
        <v/>
      </c>
      <c r="FD216">
        <f t="shared" si="157"/>
        <v>296</v>
      </c>
      <c r="FE216" t="str">
        <f t="shared" si="158"/>
        <v>water</v>
      </c>
      <c r="FF216" t="str">
        <f t="shared" si="159"/>
        <v xml:space="preserve"> </v>
      </c>
      <c r="FG216" s="408" t="str">
        <f t="shared" si="152"/>
        <v/>
      </c>
      <c r="FH216" s="138" t="str">
        <f t="shared" si="160"/>
        <v/>
      </c>
      <c r="FI216" s="106" t="str">
        <f t="shared" si="142"/>
        <v>**</v>
      </c>
      <c r="FJ216" s="138">
        <f t="shared" si="161"/>
        <v>-12.552841968657781</v>
      </c>
      <c r="FK216" s="138" t="str">
        <f t="shared" si="162"/>
        <v>**</v>
      </c>
    </row>
    <row r="217" spans="1:167" ht="12.75" hidden="1" customHeight="1" x14ac:dyDescent="0.2">
      <c r="A217">
        <v>171</v>
      </c>
      <c r="B217" t="s">
        <v>1235</v>
      </c>
      <c r="D217" s="4" t="s">
        <v>821</v>
      </c>
      <c r="E217">
        <v>-1677</v>
      </c>
      <c r="F217" t="str">
        <f>VLOOKUP(E217,CompDbase!B:L,4,FALSE)</f>
        <v>Dimehtyl-phthalate</v>
      </c>
      <c r="G217" s="95" t="str">
        <f>VLOOKUP(E217,CompDbase!B:M,12,FALSE)</f>
        <v>O2</v>
      </c>
      <c r="H217" s="95">
        <f>VLOOKUP(E217,CompDbase!B:L,8,FALSE)</f>
        <v>194</v>
      </c>
      <c r="I217" s="95" t="e">
        <f>VLOOKUP(E217,CompDbase!B:L,11,FALSE)</f>
        <v>#DIV/0!</v>
      </c>
      <c r="J217" s="95" t="e">
        <f>VLOOKUP(E217,CompDbase!B:L,9,FALSE)</f>
        <v>#DIV/0!</v>
      </c>
      <c r="K217" s="95" t="e">
        <f>VLOOKUP(E217,CompDbase!B:L,10,FALSE)</f>
        <v>#DIV/0!</v>
      </c>
      <c r="L217" s="4" t="s">
        <v>769</v>
      </c>
      <c r="M217" s="423"/>
      <c r="N217" s="423"/>
      <c r="O217" s="4"/>
      <c r="P217">
        <v>296</v>
      </c>
      <c r="Q217" s="4" t="s">
        <v>1049</v>
      </c>
      <c r="T217" s="95"/>
      <c r="Y217">
        <v>1.9000000000000002E-13</v>
      </c>
      <c r="Z217" s="95">
        <f t="shared" si="173"/>
        <v>-12.721246399047171</v>
      </c>
      <c r="AC217" t="s">
        <v>68</v>
      </c>
      <c r="AG217" s="138"/>
      <c r="BW217" s="138"/>
      <c r="DG217">
        <f t="shared" si="174"/>
        <v>-12.721246399047171</v>
      </c>
      <c r="DH217">
        <f t="shared" si="175"/>
        <v>194</v>
      </c>
      <c r="EY217" s="479">
        <f>VLOOKUP(B217,Literatuur!$A:$B,2,FALSE)</f>
        <v>21</v>
      </c>
      <c r="EZ217" t="str">
        <f t="shared" si="153"/>
        <v>Dimehtyl-phthalate</v>
      </c>
      <c r="FA217" t="str">
        <f t="shared" si="154"/>
        <v>O2</v>
      </c>
      <c r="FB217" t="str">
        <f t="shared" si="155"/>
        <v>LDPE</v>
      </c>
      <c r="FC217" t="str">
        <f t="shared" si="156"/>
        <v/>
      </c>
      <c r="FD217">
        <f t="shared" si="157"/>
        <v>296</v>
      </c>
      <c r="FE217" t="str">
        <f t="shared" si="158"/>
        <v>water</v>
      </c>
      <c r="FF217" t="str">
        <f t="shared" si="159"/>
        <v xml:space="preserve"> </v>
      </c>
      <c r="FG217" s="408" t="str">
        <f t="shared" si="152"/>
        <v/>
      </c>
      <c r="FH217" s="138" t="str">
        <f t="shared" si="160"/>
        <v/>
      </c>
      <c r="FI217" s="106" t="str">
        <f t="shared" si="142"/>
        <v>**</v>
      </c>
      <c r="FJ217" s="138">
        <f t="shared" si="161"/>
        <v>-12.721246399047171</v>
      </c>
      <c r="FK217" s="138" t="str">
        <f t="shared" si="162"/>
        <v>**</v>
      </c>
    </row>
    <row r="218" spans="1:167" ht="12.75" hidden="1" customHeight="1" x14ac:dyDescent="0.2">
      <c r="A218">
        <v>172</v>
      </c>
      <c r="B218" t="s">
        <v>1235</v>
      </c>
      <c r="D218" s="4" t="s">
        <v>804</v>
      </c>
      <c r="E218">
        <v>-1659</v>
      </c>
      <c r="F218" t="str">
        <f>VLOOKUP(E218,CompDbase!B:L,4,FALSE)</f>
        <v>Heptanol</v>
      </c>
      <c r="G218" s="95" t="str">
        <f>VLOOKUP(E218,CompDbase!B:M,12,FALSE)</f>
        <v>O2</v>
      </c>
      <c r="H218" s="95">
        <f>VLOOKUP(E218,CompDbase!B:L,8,FALSE)</f>
        <v>116.21</v>
      </c>
      <c r="I218" s="95" t="e">
        <f>VLOOKUP(E218,CompDbase!B:L,11,FALSE)</f>
        <v>#DIV/0!</v>
      </c>
      <c r="J218" s="95">
        <f>VLOOKUP(E218,CompDbase!B:L,9,FALSE)</f>
        <v>1940</v>
      </c>
      <c r="K218" s="95">
        <f>VLOOKUP(E218,CompDbase!B:L,10,FALSE)</f>
        <v>2.62</v>
      </c>
      <c r="L218" s="4" t="s">
        <v>769</v>
      </c>
      <c r="M218" s="423"/>
      <c r="N218" s="423"/>
      <c r="O218" s="4"/>
      <c r="P218">
        <v>296</v>
      </c>
      <c r="Q218" s="4" t="s">
        <v>1049</v>
      </c>
      <c r="T218" s="95"/>
      <c r="Y218">
        <v>5.3000000000000006E-13</v>
      </c>
      <c r="Z218" s="95">
        <f t="shared" si="173"/>
        <v>-12.275724130399212</v>
      </c>
      <c r="AC218" t="s">
        <v>68</v>
      </c>
      <c r="AG218" s="138"/>
      <c r="BW218" s="138"/>
      <c r="DG218">
        <f t="shared" si="174"/>
        <v>-12.275724130399212</v>
      </c>
      <c r="DH218">
        <f t="shared" si="175"/>
        <v>116.21</v>
      </c>
      <c r="EY218" s="479">
        <f>VLOOKUP(B218,Literatuur!$A:$B,2,FALSE)</f>
        <v>21</v>
      </c>
      <c r="EZ218" t="str">
        <f t="shared" si="153"/>
        <v>Heptanol</v>
      </c>
      <c r="FA218" t="str">
        <f t="shared" si="154"/>
        <v>O2</v>
      </c>
      <c r="FB218" t="str">
        <f t="shared" si="155"/>
        <v>LDPE</v>
      </c>
      <c r="FC218" t="str">
        <f t="shared" si="156"/>
        <v/>
      </c>
      <c r="FD218">
        <f t="shared" si="157"/>
        <v>296</v>
      </c>
      <c r="FE218" t="str">
        <f t="shared" si="158"/>
        <v>water</v>
      </c>
      <c r="FF218" t="str">
        <f t="shared" si="159"/>
        <v xml:space="preserve"> </v>
      </c>
      <c r="FG218" s="408" t="str">
        <f t="shared" si="152"/>
        <v/>
      </c>
      <c r="FH218" s="138" t="str">
        <f t="shared" si="160"/>
        <v/>
      </c>
      <c r="FI218" s="106" t="str">
        <f t="shared" si="142"/>
        <v>**</v>
      </c>
      <c r="FJ218" s="138">
        <f t="shared" si="161"/>
        <v>-12.275724130399212</v>
      </c>
      <c r="FK218" s="138" t="str">
        <f t="shared" si="162"/>
        <v>**</v>
      </c>
    </row>
    <row r="219" spans="1:167" ht="12.75" hidden="1" customHeight="1" x14ac:dyDescent="0.2">
      <c r="A219">
        <v>173</v>
      </c>
      <c r="B219" t="s">
        <v>1235</v>
      </c>
      <c r="D219" s="4" t="s">
        <v>435</v>
      </c>
      <c r="E219">
        <v>1107</v>
      </c>
      <c r="F219" t="str">
        <f>VLOOKUP(E219,CompDbase!B:L,4,FALSE)</f>
        <v>Methanol</v>
      </c>
      <c r="G219" s="95" t="str">
        <f>VLOOKUP(E219,CompDbase!B:M,12,FALSE)</f>
        <v>O2</v>
      </c>
      <c r="H219" s="95">
        <f>VLOOKUP(E219,CompDbase!B:L,8,FALSE)</f>
        <v>32</v>
      </c>
      <c r="I219" s="95" t="e">
        <f>VLOOKUP(E219,CompDbase!B:L,11,FALSE)</f>
        <v>#DIV/0!</v>
      </c>
      <c r="J219" s="95">
        <f>VLOOKUP(E219,CompDbase!B:L,9,FALSE)</f>
        <v>1056000</v>
      </c>
      <c r="K219" s="95">
        <f>VLOOKUP(E219,CompDbase!B:L,10,FALSE)</f>
        <v>-0.70000000000000007</v>
      </c>
      <c r="L219" s="4" t="s">
        <v>769</v>
      </c>
      <c r="M219" s="423"/>
      <c r="N219" s="423"/>
      <c r="O219" s="4"/>
      <c r="P219">
        <v>296</v>
      </c>
      <c r="Q219" s="4" t="s">
        <v>1049</v>
      </c>
      <c r="T219" s="95"/>
      <c r="Y219">
        <v>4.8000000000000005E-12</v>
      </c>
      <c r="Z219" s="95">
        <f t="shared" si="173"/>
        <v>-11.318758762624412</v>
      </c>
      <c r="AC219" t="s">
        <v>68</v>
      </c>
      <c r="AG219" s="138"/>
      <c r="BW219" s="138"/>
      <c r="DG219">
        <f t="shared" si="174"/>
        <v>-11.318758762624412</v>
      </c>
      <c r="DH219">
        <f t="shared" si="175"/>
        <v>32</v>
      </c>
      <c r="EY219" s="479">
        <f>VLOOKUP(B219,Literatuur!$A:$B,2,FALSE)</f>
        <v>21</v>
      </c>
      <c r="EZ219" t="str">
        <f t="shared" si="153"/>
        <v>Methanol</v>
      </c>
      <c r="FA219" t="str">
        <f t="shared" si="154"/>
        <v>O2</v>
      </c>
      <c r="FB219" t="str">
        <f t="shared" si="155"/>
        <v>LDPE</v>
      </c>
      <c r="FC219" t="str">
        <f t="shared" si="156"/>
        <v/>
      </c>
      <c r="FD219">
        <f t="shared" si="157"/>
        <v>296</v>
      </c>
      <c r="FE219" t="str">
        <f t="shared" si="158"/>
        <v>water</v>
      </c>
      <c r="FF219" t="str">
        <f t="shared" si="159"/>
        <v xml:space="preserve"> </v>
      </c>
      <c r="FG219" s="408" t="str">
        <f t="shared" si="152"/>
        <v/>
      </c>
      <c r="FH219" s="138" t="str">
        <f t="shared" si="160"/>
        <v/>
      </c>
      <c r="FI219" s="106" t="str">
        <f t="shared" si="142"/>
        <v>**</v>
      </c>
      <c r="FJ219" s="138">
        <f t="shared" si="161"/>
        <v>-11.318758762624412</v>
      </c>
      <c r="FK219" s="138" t="str">
        <f t="shared" si="162"/>
        <v>**</v>
      </c>
    </row>
    <row r="220" spans="1:167" ht="12.75" hidden="1" customHeight="1" x14ac:dyDescent="0.2">
      <c r="A220">
        <v>174</v>
      </c>
      <c r="B220" t="s">
        <v>1235</v>
      </c>
      <c r="D220" s="4" t="s">
        <v>816</v>
      </c>
      <c r="E220">
        <v>-1672</v>
      </c>
      <c r="F220" t="str">
        <f>VLOOKUP(E220,CompDbase!B:L,4,FALSE)</f>
        <v>n-Decanal</v>
      </c>
      <c r="G220" s="95" t="str">
        <f>VLOOKUP(E220,CompDbase!B:M,12,FALSE)</f>
        <v>O2</v>
      </c>
      <c r="H220" s="95">
        <f>VLOOKUP(E220,CompDbase!B:L,8,FALSE)</f>
        <v>156</v>
      </c>
      <c r="I220" s="95" t="e">
        <f>VLOOKUP(E220,CompDbase!B:L,11,FALSE)</f>
        <v>#DIV/0!</v>
      </c>
      <c r="J220" s="95" t="e">
        <f>VLOOKUP(E220,CompDbase!B:L,9,FALSE)</f>
        <v>#DIV/0!</v>
      </c>
      <c r="K220" s="95" t="e">
        <f>VLOOKUP(E220,CompDbase!B:L,10,FALSE)</f>
        <v>#DIV/0!</v>
      </c>
      <c r="L220" s="4" t="s">
        <v>769</v>
      </c>
      <c r="M220" s="423"/>
      <c r="N220" s="423"/>
      <c r="O220" s="4"/>
      <c r="P220">
        <v>296</v>
      </c>
      <c r="Q220" s="4" t="s">
        <v>1049</v>
      </c>
      <c r="T220" s="95"/>
      <c r="Y220">
        <v>1.4000000000000001E-13</v>
      </c>
      <c r="Z220" s="95">
        <f t="shared" si="173"/>
        <v>-12.853871964321762</v>
      </c>
      <c r="AC220" t="s">
        <v>68</v>
      </c>
      <c r="AG220" s="138"/>
      <c r="BW220" s="138"/>
      <c r="DG220">
        <f t="shared" si="174"/>
        <v>-12.853871964321762</v>
      </c>
      <c r="DH220">
        <f t="shared" si="175"/>
        <v>156</v>
      </c>
      <c r="EY220" s="479">
        <f>VLOOKUP(B220,Literatuur!$A:$B,2,FALSE)</f>
        <v>21</v>
      </c>
      <c r="EZ220" t="str">
        <f t="shared" si="153"/>
        <v>n-Decanal</v>
      </c>
      <c r="FA220" t="str">
        <f t="shared" si="154"/>
        <v>O2</v>
      </c>
      <c r="FB220" t="str">
        <f t="shared" si="155"/>
        <v>LDPE</v>
      </c>
      <c r="FC220" t="str">
        <f t="shared" si="156"/>
        <v/>
      </c>
      <c r="FD220">
        <f t="shared" si="157"/>
        <v>296</v>
      </c>
      <c r="FE220" t="str">
        <f t="shared" si="158"/>
        <v>water</v>
      </c>
      <c r="FF220" t="str">
        <f t="shared" si="159"/>
        <v xml:space="preserve"> </v>
      </c>
      <c r="FG220" s="408" t="str">
        <f t="shared" si="152"/>
        <v/>
      </c>
      <c r="FH220" s="138" t="str">
        <f t="shared" si="160"/>
        <v/>
      </c>
      <c r="FI220" s="106" t="str">
        <f t="shared" si="142"/>
        <v>**</v>
      </c>
      <c r="FJ220" s="138">
        <f t="shared" si="161"/>
        <v>-12.853871964321762</v>
      </c>
      <c r="FK220" s="138" t="str">
        <f t="shared" si="162"/>
        <v>**</v>
      </c>
    </row>
    <row r="221" spans="1:167" ht="12.75" hidden="1" customHeight="1" x14ac:dyDescent="0.2">
      <c r="A221">
        <v>175</v>
      </c>
      <c r="B221" t="s">
        <v>1235</v>
      </c>
      <c r="D221" s="4" t="s">
        <v>811</v>
      </c>
      <c r="E221">
        <v>-1667</v>
      </c>
      <c r="F221" t="str">
        <f>VLOOKUP(E221,CompDbase!B:L,4,FALSE)</f>
        <v>n-Nonanal</v>
      </c>
      <c r="G221" s="95" t="str">
        <f>VLOOKUP(E221,CompDbase!B:M,12,FALSE)</f>
        <v>O2</v>
      </c>
      <c r="H221" s="95">
        <f>VLOOKUP(E221,CompDbase!B:L,8,FALSE)</f>
        <v>142</v>
      </c>
      <c r="I221" s="95" t="e">
        <f>VLOOKUP(E221,CompDbase!B:L,11,FALSE)</f>
        <v>#DIV/0!</v>
      </c>
      <c r="J221" s="95" t="e">
        <f>VLOOKUP(E221,CompDbase!B:L,9,FALSE)</f>
        <v>#DIV/0!</v>
      </c>
      <c r="K221" s="95" t="e">
        <f>VLOOKUP(E221,CompDbase!B:L,10,FALSE)</f>
        <v>#DIV/0!</v>
      </c>
      <c r="L221" s="4" t="s">
        <v>769</v>
      </c>
      <c r="M221" s="423"/>
      <c r="N221" s="423"/>
      <c r="O221" s="4"/>
      <c r="P221">
        <v>296</v>
      </c>
      <c r="Q221" s="4" t="s">
        <v>1049</v>
      </c>
      <c r="T221" s="95"/>
      <c r="Y221">
        <v>1.8000000000000002E-13</v>
      </c>
      <c r="Z221" s="95">
        <f t="shared" si="173"/>
        <v>-12.744727494896694</v>
      </c>
      <c r="AC221" t="s">
        <v>68</v>
      </c>
      <c r="AG221" s="138"/>
      <c r="BW221" s="138"/>
      <c r="DG221">
        <f t="shared" si="174"/>
        <v>-12.744727494896694</v>
      </c>
      <c r="DH221">
        <f t="shared" si="175"/>
        <v>142</v>
      </c>
      <c r="EY221" s="479">
        <f>VLOOKUP(B221,Literatuur!$A:$B,2,FALSE)</f>
        <v>21</v>
      </c>
      <c r="EZ221" t="str">
        <f t="shared" si="153"/>
        <v>n-Nonanal</v>
      </c>
      <c r="FA221" t="str">
        <f t="shared" si="154"/>
        <v>O2</v>
      </c>
      <c r="FB221" t="str">
        <f t="shared" si="155"/>
        <v>LDPE</v>
      </c>
      <c r="FC221" t="str">
        <f t="shared" si="156"/>
        <v/>
      </c>
      <c r="FD221">
        <f t="shared" si="157"/>
        <v>296</v>
      </c>
      <c r="FE221" t="str">
        <f t="shared" si="158"/>
        <v>water</v>
      </c>
      <c r="FF221" t="str">
        <f t="shared" si="159"/>
        <v xml:space="preserve"> </v>
      </c>
      <c r="FG221" s="408" t="str">
        <f t="shared" si="152"/>
        <v/>
      </c>
      <c r="FH221" s="138" t="str">
        <f t="shared" si="160"/>
        <v/>
      </c>
      <c r="FI221" s="106" t="str">
        <f t="shared" si="142"/>
        <v>**</v>
      </c>
      <c r="FJ221" s="138">
        <f t="shared" si="161"/>
        <v>-12.744727494896694</v>
      </c>
      <c r="FK221" s="138" t="str">
        <f t="shared" si="162"/>
        <v>**</v>
      </c>
    </row>
    <row r="222" spans="1:167" ht="12.75" hidden="1" customHeight="1" x14ac:dyDescent="0.2">
      <c r="A222">
        <v>176</v>
      </c>
      <c r="B222" t="s">
        <v>1235</v>
      </c>
      <c r="D222" s="4" t="s">
        <v>808</v>
      </c>
      <c r="E222">
        <v>-1663</v>
      </c>
      <c r="F222" t="str">
        <f>VLOOKUP(E222,CompDbase!B:L,4,FALSE)</f>
        <v>n-Octanal</v>
      </c>
      <c r="G222" s="95" t="str">
        <f>VLOOKUP(E222,CompDbase!B:M,12,FALSE)</f>
        <v>O2</v>
      </c>
      <c r="H222" s="95">
        <f>VLOOKUP(E222,CompDbase!B:L,8,FALSE)</f>
        <v>128</v>
      </c>
      <c r="I222" s="95" t="e">
        <f>VLOOKUP(E222,CompDbase!B:L,11,FALSE)</f>
        <v>#DIV/0!</v>
      </c>
      <c r="J222" s="95" t="e">
        <f>VLOOKUP(E222,CompDbase!B:L,9,FALSE)</f>
        <v>#DIV/0!</v>
      </c>
      <c r="K222" s="95" t="e">
        <f>VLOOKUP(E222,CompDbase!B:L,10,FALSE)</f>
        <v>#DIV/0!</v>
      </c>
      <c r="L222" s="4" t="s">
        <v>769</v>
      </c>
      <c r="M222" s="423"/>
      <c r="N222" s="423"/>
      <c r="O222" s="4"/>
      <c r="P222">
        <v>296</v>
      </c>
      <c r="Q222" s="4" t="s">
        <v>1049</v>
      </c>
      <c r="T222" s="95"/>
      <c r="Y222">
        <v>2.2999999999999998E-13</v>
      </c>
      <c r="Z222" s="95">
        <f t="shared" si="173"/>
        <v>-12.638272163982407</v>
      </c>
      <c r="AC222" t="s">
        <v>68</v>
      </c>
      <c r="AG222" s="138"/>
      <c r="BW222" s="138"/>
      <c r="DG222">
        <f t="shared" si="174"/>
        <v>-12.638272163982407</v>
      </c>
      <c r="DH222">
        <f t="shared" si="175"/>
        <v>128</v>
      </c>
      <c r="EY222" s="479">
        <f>VLOOKUP(B222,Literatuur!$A:$B,2,FALSE)</f>
        <v>21</v>
      </c>
      <c r="EZ222" t="str">
        <f t="shared" si="153"/>
        <v>n-Octanal</v>
      </c>
      <c r="FA222" t="str">
        <f t="shared" si="154"/>
        <v>O2</v>
      </c>
      <c r="FB222" t="str">
        <f t="shared" si="155"/>
        <v>LDPE</v>
      </c>
      <c r="FC222" t="str">
        <f t="shared" si="156"/>
        <v/>
      </c>
      <c r="FD222">
        <f t="shared" si="157"/>
        <v>296</v>
      </c>
      <c r="FE222" t="str">
        <f t="shared" si="158"/>
        <v>water</v>
      </c>
      <c r="FF222" t="str">
        <f t="shared" si="159"/>
        <v xml:space="preserve"> </v>
      </c>
      <c r="FG222" s="408" t="str">
        <f t="shared" si="152"/>
        <v/>
      </c>
      <c r="FH222" s="138" t="str">
        <f t="shared" si="160"/>
        <v/>
      </c>
      <c r="FI222" s="106" t="str">
        <f t="shared" si="142"/>
        <v>**</v>
      </c>
      <c r="FJ222" s="138">
        <f t="shared" si="161"/>
        <v>-12.638272163982407</v>
      </c>
      <c r="FK222" s="138" t="str">
        <f t="shared" si="162"/>
        <v>**</v>
      </c>
    </row>
    <row r="223" spans="1:167" ht="12.75" hidden="1" customHeight="1" x14ac:dyDescent="0.2">
      <c r="A223">
        <v>177</v>
      </c>
      <c r="B223" t="s">
        <v>1235</v>
      </c>
      <c r="D223" s="4" t="s">
        <v>803</v>
      </c>
      <c r="E223">
        <v>202</v>
      </c>
      <c r="F223" t="str">
        <f>VLOOKUP(E223,CompDbase!B:L,4,FALSE)</f>
        <v>Phenol</v>
      </c>
      <c r="G223" s="95" t="str">
        <f>VLOOKUP(E223,CompDbase!B:M,12,FALSE)</f>
        <v>O2</v>
      </c>
      <c r="H223" s="95">
        <f>VLOOKUP(E223,CompDbase!B:L,8,FALSE)</f>
        <v>94.104999867169639</v>
      </c>
      <c r="I223" s="95" t="e">
        <f>VLOOKUP(E223,CompDbase!B:L,11,FALSE)</f>
        <v>#DIV/0!</v>
      </c>
      <c r="J223" s="95">
        <f>VLOOKUP(E223,CompDbase!B:L,9,FALSE)</f>
        <v>65559.556704569273</v>
      </c>
      <c r="K223" s="95">
        <f>VLOOKUP(E223,CompDbase!B:L,10,FALSE)</f>
        <v>1.48</v>
      </c>
      <c r="L223" s="4" t="s">
        <v>769</v>
      </c>
      <c r="M223" s="423"/>
      <c r="N223" s="423"/>
      <c r="O223" s="4"/>
      <c r="P223">
        <v>296</v>
      </c>
      <c r="Q223" s="4" t="s">
        <v>1049</v>
      </c>
      <c r="T223" s="95"/>
      <c r="Y223">
        <v>4.5E-13</v>
      </c>
      <c r="Z223" s="95">
        <f t="shared" si="173"/>
        <v>-12.346787486224656</v>
      </c>
      <c r="AC223" t="s">
        <v>68</v>
      </c>
      <c r="AG223" s="138"/>
      <c r="BW223" s="138"/>
      <c r="DG223">
        <f t="shared" si="174"/>
        <v>-12.346787486224656</v>
      </c>
      <c r="DH223">
        <f t="shared" si="175"/>
        <v>94.104999867169639</v>
      </c>
      <c r="EY223" s="479">
        <f>VLOOKUP(B223,Literatuur!$A:$B,2,FALSE)</f>
        <v>21</v>
      </c>
      <c r="EZ223" t="str">
        <f t="shared" si="153"/>
        <v>Phenole</v>
      </c>
      <c r="FA223" t="str">
        <f t="shared" si="154"/>
        <v>O2</v>
      </c>
      <c r="FB223" t="str">
        <f t="shared" si="155"/>
        <v>LDPE</v>
      </c>
      <c r="FC223" t="str">
        <f t="shared" si="156"/>
        <v/>
      </c>
      <c r="FD223">
        <f t="shared" si="157"/>
        <v>296</v>
      </c>
      <c r="FE223" t="str">
        <f t="shared" si="158"/>
        <v>water</v>
      </c>
      <c r="FF223" t="str">
        <f t="shared" si="159"/>
        <v xml:space="preserve"> </v>
      </c>
      <c r="FG223" s="408" t="str">
        <f t="shared" si="152"/>
        <v/>
      </c>
      <c r="FH223" s="138" t="str">
        <f t="shared" si="160"/>
        <v/>
      </c>
      <c r="FI223" s="106" t="str">
        <f t="shared" si="142"/>
        <v>**</v>
      </c>
      <c r="FJ223" s="138">
        <f t="shared" si="161"/>
        <v>-12.346787486224656</v>
      </c>
      <c r="FK223" s="138" t="str">
        <f t="shared" si="162"/>
        <v>**</v>
      </c>
    </row>
    <row r="224" spans="1:167" ht="12.75" hidden="1" customHeight="1" x14ac:dyDescent="0.2">
      <c r="A224">
        <v>178</v>
      </c>
      <c r="B224" t="s">
        <v>1235</v>
      </c>
      <c r="D224" s="4" t="s">
        <v>823</v>
      </c>
      <c r="E224">
        <v>-1679</v>
      </c>
      <c r="F224" t="str">
        <f>VLOOKUP(E224,CompDbase!B:L,4,FALSE)</f>
        <v>Tetradecanol</v>
      </c>
      <c r="G224" s="95" t="str">
        <f>VLOOKUP(E224,CompDbase!B:M,12,FALSE)</f>
        <v>O2</v>
      </c>
      <c r="H224" s="95">
        <f>VLOOKUP(E224,CompDbase!B:L,8,FALSE)</f>
        <v>214</v>
      </c>
      <c r="I224" s="95" t="e">
        <f>VLOOKUP(E224,CompDbase!B:L,11,FALSE)</f>
        <v>#DIV/0!</v>
      </c>
      <c r="J224" s="95" t="e">
        <f>VLOOKUP(E224,CompDbase!B:L,9,FALSE)</f>
        <v>#DIV/0!</v>
      </c>
      <c r="K224" s="95" t="e">
        <f>VLOOKUP(E224,CompDbase!B:L,10,FALSE)</f>
        <v>#DIV/0!</v>
      </c>
      <c r="L224" s="4" t="s">
        <v>769</v>
      </c>
      <c r="M224" s="423"/>
      <c r="N224" s="423"/>
      <c r="O224" s="4"/>
      <c r="P224">
        <v>296</v>
      </c>
      <c r="Q224" s="4" t="s">
        <v>1049</v>
      </c>
      <c r="T224" s="95"/>
      <c r="Y224">
        <v>8.2000000000000004E-14</v>
      </c>
      <c r="Z224" s="95">
        <f t="shared" si="173"/>
        <v>-13.086186147616283</v>
      </c>
      <c r="AC224" t="s">
        <v>68</v>
      </c>
      <c r="AG224" s="138"/>
      <c r="BW224" s="138"/>
      <c r="DG224">
        <f t="shared" si="174"/>
        <v>-13.086186147616283</v>
      </c>
      <c r="DH224">
        <f t="shared" si="175"/>
        <v>214</v>
      </c>
      <c r="EY224" s="479">
        <f>VLOOKUP(B224,Literatuur!$A:$B,2,FALSE)</f>
        <v>21</v>
      </c>
      <c r="EZ224" t="str">
        <f t="shared" si="153"/>
        <v>Tetradecanol</v>
      </c>
      <c r="FA224" t="str">
        <f t="shared" si="154"/>
        <v>O2</v>
      </c>
      <c r="FB224" t="str">
        <f t="shared" si="155"/>
        <v>LDPE</v>
      </c>
      <c r="FC224" t="str">
        <f t="shared" si="156"/>
        <v/>
      </c>
      <c r="FD224">
        <f t="shared" si="157"/>
        <v>296</v>
      </c>
      <c r="FE224" t="str">
        <f t="shared" si="158"/>
        <v>water</v>
      </c>
      <c r="FF224" t="str">
        <f t="shared" si="159"/>
        <v xml:space="preserve"> </v>
      </c>
      <c r="FG224" s="408" t="str">
        <f t="shared" si="152"/>
        <v/>
      </c>
      <c r="FH224" s="138" t="str">
        <f t="shared" si="160"/>
        <v/>
      </c>
      <c r="FI224" s="106" t="str">
        <f t="shared" ref="FI224:FI287" si="176">IF(ISNUMBER(AL224),AL224*AL$19+AL$21,IF(ISNUMBER(AM224),AM224*AM$19+AM$21,IF(ISNUMBER(AN224),AN224*AN$19+AN$21,"**")))</f>
        <v>**</v>
      </c>
      <c r="FJ224" s="138">
        <f t="shared" si="161"/>
        <v>-13.086186147616283</v>
      </c>
      <c r="FK224" s="138" t="str">
        <f t="shared" si="162"/>
        <v>**</v>
      </c>
    </row>
    <row r="225" spans="1:167" ht="12.75" hidden="1" customHeight="1" x14ac:dyDescent="0.2">
      <c r="A225">
        <v>179</v>
      </c>
      <c r="B225" t="s">
        <v>430</v>
      </c>
      <c r="D225" t="s">
        <v>336</v>
      </c>
      <c r="E225">
        <v>-1411</v>
      </c>
      <c r="F225" t="str">
        <f>VLOOKUP(E225,CompDbase!B:L,4,FALSE)</f>
        <v>1-Hexanol</v>
      </c>
      <c r="G225" s="95" t="str">
        <f>VLOOKUP(E225,CompDbase!B:M,12,FALSE)</f>
        <v>O2</v>
      </c>
      <c r="H225" s="95">
        <f>VLOOKUP(E225,CompDbase!B:L,8,FALSE)</f>
        <v>102.18</v>
      </c>
      <c r="I225" s="95" t="e">
        <f>VLOOKUP(E225,CompDbase!B:L,11,FALSE)</f>
        <v>#DIV/0!</v>
      </c>
      <c r="J225" s="95">
        <f>VLOOKUP(E225,CompDbase!B:L,9,FALSE)</f>
        <v>5900</v>
      </c>
      <c r="K225" s="95">
        <f>VLOOKUP(E225,CompDbase!B:L,10,FALSE)</f>
        <v>2.0299999999999998</v>
      </c>
      <c r="L225" s="4" t="s">
        <v>769</v>
      </c>
      <c r="N225" s="416">
        <v>940000</v>
      </c>
      <c r="O225" s="4" t="s">
        <v>1044</v>
      </c>
      <c r="P225">
        <v>293</v>
      </c>
      <c r="Q225" s="4" t="s">
        <v>1049</v>
      </c>
      <c r="R225" s="289" t="s">
        <v>1988</v>
      </c>
      <c r="T225" s="95">
        <v>1</v>
      </c>
      <c r="V225" s="33">
        <v>4.0000000000000001E-3</v>
      </c>
      <c r="W225" s="95">
        <f>V225*N225/J225</f>
        <v>0.63728813559322028</v>
      </c>
      <c r="X225" s="288">
        <f t="shared" ref="X225:X233" si="177">LOG(W225)</f>
        <v>-0.19566416671448317</v>
      </c>
      <c r="Z225" s="190"/>
      <c r="AC225" t="s">
        <v>68</v>
      </c>
      <c r="AG225" s="138">
        <f t="shared" ref="AG225:AG233" si="178">X225</f>
        <v>-0.19566416671448317</v>
      </c>
      <c r="AH225">
        <f t="shared" ref="AH225:AI233" si="179">$K225</f>
        <v>2.0299999999999998</v>
      </c>
      <c r="AI225">
        <f>$K225</f>
        <v>2.0299999999999998</v>
      </c>
      <c r="AN225">
        <f t="shared" ref="AN225" si="180">$K225</f>
        <v>2.0299999999999998</v>
      </c>
      <c r="AQ225">
        <f t="shared" ref="AQ225" si="181">$K225</f>
        <v>2.0299999999999998</v>
      </c>
      <c r="BW225" s="138"/>
      <c r="BX225">
        <f>LOG(1*$J225)</f>
        <v>3.7708520116421442</v>
      </c>
      <c r="BY225">
        <f>LOG(1*$J225)</f>
        <v>3.7708520116421442</v>
      </c>
      <c r="CD225">
        <f>LOG(1*$J225)</f>
        <v>3.7708520116421442</v>
      </c>
      <c r="CG225">
        <f>LOG(1*$J225)</f>
        <v>3.7708520116421442</v>
      </c>
      <c r="DG225" s="138"/>
      <c r="EY225" s="479">
        <f>VLOOKUP(B225,Literatuur!$A:$B,2,FALSE)</f>
        <v>37</v>
      </c>
      <c r="EZ225" t="str">
        <f t="shared" si="153"/>
        <v>1-Hexanol</v>
      </c>
      <c r="FA225" t="str">
        <f t="shared" si="154"/>
        <v>O2</v>
      </c>
      <c r="FB225" t="str">
        <f t="shared" si="155"/>
        <v>LDPE</v>
      </c>
      <c r="FC225" t="str">
        <f t="shared" si="156"/>
        <v>Immersion</v>
      </c>
      <c r="FD225">
        <f t="shared" si="157"/>
        <v>293</v>
      </c>
      <c r="FE225" t="str">
        <f t="shared" si="158"/>
        <v>water</v>
      </c>
      <c r="FF225" t="str">
        <f t="shared" si="159"/>
        <v xml:space="preserve">saturated </v>
      </c>
      <c r="FG225" s="408">
        <f t="shared" si="152"/>
        <v>1</v>
      </c>
      <c r="FH225" s="138">
        <f t="shared" si="160"/>
        <v>-0.19566416671448317</v>
      </c>
      <c r="FI225" s="106">
        <f t="shared" si="176"/>
        <v>0.19173186935160658</v>
      </c>
      <c r="FJ225" s="138" t="str">
        <f t="shared" si="161"/>
        <v/>
      </c>
      <c r="FK225" s="138" t="str">
        <f t="shared" si="162"/>
        <v>**</v>
      </c>
    </row>
    <row r="226" spans="1:167" ht="12.75" hidden="1" customHeight="1" x14ac:dyDescent="0.2">
      <c r="A226">
        <v>180</v>
      </c>
      <c r="B226" s="4" t="s">
        <v>430</v>
      </c>
      <c r="C226" s="4"/>
      <c r="D226" t="s">
        <v>370</v>
      </c>
      <c r="E226">
        <v>-1417</v>
      </c>
      <c r="F226" t="str">
        <f>VLOOKUP(E226,CompDbase!B:L,4,FALSE)</f>
        <v>diphenyl ether</v>
      </c>
      <c r="G226" s="95" t="str">
        <f>VLOOKUP(E226,CompDbase!B:M,12,FALSE)</f>
        <v>O2</v>
      </c>
      <c r="H226" s="95">
        <f>VLOOKUP(E226,CompDbase!B:L,8,FALSE)</f>
        <v>170.21</v>
      </c>
      <c r="I226" s="95" t="e">
        <f>VLOOKUP(E226,CompDbase!B:L,11,FALSE)</f>
        <v>#DIV/0!</v>
      </c>
      <c r="J226" s="95">
        <f>VLOOKUP(E226,CompDbase!B:L,9,FALSE)</f>
        <v>20</v>
      </c>
      <c r="K226" s="95">
        <f>VLOOKUP(E226,CompDbase!B:L,10,FALSE)</f>
        <v>4.21</v>
      </c>
      <c r="L226" s="4" t="s">
        <v>769</v>
      </c>
      <c r="M226" s="423"/>
      <c r="N226" s="423"/>
      <c r="O226" s="4" t="s">
        <v>1082</v>
      </c>
      <c r="P226">
        <v>293</v>
      </c>
      <c r="Q226" s="4" t="s">
        <v>1049</v>
      </c>
      <c r="R226" s="289" t="s">
        <v>1982</v>
      </c>
      <c r="S226" s="33">
        <v>1.4E-3</v>
      </c>
      <c r="T226" s="95">
        <f>S226/J226</f>
        <v>6.9999999999999994E-5</v>
      </c>
      <c r="W226">
        <v>25</v>
      </c>
      <c r="X226" s="288">
        <f t="shared" si="177"/>
        <v>1.3979400086720377</v>
      </c>
      <c r="Y226">
        <v>2.3148148148148146E-13</v>
      </c>
      <c r="Z226" s="95">
        <f>LOG(Y226)</f>
        <v>-12.635483746814913</v>
      </c>
      <c r="AA226" s="95">
        <f>W226*Y226</f>
        <v>5.7870370370370368E-12</v>
      </c>
      <c r="AB226" s="288">
        <f>LOG(AA226)</f>
        <v>-11.237543738142875</v>
      </c>
      <c r="AC226" s="95" t="s">
        <v>68</v>
      </c>
      <c r="AD226" s="95"/>
      <c r="AG226" s="138">
        <f t="shared" si="178"/>
        <v>1.3979400086720377</v>
      </c>
      <c r="AH226">
        <f t="shared" si="179"/>
        <v>4.21</v>
      </c>
      <c r="AK226">
        <f t="shared" ref="AK226" si="182">$K226</f>
        <v>4.21</v>
      </c>
      <c r="BW226" s="138"/>
      <c r="BX226">
        <f t="shared" ref="BX226:BX233" si="183">LOG(1*$J226)</f>
        <v>1.3010299956639813</v>
      </c>
      <c r="CA226">
        <f>LOG(1*$J226)</f>
        <v>1.3010299956639813</v>
      </c>
      <c r="DG226">
        <f>Z226</f>
        <v>-12.635483746814913</v>
      </c>
      <c r="DH226">
        <f>$H226</f>
        <v>170.21</v>
      </c>
      <c r="DK226">
        <f t="shared" ref="DK226" si="184">$H226</f>
        <v>170.21</v>
      </c>
      <c r="DO226">
        <f t="shared" ref="DO226" si="185">$H226</f>
        <v>170.21</v>
      </c>
      <c r="EY226" s="479">
        <f>VLOOKUP(B226,Literatuur!$A:$B,2,FALSE)</f>
        <v>37</v>
      </c>
      <c r="EZ226" t="str">
        <f t="shared" si="153"/>
        <v>bifenly ether</v>
      </c>
      <c r="FA226" t="str">
        <f t="shared" si="154"/>
        <v>O2</v>
      </c>
      <c r="FB226" t="str">
        <f t="shared" si="155"/>
        <v>LDPE</v>
      </c>
      <c r="FC226" t="str">
        <f t="shared" si="156"/>
        <v>Permeation</v>
      </c>
      <c r="FD226">
        <f t="shared" si="157"/>
        <v>293</v>
      </c>
      <c r="FE226" t="str">
        <f t="shared" si="158"/>
        <v>water</v>
      </c>
      <c r="FF226" t="str">
        <f t="shared" si="159"/>
        <v>measured 0.0014</v>
      </c>
      <c r="FG226" s="408">
        <f t="shared" si="152"/>
        <v>6.9999999999999994E-5</v>
      </c>
      <c r="FH226" s="138">
        <f t="shared" si="160"/>
        <v>1.3979400086720377</v>
      </c>
      <c r="FI226" s="106" t="str">
        <f t="shared" si="176"/>
        <v>**</v>
      </c>
      <c r="FJ226" s="138">
        <f t="shared" si="161"/>
        <v>-12.635483746814913</v>
      </c>
      <c r="FK226" s="138">
        <f t="shared" si="162"/>
        <v>-12.635483746814913</v>
      </c>
    </row>
    <row r="227" spans="1:167" ht="12.75" hidden="1" customHeight="1" x14ac:dyDescent="0.2">
      <c r="A227">
        <v>181</v>
      </c>
      <c r="B227" t="s">
        <v>430</v>
      </c>
      <c r="D227" t="s">
        <v>340</v>
      </c>
      <c r="E227">
        <v>-1415</v>
      </c>
      <c r="F227" t="str">
        <f>VLOOKUP(E227,CompDbase!B:L,4,FALSE)</f>
        <v>Diisopropyl ether</v>
      </c>
      <c r="G227" s="95" t="str">
        <f>VLOOKUP(E227,CompDbase!B:M,12,FALSE)</f>
        <v>O2</v>
      </c>
      <c r="H227" s="95">
        <f>VLOOKUP(E227,CompDbase!B:L,8,FALSE)</f>
        <v>102.18</v>
      </c>
      <c r="I227" s="95" t="e">
        <f>VLOOKUP(E227,CompDbase!B:L,11,FALSE)</f>
        <v>#DIV/0!</v>
      </c>
      <c r="J227" s="95">
        <f>VLOOKUP(E227,CompDbase!B:L,9,FALSE)</f>
        <v>8900</v>
      </c>
      <c r="K227" s="95">
        <f>VLOOKUP(E227,CompDbase!B:L,10,FALSE)</f>
        <v>1.52</v>
      </c>
      <c r="L227" s="4" t="s">
        <v>769</v>
      </c>
      <c r="N227" s="416">
        <v>940000</v>
      </c>
      <c r="O227" s="4" t="s">
        <v>1044</v>
      </c>
      <c r="P227">
        <v>293</v>
      </c>
      <c r="Q227" s="4" t="s">
        <v>1049</v>
      </c>
      <c r="R227" s="289" t="s">
        <v>1988</v>
      </c>
      <c r="T227" s="95">
        <v>1</v>
      </c>
      <c r="V227" s="33">
        <v>5.5E-2</v>
      </c>
      <c r="W227" s="95">
        <f t="shared" ref="W227:W232" si="186">V227*N227/J227</f>
        <v>5.808988764044944</v>
      </c>
      <c r="X227" s="288">
        <f t="shared" si="177"/>
        <v>0.76410053644902975</v>
      </c>
      <c r="Z227" s="190"/>
      <c r="AC227" t="s">
        <v>68</v>
      </c>
      <c r="AG227" s="138">
        <f t="shared" si="178"/>
        <v>0.76410053644902975</v>
      </c>
      <c r="AH227">
        <f t="shared" si="179"/>
        <v>1.52</v>
      </c>
      <c r="AI227">
        <f t="shared" si="179"/>
        <v>1.52</v>
      </c>
      <c r="AN227">
        <f t="shared" ref="AN227:AN232" si="187">$K227</f>
        <v>1.52</v>
      </c>
      <c r="AQ227">
        <f t="shared" ref="AQ227:AQ232" si="188">$K227</f>
        <v>1.52</v>
      </c>
      <c r="BW227" s="138"/>
      <c r="BX227">
        <f t="shared" si="183"/>
        <v>3.9493900066449128</v>
      </c>
      <c r="BY227">
        <f t="shared" ref="BY227:BY232" si="189">LOG(1*$J227)</f>
        <v>3.9493900066449128</v>
      </c>
      <c r="CD227">
        <f t="shared" ref="CD227:CD232" si="190">LOG(1*$J227)</f>
        <v>3.9493900066449128</v>
      </c>
      <c r="CG227">
        <f t="shared" ref="CG227:CG232" si="191">LOG(1*$J227)</f>
        <v>3.9493900066449128</v>
      </c>
      <c r="DG227" s="138"/>
      <c r="EY227" s="479">
        <f>VLOOKUP(B227,Literatuur!$A:$B,2,FALSE)</f>
        <v>37</v>
      </c>
      <c r="EZ227" t="str">
        <f t="shared" si="153"/>
        <v>Di-isopropylether</v>
      </c>
      <c r="FA227" t="str">
        <f t="shared" si="154"/>
        <v>O2</v>
      </c>
      <c r="FB227" t="str">
        <f t="shared" si="155"/>
        <v>LDPE</v>
      </c>
      <c r="FC227" t="str">
        <f t="shared" si="156"/>
        <v>Immersion</v>
      </c>
      <c r="FD227">
        <f t="shared" si="157"/>
        <v>293</v>
      </c>
      <c r="FE227" t="str">
        <f t="shared" si="158"/>
        <v>water</v>
      </c>
      <c r="FF227" t="str">
        <f t="shared" si="159"/>
        <v xml:space="preserve">saturated </v>
      </c>
      <c r="FG227" s="408">
        <f t="shared" si="152"/>
        <v>1</v>
      </c>
      <c r="FH227" s="138">
        <f t="shared" si="160"/>
        <v>0.76410053644902975</v>
      </c>
      <c r="FI227" s="106">
        <f t="shared" si="176"/>
        <v>-0.30776150729106866</v>
      </c>
      <c r="FJ227" s="138" t="str">
        <f t="shared" si="161"/>
        <v/>
      </c>
      <c r="FK227" s="138" t="str">
        <f t="shared" si="162"/>
        <v>**</v>
      </c>
    </row>
    <row r="228" spans="1:167" ht="12.75" hidden="1" customHeight="1" x14ac:dyDescent="0.2">
      <c r="A228">
        <v>182</v>
      </c>
      <c r="B228" t="s">
        <v>430</v>
      </c>
      <c r="D228" t="s">
        <v>338</v>
      </c>
      <c r="E228">
        <v>-1413</v>
      </c>
      <c r="F228" t="str">
        <f>VLOOKUP(E228,CompDbase!B:L,4,FALSE)</f>
        <v>Di-isopropylketon</v>
      </c>
      <c r="G228" s="95" t="str">
        <f>VLOOKUP(E228,CompDbase!B:M,12,FALSE)</f>
        <v>O2</v>
      </c>
      <c r="H228" s="95">
        <f>VLOOKUP(E228,CompDbase!B:L,8,FALSE)</f>
        <v>114.18</v>
      </c>
      <c r="I228" s="95" t="e">
        <f>VLOOKUP(E228,CompDbase!B:L,11,FALSE)</f>
        <v>#DIV/0!</v>
      </c>
      <c r="J228" s="95">
        <f>VLOOKUP(E228,CompDbase!B:L,9,FALSE)</f>
        <v>5700</v>
      </c>
      <c r="K228" s="95">
        <f>VLOOKUP(E228,CompDbase!B:L,10,FALSE)</f>
        <v>1.86</v>
      </c>
      <c r="L228" s="4" t="s">
        <v>769</v>
      </c>
      <c r="N228" s="416">
        <v>940000</v>
      </c>
      <c r="O228" s="4" t="s">
        <v>1044</v>
      </c>
      <c r="P228">
        <v>293</v>
      </c>
      <c r="Q228" s="4" t="s">
        <v>1049</v>
      </c>
      <c r="R228" s="289" t="s">
        <v>1988</v>
      </c>
      <c r="T228" s="95">
        <v>1</v>
      </c>
      <c r="V228" s="33">
        <v>3.2000000000000001E-2</v>
      </c>
      <c r="W228" s="95">
        <f t="shared" si="186"/>
        <v>5.2771929824561408</v>
      </c>
      <c r="X228" s="288">
        <f t="shared" si="177"/>
        <v>0.72240297624711325</v>
      </c>
      <c r="Z228" s="190"/>
      <c r="AC228" t="s">
        <v>68</v>
      </c>
      <c r="AG228" s="138">
        <f t="shared" si="178"/>
        <v>0.72240297624711325</v>
      </c>
      <c r="AH228">
        <f t="shared" si="179"/>
        <v>1.86</v>
      </c>
      <c r="AI228">
        <f t="shared" si="179"/>
        <v>1.86</v>
      </c>
      <c r="AN228">
        <f t="shared" si="187"/>
        <v>1.86</v>
      </c>
      <c r="AQ228">
        <f t="shared" si="188"/>
        <v>1.86</v>
      </c>
      <c r="BW228" s="138"/>
      <c r="BX228">
        <f t="shared" si="183"/>
        <v>3.7558748556724915</v>
      </c>
      <c r="BY228">
        <f t="shared" si="189"/>
        <v>3.7558748556724915</v>
      </c>
      <c r="CD228">
        <f t="shared" si="190"/>
        <v>3.7558748556724915</v>
      </c>
      <c r="CG228">
        <f t="shared" si="191"/>
        <v>3.7558748556724915</v>
      </c>
      <c r="DG228" s="138"/>
      <c r="EY228" s="479">
        <f>VLOOKUP(B228,Literatuur!$A:$B,2,FALSE)</f>
        <v>37</v>
      </c>
      <c r="EZ228" t="str">
        <f t="shared" si="153"/>
        <v>Di-isopropylketon</v>
      </c>
      <c r="FA228" t="str">
        <f t="shared" si="154"/>
        <v>O2</v>
      </c>
      <c r="FB228" t="str">
        <f t="shared" si="155"/>
        <v>LDPE</v>
      </c>
      <c r="FC228" t="str">
        <f t="shared" si="156"/>
        <v>Immersion</v>
      </c>
      <c r="FD228">
        <f t="shared" si="157"/>
        <v>293</v>
      </c>
      <c r="FE228" t="str">
        <f t="shared" si="158"/>
        <v>water</v>
      </c>
      <c r="FF228" t="str">
        <f t="shared" si="159"/>
        <v xml:space="preserve">saturated </v>
      </c>
      <c r="FG228" s="408">
        <f t="shared" si="152"/>
        <v>1</v>
      </c>
      <c r="FH228" s="138">
        <f t="shared" si="160"/>
        <v>0.72240297624711325</v>
      </c>
      <c r="FI228" s="106">
        <f t="shared" si="176"/>
        <v>2.5234077137381794E-2</v>
      </c>
      <c r="FJ228" s="138" t="str">
        <f t="shared" si="161"/>
        <v/>
      </c>
      <c r="FK228" s="138" t="str">
        <f t="shared" si="162"/>
        <v>**</v>
      </c>
    </row>
    <row r="229" spans="1:167" ht="12.75" hidden="1" customHeight="1" x14ac:dyDescent="0.2">
      <c r="A229">
        <v>183</v>
      </c>
      <c r="B229" t="s">
        <v>430</v>
      </c>
      <c r="D229" t="s">
        <v>334</v>
      </c>
      <c r="E229">
        <v>-1410</v>
      </c>
      <c r="F229" t="str">
        <f>VLOOKUP(E229,CompDbase!B:L,4,FALSE)</f>
        <v>Ethanol</v>
      </c>
      <c r="G229" s="95" t="str">
        <f>VLOOKUP(E229,CompDbase!B:M,12,FALSE)</f>
        <v>O2</v>
      </c>
      <c r="H229" s="95">
        <f>VLOOKUP(E229,CompDbase!B:L,8,FALSE)</f>
        <v>46.07</v>
      </c>
      <c r="I229" s="95" t="e">
        <f>VLOOKUP(E229,CompDbase!B:L,11,FALSE)</f>
        <v>#DIV/0!</v>
      </c>
      <c r="J229" s="95">
        <f>VLOOKUP(E229,CompDbase!B:L,9,FALSE)</f>
        <v>1000000</v>
      </c>
      <c r="K229" s="95">
        <f>VLOOKUP(E229,CompDbase!B:L,10,FALSE)</f>
        <v>-0.30499999999999999</v>
      </c>
      <c r="L229" s="4" t="s">
        <v>769</v>
      </c>
      <c r="N229" s="416">
        <v>940000</v>
      </c>
      <c r="O229" s="4" t="s">
        <v>1044</v>
      </c>
      <c r="P229">
        <v>293</v>
      </c>
      <c r="Q229" s="4" t="s">
        <v>1049</v>
      </c>
      <c r="R229" s="289" t="s">
        <v>1988</v>
      </c>
      <c r="T229" s="95">
        <v>1</v>
      </c>
      <c r="V229" s="33">
        <v>1E-3</v>
      </c>
      <c r="W229" s="95">
        <f t="shared" si="186"/>
        <v>9.3999999999999997E-4</v>
      </c>
      <c r="X229" s="288">
        <f t="shared" si="177"/>
        <v>-3.0268721464003012</v>
      </c>
      <c r="Z229" s="190"/>
      <c r="AC229" t="s">
        <v>68</v>
      </c>
      <c r="AG229" s="138">
        <f t="shared" si="178"/>
        <v>-3.0268721464003012</v>
      </c>
      <c r="AH229">
        <f t="shared" si="179"/>
        <v>-0.30499999999999999</v>
      </c>
      <c r="AI229">
        <f t="shared" si="179"/>
        <v>-0.30499999999999999</v>
      </c>
      <c r="AN229">
        <f t="shared" si="187"/>
        <v>-0.30499999999999999</v>
      </c>
      <c r="AQ229">
        <f t="shared" si="188"/>
        <v>-0.30499999999999999</v>
      </c>
      <c r="BW229" s="138"/>
      <c r="BX229">
        <f t="shared" si="183"/>
        <v>6</v>
      </c>
      <c r="BY229">
        <f t="shared" si="189"/>
        <v>6</v>
      </c>
      <c r="CD229">
        <f t="shared" si="190"/>
        <v>6</v>
      </c>
      <c r="CG229">
        <f t="shared" si="191"/>
        <v>6</v>
      </c>
      <c r="DG229" s="138"/>
      <c r="EY229" s="479">
        <f>VLOOKUP(B229,Literatuur!$A:$B,2,FALSE)</f>
        <v>37</v>
      </c>
      <c r="EZ229" t="str">
        <f t="shared" si="153"/>
        <v>Ethanol</v>
      </c>
      <c r="FA229" t="str">
        <f t="shared" si="154"/>
        <v>O2</v>
      </c>
      <c r="FB229" t="str">
        <f t="shared" si="155"/>
        <v>LDPE</v>
      </c>
      <c r="FC229" t="str">
        <f t="shared" si="156"/>
        <v>Immersion</v>
      </c>
      <c r="FD229">
        <f t="shared" si="157"/>
        <v>293</v>
      </c>
      <c r="FE229" t="str">
        <f t="shared" si="158"/>
        <v>water</v>
      </c>
      <c r="FF229" t="str">
        <f t="shared" si="159"/>
        <v xml:space="preserve">saturated </v>
      </c>
      <c r="FG229" s="408">
        <f t="shared" si="152"/>
        <v>1</v>
      </c>
      <c r="FH229" s="138">
        <f t="shared" si="160"/>
        <v>-3.0268721464003012</v>
      </c>
      <c r="FI229" s="106">
        <f t="shared" si="176"/>
        <v>-2.0951642766496619</v>
      </c>
      <c r="FJ229" s="138" t="str">
        <f t="shared" si="161"/>
        <v/>
      </c>
      <c r="FK229" s="138" t="str">
        <f t="shared" si="162"/>
        <v>**</v>
      </c>
    </row>
    <row r="230" spans="1:167" ht="12.75" hidden="1" customHeight="1" x14ac:dyDescent="0.2">
      <c r="A230">
        <v>184</v>
      </c>
      <c r="B230" t="s">
        <v>430</v>
      </c>
      <c r="D230" t="s">
        <v>89</v>
      </c>
      <c r="E230">
        <v>202</v>
      </c>
      <c r="F230" t="str">
        <f>VLOOKUP(E230,CompDbase!B:L,4,FALSE)</f>
        <v>Phenol</v>
      </c>
      <c r="G230" s="95" t="str">
        <f>VLOOKUP(E230,CompDbase!B:M,12,FALSE)</f>
        <v>O2</v>
      </c>
      <c r="H230" s="95">
        <f>VLOOKUP(E230,CompDbase!B:L,8,FALSE)</f>
        <v>94.104999867169639</v>
      </c>
      <c r="I230" s="95" t="e">
        <f>VLOOKUP(E230,CompDbase!B:L,11,FALSE)</f>
        <v>#DIV/0!</v>
      </c>
      <c r="J230" s="95">
        <f>VLOOKUP(E230,CompDbase!B:L,9,FALSE)</f>
        <v>65559.556704569273</v>
      </c>
      <c r="K230" s="95">
        <f>VLOOKUP(E230,CompDbase!B:L,10,FALSE)</f>
        <v>1.48</v>
      </c>
      <c r="L230" s="4" t="s">
        <v>769</v>
      </c>
      <c r="N230" s="416">
        <v>940000</v>
      </c>
      <c r="O230" s="4" t="s">
        <v>1044</v>
      </c>
      <c r="P230">
        <v>293</v>
      </c>
      <c r="Q230" s="4" t="s">
        <v>1049</v>
      </c>
      <c r="R230" s="289" t="s">
        <v>1988</v>
      </c>
      <c r="T230" s="95">
        <v>1</v>
      </c>
      <c r="V230" s="33">
        <v>2E-3</v>
      </c>
      <c r="W230" s="95">
        <f t="shared" si="186"/>
        <v>2.8676215863872225E-2</v>
      </c>
      <c r="X230" s="288">
        <f t="shared" si="177"/>
        <v>-1.5424781590665952</v>
      </c>
      <c r="Z230" s="190"/>
      <c r="AC230" t="s">
        <v>68</v>
      </c>
      <c r="AG230" s="138">
        <f t="shared" si="178"/>
        <v>-1.5424781590665952</v>
      </c>
      <c r="AH230">
        <f t="shared" si="179"/>
        <v>1.48</v>
      </c>
      <c r="AI230">
        <f t="shared" si="179"/>
        <v>1.48</v>
      </c>
      <c r="AN230">
        <f t="shared" si="187"/>
        <v>1.48</v>
      </c>
      <c r="AQ230">
        <f t="shared" si="188"/>
        <v>1.48</v>
      </c>
      <c r="BW230" s="138"/>
      <c r="BX230">
        <f t="shared" si="183"/>
        <v>4.8166360083302751</v>
      </c>
      <c r="BY230">
        <f t="shared" si="189"/>
        <v>4.8166360083302751</v>
      </c>
      <c r="CD230">
        <f t="shared" si="190"/>
        <v>4.8166360083302751</v>
      </c>
      <c r="CG230">
        <f t="shared" si="191"/>
        <v>4.8166360083302751</v>
      </c>
      <c r="DG230" s="138"/>
      <c r="EY230" s="479">
        <f>VLOOKUP(B230,Literatuur!$A:$B,2,FALSE)</f>
        <v>37</v>
      </c>
      <c r="EZ230" t="str">
        <f t="shared" si="153"/>
        <v>Fenol</v>
      </c>
      <c r="FA230" t="str">
        <f t="shared" si="154"/>
        <v>O2</v>
      </c>
      <c r="FB230" t="str">
        <f t="shared" si="155"/>
        <v>LDPE</v>
      </c>
      <c r="FC230" t="str">
        <f t="shared" si="156"/>
        <v>Immersion</v>
      </c>
      <c r="FD230">
        <f t="shared" si="157"/>
        <v>293</v>
      </c>
      <c r="FE230" t="str">
        <f t="shared" si="158"/>
        <v>water</v>
      </c>
      <c r="FF230" t="str">
        <f t="shared" si="159"/>
        <v xml:space="preserve">saturated </v>
      </c>
      <c r="FG230" s="408">
        <f t="shared" si="152"/>
        <v>1</v>
      </c>
      <c r="FH230" s="138">
        <f t="shared" si="160"/>
        <v>-1.5424781590665952</v>
      </c>
      <c r="FI230" s="106">
        <f t="shared" si="176"/>
        <v>-0.34693745840029822</v>
      </c>
      <c r="FJ230" s="138" t="str">
        <f t="shared" si="161"/>
        <v/>
      </c>
      <c r="FK230" s="138" t="str">
        <f t="shared" si="162"/>
        <v>**</v>
      </c>
    </row>
    <row r="231" spans="1:167" ht="12.75" hidden="1" customHeight="1" x14ac:dyDescent="0.2">
      <c r="A231">
        <v>185</v>
      </c>
      <c r="B231" t="s">
        <v>430</v>
      </c>
      <c r="D231" t="s">
        <v>339</v>
      </c>
      <c r="E231">
        <v>-1414</v>
      </c>
      <c r="F231" t="str">
        <f>VLOOKUP(E231,CompDbase!B:L,4,FALSE)</f>
        <v>methoxybenzene</v>
      </c>
      <c r="G231" s="95" t="str">
        <f>VLOOKUP(E231,CompDbase!B:M,12,FALSE)</f>
        <v>O2</v>
      </c>
      <c r="H231" s="95">
        <f>VLOOKUP(E231,CompDbase!B:L,8,FALSE)</f>
        <v>108.14</v>
      </c>
      <c r="I231" s="95" t="e">
        <f>VLOOKUP(E231,CompDbase!B:L,11,FALSE)</f>
        <v>#DIV/0!</v>
      </c>
      <c r="J231" s="95">
        <f>VLOOKUP(E231,CompDbase!B:L,9,FALSE)</f>
        <v>1040</v>
      </c>
      <c r="K231" s="95">
        <f>VLOOKUP(E231,CompDbase!B:L,10,FALSE)</f>
        <v>2.11</v>
      </c>
      <c r="L231" s="4" t="s">
        <v>769</v>
      </c>
      <c r="N231" s="416">
        <v>940000</v>
      </c>
      <c r="O231" s="4" t="s">
        <v>1044</v>
      </c>
      <c r="P231">
        <v>293</v>
      </c>
      <c r="Q231" s="4" t="s">
        <v>1049</v>
      </c>
      <c r="R231" s="289" t="s">
        <v>1988</v>
      </c>
      <c r="T231" s="95">
        <v>1</v>
      </c>
      <c r="V231" s="33">
        <v>5.5E-2</v>
      </c>
      <c r="W231" s="95">
        <f t="shared" si="186"/>
        <v>49.71153846153846</v>
      </c>
      <c r="X231" s="288">
        <f t="shared" si="177"/>
        <v>1.6964572037951622</v>
      </c>
      <c r="Z231" s="190"/>
      <c r="AC231" t="s">
        <v>68</v>
      </c>
      <c r="AG231" s="138">
        <f t="shared" si="178"/>
        <v>1.6964572037951622</v>
      </c>
      <c r="AH231">
        <f t="shared" si="179"/>
        <v>2.11</v>
      </c>
      <c r="AI231">
        <f t="shared" si="179"/>
        <v>2.11</v>
      </c>
      <c r="AN231">
        <f t="shared" si="187"/>
        <v>2.11</v>
      </c>
      <c r="AQ231">
        <f t="shared" si="188"/>
        <v>2.11</v>
      </c>
      <c r="BW231" s="138"/>
      <c r="BX231">
        <f t="shared" si="183"/>
        <v>3.0170333392987803</v>
      </c>
      <c r="BY231">
        <f t="shared" si="189"/>
        <v>3.0170333392987803</v>
      </c>
      <c r="CD231">
        <f t="shared" si="190"/>
        <v>3.0170333392987803</v>
      </c>
      <c r="CG231">
        <f t="shared" si="191"/>
        <v>3.0170333392987803</v>
      </c>
      <c r="DG231" s="138"/>
      <c r="EY231" s="479">
        <f>VLOOKUP(B231,Literatuur!$A:$B,2,FALSE)</f>
        <v>37</v>
      </c>
      <c r="EZ231" t="str">
        <f t="shared" si="153"/>
        <v>Methoxybenzeen</v>
      </c>
      <c r="FA231" t="str">
        <f t="shared" si="154"/>
        <v>O2</v>
      </c>
      <c r="FB231" t="str">
        <f t="shared" si="155"/>
        <v>LDPE</v>
      </c>
      <c r="FC231" t="str">
        <f t="shared" si="156"/>
        <v>Immersion</v>
      </c>
      <c r="FD231">
        <f t="shared" si="157"/>
        <v>293</v>
      </c>
      <c r="FE231" t="str">
        <f t="shared" si="158"/>
        <v>water</v>
      </c>
      <c r="FF231" t="str">
        <f t="shared" si="159"/>
        <v xml:space="preserve">saturated </v>
      </c>
      <c r="FG231" s="408">
        <f t="shared" si="152"/>
        <v>1</v>
      </c>
      <c r="FH231" s="138">
        <f t="shared" si="160"/>
        <v>1.6964572037951622</v>
      </c>
      <c r="FI231" s="106">
        <f t="shared" si="176"/>
        <v>0.27008377157006569</v>
      </c>
      <c r="FJ231" s="138" t="str">
        <f t="shared" si="161"/>
        <v/>
      </c>
      <c r="FK231" s="138" t="str">
        <f t="shared" si="162"/>
        <v>**</v>
      </c>
    </row>
    <row r="232" spans="1:167" ht="12.75" hidden="1" customHeight="1" x14ac:dyDescent="0.2">
      <c r="A232">
        <v>186</v>
      </c>
      <c r="B232" t="s">
        <v>430</v>
      </c>
      <c r="D232" t="s">
        <v>337</v>
      </c>
      <c r="E232">
        <v>1093</v>
      </c>
      <c r="F232" t="str">
        <f>VLOOKUP(E232,CompDbase!B:L,4,FALSE)</f>
        <v>2-Butanone</v>
      </c>
      <c r="G232" s="95" t="str">
        <f>VLOOKUP(E232,CompDbase!B:M,12,FALSE)</f>
        <v>O2</v>
      </c>
      <c r="H232" s="95">
        <f>VLOOKUP(E232,CompDbase!B:L,8,FALSE)</f>
        <v>72</v>
      </c>
      <c r="I232" s="95">
        <f>VLOOKUP(E232,CompDbase!B:L,11,FALSE)</f>
        <v>90.2</v>
      </c>
      <c r="J232" s="95">
        <f>VLOOKUP(E232,CompDbase!B:L,9,FALSE)</f>
        <v>352800</v>
      </c>
      <c r="K232" s="95">
        <f>VLOOKUP(E232,CompDbase!B:L,10,FALSE)</f>
        <v>0.27549999999999997</v>
      </c>
      <c r="L232" s="4" t="s">
        <v>769</v>
      </c>
      <c r="N232" s="416">
        <v>940000</v>
      </c>
      <c r="O232" s="4" t="s">
        <v>1044</v>
      </c>
      <c r="P232">
        <v>293</v>
      </c>
      <c r="Q232" s="4" t="s">
        <v>1049</v>
      </c>
      <c r="R232" s="289" t="s">
        <v>1988</v>
      </c>
      <c r="T232" s="95">
        <v>1</v>
      </c>
      <c r="V232" s="33">
        <v>1.9E-2</v>
      </c>
      <c r="W232" s="95">
        <f t="shared" si="186"/>
        <v>5.0623582766439912E-2</v>
      </c>
      <c r="X232" s="288">
        <f t="shared" si="177"/>
        <v>-1.2956471219072545</v>
      </c>
      <c r="Y232">
        <v>8.1018518518518529E-13</v>
      </c>
      <c r="Z232" s="95">
        <f t="shared" ref="Z232:Z242" si="192">LOG(Y232)</f>
        <v>-12.091415702464637</v>
      </c>
      <c r="AA232" s="95">
        <f>W232*Y232</f>
        <v>4.1014476778365675E-14</v>
      </c>
      <c r="AB232" s="288">
        <f>LOG(AA232)</f>
        <v>-13.38706282437189</v>
      </c>
      <c r="AC232" s="95"/>
      <c r="AD232" s="95"/>
      <c r="AG232" s="138">
        <f t="shared" si="178"/>
        <v>-1.2956471219072545</v>
      </c>
      <c r="AH232">
        <f t="shared" si="179"/>
        <v>0.27549999999999997</v>
      </c>
      <c r="AI232">
        <f t="shared" si="179"/>
        <v>0.27549999999999997</v>
      </c>
      <c r="AN232">
        <f t="shared" si="187"/>
        <v>0.27549999999999997</v>
      </c>
      <c r="AQ232">
        <f t="shared" si="188"/>
        <v>0.27549999999999997</v>
      </c>
      <c r="BW232" s="138"/>
      <c r="BX232">
        <f t="shared" si="183"/>
        <v>5.5475285764597819</v>
      </c>
      <c r="BY232">
        <f t="shared" si="189"/>
        <v>5.5475285764597819</v>
      </c>
      <c r="CD232">
        <f t="shared" si="190"/>
        <v>5.5475285764597819</v>
      </c>
      <c r="CG232">
        <f t="shared" si="191"/>
        <v>5.5475285764597819</v>
      </c>
      <c r="DG232">
        <f t="shared" ref="DG232:DG242" si="193">Z232</f>
        <v>-12.091415702464637</v>
      </c>
      <c r="DH232">
        <f t="shared" ref="DH232:DI242" si="194">$H232</f>
        <v>72</v>
      </c>
      <c r="DI232">
        <f t="shared" si="194"/>
        <v>72</v>
      </c>
      <c r="EY232" s="479">
        <f>VLOOKUP(B232,Literatuur!$A:$B,2,FALSE)</f>
        <v>37</v>
      </c>
      <c r="EZ232" t="str">
        <f t="shared" si="153"/>
        <v>Methylethylketon</v>
      </c>
      <c r="FA232" t="str">
        <f t="shared" si="154"/>
        <v>O2</v>
      </c>
      <c r="FB232" t="str">
        <f t="shared" si="155"/>
        <v>LDPE</v>
      </c>
      <c r="FC232" t="str">
        <f t="shared" si="156"/>
        <v>Immersion</v>
      </c>
      <c r="FD232">
        <f t="shared" si="157"/>
        <v>293</v>
      </c>
      <c r="FE232" t="str">
        <f t="shared" si="158"/>
        <v>water</v>
      </c>
      <c r="FF232" t="str">
        <f t="shared" si="159"/>
        <v xml:space="preserve">saturated </v>
      </c>
      <c r="FG232" s="408">
        <f t="shared" si="152"/>
        <v>1</v>
      </c>
      <c r="FH232" s="138">
        <f t="shared" si="160"/>
        <v>-1.2956471219072545</v>
      </c>
      <c r="FI232" s="106">
        <f t="shared" si="176"/>
        <v>-1.5266232861769697</v>
      </c>
      <c r="FJ232" s="138">
        <f t="shared" si="161"/>
        <v>-12.091415702464637</v>
      </c>
      <c r="FK232" s="138" t="str">
        <f t="shared" si="162"/>
        <v>**</v>
      </c>
    </row>
    <row r="233" spans="1:167" ht="12.75" hidden="1" customHeight="1" x14ac:dyDescent="0.2">
      <c r="A233">
        <v>187</v>
      </c>
      <c r="B233" s="4" t="s">
        <v>430</v>
      </c>
      <c r="C233" s="4"/>
      <c r="D233" t="s">
        <v>337</v>
      </c>
      <c r="E233">
        <v>1093</v>
      </c>
      <c r="F233" t="str">
        <f>VLOOKUP(E233,CompDbase!B:L,4,FALSE)</f>
        <v>2-Butanone</v>
      </c>
      <c r="G233" s="95" t="str">
        <f>VLOOKUP(E233,CompDbase!B:M,12,FALSE)</f>
        <v>O2</v>
      </c>
      <c r="H233" s="95">
        <f>VLOOKUP(E233,CompDbase!B:L,8,FALSE)</f>
        <v>72</v>
      </c>
      <c r="I233" s="95">
        <f>VLOOKUP(E233,CompDbase!B:L,11,FALSE)</f>
        <v>90.2</v>
      </c>
      <c r="J233" s="95">
        <f>VLOOKUP(E233,CompDbase!B:L,9,FALSE)</f>
        <v>352800</v>
      </c>
      <c r="K233" s="95">
        <f>VLOOKUP(E233,CompDbase!B:L,10,FALSE)</f>
        <v>0.27549999999999997</v>
      </c>
      <c r="L233" s="4" t="s">
        <v>769</v>
      </c>
      <c r="M233" s="423"/>
      <c r="N233" s="423"/>
      <c r="O233" s="4" t="s">
        <v>1082</v>
      </c>
      <c r="P233">
        <v>293</v>
      </c>
      <c r="Q233" s="4" t="s">
        <v>1049</v>
      </c>
      <c r="R233" s="289" t="s">
        <v>1982</v>
      </c>
      <c r="S233" s="33">
        <v>13.1</v>
      </c>
      <c r="T233" s="95">
        <f>S233/J233</f>
        <v>3.7131519274376415E-5</v>
      </c>
      <c r="W233">
        <v>0.18</v>
      </c>
      <c r="X233" s="288">
        <f t="shared" si="177"/>
        <v>-0.74472749489669399</v>
      </c>
      <c r="Y233">
        <v>3.7037037037037041E-13</v>
      </c>
      <c r="Z233" s="95">
        <f t="shared" si="192"/>
        <v>-12.431363764158988</v>
      </c>
      <c r="AA233" s="95">
        <f>W233*Y233</f>
        <v>6.6666666666666669E-14</v>
      </c>
      <c r="AB233" s="288">
        <f>LOG(AA233)</f>
        <v>-13.176091259055681</v>
      </c>
      <c r="AC233" s="95" t="s">
        <v>68</v>
      </c>
      <c r="AD233" s="95"/>
      <c r="AG233" s="138">
        <f t="shared" si="178"/>
        <v>-0.74472749489669399</v>
      </c>
      <c r="AH233">
        <f t="shared" si="179"/>
        <v>0.27549999999999997</v>
      </c>
      <c r="AK233">
        <f t="shared" ref="AK233" si="195">$K233</f>
        <v>0.27549999999999997</v>
      </c>
      <c r="BW233" s="138"/>
      <c r="BX233">
        <f t="shared" si="183"/>
        <v>5.5475285764597819</v>
      </c>
      <c r="CA233">
        <f>LOG(1*$J233)</f>
        <v>5.5475285764597819</v>
      </c>
      <c r="DG233">
        <f t="shared" si="193"/>
        <v>-12.431363764158988</v>
      </c>
      <c r="DH233">
        <f t="shared" si="194"/>
        <v>72</v>
      </c>
      <c r="DK233">
        <f t="shared" ref="DK233" si="196">$H233</f>
        <v>72</v>
      </c>
      <c r="DO233">
        <f t="shared" ref="DO233" si="197">$H233</f>
        <v>72</v>
      </c>
      <c r="EY233" s="479">
        <f>VLOOKUP(B233,Literatuur!$A:$B,2,FALSE)</f>
        <v>37</v>
      </c>
      <c r="EZ233" t="str">
        <f t="shared" si="153"/>
        <v>Methylethylketon</v>
      </c>
      <c r="FA233" t="str">
        <f t="shared" si="154"/>
        <v>O2</v>
      </c>
      <c r="FB233" t="str">
        <f t="shared" si="155"/>
        <v>LDPE</v>
      </c>
      <c r="FC233" t="str">
        <f t="shared" si="156"/>
        <v>Permeation</v>
      </c>
      <c r="FD233">
        <f t="shared" si="157"/>
        <v>293</v>
      </c>
      <c r="FE233" t="str">
        <f t="shared" si="158"/>
        <v>water</v>
      </c>
      <c r="FF233" t="str">
        <f t="shared" si="159"/>
        <v>measured 13.1</v>
      </c>
      <c r="FG233" s="408">
        <f t="shared" si="152"/>
        <v>3.7131519274376415E-5</v>
      </c>
      <c r="FH233" s="138">
        <f t="shared" si="160"/>
        <v>-0.74472749489669399</v>
      </c>
      <c r="FI233" s="106" t="str">
        <f t="shared" si="176"/>
        <v>**</v>
      </c>
      <c r="FJ233" s="138">
        <f t="shared" si="161"/>
        <v>-12.431363764158988</v>
      </c>
      <c r="FK233" s="138">
        <f t="shared" si="162"/>
        <v>-12.431363764158988</v>
      </c>
    </row>
    <row r="234" spans="1:167" ht="12.75" hidden="1" customHeight="1" x14ac:dyDescent="0.2">
      <c r="A234">
        <v>188</v>
      </c>
      <c r="B234" t="s">
        <v>1235</v>
      </c>
      <c r="D234" s="4" t="s">
        <v>805</v>
      </c>
      <c r="E234">
        <v>-1660</v>
      </c>
      <c r="F234" t="str">
        <f>VLOOKUP(E234,CompDbase!B:L,4,FALSE)</f>
        <v>2,3-Benzopyrole</v>
      </c>
      <c r="G234" s="95" t="str">
        <f>VLOOKUP(E234,CompDbase!B:M,12,FALSE)</f>
        <v>onbekend</v>
      </c>
      <c r="H234" s="95">
        <f>VLOOKUP(E234,CompDbase!B:L,8,FALSE)</f>
        <v>117</v>
      </c>
      <c r="I234" s="95" t="e">
        <f>VLOOKUP(E234,CompDbase!B:L,11,FALSE)</f>
        <v>#DIV/0!</v>
      </c>
      <c r="J234" s="95" t="e">
        <f>VLOOKUP(E234,CompDbase!B:L,9,FALSE)</f>
        <v>#DIV/0!</v>
      </c>
      <c r="K234" s="95" t="e">
        <f>VLOOKUP(E234,CompDbase!B:L,10,FALSE)</f>
        <v>#DIV/0!</v>
      </c>
      <c r="L234" s="4" t="s">
        <v>769</v>
      </c>
      <c r="M234" s="423"/>
      <c r="N234" s="423"/>
      <c r="O234" s="4"/>
      <c r="P234">
        <v>296</v>
      </c>
      <c r="Q234" s="4" t="s">
        <v>1049</v>
      </c>
      <c r="T234" s="95"/>
      <c r="Y234">
        <v>5.5000000000000008E-13</v>
      </c>
      <c r="Z234" s="95">
        <f t="shared" si="192"/>
        <v>-12.259637310505756</v>
      </c>
      <c r="AC234" t="s">
        <v>68</v>
      </c>
      <c r="AG234" s="138"/>
      <c r="BW234" s="138"/>
      <c r="DG234">
        <f t="shared" si="193"/>
        <v>-12.259637310505756</v>
      </c>
      <c r="DH234">
        <f t="shared" si="194"/>
        <v>117</v>
      </c>
      <c r="EY234" s="479">
        <f>VLOOKUP(B234,Literatuur!$A:$B,2,FALSE)</f>
        <v>21</v>
      </c>
      <c r="EZ234" t="str">
        <f t="shared" si="153"/>
        <v>2,3-Benzopyrole (Indole)</v>
      </c>
      <c r="FA234" t="str">
        <f t="shared" si="154"/>
        <v>onbekend</v>
      </c>
      <c r="FB234" t="str">
        <f t="shared" si="155"/>
        <v>LDPE</v>
      </c>
      <c r="FC234" t="str">
        <f t="shared" si="156"/>
        <v/>
      </c>
      <c r="FD234">
        <f t="shared" si="157"/>
        <v>296</v>
      </c>
      <c r="FE234" t="str">
        <f t="shared" si="158"/>
        <v>water</v>
      </c>
      <c r="FF234" t="str">
        <f t="shared" si="159"/>
        <v xml:space="preserve"> </v>
      </c>
      <c r="FG234" s="408" t="str">
        <f t="shared" si="152"/>
        <v/>
      </c>
      <c r="FH234" s="138" t="str">
        <f t="shared" si="160"/>
        <v/>
      </c>
      <c r="FI234" s="106" t="str">
        <f t="shared" si="176"/>
        <v>**</v>
      </c>
      <c r="FJ234" s="138">
        <f t="shared" si="161"/>
        <v>-12.259637310505756</v>
      </c>
      <c r="FK234" s="138" t="str">
        <f t="shared" si="162"/>
        <v>**</v>
      </c>
    </row>
    <row r="235" spans="1:167" ht="12.75" hidden="1" customHeight="1" x14ac:dyDescent="0.2">
      <c r="A235">
        <v>189</v>
      </c>
      <c r="B235" t="s">
        <v>1235</v>
      </c>
      <c r="D235" s="4" t="s">
        <v>833</v>
      </c>
      <c r="E235">
        <v>-1689</v>
      </c>
      <c r="F235" t="str">
        <f>VLOOKUP(E235,CompDbase!B:L,4,FALSE)</f>
        <v>3-(3,5-di-tert-butyl-4-hydroxy phenyl)-propionate</v>
      </c>
      <c r="G235" s="95" t="str">
        <f>VLOOKUP(E235,CompDbase!B:M,12,FALSE)</f>
        <v>onbekend</v>
      </c>
      <c r="H235" s="95">
        <f>VLOOKUP(E235,CompDbase!B:L,8,FALSE)</f>
        <v>531</v>
      </c>
      <c r="I235" s="95" t="e">
        <f>VLOOKUP(E235,CompDbase!B:L,11,FALSE)</f>
        <v>#DIV/0!</v>
      </c>
      <c r="J235" s="95" t="e">
        <f>VLOOKUP(E235,CompDbase!B:L,9,FALSE)</f>
        <v>#DIV/0!</v>
      </c>
      <c r="K235" s="95" t="e">
        <f>VLOOKUP(E235,CompDbase!B:L,10,FALSE)</f>
        <v>#DIV/0!</v>
      </c>
      <c r="L235" s="4" t="s">
        <v>769</v>
      </c>
      <c r="M235" s="423"/>
      <c r="N235" s="423"/>
      <c r="O235" s="4"/>
      <c r="P235">
        <v>296</v>
      </c>
      <c r="Q235" s="4" t="s">
        <v>1049</v>
      </c>
      <c r="T235" s="95"/>
      <c r="Y235">
        <v>1.1000000000000001E-15</v>
      </c>
      <c r="Z235" s="95">
        <f t="shared" si="192"/>
        <v>-14.958607314841775</v>
      </c>
      <c r="AC235" t="s">
        <v>68</v>
      </c>
      <c r="AG235" s="138"/>
      <c r="BW235" s="138"/>
      <c r="DG235">
        <f t="shared" si="193"/>
        <v>-14.958607314841775</v>
      </c>
      <c r="DH235">
        <f t="shared" si="194"/>
        <v>531</v>
      </c>
      <c r="EY235" s="479">
        <f>VLOOKUP(B235,Literatuur!$A:$B,2,FALSE)</f>
        <v>21</v>
      </c>
      <c r="EZ235" t="str">
        <f t="shared" si="153"/>
        <v>3-(3,5-di-tert-butyl-4-hydroxy phenyl)-propionate (Irganox 1076)</v>
      </c>
      <c r="FA235" t="str">
        <f t="shared" si="154"/>
        <v>onbekend</v>
      </c>
      <c r="FB235" t="str">
        <f t="shared" si="155"/>
        <v>LDPE</v>
      </c>
      <c r="FC235" t="str">
        <f t="shared" si="156"/>
        <v/>
      </c>
      <c r="FD235">
        <f t="shared" si="157"/>
        <v>296</v>
      </c>
      <c r="FE235" t="str">
        <f t="shared" si="158"/>
        <v>water</v>
      </c>
      <c r="FF235" t="str">
        <f t="shared" si="159"/>
        <v xml:space="preserve"> </v>
      </c>
      <c r="FG235" s="408" t="str">
        <f t="shared" si="152"/>
        <v/>
      </c>
      <c r="FH235" s="138" t="str">
        <f t="shared" si="160"/>
        <v/>
      </c>
      <c r="FI235" s="106" t="str">
        <f t="shared" si="176"/>
        <v>**</v>
      </c>
      <c r="FJ235" s="138">
        <f t="shared" si="161"/>
        <v>-14.958607314841775</v>
      </c>
      <c r="FK235" s="138" t="str">
        <f t="shared" si="162"/>
        <v>**</v>
      </c>
    </row>
    <row r="236" spans="1:167" ht="12.75" hidden="1" customHeight="1" x14ac:dyDescent="0.2">
      <c r="A236">
        <v>190</v>
      </c>
      <c r="B236" t="s">
        <v>1235</v>
      </c>
      <c r="D236" s="4" t="s">
        <v>812</v>
      </c>
      <c r="E236">
        <v>-1668</v>
      </c>
      <c r="F236" t="str">
        <f>VLOOKUP(E236,CompDbase!B:L,4,FALSE)</f>
        <v>7-Methyl-chinoline</v>
      </c>
      <c r="G236" s="95" t="str">
        <f>VLOOKUP(E236,CompDbase!B:M,12,FALSE)</f>
        <v>onbekend</v>
      </c>
      <c r="H236" s="95">
        <f>VLOOKUP(E236,CompDbase!B:L,8,FALSE)</f>
        <v>143</v>
      </c>
      <c r="I236" s="95" t="e">
        <f>VLOOKUP(E236,CompDbase!B:L,11,FALSE)</f>
        <v>#DIV/0!</v>
      </c>
      <c r="J236" s="95" t="e">
        <f>VLOOKUP(E236,CompDbase!B:L,9,FALSE)</f>
        <v>#DIV/0!</v>
      </c>
      <c r="K236" s="95" t="e">
        <f>VLOOKUP(E236,CompDbase!B:L,10,FALSE)</f>
        <v>#DIV/0!</v>
      </c>
      <c r="L236" s="4" t="s">
        <v>769</v>
      </c>
      <c r="M236" s="423"/>
      <c r="N236" s="423"/>
      <c r="O236" s="4"/>
      <c r="P236">
        <v>296</v>
      </c>
      <c r="Q236" s="4" t="s">
        <v>1049</v>
      </c>
      <c r="T236" s="95"/>
      <c r="Y236">
        <v>4.3000000000000009E-13</v>
      </c>
      <c r="Z236" s="95">
        <f t="shared" si="192"/>
        <v>-12.366531544420413</v>
      </c>
      <c r="AC236" t="s">
        <v>68</v>
      </c>
      <c r="AG236" s="138"/>
      <c r="BW236" s="138"/>
      <c r="DG236">
        <f t="shared" si="193"/>
        <v>-12.366531544420413</v>
      </c>
      <c r="DH236">
        <f t="shared" si="194"/>
        <v>143</v>
      </c>
      <c r="EY236" s="479">
        <f>VLOOKUP(B236,Literatuur!$A:$B,2,FALSE)</f>
        <v>21</v>
      </c>
      <c r="EZ236" t="str">
        <f t="shared" si="153"/>
        <v>7-Methyl-chinoline</v>
      </c>
      <c r="FA236" t="str">
        <f t="shared" si="154"/>
        <v>onbekend</v>
      </c>
      <c r="FB236" t="str">
        <f t="shared" si="155"/>
        <v>LDPE</v>
      </c>
      <c r="FC236" t="str">
        <f t="shared" si="156"/>
        <v/>
      </c>
      <c r="FD236">
        <f t="shared" si="157"/>
        <v>296</v>
      </c>
      <c r="FE236" t="str">
        <f t="shared" si="158"/>
        <v>water</v>
      </c>
      <c r="FF236" t="str">
        <f t="shared" si="159"/>
        <v xml:space="preserve"> </v>
      </c>
      <c r="FG236" s="408" t="str">
        <f t="shared" si="152"/>
        <v/>
      </c>
      <c r="FH236" s="138" t="str">
        <f t="shared" si="160"/>
        <v/>
      </c>
      <c r="FI236" s="106" t="str">
        <f t="shared" si="176"/>
        <v>**</v>
      </c>
      <c r="FJ236" s="138">
        <f t="shared" si="161"/>
        <v>-12.366531544420413</v>
      </c>
      <c r="FK236" s="138" t="str">
        <f t="shared" si="162"/>
        <v>**</v>
      </c>
    </row>
    <row r="237" spans="1:167" ht="12.75" hidden="1" customHeight="1" x14ac:dyDescent="0.2">
      <c r="A237">
        <v>191</v>
      </c>
      <c r="B237" t="s">
        <v>1235</v>
      </c>
      <c r="D237" s="4" t="s">
        <v>832</v>
      </c>
      <c r="E237">
        <v>-1688</v>
      </c>
      <c r="F237" t="str">
        <f>VLOOKUP(E237,CompDbase!B:L,4,FALSE)</f>
        <v>Didodecyl-3,3-thio-dipropionate</v>
      </c>
      <c r="G237" s="95" t="str">
        <f>VLOOKUP(E237,CompDbase!B:M,12,FALSE)</f>
        <v>onbekend</v>
      </c>
      <c r="H237" s="95">
        <f>VLOOKUP(E237,CompDbase!B:L,8,FALSE)</f>
        <v>514</v>
      </c>
      <c r="I237" s="95" t="e">
        <f>VLOOKUP(E237,CompDbase!B:L,11,FALSE)</f>
        <v>#DIV/0!</v>
      </c>
      <c r="J237" s="95" t="e">
        <f>VLOOKUP(E237,CompDbase!B:L,9,FALSE)</f>
        <v>#DIV/0!</v>
      </c>
      <c r="K237" s="95" t="e">
        <f>VLOOKUP(E237,CompDbase!B:L,10,FALSE)</f>
        <v>#DIV/0!</v>
      </c>
      <c r="L237" s="4" t="s">
        <v>769</v>
      </c>
      <c r="M237" s="423"/>
      <c r="N237" s="423"/>
      <c r="O237" s="4"/>
      <c r="P237">
        <v>296</v>
      </c>
      <c r="Q237" s="4" t="s">
        <v>1049</v>
      </c>
      <c r="T237" s="95"/>
      <c r="Y237">
        <v>2.0000000000000002E-15</v>
      </c>
      <c r="Z237" s="95">
        <f t="shared" si="192"/>
        <v>-14.698970004336019</v>
      </c>
      <c r="AC237" t="s">
        <v>68</v>
      </c>
      <c r="AG237" s="138"/>
      <c r="BW237" s="138"/>
      <c r="DG237">
        <f t="shared" si="193"/>
        <v>-14.698970004336019</v>
      </c>
      <c r="DH237">
        <f t="shared" si="194"/>
        <v>514</v>
      </c>
      <c r="EY237" s="479">
        <f>VLOOKUP(B237,Literatuur!$A:$B,2,FALSE)</f>
        <v>21</v>
      </c>
      <c r="EZ237" t="str">
        <f t="shared" si="153"/>
        <v>Didodecyl-3,3-thio-dipropionate</v>
      </c>
      <c r="FA237" t="str">
        <f t="shared" si="154"/>
        <v>onbekend</v>
      </c>
      <c r="FB237" t="str">
        <f t="shared" si="155"/>
        <v>LDPE</v>
      </c>
      <c r="FC237" t="str">
        <f t="shared" si="156"/>
        <v/>
      </c>
      <c r="FD237">
        <f t="shared" si="157"/>
        <v>296</v>
      </c>
      <c r="FE237" t="str">
        <f t="shared" si="158"/>
        <v>water</v>
      </c>
      <c r="FF237" t="str">
        <f t="shared" si="159"/>
        <v xml:space="preserve"> </v>
      </c>
      <c r="FG237" s="408" t="str">
        <f t="shared" si="152"/>
        <v/>
      </c>
      <c r="FH237" s="138" t="str">
        <f t="shared" si="160"/>
        <v/>
      </c>
      <c r="FI237" s="106" t="str">
        <f t="shared" si="176"/>
        <v>**</v>
      </c>
      <c r="FJ237" s="138">
        <f t="shared" si="161"/>
        <v>-14.698970004336019</v>
      </c>
      <c r="FK237" s="138" t="str">
        <f t="shared" si="162"/>
        <v>**</v>
      </c>
    </row>
    <row r="238" spans="1:167" ht="12.75" hidden="1" customHeight="1" x14ac:dyDescent="0.2">
      <c r="A238">
        <v>192</v>
      </c>
      <c r="B238" t="s">
        <v>1235</v>
      </c>
      <c r="D238" s="4" t="s">
        <v>814</v>
      </c>
      <c r="E238">
        <v>-1670</v>
      </c>
      <c r="F238" t="str">
        <f>VLOOKUP(E238,CompDbase!B:L,4,FALSE)</f>
        <v>Dimethyl-benzyl-carbinol</v>
      </c>
      <c r="G238" s="95" t="str">
        <f>VLOOKUP(E238,CompDbase!B:M,12,FALSE)</f>
        <v>onbekend</v>
      </c>
      <c r="H238" s="95">
        <f>VLOOKUP(E238,CompDbase!B:L,8,FALSE)</f>
        <v>150</v>
      </c>
      <c r="I238" s="95" t="e">
        <f>VLOOKUP(E238,CompDbase!B:L,11,FALSE)</f>
        <v>#DIV/0!</v>
      </c>
      <c r="J238" s="95" t="e">
        <f>VLOOKUP(E238,CompDbase!B:L,9,FALSE)</f>
        <v>#DIV/0!</v>
      </c>
      <c r="K238" s="95" t="e">
        <f>VLOOKUP(E238,CompDbase!B:L,10,FALSE)</f>
        <v>#DIV/0!</v>
      </c>
      <c r="L238" s="4" t="s">
        <v>769</v>
      </c>
      <c r="M238" s="423"/>
      <c r="N238" s="423"/>
      <c r="O238" s="4"/>
      <c r="P238">
        <v>296</v>
      </c>
      <c r="Q238" s="4" t="s">
        <v>1049</v>
      </c>
      <c r="T238" s="95"/>
      <c r="Y238">
        <v>7.5000000000000009E-14</v>
      </c>
      <c r="Z238" s="95">
        <f t="shared" si="192"/>
        <v>-13.1249387366083</v>
      </c>
      <c r="AC238" t="s">
        <v>68</v>
      </c>
      <c r="AG238" s="138"/>
      <c r="BW238" s="138"/>
      <c r="DG238">
        <f t="shared" si="193"/>
        <v>-13.1249387366083</v>
      </c>
      <c r="DH238">
        <f t="shared" si="194"/>
        <v>150</v>
      </c>
      <c r="EY238" s="479">
        <f>VLOOKUP(B238,Literatuur!$A:$B,2,FALSE)</f>
        <v>21</v>
      </c>
      <c r="EZ238" t="str">
        <f t="shared" si="153"/>
        <v>Dimethyl-benzyl-carbinol</v>
      </c>
      <c r="FA238" t="str">
        <f t="shared" si="154"/>
        <v>onbekend</v>
      </c>
      <c r="FB238" t="str">
        <f t="shared" si="155"/>
        <v>LDPE</v>
      </c>
      <c r="FC238" t="str">
        <f t="shared" si="156"/>
        <v/>
      </c>
      <c r="FD238">
        <f t="shared" si="157"/>
        <v>296</v>
      </c>
      <c r="FE238" t="str">
        <f t="shared" si="158"/>
        <v>water</v>
      </c>
      <c r="FF238" t="str">
        <f t="shared" si="159"/>
        <v xml:space="preserve"> </v>
      </c>
      <c r="FG238" s="408" t="str">
        <f t="shared" si="152"/>
        <v/>
      </c>
      <c r="FH238" s="138" t="str">
        <f t="shared" si="160"/>
        <v/>
      </c>
      <c r="FI238" s="106" t="str">
        <f t="shared" si="176"/>
        <v>**</v>
      </c>
      <c r="FJ238" s="138">
        <f t="shared" si="161"/>
        <v>-13.1249387366083</v>
      </c>
      <c r="FK238" s="138" t="str">
        <f t="shared" si="162"/>
        <v>**</v>
      </c>
    </row>
    <row r="239" spans="1:167" ht="12.75" hidden="1" customHeight="1" x14ac:dyDescent="0.2">
      <c r="A239">
        <v>193</v>
      </c>
      <c r="B239" t="s">
        <v>1235</v>
      </c>
      <c r="D239" s="4" t="s">
        <v>827</v>
      </c>
      <c r="E239">
        <v>-1683</v>
      </c>
      <c r="F239" t="str">
        <f>VLOOKUP(E239,CompDbase!B:L,4,FALSE)</f>
        <v>Docosane</v>
      </c>
      <c r="G239" s="95" t="str">
        <f>VLOOKUP(E239,CompDbase!B:M,12,FALSE)</f>
        <v>onbekend</v>
      </c>
      <c r="H239" s="95">
        <f>VLOOKUP(E239,CompDbase!B:L,8,FALSE)</f>
        <v>310</v>
      </c>
      <c r="I239" s="95" t="e">
        <f>VLOOKUP(E239,CompDbase!B:L,11,FALSE)</f>
        <v>#DIV/0!</v>
      </c>
      <c r="J239" s="95" t="e">
        <f>VLOOKUP(E239,CompDbase!B:L,9,FALSE)</f>
        <v>#DIV/0!</v>
      </c>
      <c r="K239" s="95" t="e">
        <f>VLOOKUP(E239,CompDbase!B:L,10,FALSE)</f>
        <v>#DIV/0!</v>
      </c>
      <c r="L239" s="4" t="s">
        <v>769</v>
      </c>
      <c r="M239" s="423"/>
      <c r="N239" s="423"/>
      <c r="O239" s="4"/>
      <c r="P239">
        <v>296</v>
      </c>
      <c r="Q239" s="4" t="s">
        <v>1049</v>
      </c>
      <c r="T239" s="95"/>
      <c r="Y239">
        <v>3.5000000000000002E-14</v>
      </c>
      <c r="Z239" s="95">
        <f t="shared" si="192"/>
        <v>-13.455931955649724</v>
      </c>
      <c r="AC239" t="s">
        <v>68</v>
      </c>
      <c r="AG239" s="138"/>
      <c r="BW239" s="138"/>
      <c r="DG239">
        <f t="shared" si="193"/>
        <v>-13.455931955649724</v>
      </c>
      <c r="DH239">
        <f t="shared" si="194"/>
        <v>310</v>
      </c>
      <c r="EY239" s="479">
        <f>VLOOKUP(B239,Literatuur!$A:$B,2,FALSE)</f>
        <v>21</v>
      </c>
      <c r="EZ239" t="str">
        <f t="shared" si="153"/>
        <v>Docosane</v>
      </c>
      <c r="FA239" t="str">
        <f t="shared" si="154"/>
        <v>onbekend</v>
      </c>
      <c r="FB239" t="str">
        <f t="shared" si="155"/>
        <v>LDPE</v>
      </c>
      <c r="FC239" t="str">
        <f t="shared" si="156"/>
        <v/>
      </c>
      <c r="FD239">
        <f t="shared" si="157"/>
        <v>296</v>
      </c>
      <c r="FE239" t="str">
        <f t="shared" si="158"/>
        <v>water</v>
      </c>
      <c r="FF239" t="str">
        <f t="shared" si="159"/>
        <v xml:space="preserve"> </v>
      </c>
      <c r="FG239" s="408" t="str">
        <f t="shared" ref="FG239:FG302" si="198">IF(ISNUMBER(T239),T239,"")</f>
        <v/>
      </c>
      <c r="FH239" s="138" t="str">
        <f t="shared" si="160"/>
        <v/>
      </c>
      <c r="FI239" s="106" t="str">
        <f t="shared" si="176"/>
        <v>**</v>
      </c>
      <c r="FJ239" s="138">
        <f t="shared" si="161"/>
        <v>-13.455931955649724</v>
      </c>
      <c r="FK239" s="138" t="str">
        <f t="shared" si="162"/>
        <v>**</v>
      </c>
    </row>
    <row r="240" spans="1:167" ht="12.75" hidden="1" customHeight="1" x14ac:dyDescent="0.2">
      <c r="A240">
        <v>194</v>
      </c>
      <c r="B240" t="s">
        <v>1235</v>
      </c>
      <c r="D240" s="4" t="s">
        <v>826</v>
      </c>
      <c r="E240">
        <v>-1682</v>
      </c>
      <c r="F240" t="str">
        <f>VLOOKUP(E240,CompDbase!B:L,4,FALSE)</f>
        <v>Eicosane</v>
      </c>
      <c r="G240" s="95" t="str">
        <f>VLOOKUP(E240,CompDbase!B:M,12,FALSE)</f>
        <v>onbekend</v>
      </c>
      <c r="H240" s="95">
        <f>VLOOKUP(E240,CompDbase!B:L,8,FALSE)</f>
        <v>282</v>
      </c>
      <c r="I240" s="95" t="e">
        <f>VLOOKUP(E240,CompDbase!B:L,11,FALSE)</f>
        <v>#DIV/0!</v>
      </c>
      <c r="J240" s="95" t="e">
        <f>VLOOKUP(E240,CompDbase!B:L,9,FALSE)</f>
        <v>#DIV/0!</v>
      </c>
      <c r="K240" s="95" t="e">
        <f>VLOOKUP(E240,CompDbase!B:L,10,FALSE)</f>
        <v>#DIV/0!</v>
      </c>
      <c r="L240" s="4" t="s">
        <v>769</v>
      </c>
      <c r="M240" s="423"/>
      <c r="N240" s="423"/>
      <c r="O240" s="4"/>
      <c r="P240">
        <v>296</v>
      </c>
      <c r="Q240" s="4" t="s">
        <v>1049</v>
      </c>
      <c r="T240" s="95"/>
      <c r="Y240">
        <v>6.2999999999999997E-14</v>
      </c>
      <c r="Z240" s="95">
        <f t="shared" si="192"/>
        <v>-13.200659450546418</v>
      </c>
      <c r="AC240" t="s">
        <v>68</v>
      </c>
      <c r="AG240" s="138"/>
      <c r="BW240" s="138"/>
      <c r="DG240">
        <f t="shared" si="193"/>
        <v>-13.200659450546418</v>
      </c>
      <c r="DH240">
        <f t="shared" si="194"/>
        <v>282</v>
      </c>
      <c r="EY240" s="479">
        <f>VLOOKUP(B240,Literatuur!$A:$B,2,FALSE)</f>
        <v>21</v>
      </c>
      <c r="EZ240" t="str">
        <f t="shared" ref="EZ240:EZ303" si="199">D240</f>
        <v>Eicosane</v>
      </c>
      <c r="FA240" t="str">
        <f t="shared" ref="FA240:FA303" si="200">G240</f>
        <v>onbekend</v>
      </c>
      <c r="FB240" t="str">
        <f t="shared" ref="FB240:FB303" si="201">L240</f>
        <v>LDPE</v>
      </c>
      <c r="FC240" t="str">
        <f t="shared" ref="FC240:FC303" si="202">CONCATENATE(O240)</f>
        <v/>
      </c>
      <c r="FD240">
        <f t="shared" ref="FD240:FD303" si="203">P240</f>
        <v>296</v>
      </c>
      <c r="FE240" t="str">
        <f t="shared" ref="FE240:FE303" si="204">Q240</f>
        <v>water</v>
      </c>
      <c r="FF240" t="str">
        <f t="shared" ref="FF240:FF303" si="205">CONCATENATE(R240," ",S240)</f>
        <v xml:space="preserve"> </v>
      </c>
      <c r="FG240" s="408" t="str">
        <f t="shared" si="198"/>
        <v/>
      </c>
      <c r="FH240" s="138" t="str">
        <f t="shared" ref="FH240:FH303" si="206">IF(ISNUMBER(X240),X240,"")</f>
        <v/>
      </c>
      <c r="FI240" s="106" t="str">
        <f t="shared" si="176"/>
        <v>**</v>
      </c>
      <c r="FJ240" s="138">
        <f t="shared" ref="FJ240:FJ303" si="207">IF(ISNUMBER(Z240),Z240,"")</f>
        <v>-13.200659450546418</v>
      </c>
      <c r="FK240" s="138" t="str">
        <f t="shared" ref="FK240:FK303" si="208">IF(ISNUMBER(DM240),DM240*DM$19+DM$21,IF(ISNUMBER(DN240),DN240*DN$19+DN$21,IF(ISNUMBER(DO240),DO240*DO$19+DO$21,"**")))</f>
        <v>**</v>
      </c>
    </row>
    <row r="241" spans="1:167" ht="12.75" hidden="1" customHeight="1" x14ac:dyDescent="0.2">
      <c r="A241">
        <v>195</v>
      </c>
      <c r="B241" t="s">
        <v>1235</v>
      </c>
      <c r="D241" s="4" t="s">
        <v>831</v>
      </c>
      <c r="E241">
        <v>-1687</v>
      </c>
      <c r="F241" t="str">
        <f>VLOOKUP(E241,CompDbase!B:L,4,FALSE)</f>
        <v>Methyl-octacosanate</v>
      </c>
      <c r="G241" s="95" t="str">
        <f>VLOOKUP(E241,CompDbase!B:M,12,FALSE)</f>
        <v>onbekend</v>
      </c>
      <c r="H241" s="95">
        <f>VLOOKUP(E241,CompDbase!B:L,8,FALSE)</f>
        <v>438</v>
      </c>
      <c r="I241" s="95" t="e">
        <f>VLOOKUP(E241,CompDbase!B:L,11,FALSE)</f>
        <v>#DIV/0!</v>
      </c>
      <c r="J241" s="95" t="e">
        <f>VLOOKUP(E241,CompDbase!B:L,9,FALSE)</f>
        <v>#DIV/0!</v>
      </c>
      <c r="K241" s="95" t="e">
        <f>VLOOKUP(E241,CompDbase!B:L,10,FALSE)</f>
        <v>#DIV/0!</v>
      </c>
      <c r="L241" s="4" t="s">
        <v>769</v>
      </c>
      <c r="M241" s="423"/>
      <c r="N241" s="423"/>
      <c r="O241" s="4"/>
      <c r="P241">
        <v>296</v>
      </c>
      <c r="Q241" s="4" t="s">
        <v>1049</v>
      </c>
      <c r="T241" s="95"/>
      <c r="Y241">
        <v>3.0000000000000002E-15</v>
      </c>
      <c r="Z241" s="95">
        <f t="shared" si="192"/>
        <v>-14.522878745280337</v>
      </c>
      <c r="AC241" t="s">
        <v>68</v>
      </c>
      <c r="AG241" s="138"/>
      <c r="BW241" s="138"/>
      <c r="DG241">
        <f t="shared" si="193"/>
        <v>-14.522878745280337</v>
      </c>
      <c r="DH241">
        <f t="shared" si="194"/>
        <v>438</v>
      </c>
      <c r="EY241" s="479">
        <f>VLOOKUP(B241,Literatuur!$A:$B,2,FALSE)</f>
        <v>21</v>
      </c>
      <c r="EZ241" t="str">
        <f t="shared" si="199"/>
        <v>Methyl-octacosanate</v>
      </c>
      <c r="FA241" t="str">
        <f t="shared" si="200"/>
        <v>onbekend</v>
      </c>
      <c r="FB241" t="str">
        <f t="shared" si="201"/>
        <v>LDPE</v>
      </c>
      <c r="FC241" t="str">
        <f t="shared" si="202"/>
        <v/>
      </c>
      <c r="FD241">
        <f t="shared" si="203"/>
        <v>296</v>
      </c>
      <c r="FE241" t="str">
        <f t="shared" si="204"/>
        <v>water</v>
      </c>
      <c r="FF241" t="str">
        <f t="shared" si="205"/>
        <v xml:space="preserve"> </v>
      </c>
      <c r="FG241" s="408" t="str">
        <f t="shared" si="198"/>
        <v/>
      </c>
      <c r="FH241" s="138" t="str">
        <f t="shared" si="206"/>
        <v/>
      </c>
      <c r="FI241" s="106" t="str">
        <f t="shared" si="176"/>
        <v>**</v>
      </c>
      <c r="FJ241" s="138">
        <f t="shared" si="207"/>
        <v>-14.522878745280337</v>
      </c>
      <c r="FK241" s="138" t="str">
        <f t="shared" si="208"/>
        <v>**</v>
      </c>
    </row>
    <row r="242" spans="1:167" ht="12.75" hidden="1" customHeight="1" x14ac:dyDescent="0.2">
      <c r="A242">
        <v>196</v>
      </c>
      <c r="B242" t="s">
        <v>1235</v>
      </c>
      <c r="D242" s="4" t="s">
        <v>830</v>
      </c>
      <c r="E242">
        <v>-1686</v>
      </c>
      <c r="F242" t="str">
        <f>VLOOKUP(E242,CompDbase!B:L,4,FALSE)</f>
        <v>Methyl-tricosanante</v>
      </c>
      <c r="G242" s="95" t="str">
        <f>VLOOKUP(E242,CompDbase!B:M,12,FALSE)</f>
        <v>onbekend</v>
      </c>
      <c r="H242" s="95">
        <f>VLOOKUP(E242,CompDbase!B:L,8,FALSE)</f>
        <v>368</v>
      </c>
      <c r="I242" s="95" t="e">
        <f>VLOOKUP(E242,CompDbase!B:L,11,FALSE)</f>
        <v>#DIV/0!</v>
      </c>
      <c r="J242" s="95" t="e">
        <f>VLOOKUP(E242,CompDbase!B:L,9,FALSE)</f>
        <v>#DIV/0!</v>
      </c>
      <c r="K242" s="95" t="e">
        <f>VLOOKUP(E242,CompDbase!B:L,10,FALSE)</f>
        <v>#DIV/0!</v>
      </c>
      <c r="L242" s="4" t="s">
        <v>769</v>
      </c>
      <c r="M242" s="423"/>
      <c r="N242" s="423"/>
      <c r="O242" s="4"/>
      <c r="P242">
        <v>296</v>
      </c>
      <c r="Q242" s="4" t="s">
        <v>1049</v>
      </c>
      <c r="T242" s="95"/>
      <c r="Y242">
        <v>1.4999999999999999E-14</v>
      </c>
      <c r="Z242" s="95">
        <f t="shared" si="192"/>
        <v>-13.823908740944319</v>
      </c>
      <c r="AC242" t="s">
        <v>68</v>
      </c>
      <c r="AG242" s="138"/>
      <c r="BW242" s="138"/>
      <c r="DG242">
        <f t="shared" si="193"/>
        <v>-13.823908740944319</v>
      </c>
      <c r="DH242">
        <f t="shared" si="194"/>
        <v>368</v>
      </c>
      <c r="EY242" s="479">
        <f>VLOOKUP(B242,Literatuur!$A:$B,2,FALSE)</f>
        <v>21</v>
      </c>
      <c r="EZ242" t="str">
        <f t="shared" si="199"/>
        <v>Methyl-tricosanante</v>
      </c>
      <c r="FA242" t="str">
        <f t="shared" si="200"/>
        <v>onbekend</v>
      </c>
      <c r="FB242" t="str">
        <f t="shared" si="201"/>
        <v>LDPE</v>
      </c>
      <c r="FC242" t="str">
        <f t="shared" si="202"/>
        <v/>
      </c>
      <c r="FD242">
        <f t="shared" si="203"/>
        <v>296</v>
      </c>
      <c r="FE242" t="str">
        <f t="shared" si="204"/>
        <v>water</v>
      </c>
      <c r="FF242" t="str">
        <f t="shared" si="205"/>
        <v xml:space="preserve"> </v>
      </c>
      <c r="FG242" s="408" t="str">
        <f t="shared" si="198"/>
        <v/>
      </c>
      <c r="FH242" s="138" t="str">
        <f t="shared" si="206"/>
        <v/>
      </c>
      <c r="FI242" s="106" t="str">
        <f t="shared" si="176"/>
        <v>**</v>
      </c>
      <c r="FJ242" s="138">
        <f t="shared" si="207"/>
        <v>-13.823908740944319</v>
      </c>
      <c r="FK242" s="138" t="str">
        <f t="shared" si="208"/>
        <v>**</v>
      </c>
    </row>
    <row r="243" spans="1:167" ht="12.75" hidden="1" customHeight="1" x14ac:dyDescent="0.2">
      <c r="A243">
        <v>197</v>
      </c>
      <c r="B243" t="s">
        <v>1547</v>
      </c>
      <c r="C243" s="4"/>
      <c r="D243" t="s">
        <v>1191</v>
      </c>
      <c r="E243">
        <v>-1761</v>
      </c>
      <c r="F243" t="str">
        <f>VLOOKUP(E243,CompDbase!B:L,4,FALSE)</f>
        <v>2,7/8-DiCDD</v>
      </c>
      <c r="G243" s="95" t="str">
        <f>VLOOKUP(E243,CompDbase!B:M,12,FALSE)</f>
        <v>overige</v>
      </c>
      <c r="H243" s="95">
        <f>VLOOKUP(E243,CompDbase!B:L,8,FALSE)</f>
        <v>253.1</v>
      </c>
      <c r="I243" s="95">
        <f>VLOOKUP(E243,CompDbase!B:L,11,FALSE)</f>
        <v>168.5</v>
      </c>
      <c r="J243" s="95">
        <f>VLOOKUP(E243,CompDbase!B:L,9,FALSE)</f>
        <v>0.20104447620871552</v>
      </c>
      <c r="K243" s="95">
        <f>VLOOKUP(E243,CompDbase!B:L,10,FALSE)</f>
        <v>5.6</v>
      </c>
      <c r="L243" s="4" t="s">
        <v>769</v>
      </c>
      <c r="M243" s="420"/>
      <c r="N243" s="420"/>
      <c r="O243" s="4" t="s">
        <v>1986</v>
      </c>
      <c r="P243">
        <f>273+24</f>
        <v>297</v>
      </c>
      <c r="Q243" s="4" t="s">
        <v>1049</v>
      </c>
      <c r="R243" s="289" t="s">
        <v>1983</v>
      </c>
      <c r="S243" s="4"/>
      <c r="T243" s="95">
        <v>1</v>
      </c>
      <c r="W243" s="199">
        <f>10^X243</f>
        <v>251188.64315095844</v>
      </c>
      <c r="X243">
        <v>5.4</v>
      </c>
      <c r="Z243" s="190"/>
      <c r="AC243" t="s">
        <v>68</v>
      </c>
      <c r="AG243" s="138">
        <f>X243</f>
        <v>5.4</v>
      </c>
      <c r="AH243">
        <f>$K243</f>
        <v>5.6</v>
      </c>
      <c r="AI243">
        <f>$K243</f>
        <v>5.6</v>
      </c>
      <c r="BW243" s="138"/>
      <c r="BX243">
        <f>LOG(1*$J243)</f>
        <v>-0.69670785484174602</v>
      </c>
      <c r="BY243">
        <f>LOG(1*$J243)</f>
        <v>-0.69670785484174602</v>
      </c>
      <c r="DG243" s="138"/>
      <c r="EY243" s="479">
        <f>VLOOKUP(B243,Literatuur!$A:$B,2,FALSE)</f>
        <v>2</v>
      </c>
      <c r="EZ243" t="str">
        <f t="shared" si="199"/>
        <v>2,7/8-DiCDD</v>
      </c>
      <c r="FA243" t="str">
        <f t="shared" si="200"/>
        <v>overige</v>
      </c>
      <c r="FB243" t="str">
        <f t="shared" si="201"/>
        <v>LDPE</v>
      </c>
      <c r="FC243" t="str">
        <f t="shared" si="202"/>
        <v>Immersion (spinning)</v>
      </c>
      <c r="FD243">
        <f t="shared" si="203"/>
        <v>297</v>
      </c>
      <c r="FE243" t="str">
        <f t="shared" si="204"/>
        <v>water</v>
      </c>
      <c r="FF243" t="str">
        <f t="shared" si="205"/>
        <v xml:space="preserve">saturated ?? </v>
      </c>
      <c r="FG243" s="408">
        <f t="shared" si="198"/>
        <v>1</v>
      </c>
      <c r="FH243" s="138">
        <f t="shared" si="206"/>
        <v>5.4</v>
      </c>
      <c r="FI243" s="106" t="str">
        <f t="shared" si="176"/>
        <v>**</v>
      </c>
      <c r="FJ243" s="138" t="str">
        <f t="shared" si="207"/>
        <v/>
      </c>
      <c r="FK243" s="138" t="str">
        <f t="shared" si="208"/>
        <v>**</v>
      </c>
    </row>
    <row r="244" spans="1:167" ht="12.75" hidden="1" customHeight="1" x14ac:dyDescent="0.2">
      <c r="A244">
        <v>198</v>
      </c>
      <c r="B244" s="4" t="s">
        <v>1935</v>
      </c>
      <c r="C244" s="4"/>
      <c r="D244" s="4" t="s">
        <v>1465</v>
      </c>
      <c r="E244" s="4">
        <v>-1795</v>
      </c>
      <c r="F244" t="str">
        <f>VLOOKUP(E244,CompDbase!B:L,4,FALSE)</f>
        <v>UV1</v>
      </c>
      <c r="G244" s="95" t="str">
        <f>VLOOKUP(E244,CompDbase!B:M,12,FALSE)</f>
        <v>overige</v>
      </c>
      <c r="H244" s="95">
        <f>VLOOKUP(E244,CompDbase!B:L,8,FALSE)</f>
        <v>214</v>
      </c>
      <c r="I244" s="95" t="e">
        <f>VLOOKUP(E244,CompDbase!B:L,11,FALSE)</f>
        <v>#DIV/0!</v>
      </c>
      <c r="J244" s="95" t="e">
        <f>VLOOKUP(E244,CompDbase!B:L,9,FALSE)</f>
        <v>#DIV/0!</v>
      </c>
      <c r="K244" s="95" t="e">
        <f>VLOOKUP(E244,CompDbase!B:L,10,FALSE)</f>
        <v>#DIV/0!</v>
      </c>
      <c r="L244" s="4" t="s">
        <v>769</v>
      </c>
      <c r="M244" s="423"/>
      <c r="N244" s="423"/>
      <c r="O244" s="4" t="s">
        <v>1740</v>
      </c>
      <c r="P244">
        <f>273+23</f>
        <v>296</v>
      </c>
      <c r="Q244" s="4" t="s">
        <v>1049</v>
      </c>
      <c r="S244" s="4"/>
      <c r="T244" s="95"/>
      <c r="V244">
        <v>3.0000000000000001E-5</v>
      </c>
      <c r="Y244">
        <v>2.7100000000000006E-14</v>
      </c>
      <c r="Z244" s="95">
        <f t="shared" ref="Z244:Z253" si="209">LOG(Y244)</f>
        <v>-13.567030709125595</v>
      </c>
      <c r="AC244" t="s">
        <v>68</v>
      </c>
      <c r="AG244" s="138"/>
      <c r="BW244" s="138"/>
      <c r="DG244">
        <f t="shared" ref="DG244:DG257" si="210">Z244</f>
        <v>-13.567030709125595</v>
      </c>
      <c r="DH244">
        <f t="shared" ref="DH244:DI257" si="211">$H244</f>
        <v>214</v>
      </c>
      <c r="DL244">
        <f t="shared" ref="DL244:DL253" si="212">$H244</f>
        <v>214</v>
      </c>
      <c r="EY244" s="479">
        <f>VLOOKUP(B244,Literatuur!$A:$B,2,FALSE)</f>
        <v>4</v>
      </c>
      <c r="EZ244" t="str">
        <f t="shared" si="199"/>
        <v>UV1</v>
      </c>
      <c r="FA244" t="str">
        <f t="shared" si="200"/>
        <v>overige</v>
      </c>
      <c r="FB244" t="str">
        <f t="shared" si="201"/>
        <v>LDPE</v>
      </c>
      <c r="FC244" t="str">
        <f t="shared" si="202"/>
        <v>Filmstacking</v>
      </c>
      <c r="FD244">
        <f t="shared" si="203"/>
        <v>296</v>
      </c>
      <c r="FE244" t="str">
        <f t="shared" si="204"/>
        <v>water</v>
      </c>
      <c r="FF244" t="str">
        <f t="shared" si="205"/>
        <v xml:space="preserve"> </v>
      </c>
      <c r="FG244" s="408" t="str">
        <f t="shared" si="198"/>
        <v/>
      </c>
      <c r="FH244" s="138" t="str">
        <f t="shared" si="206"/>
        <v/>
      </c>
      <c r="FI244" s="106" t="str">
        <f t="shared" si="176"/>
        <v>**</v>
      </c>
      <c r="FJ244" s="138">
        <f t="shared" si="207"/>
        <v>-13.567030709125595</v>
      </c>
      <c r="FK244" s="138" t="str">
        <f t="shared" si="208"/>
        <v>**</v>
      </c>
    </row>
    <row r="245" spans="1:167" ht="12.75" hidden="1" customHeight="1" x14ac:dyDescent="0.2">
      <c r="A245">
        <v>199</v>
      </c>
      <c r="B245" s="4" t="s">
        <v>1935</v>
      </c>
      <c r="C245" s="4"/>
      <c r="D245" s="4" t="s">
        <v>1476</v>
      </c>
      <c r="E245" s="4">
        <v>-1804</v>
      </c>
      <c r="F245" t="str">
        <f>VLOOKUP(E245,CompDbase!B:L,4,FALSE)</f>
        <v>UV10</v>
      </c>
      <c r="G245" s="95" t="str">
        <f>VLOOKUP(E245,CompDbase!B:M,12,FALSE)</f>
        <v>overige</v>
      </c>
      <c r="H245" s="95">
        <f>VLOOKUP(E245,CompDbase!B:L,8,FALSE)</f>
        <v>585</v>
      </c>
      <c r="I245" s="95" t="e">
        <f>VLOOKUP(E245,CompDbase!B:L,11,FALSE)</f>
        <v>#DIV/0!</v>
      </c>
      <c r="J245" s="95" t="e">
        <f>VLOOKUP(E245,CompDbase!B:L,9,FALSE)</f>
        <v>#DIV/0!</v>
      </c>
      <c r="K245" s="95" t="e">
        <f>VLOOKUP(E245,CompDbase!B:L,10,FALSE)</f>
        <v>#DIV/0!</v>
      </c>
      <c r="L245" s="4" t="s">
        <v>769</v>
      </c>
      <c r="M245" s="423"/>
      <c r="N245" s="423"/>
      <c r="O245" s="4" t="s">
        <v>1740</v>
      </c>
      <c r="P245">
        <v>296</v>
      </c>
      <c r="Q245" s="4" t="s">
        <v>1049</v>
      </c>
      <c r="S245" s="4"/>
      <c r="T245" s="95"/>
      <c r="V245">
        <v>4.0999999999999995E-3</v>
      </c>
      <c r="Y245">
        <v>2.0000000000000002E-15</v>
      </c>
      <c r="Z245" s="95">
        <f t="shared" si="209"/>
        <v>-14.698970004336019</v>
      </c>
      <c r="AC245" t="s">
        <v>68</v>
      </c>
      <c r="AG245" s="138"/>
      <c r="BW245" s="138"/>
      <c r="DG245">
        <f t="shared" si="210"/>
        <v>-14.698970004336019</v>
      </c>
      <c r="DH245">
        <f t="shared" si="211"/>
        <v>585</v>
      </c>
      <c r="DL245">
        <f t="shared" si="212"/>
        <v>585</v>
      </c>
      <c r="EY245" s="479">
        <f>VLOOKUP(B245,Literatuur!$A:$B,2,FALSE)</f>
        <v>4</v>
      </c>
      <c r="EZ245" t="str">
        <f t="shared" si="199"/>
        <v>UV10</v>
      </c>
      <c r="FA245" t="str">
        <f t="shared" si="200"/>
        <v>overige</v>
      </c>
      <c r="FB245" t="str">
        <f t="shared" si="201"/>
        <v>LDPE</v>
      </c>
      <c r="FC245" t="str">
        <f t="shared" si="202"/>
        <v>Filmstacking</v>
      </c>
      <c r="FD245">
        <f t="shared" si="203"/>
        <v>296</v>
      </c>
      <c r="FE245" t="str">
        <f t="shared" si="204"/>
        <v>water</v>
      </c>
      <c r="FF245" t="str">
        <f t="shared" si="205"/>
        <v xml:space="preserve"> </v>
      </c>
      <c r="FG245" s="408" t="str">
        <f t="shared" si="198"/>
        <v/>
      </c>
      <c r="FH245" s="138" t="str">
        <f t="shared" si="206"/>
        <v/>
      </c>
      <c r="FI245" s="106" t="str">
        <f t="shared" si="176"/>
        <v>**</v>
      </c>
      <c r="FJ245" s="138">
        <f t="shared" si="207"/>
        <v>-14.698970004336019</v>
      </c>
      <c r="FK245" s="138" t="str">
        <f t="shared" si="208"/>
        <v>**</v>
      </c>
    </row>
    <row r="246" spans="1:167" ht="12.75" hidden="1" customHeight="1" x14ac:dyDescent="0.2">
      <c r="A246">
        <v>200</v>
      </c>
      <c r="B246" s="4" t="s">
        <v>1935</v>
      </c>
      <c r="C246" s="4"/>
      <c r="D246" s="4" t="s">
        <v>1466</v>
      </c>
      <c r="E246" s="4">
        <v>-1796</v>
      </c>
      <c r="F246" t="str">
        <f>VLOOKUP(E246,CompDbase!B:L,4,FALSE)</f>
        <v>UV2</v>
      </c>
      <c r="G246" s="95" t="str">
        <f>VLOOKUP(E246,CompDbase!B:M,12,FALSE)</f>
        <v>overige</v>
      </c>
      <c r="H246" s="95">
        <f>VLOOKUP(E246,CompDbase!B:L,8,FALSE)</f>
        <v>258</v>
      </c>
      <c r="I246" s="95" t="e">
        <f>VLOOKUP(E246,CompDbase!B:L,11,FALSE)</f>
        <v>#DIV/0!</v>
      </c>
      <c r="J246" s="95" t="e">
        <f>VLOOKUP(E246,CompDbase!B:L,9,FALSE)</f>
        <v>#DIV/0!</v>
      </c>
      <c r="K246" s="95" t="e">
        <f>VLOOKUP(E246,CompDbase!B:L,10,FALSE)</f>
        <v>#DIV/0!</v>
      </c>
      <c r="L246" s="4" t="s">
        <v>769</v>
      </c>
      <c r="M246" s="423"/>
      <c r="N246" s="423"/>
      <c r="O246" s="4" t="s">
        <v>1740</v>
      </c>
      <c r="P246">
        <v>296</v>
      </c>
      <c r="Q246" s="4" t="s">
        <v>1049</v>
      </c>
      <c r="S246" s="4"/>
      <c r="T246" s="95"/>
      <c r="V246">
        <v>1.7999999999999998E-4</v>
      </c>
      <c r="Y246">
        <v>2.38E-14</v>
      </c>
      <c r="Z246" s="95">
        <f t="shared" si="209"/>
        <v>-13.623423042943488</v>
      </c>
      <c r="AC246" t="s">
        <v>68</v>
      </c>
      <c r="AG246" s="138"/>
      <c r="BW246" s="138"/>
      <c r="DG246">
        <f t="shared" si="210"/>
        <v>-13.623423042943488</v>
      </c>
      <c r="DH246">
        <f t="shared" si="211"/>
        <v>258</v>
      </c>
      <c r="DL246">
        <f t="shared" si="212"/>
        <v>258</v>
      </c>
      <c r="EY246" s="479">
        <f>VLOOKUP(B246,Literatuur!$A:$B,2,FALSE)</f>
        <v>4</v>
      </c>
      <c r="EZ246" t="str">
        <f t="shared" si="199"/>
        <v>UV2</v>
      </c>
      <c r="FA246" t="str">
        <f t="shared" si="200"/>
        <v>overige</v>
      </c>
      <c r="FB246" t="str">
        <f t="shared" si="201"/>
        <v>LDPE</v>
      </c>
      <c r="FC246" t="str">
        <f t="shared" si="202"/>
        <v>Filmstacking</v>
      </c>
      <c r="FD246">
        <f t="shared" si="203"/>
        <v>296</v>
      </c>
      <c r="FE246" t="str">
        <f t="shared" si="204"/>
        <v>water</v>
      </c>
      <c r="FF246" t="str">
        <f t="shared" si="205"/>
        <v xml:space="preserve"> </v>
      </c>
      <c r="FG246" s="408" t="str">
        <f t="shared" si="198"/>
        <v/>
      </c>
      <c r="FH246" s="138" t="str">
        <f t="shared" si="206"/>
        <v/>
      </c>
      <c r="FI246" s="106" t="str">
        <f t="shared" si="176"/>
        <v>**</v>
      </c>
      <c r="FJ246" s="138">
        <f t="shared" si="207"/>
        <v>-13.623423042943488</v>
      </c>
      <c r="FK246" s="138" t="str">
        <f t="shared" si="208"/>
        <v>**</v>
      </c>
    </row>
    <row r="247" spans="1:167" ht="12.75" hidden="1" customHeight="1" x14ac:dyDescent="0.2">
      <c r="A247">
        <v>201</v>
      </c>
      <c r="B247" s="4" t="s">
        <v>1935</v>
      </c>
      <c r="C247" s="4"/>
      <c r="D247" s="4" t="s">
        <v>1469</v>
      </c>
      <c r="E247" s="4">
        <v>-1797</v>
      </c>
      <c r="F247" t="str">
        <f>VLOOKUP(E247,CompDbase!B:L,4,FALSE)</f>
        <v>UV3</v>
      </c>
      <c r="G247" s="95" t="str">
        <f>VLOOKUP(E247,CompDbase!B:M,12,FALSE)</f>
        <v>overige</v>
      </c>
      <c r="H247" s="95">
        <f>VLOOKUP(E247,CompDbase!B:L,8,FALSE)</f>
        <v>326</v>
      </c>
      <c r="I247" s="95" t="e">
        <f>VLOOKUP(E247,CompDbase!B:L,11,FALSE)</f>
        <v>#DIV/0!</v>
      </c>
      <c r="J247" s="95" t="e">
        <f>VLOOKUP(E247,CompDbase!B:L,9,FALSE)</f>
        <v>#DIV/0!</v>
      </c>
      <c r="K247" s="95" t="e">
        <f>VLOOKUP(E247,CompDbase!B:L,10,FALSE)</f>
        <v>#DIV/0!</v>
      </c>
      <c r="L247" s="4" t="s">
        <v>769</v>
      </c>
      <c r="M247" s="423"/>
      <c r="N247" s="423"/>
      <c r="O247" s="4" t="s">
        <v>1740</v>
      </c>
      <c r="P247">
        <v>296</v>
      </c>
      <c r="Q247" s="4" t="s">
        <v>1049</v>
      </c>
      <c r="S247" s="4"/>
      <c r="T247" s="95"/>
      <c r="V247">
        <v>2.97E-3</v>
      </c>
      <c r="Y247">
        <v>5.0800000000000002E-14</v>
      </c>
      <c r="Z247" s="95">
        <f t="shared" si="209"/>
        <v>-13.29413628771608</v>
      </c>
      <c r="AC247" t="s">
        <v>68</v>
      </c>
      <c r="AG247" s="138"/>
      <c r="BW247" s="138"/>
      <c r="DG247">
        <f t="shared" si="210"/>
        <v>-13.29413628771608</v>
      </c>
      <c r="DH247">
        <f t="shared" si="211"/>
        <v>326</v>
      </c>
      <c r="DL247">
        <f t="shared" si="212"/>
        <v>326</v>
      </c>
      <c r="EY247" s="479">
        <f>VLOOKUP(B247,Literatuur!$A:$B,2,FALSE)</f>
        <v>4</v>
      </c>
      <c r="EZ247" t="str">
        <f t="shared" si="199"/>
        <v>UV3</v>
      </c>
      <c r="FA247" t="str">
        <f t="shared" si="200"/>
        <v>overige</v>
      </c>
      <c r="FB247" t="str">
        <f t="shared" si="201"/>
        <v>LDPE</v>
      </c>
      <c r="FC247" t="str">
        <f t="shared" si="202"/>
        <v>Filmstacking</v>
      </c>
      <c r="FD247">
        <f t="shared" si="203"/>
        <v>296</v>
      </c>
      <c r="FE247" t="str">
        <f t="shared" si="204"/>
        <v>water</v>
      </c>
      <c r="FF247" t="str">
        <f t="shared" si="205"/>
        <v xml:space="preserve"> </v>
      </c>
      <c r="FG247" s="408" t="str">
        <f t="shared" si="198"/>
        <v/>
      </c>
      <c r="FH247" s="138" t="str">
        <f t="shared" si="206"/>
        <v/>
      </c>
      <c r="FI247" s="106" t="str">
        <f t="shared" si="176"/>
        <v>**</v>
      </c>
      <c r="FJ247" s="138">
        <f t="shared" si="207"/>
        <v>-13.29413628771608</v>
      </c>
      <c r="FK247" s="138" t="str">
        <f t="shared" si="208"/>
        <v>**</v>
      </c>
    </row>
    <row r="248" spans="1:167" ht="12.75" hidden="1" customHeight="1" x14ac:dyDescent="0.2">
      <c r="A248">
        <v>202</v>
      </c>
      <c r="B248" s="4" t="s">
        <v>1935</v>
      </c>
      <c r="C248" s="4"/>
      <c r="D248" s="4" t="s">
        <v>1470</v>
      </c>
      <c r="E248" s="4">
        <v>-1798</v>
      </c>
      <c r="F248" t="str">
        <f>VLOOKUP(E248,CompDbase!B:L,4,FALSE)</f>
        <v>UV4</v>
      </c>
      <c r="G248" s="95" t="str">
        <f>VLOOKUP(E248,CompDbase!B:M,12,FALSE)</f>
        <v>overige</v>
      </c>
      <c r="H248" s="95">
        <f>VLOOKUP(E248,CompDbase!B:L,8,FALSE)</f>
        <v>332</v>
      </c>
      <c r="I248" s="95" t="e">
        <f>VLOOKUP(E248,CompDbase!B:L,11,FALSE)</f>
        <v>#DIV/0!</v>
      </c>
      <c r="J248" s="95" t="e">
        <f>VLOOKUP(E248,CompDbase!B:L,9,FALSE)</f>
        <v>#DIV/0!</v>
      </c>
      <c r="K248" s="95" t="e">
        <f>VLOOKUP(E248,CompDbase!B:L,10,FALSE)</f>
        <v>#DIV/0!</v>
      </c>
      <c r="L248" s="4" t="s">
        <v>769</v>
      </c>
      <c r="M248" s="423"/>
      <c r="N248" s="423"/>
      <c r="O248" s="4" t="s">
        <v>1740</v>
      </c>
      <c r="P248">
        <v>296</v>
      </c>
      <c r="Q248" s="4" t="s">
        <v>1049</v>
      </c>
      <c r="S248" s="4"/>
      <c r="T248" s="95"/>
      <c r="V248">
        <v>3.8999999999999999E-4</v>
      </c>
      <c r="Y248">
        <v>7.0000000000000017E-15</v>
      </c>
      <c r="Z248" s="95">
        <f t="shared" si="209"/>
        <v>-14.154901959985743</v>
      </c>
      <c r="AC248" t="s">
        <v>68</v>
      </c>
      <c r="AG248" s="138"/>
      <c r="BW248" s="138"/>
      <c r="DG248">
        <f t="shared" si="210"/>
        <v>-14.154901959985743</v>
      </c>
      <c r="DH248">
        <f t="shared" si="211"/>
        <v>332</v>
      </c>
      <c r="DL248">
        <f t="shared" si="212"/>
        <v>332</v>
      </c>
      <c r="EY248" s="479">
        <f>VLOOKUP(B248,Literatuur!$A:$B,2,FALSE)</f>
        <v>4</v>
      </c>
      <c r="EZ248" t="str">
        <f t="shared" si="199"/>
        <v>UV4</v>
      </c>
      <c r="FA248" t="str">
        <f t="shared" si="200"/>
        <v>overige</v>
      </c>
      <c r="FB248" t="str">
        <f t="shared" si="201"/>
        <v>LDPE</v>
      </c>
      <c r="FC248" t="str">
        <f t="shared" si="202"/>
        <v>Filmstacking</v>
      </c>
      <c r="FD248">
        <f t="shared" si="203"/>
        <v>296</v>
      </c>
      <c r="FE248" t="str">
        <f t="shared" si="204"/>
        <v>water</v>
      </c>
      <c r="FF248" t="str">
        <f t="shared" si="205"/>
        <v xml:space="preserve"> </v>
      </c>
      <c r="FG248" s="408" t="str">
        <f t="shared" si="198"/>
        <v/>
      </c>
      <c r="FH248" s="138" t="str">
        <f t="shared" si="206"/>
        <v/>
      </c>
      <c r="FI248" s="106" t="str">
        <f t="shared" si="176"/>
        <v>**</v>
      </c>
      <c r="FJ248" s="138">
        <f t="shared" si="207"/>
        <v>-14.154901959985743</v>
      </c>
      <c r="FK248" s="138" t="str">
        <f t="shared" si="208"/>
        <v>**</v>
      </c>
    </row>
    <row r="249" spans="1:167" ht="12.75" hidden="1" customHeight="1" x14ac:dyDescent="0.2">
      <c r="A249">
        <v>203</v>
      </c>
      <c r="B249" s="4" t="s">
        <v>1935</v>
      </c>
      <c r="C249" s="4"/>
      <c r="D249" s="4" t="s">
        <v>1471</v>
      </c>
      <c r="E249" s="4">
        <v>-1799</v>
      </c>
      <c r="F249" t="str">
        <f>VLOOKUP(E249,CompDbase!B:L,4,FALSE)</f>
        <v>UV5</v>
      </c>
      <c r="G249" s="95" t="str">
        <f>VLOOKUP(E249,CompDbase!B:M,12,FALSE)</f>
        <v>overige</v>
      </c>
      <c r="H249" s="95">
        <f>VLOOKUP(E249,CompDbase!B:L,8,FALSE)</f>
        <v>346</v>
      </c>
      <c r="I249" s="95" t="e">
        <f>VLOOKUP(E249,CompDbase!B:L,11,FALSE)</f>
        <v>#DIV/0!</v>
      </c>
      <c r="J249" s="95" t="e">
        <f>VLOOKUP(E249,CompDbase!B:L,9,FALSE)</f>
        <v>#DIV/0!</v>
      </c>
      <c r="K249" s="95" t="e">
        <f>VLOOKUP(E249,CompDbase!B:L,10,FALSE)</f>
        <v>#DIV/0!</v>
      </c>
      <c r="L249" s="4" t="s">
        <v>769</v>
      </c>
      <c r="M249" s="423"/>
      <c r="N249" s="423"/>
      <c r="O249" s="4" t="s">
        <v>1740</v>
      </c>
      <c r="P249">
        <v>296</v>
      </c>
      <c r="Q249" s="4" t="s">
        <v>1049</v>
      </c>
      <c r="S249" s="4"/>
      <c r="T249" s="95"/>
      <c r="V249">
        <v>2.8199999999999996E-3</v>
      </c>
      <c r="Y249">
        <v>8.7000000000000002E-15</v>
      </c>
      <c r="Z249" s="95">
        <f t="shared" si="209"/>
        <v>-14.060480747381382</v>
      </c>
      <c r="AC249" t="s">
        <v>68</v>
      </c>
      <c r="AG249" s="138"/>
      <c r="BW249" s="138"/>
      <c r="DG249">
        <f t="shared" si="210"/>
        <v>-14.060480747381382</v>
      </c>
      <c r="DH249">
        <f t="shared" si="211"/>
        <v>346</v>
      </c>
      <c r="DL249">
        <f t="shared" si="212"/>
        <v>346</v>
      </c>
      <c r="EY249" s="479">
        <f>VLOOKUP(B249,Literatuur!$A:$B,2,FALSE)</f>
        <v>4</v>
      </c>
      <c r="EZ249" t="str">
        <f t="shared" si="199"/>
        <v>UV5</v>
      </c>
      <c r="FA249" t="str">
        <f t="shared" si="200"/>
        <v>overige</v>
      </c>
      <c r="FB249" t="str">
        <f t="shared" si="201"/>
        <v>LDPE</v>
      </c>
      <c r="FC249" t="str">
        <f t="shared" si="202"/>
        <v>Filmstacking</v>
      </c>
      <c r="FD249">
        <f t="shared" si="203"/>
        <v>296</v>
      </c>
      <c r="FE249" t="str">
        <f t="shared" si="204"/>
        <v>water</v>
      </c>
      <c r="FF249" t="str">
        <f t="shared" si="205"/>
        <v xml:space="preserve"> </v>
      </c>
      <c r="FG249" s="408" t="str">
        <f t="shared" si="198"/>
        <v/>
      </c>
      <c r="FH249" s="138" t="str">
        <f t="shared" si="206"/>
        <v/>
      </c>
      <c r="FI249" s="106" t="str">
        <f t="shared" si="176"/>
        <v>**</v>
      </c>
      <c r="FJ249" s="138">
        <f t="shared" si="207"/>
        <v>-14.060480747381382</v>
      </c>
      <c r="FK249" s="138" t="str">
        <f t="shared" si="208"/>
        <v>**</v>
      </c>
    </row>
    <row r="250" spans="1:167" ht="12.75" hidden="1" customHeight="1" x14ac:dyDescent="0.2">
      <c r="A250">
        <v>204</v>
      </c>
      <c r="B250" s="4" t="s">
        <v>1935</v>
      </c>
      <c r="C250" s="4"/>
      <c r="D250" s="4" t="s">
        <v>1472</v>
      </c>
      <c r="E250" s="4">
        <v>-1800</v>
      </c>
      <c r="F250" t="str">
        <f>VLOOKUP(E250,CompDbase!B:L,4,FALSE)</f>
        <v>UV6</v>
      </c>
      <c r="G250" s="95" t="str">
        <f>VLOOKUP(E250,CompDbase!B:M,12,FALSE)</f>
        <v>overige</v>
      </c>
      <c r="H250" s="95">
        <f>VLOOKUP(E250,CompDbase!B:L,8,FALSE)</f>
        <v>388</v>
      </c>
      <c r="I250" s="95" t="e">
        <f>VLOOKUP(E250,CompDbase!B:L,11,FALSE)</f>
        <v>#DIV/0!</v>
      </c>
      <c r="J250" s="95" t="e">
        <f>VLOOKUP(E250,CompDbase!B:L,9,FALSE)</f>
        <v>#DIV/0!</v>
      </c>
      <c r="K250" s="95" t="e">
        <f>VLOOKUP(E250,CompDbase!B:L,10,FALSE)</f>
        <v>#DIV/0!</v>
      </c>
      <c r="L250" s="4" t="s">
        <v>769</v>
      </c>
      <c r="M250" s="423"/>
      <c r="N250" s="423"/>
      <c r="O250" s="4" t="s">
        <v>1740</v>
      </c>
      <c r="P250">
        <v>296</v>
      </c>
      <c r="Q250" s="4" t="s">
        <v>1049</v>
      </c>
      <c r="S250" s="4"/>
      <c r="T250" s="95"/>
      <c r="V250">
        <v>1.5199999999999999E-3</v>
      </c>
      <c r="Y250">
        <v>2.1000000000000002E-15</v>
      </c>
      <c r="Z250" s="95">
        <f t="shared" si="209"/>
        <v>-14.67778070526608</v>
      </c>
      <c r="AC250" t="s">
        <v>68</v>
      </c>
      <c r="AG250" s="138"/>
      <c r="BW250" s="138"/>
      <c r="DG250">
        <f t="shared" si="210"/>
        <v>-14.67778070526608</v>
      </c>
      <c r="DH250">
        <f t="shared" si="211"/>
        <v>388</v>
      </c>
      <c r="DL250">
        <f t="shared" si="212"/>
        <v>388</v>
      </c>
      <c r="EY250" s="479">
        <f>VLOOKUP(B250,Literatuur!$A:$B,2,FALSE)</f>
        <v>4</v>
      </c>
      <c r="EZ250" t="str">
        <f t="shared" si="199"/>
        <v>UV6</v>
      </c>
      <c r="FA250" t="str">
        <f t="shared" si="200"/>
        <v>overige</v>
      </c>
      <c r="FB250" t="str">
        <f t="shared" si="201"/>
        <v>LDPE</v>
      </c>
      <c r="FC250" t="str">
        <f t="shared" si="202"/>
        <v>Filmstacking</v>
      </c>
      <c r="FD250">
        <f t="shared" si="203"/>
        <v>296</v>
      </c>
      <c r="FE250" t="str">
        <f t="shared" si="204"/>
        <v>water</v>
      </c>
      <c r="FF250" t="str">
        <f t="shared" si="205"/>
        <v xml:space="preserve"> </v>
      </c>
      <c r="FG250" s="408" t="str">
        <f t="shared" si="198"/>
        <v/>
      </c>
      <c r="FH250" s="138" t="str">
        <f t="shared" si="206"/>
        <v/>
      </c>
      <c r="FI250" s="106" t="str">
        <f t="shared" si="176"/>
        <v>**</v>
      </c>
      <c r="FJ250" s="138">
        <f t="shared" si="207"/>
        <v>-14.67778070526608</v>
      </c>
      <c r="FK250" s="138" t="str">
        <f t="shared" si="208"/>
        <v>**</v>
      </c>
    </row>
    <row r="251" spans="1:167" ht="12.75" hidden="1" customHeight="1" x14ac:dyDescent="0.2">
      <c r="A251">
        <v>205</v>
      </c>
      <c r="B251" s="4" t="s">
        <v>1935</v>
      </c>
      <c r="C251" s="4"/>
      <c r="D251" s="4" t="s">
        <v>1473</v>
      </c>
      <c r="E251" s="4">
        <v>-1801</v>
      </c>
      <c r="F251" t="str">
        <f>VLOOKUP(E251,CompDbase!B:L,4,FALSE)</f>
        <v>UV7</v>
      </c>
      <c r="G251" s="95" t="str">
        <f>VLOOKUP(E251,CompDbase!B:M,12,FALSE)</f>
        <v>overige</v>
      </c>
      <c r="H251" s="95">
        <f>VLOOKUP(E251,CompDbase!B:L,8,FALSE)</f>
        <v>388</v>
      </c>
      <c r="I251" s="95" t="e">
        <f>VLOOKUP(E251,CompDbase!B:L,11,FALSE)</f>
        <v>#DIV/0!</v>
      </c>
      <c r="J251" s="95" t="e">
        <f>VLOOKUP(E251,CompDbase!B:L,9,FALSE)</f>
        <v>#DIV/0!</v>
      </c>
      <c r="K251" s="95" t="e">
        <f>VLOOKUP(E251,CompDbase!B:L,10,FALSE)</f>
        <v>#DIV/0!</v>
      </c>
      <c r="L251" s="4" t="s">
        <v>769</v>
      </c>
      <c r="M251" s="423"/>
      <c r="N251" s="423"/>
      <c r="O251" s="4" t="s">
        <v>1740</v>
      </c>
      <c r="P251">
        <v>296</v>
      </c>
      <c r="Q251" s="4" t="s">
        <v>1049</v>
      </c>
      <c r="S251" s="4"/>
      <c r="T251" s="95"/>
      <c r="V251">
        <v>1.1200000000000001E-3</v>
      </c>
      <c r="Y251">
        <v>9.0000000000000003E-16</v>
      </c>
      <c r="Z251" s="95">
        <f t="shared" si="209"/>
        <v>-15.045757490560675</v>
      </c>
      <c r="AC251" t="s">
        <v>68</v>
      </c>
      <c r="AG251" s="138"/>
      <c r="BW251" s="138"/>
      <c r="DG251">
        <f t="shared" si="210"/>
        <v>-15.045757490560675</v>
      </c>
      <c r="DH251">
        <f t="shared" si="211"/>
        <v>388</v>
      </c>
      <c r="DL251">
        <f t="shared" si="212"/>
        <v>388</v>
      </c>
      <c r="EY251" s="479">
        <f>VLOOKUP(B251,Literatuur!$A:$B,2,FALSE)</f>
        <v>4</v>
      </c>
      <c r="EZ251" t="str">
        <f t="shared" si="199"/>
        <v>UV7</v>
      </c>
      <c r="FA251" t="str">
        <f t="shared" si="200"/>
        <v>overige</v>
      </c>
      <c r="FB251" t="str">
        <f t="shared" si="201"/>
        <v>LDPE</v>
      </c>
      <c r="FC251" t="str">
        <f t="shared" si="202"/>
        <v>Filmstacking</v>
      </c>
      <c r="FD251">
        <f t="shared" si="203"/>
        <v>296</v>
      </c>
      <c r="FE251" t="str">
        <f t="shared" si="204"/>
        <v>water</v>
      </c>
      <c r="FF251" t="str">
        <f t="shared" si="205"/>
        <v xml:space="preserve"> </v>
      </c>
      <c r="FG251" s="408" t="str">
        <f t="shared" si="198"/>
        <v/>
      </c>
      <c r="FH251" s="138" t="str">
        <f t="shared" si="206"/>
        <v/>
      </c>
      <c r="FI251" s="106" t="str">
        <f t="shared" si="176"/>
        <v>**</v>
      </c>
      <c r="FJ251" s="138">
        <f t="shared" si="207"/>
        <v>-15.045757490560675</v>
      </c>
      <c r="FK251" s="138" t="str">
        <f t="shared" si="208"/>
        <v>**</v>
      </c>
    </row>
    <row r="252" spans="1:167" ht="12.75" hidden="1" customHeight="1" x14ac:dyDescent="0.2">
      <c r="A252">
        <v>206</v>
      </c>
      <c r="B252" s="4" t="s">
        <v>1935</v>
      </c>
      <c r="C252" s="4"/>
      <c r="D252" s="4" t="s">
        <v>1474</v>
      </c>
      <c r="E252" s="4">
        <v>-1802</v>
      </c>
      <c r="F252" t="str">
        <f>VLOOKUP(E252,CompDbase!B:L,4,FALSE)</f>
        <v>UV8</v>
      </c>
      <c r="G252" s="95" t="str">
        <f>VLOOKUP(E252,CompDbase!B:M,12,FALSE)</f>
        <v>overige</v>
      </c>
      <c r="H252" s="95">
        <f>VLOOKUP(E252,CompDbase!B:L,8,FALSE)</f>
        <v>445</v>
      </c>
      <c r="I252" s="95" t="e">
        <f>VLOOKUP(E252,CompDbase!B:L,11,FALSE)</f>
        <v>#DIV/0!</v>
      </c>
      <c r="J252" s="95" t="e">
        <f>VLOOKUP(E252,CompDbase!B:L,9,FALSE)</f>
        <v>#DIV/0!</v>
      </c>
      <c r="K252" s="95" t="e">
        <f>VLOOKUP(E252,CompDbase!B:L,10,FALSE)</f>
        <v>#DIV/0!</v>
      </c>
      <c r="L252" s="4" t="s">
        <v>769</v>
      </c>
      <c r="M252" s="423"/>
      <c r="N252" s="423"/>
      <c r="O252" s="4" t="s">
        <v>1740</v>
      </c>
      <c r="P252">
        <v>296</v>
      </c>
      <c r="Q252" s="4" t="s">
        <v>1049</v>
      </c>
      <c r="S252" s="4"/>
      <c r="T252" s="95"/>
      <c r="V252">
        <v>4.3499999999999997E-3</v>
      </c>
      <c r="Y252">
        <v>5.3000000000000009E-15</v>
      </c>
      <c r="Z252" s="95">
        <f t="shared" si="209"/>
        <v>-14.275724130399212</v>
      </c>
      <c r="AC252" t="s">
        <v>68</v>
      </c>
      <c r="AG252" s="138"/>
      <c r="BW252" s="138"/>
      <c r="DG252">
        <f t="shared" si="210"/>
        <v>-14.275724130399212</v>
      </c>
      <c r="DH252">
        <f t="shared" si="211"/>
        <v>445</v>
      </c>
      <c r="DL252">
        <f t="shared" si="212"/>
        <v>445</v>
      </c>
      <c r="EY252" s="479">
        <f>VLOOKUP(B252,Literatuur!$A:$B,2,FALSE)</f>
        <v>4</v>
      </c>
      <c r="EZ252" t="str">
        <f t="shared" si="199"/>
        <v>UV8</v>
      </c>
      <c r="FA252" t="str">
        <f t="shared" si="200"/>
        <v>overige</v>
      </c>
      <c r="FB252" t="str">
        <f t="shared" si="201"/>
        <v>LDPE</v>
      </c>
      <c r="FC252" t="str">
        <f t="shared" si="202"/>
        <v>Filmstacking</v>
      </c>
      <c r="FD252">
        <f t="shared" si="203"/>
        <v>296</v>
      </c>
      <c r="FE252" t="str">
        <f t="shared" si="204"/>
        <v>water</v>
      </c>
      <c r="FF252" t="str">
        <f t="shared" si="205"/>
        <v xml:space="preserve"> </v>
      </c>
      <c r="FG252" s="408" t="str">
        <f t="shared" si="198"/>
        <v/>
      </c>
      <c r="FH252" s="138" t="str">
        <f t="shared" si="206"/>
        <v/>
      </c>
      <c r="FI252" s="106" t="str">
        <f t="shared" si="176"/>
        <v>**</v>
      </c>
      <c r="FJ252" s="138">
        <f t="shared" si="207"/>
        <v>-14.275724130399212</v>
      </c>
      <c r="FK252" s="138" t="str">
        <f t="shared" si="208"/>
        <v>**</v>
      </c>
    </row>
    <row r="253" spans="1:167" ht="12.75" hidden="1" customHeight="1" x14ac:dyDescent="0.2">
      <c r="A253">
        <v>207</v>
      </c>
      <c r="B253" s="4" t="s">
        <v>1935</v>
      </c>
      <c r="C253" s="4"/>
      <c r="D253" s="4" t="s">
        <v>1475</v>
      </c>
      <c r="E253" s="4">
        <v>-1803</v>
      </c>
      <c r="F253" t="str">
        <f>VLOOKUP(E253,CompDbase!B:L,4,FALSE)</f>
        <v>UV9</v>
      </c>
      <c r="G253" s="95" t="str">
        <f>VLOOKUP(E253,CompDbase!B:M,12,FALSE)</f>
        <v>overige</v>
      </c>
      <c r="H253" s="95">
        <f>VLOOKUP(E253,CompDbase!B:L,8,FALSE)</f>
        <v>551</v>
      </c>
      <c r="I253" s="95" t="e">
        <f>VLOOKUP(E253,CompDbase!B:L,11,FALSE)</f>
        <v>#DIV/0!</v>
      </c>
      <c r="J253" s="95" t="e">
        <f>VLOOKUP(E253,CompDbase!B:L,9,FALSE)</f>
        <v>#DIV/0!</v>
      </c>
      <c r="K253" s="95" t="e">
        <f>VLOOKUP(E253,CompDbase!B:L,10,FALSE)</f>
        <v>#DIV/0!</v>
      </c>
      <c r="L253" s="4" t="s">
        <v>769</v>
      </c>
      <c r="M253" s="423"/>
      <c r="N253" s="423"/>
      <c r="O253" s="4" t="s">
        <v>1740</v>
      </c>
      <c r="P253">
        <v>296</v>
      </c>
      <c r="Q253" s="4" t="s">
        <v>1049</v>
      </c>
      <c r="S253" s="4"/>
      <c r="T253" s="95"/>
      <c r="V253">
        <v>4.0500000000000006E-3</v>
      </c>
      <c r="Y253">
        <v>3.1000000000000003E-15</v>
      </c>
      <c r="Z253" s="95">
        <f t="shared" si="209"/>
        <v>-14.508638306165727</v>
      </c>
      <c r="AC253" t="s">
        <v>68</v>
      </c>
      <c r="AG253" s="138"/>
      <c r="BW253" s="138"/>
      <c r="DG253">
        <f t="shared" si="210"/>
        <v>-14.508638306165727</v>
      </c>
      <c r="DH253">
        <f t="shared" si="211"/>
        <v>551</v>
      </c>
      <c r="DL253">
        <f t="shared" si="212"/>
        <v>551</v>
      </c>
      <c r="EY253" s="479">
        <f>VLOOKUP(B253,Literatuur!$A:$B,2,FALSE)</f>
        <v>4</v>
      </c>
      <c r="EZ253" t="str">
        <f t="shared" si="199"/>
        <v>UV9</v>
      </c>
      <c r="FA253" t="str">
        <f t="shared" si="200"/>
        <v>overige</v>
      </c>
      <c r="FB253" t="str">
        <f t="shared" si="201"/>
        <v>LDPE</v>
      </c>
      <c r="FC253" t="str">
        <f t="shared" si="202"/>
        <v>Filmstacking</v>
      </c>
      <c r="FD253">
        <f t="shared" si="203"/>
        <v>296</v>
      </c>
      <c r="FE253" t="str">
        <f t="shared" si="204"/>
        <v>water</v>
      </c>
      <c r="FF253" t="str">
        <f t="shared" si="205"/>
        <v xml:space="preserve"> </v>
      </c>
      <c r="FG253" s="408" t="str">
        <f t="shared" si="198"/>
        <v/>
      </c>
      <c r="FH253" s="138" t="str">
        <f t="shared" si="206"/>
        <v/>
      </c>
      <c r="FI253" s="106" t="str">
        <f t="shared" si="176"/>
        <v>**</v>
      </c>
      <c r="FJ253" s="138">
        <f t="shared" si="207"/>
        <v>-14.508638306165727</v>
      </c>
      <c r="FK253" s="138" t="str">
        <f t="shared" si="208"/>
        <v>**</v>
      </c>
    </row>
    <row r="254" spans="1:167" ht="12.75" hidden="1" customHeight="1" x14ac:dyDescent="0.2">
      <c r="A254">
        <v>208</v>
      </c>
      <c r="B254" t="s">
        <v>1597</v>
      </c>
      <c r="C254" s="4"/>
      <c r="D254" t="s">
        <v>1205</v>
      </c>
      <c r="E254">
        <v>-1775</v>
      </c>
      <c r="F254" t="str">
        <f>VLOOKUP(E254,CompDbase!B:L,4,FALSE)</f>
        <v>aldrin</v>
      </c>
      <c r="G254" s="95" t="str">
        <f>VLOOKUP(E254,CompDbase!B:M,12,FALSE)</f>
        <v>overige</v>
      </c>
      <c r="H254" s="95">
        <f>VLOOKUP(E254,CompDbase!B:L,8,FALSE)</f>
        <v>364.9</v>
      </c>
      <c r="I254" s="95">
        <f>VLOOKUP(E254,CompDbase!B:L,11,FALSE)</f>
        <v>240.1</v>
      </c>
      <c r="J254" s="95">
        <f>VLOOKUP(E254,CompDbase!B:L,9,FALSE)</f>
        <v>0.91658735885784481</v>
      </c>
      <c r="K254" s="95">
        <f>VLOOKUP(E254,CompDbase!B:L,10,FALSE)</f>
        <v>6.3</v>
      </c>
      <c r="L254" s="4" t="s">
        <v>769</v>
      </c>
      <c r="M254" s="420"/>
      <c r="N254" s="420"/>
      <c r="O254" s="4" t="s">
        <v>1986</v>
      </c>
      <c r="P254" s="4" t="s">
        <v>1980</v>
      </c>
      <c r="Q254" s="4" t="s">
        <v>1049</v>
      </c>
      <c r="S254" s="4"/>
      <c r="T254" s="95"/>
      <c r="W254" s="199">
        <f t="shared" ref="W254:W274" si="213">10^X254</f>
        <v>30199.517204020212</v>
      </c>
      <c r="X254" s="4">
        <v>4.4800000000000004</v>
      </c>
      <c r="Z254" s="289">
        <v>-14.37</v>
      </c>
      <c r="AG254" s="138">
        <f t="shared" ref="AG254:AG274" si="214">X254</f>
        <v>4.4800000000000004</v>
      </c>
      <c r="AH254">
        <f t="shared" ref="AH254:AI274" si="215">$K254</f>
        <v>6.3</v>
      </c>
      <c r="AI254">
        <f t="shared" si="215"/>
        <v>6.3</v>
      </c>
      <c r="BW254" s="138"/>
      <c r="BX254">
        <f>LOG(1*$J254)</f>
        <v>-3.7826136635352177E-2</v>
      </c>
      <c r="BY254">
        <f>LOG(1*$J254)</f>
        <v>-3.7826136635352177E-2</v>
      </c>
      <c r="DG254">
        <f t="shared" si="210"/>
        <v>-14.37</v>
      </c>
      <c r="DH254">
        <f t="shared" si="211"/>
        <v>364.9</v>
      </c>
      <c r="DI254">
        <f t="shared" si="211"/>
        <v>364.9</v>
      </c>
      <c r="EY254" s="479">
        <f>VLOOKUP(B254,Literatuur!$A:$B,2,FALSE)</f>
        <v>11</v>
      </c>
      <c r="EZ254" t="str">
        <f t="shared" si="199"/>
        <v>aldrin</v>
      </c>
      <c r="FA254" t="str">
        <f t="shared" si="200"/>
        <v>overige</v>
      </c>
      <c r="FB254" t="str">
        <f t="shared" si="201"/>
        <v>LDPE</v>
      </c>
      <c r="FC254" t="str">
        <f t="shared" si="202"/>
        <v>Immersion (spinning)</v>
      </c>
      <c r="FD254" t="str">
        <f t="shared" si="203"/>
        <v>room</v>
      </c>
      <c r="FE254" t="str">
        <f t="shared" si="204"/>
        <v>water</v>
      </c>
      <c r="FF254" t="str">
        <f t="shared" si="205"/>
        <v xml:space="preserve"> </v>
      </c>
      <c r="FG254" s="408" t="str">
        <f t="shared" si="198"/>
        <v/>
      </c>
      <c r="FH254" s="138">
        <f t="shared" si="206"/>
        <v>4.4800000000000004</v>
      </c>
      <c r="FI254" s="106" t="str">
        <f t="shared" si="176"/>
        <v>**</v>
      </c>
      <c r="FJ254" s="138">
        <f t="shared" si="207"/>
        <v>-14.37</v>
      </c>
      <c r="FK254" s="138" t="str">
        <f t="shared" si="208"/>
        <v>**</v>
      </c>
    </row>
    <row r="255" spans="1:167" ht="12.75" hidden="1" customHeight="1" x14ac:dyDescent="0.2">
      <c r="A255">
        <v>210</v>
      </c>
      <c r="B255" t="s">
        <v>1597</v>
      </c>
      <c r="C255" s="4"/>
      <c r="D255" t="s">
        <v>1206</v>
      </c>
      <c r="E255">
        <v>-1776</v>
      </c>
      <c r="F255" t="str">
        <f>VLOOKUP(E255,CompDbase!B:L,4,FALSE)</f>
        <v>dieldrin</v>
      </c>
      <c r="G255" s="95" t="str">
        <f>VLOOKUP(E255,CompDbase!B:M,12,FALSE)</f>
        <v>overige</v>
      </c>
      <c r="H255" s="95">
        <f>VLOOKUP(E255,CompDbase!B:L,8,FALSE)</f>
        <v>380.9</v>
      </c>
      <c r="I255" s="95">
        <f>VLOOKUP(E255,CompDbase!B:L,11,FALSE)</f>
        <v>253.7</v>
      </c>
      <c r="J255" s="95">
        <f>VLOOKUP(E255,CompDbase!B:L,9,FALSE)</f>
        <v>4.7952468935239798</v>
      </c>
      <c r="K255" s="95">
        <f>VLOOKUP(E255,CompDbase!B:L,10,FALSE)</f>
        <v>5.5</v>
      </c>
      <c r="L255" s="4" t="s">
        <v>769</v>
      </c>
      <c r="M255" s="420"/>
      <c r="N255" s="420"/>
      <c r="O255" s="4" t="s">
        <v>1986</v>
      </c>
      <c r="P255" s="4" t="s">
        <v>1980</v>
      </c>
      <c r="Q255" s="4" t="s">
        <v>1049</v>
      </c>
      <c r="S255" s="4"/>
      <c r="T255" s="95"/>
      <c r="W255" s="199">
        <f t="shared" si="213"/>
        <v>32359.365692962871</v>
      </c>
      <c r="X255" s="4">
        <v>4.51</v>
      </c>
      <c r="Z255" s="289">
        <v>-14.13</v>
      </c>
      <c r="AG255" s="138">
        <f t="shared" si="214"/>
        <v>4.51</v>
      </c>
      <c r="AH255">
        <f t="shared" si="215"/>
        <v>5.5</v>
      </c>
      <c r="AI255">
        <f t="shared" si="215"/>
        <v>5.5</v>
      </c>
      <c r="BW255" s="138"/>
      <c r="BX255">
        <f>LOG(1*$J255)</f>
        <v>0.68081097266094592</v>
      </c>
      <c r="BY255">
        <f>LOG(1*$J255)</f>
        <v>0.68081097266094592</v>
      </c>
      <c r="DG255">
        <f t="shared" si="210"/>
        <v>-14.13</v>
      </c>
      <c r="DH255">
        <f t="shared" si="211"/>
        <v>380.9</v>
      </c>
      <c r="DI255">
        <f t="shared" si="211"/>
        <v>380.9</v>
      </c>
      <c r="EY255" s="479">
        <f>VLOOKUP(B255,Literatuur!$A:$B,2,FALSE)</f>
        <v>11</v>
      </c>
      <c r="EZ255" t="str">
        <f t="shared" si="199"/>
        <v>dieldrin</v>
      </c>
      <c r="FA255" t="str">
        <f t="shared" si="200"/>
        <v>overige</v>
      </c>
      <c r="FB255" t="str">
        <f t="shared" si="201"/>
        <v>LDPE</v>
      </c>
      <c r="FC255" t="str">
        <f t="shared" si="202"/>
        <v>Immersion (spinning)</v>
      </c>
      <c r="FD255" t="str">
        <f t="shared" si="203"/>
        <v>room</v>
      </c>
      <c r="FE255" t="str">
        <f t="shared" si="204"/>
        <v>water</v>
      </c>
      <c r="FF255" t="str">
        <f t="shared" si="205"/>
        <v xml:space="preserve"> </v>
      </c>
      <c r="FG255" s="408" t="str">
        <f t="shared" si="198"/>
        <v/>
      </c>
      <c r="FH255" s="138">
        <f t="shared" si="206"/>
        <v>4.51</v>
      </c>
      <c r="FI255" s="106" t="str">
        <f t="shared" si="176"/>
        <v>**</v>
      </c>
      <c r="FJ255" s="138">
        <f t="shared" si="207"/>
        <v>-14.13</v>
      </c>
      <c r="FK255" s="138" t="str">
        <f t="shared" si="208"/>
        <v>**</v>
      </c>
    </row>
    <row r="256" spans="1:167" ht="12.75" hidden="1" customHeight="1" x14ac:dyDescent="0.2">
      <c r="A256">
        <v>212</v>
      </c>
      <c r="B256" t="s">
        <v>1597</v>
      </c>
      <c r="C256" s="4"/>
      <c r="D256" s="4" t="s">
        <v>1216</v>
      </c>
      <c r="E256">
        <v>-1778</v>
      </c>
      <c r="F256" t="str">
        <f>VLOOKUP(E256,CompDbase!B:L,4,FALSE)</f>
        <v>endosulfan sulphate</v>
      </c>
      <c r="G256" s="95" t="str">
        <f>VLOOKUP(E256,CompDbase!B:M,12,FALSE)</f>
        <v>overige</v>
      </c>
      <c r="H256" s="95">
        <f>VLOOKUP(E256,CompDbase!B:L,8,FALSE)</f>
        <v>422.9</v>
      </c>
      <c r="I256" s="95">
        <f>VLOOKUP(E256,CompDbase!B:L,11,FALSE)</f>
        <v>239.8</v>
      </c>
      <c r="J256" s="95" t="e">
        <f>VLOOKUP(E256,CompDbase!B:L,9,FALSE)</f>
        <v>#DIV/0!</v>
      </c>
      <c r="K256" s="95">
        <f>VLOOKUP(E256,CompDbase!B:L,10,FALSE)</f>
        <v>5.0999999999999996</v>
      </c>
      <c r="L256" s="4" t="s">
        <v>769</v>
      </c>
      <c r="M256" s="420"/>
      <c r="N256" s="420"/>
      <c r="O256" s="4" t="s">
        <v>1986</v>
      </c>
      <c r="P256" s="4" t="s">
        <v>1980</v>
      </c>
      <c r="Q256" s="4" t="s">
        <v>1049</v>
      </c>
      <c r="S256" s="4"/>
      <c r="T256" s="95"/>
      <c r="W256" s="199">
        <f t="shared" si="213"/>
        <v>645.65422903465594</v>
      </c>
      <c r="X256" s="4">
        <v>2.81</v>
      </c>
      <c r="Z256" s="289">
        <v>-13.5</v>
      </c>
      <c r="AG256" s="138">
        <f t="shared" si="214"/>
        <v>2.81</v>
      </c>
      <c r="AH256">
        <f t="shared" si="215"/>
        <v>5.0999999999999996</v>
      </c>
      <c r="AI256">
        <f t="shared" si="215"/>
        <v>5.0999999999999996</v>
      </c>
      <c r="BW256" s="138"/>
      <c r="DG256">
        <f t="shared" si="210"/>
        <v>-13.5</v>
      </c>
      <c r="DH256">
        <f t="shared" si="211"/>
        <v>422.9</v>
      </c>
      <c r="DI256">
        <f t="shared" si="211"/>
        <v>422.9</v>
      </c>
      <c r="EY256" s="479">
        <f>VLOOKUP(B256,Literatuur!$A:$B,2,FALSE)</f>
        <v>11</v>
      </c>
      <c r="EZ256" t="str">
        <f t="shared" si="199"/>
        <v>endosulfan sulphate</v>
      </c>
      <c r="FA256" t="str">
        <f t="shared" si="200"/>
        <v>overige</v>
      </c>
      <c r="FB256" t="str">
        <f t="shared" si="201"/>
        <v>LDPE</v>
      </c>
      <c r="FC256" t="str">
        <f t="shared" si="202"/>
        <v>Immersion (spinning)</v>
      </c>
      <c r="FD256" t="str">
        <f t="shared" si="203"/>
        <v>room</v>
      </c>
      <c r="FE256" t="str">
        <f t="shared" si="204"/>
        <v>water</v>
      </c>
      <c r="FF256" t="str">
        <f t="shared" si="205"/>
        <v xml:space="preserve"> </v>
      </c>
      <c r="FG256" s="408" t="str">
        <f t="shared" si="198"/>
        <v/>
      </c>
      <c r="FH256" s="138">
        <f t="shared" si="206"/>
        <v>2.81</v>
      </c>
      <c r="FI256" s="106" t="str">
        <f t="shared" si="176"/>
        <v>**</v>
      </c>
      <c r="FJ256" s="138">
        <f t="shared" si="207"/>
        <v>-13.5</v>
      </c>
      <c r="FK256" s="138" t="str">
        <f t="shared" si="208"/>
        <v>**</v>
      </c>
    </row>
    <row r="257" spans="1:167" ht="12.75" hidden="1" customHeight="1" x14ac:dyDescent="0.2">
      <c r="A257">
        <v>214</v>
      </c>
      <c r="B257" t="s">
        <v>1597</v>
      </c>
      <c r="C257" s="4"/>
      <c r="D257" t="s">
        <v>1208</v>
      </c>
      <c r="E257">
        <v>-1779</v>
      </c>
      <c r="F257" t="str">
        <f>VLOOKUP(E257,CompDbase!B:L,4,FALSE)</f>
        <v>endrin</v>
      </c>
      <c r="G257" s="95" t="str">
        <f>VLOOKUP(E257,CompDbase!B:M,12,FALSE)</f>
        <v>overige</v>
      </c>
      <c r="H257" s="95">
        <f>VLOOKUP(E257,CompDbase!B:L,8,FALSE)</f>
        <v>380.9</v>
      </c>
      <c r="I257" s="95">
        <f>VLOOKUP(E257,CompDbase!B:L,11,FALSE)</f>
        <v>253.7</v>
      </c>
      <c r="J257" s="95">
        <f>VLOOKUP(E257,CompDbase!B:L,9,FALSE)</f>
        <v>1.2045115607581345</v>
      </c>
      <c r="K257" s="95">
        <f>VLOOKUP(E257,CompDbase!B:L,10,FALSE)</f>
        <v>5</v>
      </c>
      <c r="L257" s="4" t="s">
        <v>769</v>
      </c>
      <c r="M257" s="420"/>
      <c r="N257" s="420"/>
      <c r="O257" s="4" t="s">
        <v>1986</v>
      </c>
      <c r="P257" s="4" t="s">
        <v>1980</v>
      </c>
      <c r="Q257" s="4" t="s">
        <v>1049</v>
      </c>
      <c r="S257" s="4"/>
      <c r="T257" s="95"/>
      <c r="W257" s="199">
        <f t="shared" si="213"/>
        <v>19498.445997580486</v>
      </c>
      <c r="X257" s="4">
        <v>4.29</v>
      </c>
      <c r="Z257" s="289">
        <v>-13.83</v>
      </c>
      <c r="AG257" s="138">
        <f t="shared" si="214"/>
        <v>4.29</v>
      </c>
      <c r="AH257">
        <f t="shared" si="215"/>
        <v>5</v>
      </c>
      <c r="AI257">
        <f t="shared" si="215"/>
        <v>5</v>
      </c>
      <c r="BW257" s="138"/>
      <c r="BX257">
        <f>LOG(1*$J257)</f>
        <v>8.0810972660945793E-2</v>
      </c>
      <c r="BY257">
        <f>LOG(1*$J257)</f>
        <v>8.0810972660945793E-2</v>
      </c>
      <c r="DG257">
        <f t="shared" si="210"/>
        <v>-13.83</v>
      </c>
      <c r="DH257">
        <f t="shared" si="211"/>
        <v>380.9</v>
      </c>
      <c r="DI257">
        <f t="shared" si="211"/>
        <v>380.9</v>
      </c>
      <c r="EY257" s="479">
        <f>VLOOKUP(B257,Literatuur!$A:$B,2,FALSE)</f>
        <v>11</v>
      </c>
      <c r="EZ257" t="str">
        <f t="shared" si="199"/>
        <v>endrin</v>
      </c>
      <c r="FA257" t="str">
        <f t="shared" si="200"/>
        <v>overige</v>
      </c>
      <c r="FB257" t="str">
        <f t="shared" si="201"/>
        <v>LDPE</v>
      </c>
      <c r="FC257" t="str">
        <f t="shared" si="202"/>
        <v>Immersion (spinning)</v>
      </c>
      <c r="FD257" t="str">
        <f t="shared" si="203"/>
        <v>room</v>
      </c>
      <c r="FE257" t="str">
        <f t="shared" si="204"/>
        <v>water</v>
      </c>
      <c r="FF257" t="str">
        <f t="shared" si="205"/>
        <v xml:space="preserve"> </v>
      </c>
      <c r="FG257" s="408" t="str">
        <f t="shared" si="198"/>
        <v/>
      </c>
      <c r="FH257" s="138">
        <f t="shared" si="206"/>
        <v>4.29</v>
      </c>
      <c r="FI257" s="106" t="str">
        <f t="shared" si="176"/>
        <v>**</v>
      </c>
      <c r="FJ257" s="138">
        <f t="shared" si="207"/>
        <v>-13.83</v>
      </c>
      <c r="FK257" s="138" t="str">
        <f t="shared" si="208"/>
        <v>**</v>
      </c>
    </row>
    <row r="258" spans="1:167" ht="12.75" hidden="1" customHeight="1" x14ac:dyDescent="0.2">
      <c r="A258">
        <v>215</v>
      </c>
      <c r="B258" t="s">
        <v>1597</v>
      </c>
      <c r="C258" s="4"/>
      <c r="D258" s="4" t="s">
        <v>1217</v>
      </c>
      <c r="E258">
        <v>-1780</v>
      </c>
      <c r="F258" t="str">
        <f>VLOOKUP(E258,CompDbase!B:L,4,FALSE)</f>
        <v>endrin aldehyde</v>
      </c>
      <c r="G258" s="95" t="str">
        <f>VLOOKUP(E258,CompDbase!B:M,12,FALSE)</f>
        <v>overige</v>
      </c>
      <c r="H258" s="95">
        <f>VLOOKUP(E258,CompDbase!B:L,8,FALSE)</f>
        <v>380.9</v>
      </c>
      <c r="I258" s="95">
        <f>VLOOKUP(E258,CompDbase!B:L,11,FALSE)</f>
        <v>253.2</v>
      </c>
      <c r="J258" s="95" t="e">
        <f>VLOOKUP(E258,CompDbase!B:L,9,FALSE)</f>
        <v>#DIV/0!</v>
      </c>
      <c r="K258" s="95">
        <f>VLOOKUP(E258,CompDbase!B:L,10,FALSE)</f>
        <v>5.5</v>
      </c>
      <c r="L258" s="4" t="s">
        <v>769</v>
      </c>
      <c r="M258" s="420"/>
      <c r="N258" s="420"/>
      <c r="O258" s="4" t="s">
        <v>1986</v>
      </c>
      <c r="P258" s="4" t="s">
        <v>1980</v>
      </c>
      <c r="Q258" s="4" t="s">
        <v>1049</v>
      </c>
      <c r="S258" s="4"/>
      <c r="T258" s="95"/>
      <c r="W258" s="199">
        <f t="shared" si="213"/>
        <v>363.07805477010152</v>
      </c>
      <c r="X258" s="4">
        <v>2.56</v>
      </c>
      <c r="Z258" s="289"/>
      <c r="AG258" s="138">
        <f t="shared" si="214"/>
        <v>2.56</v>
      </c>
      <c r="AH258">
        <f t="shared" si="215"/>
        <v>5.5</v>
      </c>
      <c r="AI258">
        <f t="shared" si="215"/>
        <v>5.5</v>
      </c>
      <c r="BW258" s="138"/>
      <c r="DG258" s="138"/>
      <c r="EY258" s="479">
        <f>VLOOKUP(B258,Literatuur!$A:$B,2,FALSE)</f>
        <v>11</v>
      </c>
      <c r="EZ258" t="str">
        <f t="shared" si="199"/>
        <v>endrin aldehyde</v>
      </c>
      <c r="FA258" t="str">
        <f t="shared" si="200"/>
        <v>overige</v>
      </c>
      <c r="FB258" t="str">
        <f t="shared" si="201"/>
        <v>LDPE</v>
      </c>
      <c r="FC258" t="str">
        <f t="shared" si="202"/>
        <v>Immersion (spinning)</v>
      </c>
      <c r="FD258" t="str">
        <f t="shared" si="203"/>
        <v>room</v>
      </c>
      <c r="FE258" t="str">
        <f t="shared" si="204"/>
        <v>water</v>
      </c>
      <c r="FF258" t="str">
        <f t="shared" si="205"/>
        <v xml:space="preserve"> </v>
      </c>
      <c r="FG258" s="408" t="str">
        <f t="shared" si="198"/>
        <v/>
      </c>
      <c r="FH258" s="138">
        <f t="shared" si="206"/>
        <v>2.56</v>
      </c>
      <c r="FI258" s="106" t="str">
        <f t="shared" si="176"/>
        <v>**</v>
      </c>
      <c r="FJ258" s="138" t="str">
        <f t="shared" si="207"/>
        <v/>
      </c>
      <c r="FK258" s="138" t="str">
        <f t="shared" si="208"/>
        <v>**</v>
      </c>
    </row>
    <row r="259" spans="1:167" ht="12.75" hidden="1" customHeight="1" x14ac:dyDescent="0.2">
      <c r="A259">
        <v>217</v>
      </c>
      <c r="B259" t="s">
        <v>1597</v>
      </c>
      <c r="C259" s="4"/>
      <c r="D259" s="4" t="s">
        <v>1218</v>
      </c>
      <c r="E259">
        <v>-1781</v>
      </c>
      <c r="F259" t="str">
        <f>VLOOKUP(E259,CompDbase!B:L,4,FALSE)</f>
        <v>endrin ketone</v>
      </c>
      <c r="G259" s="95" t="str">
        <f>VLOOKUP(E259,CompDbase!B:M,12,FALSE)</f>
        <v>overige</v>
      </c>
      <c r="H259" s="95">
        <f>VLOOKUP(E259,CompDbase!B:L,8,FALSE)</f>
        <v>364.5</v>
      </c>
      <c r="I259" s="95" t="e">
        <f>VLOOKUP(E259,CompDbase!B:L,11,FALSE)</f>
        <v>#DIV/0!</v>
      </c>
      <c r="J259" s="95" t="e">
        <f>VLOOKUP(E259,CompDbase!B:L,9,FALSE)</f>
        <v>#DIV/0!</v>
      </c>
      <c r="K259" s="95">
        <f>VLOOKUP(E259,CompDbase!B:L,10,FALSE)</f>
        <v>6.8</v>
      </c>
      <c r="L259" s="4" t="s">
        <v>769</v>
      </c>
      <c r="M259" s="420"/>
      <c r="N259" s="420"/>
      <c r="O259" s="4" t="s">
        <v>1986</v>
      </c>
      <c r="P259" s="4" t="s">
        <v>1980</v>
      </c>
      <c r="Q259" s="4" t="s">
        <v>1049</v>
      </c>
      <c r="S259" s="4"/>
      <c r="T259" s="95"/>
      <c r="W259" s="199">
        <f t="shared" si="213"/>
        <v>724.43596007499025</v>
      </c>
      <c r="X259" s="4">
        <v>2.86</v>
      </c>
      <c r="Z259" s="289">
        <v>-13.53</v>
      </c>
      <c r="AG259" s="138">
        <f t="shared" si="214"/>
        <v>2.86</v>
      </c>
      <c r="AH259">
        <f t="shared" si="215"/>
        <v>6.8</v>
      </c>
      <c r="AI259">
        <f t="shared" si="215"/>
        <v>6.8</v>
      </c>
      <c r="BW259" s="138"/>
      <c r="DG259">
        <f t="shared" ref="DG259:DG262" si="216">Z259</f>
        <v>-13.53</v>
      </c>
      <c r="DH259">
        <f t="shared" ref="DH259:DI262" si="217">$H259</f>
        <v>364.5</v>
      </c>
      <c r="DI259">
        <f t="shared" si="217"/>
        <v>364.5</v>
      </c>
      <c r="EY259" s="479">
        <f>VLOOKUP(B259,Literatuur!$A:$B,2,FALSE)</f>
        <v>11</v>
      </c>
      <c r="EZ259" t="str">
        <f t="shared" si="199"/>
        <v>endrin ketone</v>
      </c>
      <c r="FA259" t="str">
        <f t="shared" si="200"/>
        <v>overige</v>
      </c>
      <c r="FB259" t="str">
        <f t="shared" si="201"/>
        <v>LDPE</v>
      </c>
      <c r="FC259" t="str">
        <f t="shared" si="202"/>
        <v>Immersion (spinning)</v>
      </c>
      <c r="FD259" t="str">
        <f t="shared" si="203"/>
        <v>room</v>
      </c>
      <c r="FE259" t="str">
        <f t="shared" si="204"/>
        <v>water</v>
      </c>
      <c r="FF259" t="str">
        <f t="shared" si="205"/>
        <v xml:space="preserve"> </v>
      </c>
      <c r="FG259" s="408" t="str">
        <f t="shared" si="198"/>
        <v/>
      </c>
      <c r="FH259" s="138">
        <f t="shared" si="206"/>
        <v>2.86</v>
      </c>
      <c r="FI259" s="106" t="str">
        <f t="shared" si="176"/>
        <v>**</v>
      </c>
      <c r="FJ259" s="138">
        <f t="shared" si="207"/>
        <v>-13.53</v>
      </c>
      <c r="FK259" s="138" t="str">
        <f t="shared" si="208"/>
        <v>**</v>
      </c>
    </row>
    <row r="260" spans="1:167" ht="12.75" hidden="1" customHeight="1" x14ac:dyDescent="0.2">
      <c r="A260">
        <v>219</v>
      </c>
      <c r="B260" t="s">
        <v>1597</v>
      </c>
      <c r="C260" s="4"/>
      <c r="D260" t="s">
        <v>1209</v>
      </c>
      <c r="E260">
        <v>-1782</v>
      </c>
      <c r="F260" t="str">
        <f>VLOOKUP(E260,CompDbase!B:L,4,FALSE)</f>
        <v>heptachlor</v>
      </c>
      <c r="G260" s="95" t="str">
        <f>VLOOKUP(E260,CompDbase!B:M,12,FALSE)</f>
        <v>overige</v>
      </c>
      <c r="H260" s="95">
        <f>VLOOKUP(E260,CompDbase!B:L,8,FALSE)</f>
        <v>373.3</v>
      </c>
      <c r="I260" s="95">
        <f>VLOOKUP(E260,CompDbase!B:L,11,FALSE)</f>
        <v>230.8</v>
      </c>
      <c r="J260" s="95">
        <f>VLOOKUP(E260,CompDbase!B:L,9,FALSE)</f>
        <v>1.1804782505408549</v>
      </c>
      <c r="K260" s="95">
        <f>VLOOKUP(E260,CompDbase!B:L,10,FALSE)</f>
        <v>6</v>
      </c>
      <c r="L260" s="4" t="s">
        <v>769</v>
      </c>
      <c r="M260" s="420"/>
      <c r="N260" s="420"/>
      <c r="O260" s="4" t="s">
        <v>1986</v>
      </c>
      <c r="P260" s="4" t="s">
        <v>1980</v>
      </c>
      <c r="Q260" s="4" t="s">
        <v>1049</v>
      </c>
      <c r="S260" s="4"/>
      <c r="T260" s="95"/>
      <c r="W260" s="199">
        <f t="shared" si="213"/>
        <v>114815.36214968823</v>
      </c>
      <c r="X260" s="4">
        <v>5.0599999999999996</v>
      </c>
      <c r="Z260" s="289">
        <v>-14.03</v>
      </c>
      <c r="AG260" s="138">
        <f t="shared" si="214"/>
        <v>5.0599999999999996</v>
      </c>
      <c r="AH260">
        <f t="shared" si="215"/>
        <v>6</v>
      </c>
      <c r="AI260">
        <f t="shared" si="215"/>
        <v>6</v>
      </c>
      <c r="BW260" s="138"/>
      <c r="BX260">
        <f t="shared" ref="BX260:BY267" si="218">LOG(1*$J260)</f>
        <v>7.205798992630412E-2</v>
      </c>
      <c r="BY260">
        <f t="shared" si="218"/>
        <v>7.205798992630412E-2</v>
      </c>
      <c r="DG260">
        <f t="shared" si="216"/>
        <v>-14.03</v>
      </c>
      <c r="DH260">
        <f t="shared" si="217"/>
        <v>373.3</v>
      </c>
      <c r="DI260">
        <f t="shared" si="217"/>
        <v>373.3</v>
      </c>
      <c r="EY260" s="479">
        <f>VLOOKUP(B260,Literatuur!$A:$B,2,FALSE)</f>
        <v>11</v>
      </c>
      <c r="EZ260" t="str">
        <f t="shared" si="199"/>
        <v>heptachlor</v>
      </c>
      <c r="FA260" t="str">
        <f t="shared" si="200"/>
        <v>overige</v>
      </c>
      <c r="FB260" t="str">
        <f t="shared" si="201"/>
        <v>LDPE</v>
      </c>
      <c r="FC260" t="str">
        <f t="shared" si="202"/>
        <v>Immersion (spinning)</v>
      </c>
      <c r="FD260" t="str">
        <f t="shared" si="203"/>
        <v>room</v>
      </c>
      <c r="FE260" t="str">
        <f t="shared" si="204"/>
        <v>water</v>
      </c>
      <c r="FF260" t="str">
        <f t="shared" si="205"/>
        <v xml:space="preserve"> </v>
      </c>
      <c r="FG260" s="408" t="str">
        <f t="shared" si="198"/>
        <v/>
      </c>
      <c r="FH260" s="138">
        <f t="shared" si="206"/>
        <v>5.0599999999999996</v>
      </c>
      <c r="FI260" s="106" t="str">
        <f t="shared" si="176"/>
        <v>**</v>
      </c>
      <c r="FJ260" s="138">
        <f t="shared" si="207"/>
        <v>-14.03</v>
      </c>
      <c r="FK260" s="138" t="str">
        <f t="shared" si="208"/>
        <v>**</v>
      </c>
    </row>
    <row r="261" spans="1:167" ht="12.75" hidden="1" customHeight="1" x14ac:dyDescent="0.2">
      <c r="A261">
        <v>220</v>
      </c>
      <c r="B261" t="s">
        <v>1597</v>
      </c>
      <c r="C261" s="4"/>
      <c r="D261" s="4" t="s">
        <v>1219</v>
      </c>
      <c r="E261">
        <v>-1783</v>
      </c>
      <c r="F261" t="str">
        <f>VLOOKUP(E261,CompDbase!B:L,4,FALSE)</f>
        <v>heptachlor epoxide</v>
      </c>
      <c r="G261" s="95" t="str">
        <f>VLOOKUP(E261,CompDbase!B:M,12,FALSE)</f>
        <v>overige</v>
      </c>
      <c r="H261" s="95">
        <f>VLOOKUP(E261,CompDbase!B:L,8,FALSE)</f>
        <v>389.3</v>
      </c>
      <c r="I261" s="95">
        <f>VLOOKUP(E261,CompDbase!B:L,11,FALSE)</f>
        <v>233.7</v>
      </c>
      <c r="J261" s="95">
        <f>VLOOKUP(E261,CompDbase!B:L,9,FALSE)</f>
        <v>4.9009966281146902</v>
      </c>
      <c r="K261" s="95">
        <f>VLOOKUP(E261,CompDbase!B:L,10,FALSE)</f>
        <v>5.4</v>
      </c>
      <c r="L261" s="4" t="s">
        <v>769</v>
      </c>
      <c r="M261" s="420"/>
      <c r="N261" s="420"/>
      <c r="O261" s="4" t="s">
        <v>1986</v>
      </c>
      <c r="P261" s="4" t="s">
        <v>1980</v>
      </c>
      <c r="Q261" s="4" t="s">
        <v>1049</v>
      </c>
      <c r="S261" s="4"/>
      <c r="T261" s="95"/>
      <c r="W261" s="199">
        <f t="shared" si="213"/>
        <v>10715.193052376071</v>
      </c>
      <c r="X261" s="4">
        <v>4.03</v>
      </c>
      <c r="Z261" s="289">
        <v>-13.6</v>
      </c>
      <c r="AG261" s="138">
        <f t="shared" si="214"/>
        <v>4.03</v>
      </c>
      <c r="AH261">
        <f t="shared" si="215"/>
        <v>5.4</v>
      </c>
      <c r="AI261">
        <f t="shared" si="215"/>
        <v>5.4</v>
      </c>
      <c r="BW261" s="138"/>
      <c r="BX261">
        <f t="shared" si="218"/>
        <v>0.69028440371816169</v>
      </c>
      <c r="BY261">
        <f t="shared" si="218"/>
        <v>0.69028440371816169</v>
      </c>
      <c r="DG261">
        <f t="shared" si="216"/>
        <v>-13.6</v>
      </c>
      <c r="DH261">
        <f t="shared" si="217"/>
        <v>389.3</v>
      </c>
      <c r="DI261">
        <f t="shared" si="217"/>
        <v>389.3</v>
      </c>
      <c r="EY261" s="479">
        <f>VLOOKUP(B261,Literatuur!$A:$B,2,FALSE)</f>
        <v>11</v>
      </c>
      <c r="EZ261" t="str">
        <f t="shared" si="199"/>
        <v>heptachlor epoxide</v>
      </c>
      <c r="FA261" t="str">
        <f t="shared" si="200"/>
        <v>overige</v>
      </c>
      <c r="FB261" t="str">
        <f t="shared" si="201"/>
        <v>LDPE</v>
      </c>
      <c r="FC261" t="str">
        <f t="shared" si="202"/>
        <v>Immersion (spinning)</v>
      </c>
      <c r="FD261" t="str">
        <f t="shared" si="203"/>
        <v>room</v>
      </c>
      <c r="FE261" t="str">
        <f t="shared" si="204"/>
        <v>water</v>
      </c>
      <c r="FF261" t="str">
        <f t="shared" si="205"/>
        <v xml:space="preserve"> </v>
      </c>
      <c r="FG261" s="408" t="str">
        <f t="shared" si="198"/>
        <v/>
      </c>
      <c r="FH261" s="138">
        <f t="shared" si="206"/>
        <v>4.03</v>
      </c>
      <c r="FI261" s="106" t="str">
        <f t="shared" si="176"/>
        <v>**</v>
      </c>
      <c r="FJ261" s="138">
        <f t="shared" si="207"/>
        <v>-13.6</v>
      </c>
      <c r="FK261" s="138" t="str">
        <f t="shared" si="208"/>
        <v>**</v>
      </c>
    </row>
    <row r="262" spans="1:167" ht="12.75" hidden="1" customHeight="1" x14ac:dyDescent="0.2">
      <c r="A262">
        <v>222</v>
      </c>
      <c r="B262" t="s">
        <v>1597</v>
      </c>
      <c r="C262" s="4"/>
      <c r="D262" t="s">
        <v>1210</v>
      </c>
      <c r="E262">
        <v>-1784</v>
      </c>
      <c r="F262" t="str">
        <f>VLOOKUP(E262,CompDbase!B:L,4,FALSE)</f>
        <v>methoxychlor</v>
      </c>
      <c r="G262" s="95" t="str">
        <f>VLOOKUP(E262,CompDbase!B:M,12,FALSE)</f>
        <v>overige</v>
      </c>
      <c r="H262" s="95">
        <f>VLOOKUP(E262,CompDbase!B:L,8,FALSE)</f>
        <v>345.7</v>
      </c>
      <c r="I262" s="95">
        <f>VLOOKUP(E262,CompDbase!B:L,11,FALSE)</f>
        <v>260.5</v>
      </c>
      <c r="J262" s="95">
        <f>VLOOKUP(E262,CompDbase!B:L,9,FALSE)</f>
        <v>0.17326042666494795</v>
      </c>
      <c r="K262" s="95">
        <f>VLOOKUP(E262,CompDbase!B:L,10,FALSE)</f>
        <v>5.0999999999999996</v>
      </c>
      <c r="L262" s="4" t="s">
        <v>769</v>
      </c>
      <c r="M262" s="420"/>
      <c r="N262" s="420"/>
      <c r="O262" s="4" t="s">
        <v>1986</v>
      </c>
      <c r="P262" s="4" t="s">
        <v>1980</v>
      </c>
      <c r="Q262" s="4" t="s">
        <v>1049</v>
      </c>
      <c r="S262" s="4"/>
      <c r="T262" s="95"/>
      <c r="W262" s="199">
        <f t="shared" si="213"/>
        <v>16982.436524617482</v>
      </c>
      <c r="X262" s="4">
        <v>4.2300000000000004</v>
      </c>
      <c r="Z262" s="289">
        <v>-13.5</v>
      </c>
      <c r="AG262" s="138">
        <f t="shared" si="214"/>
        <v>4.2300000000000004</v>
      </c>
      <c r="AH262">
        <f t="shared" si="215"/>
        <v>5.0999999999999996</v>
      </c>
      <c r="AI262">
        <f t="shared" si="215"/>
        <v>5.0999999999999996</v>
      </c>
      <c r="BW262" s="138"/>
      <c r="BX262">
        <f t="shared" si="218"/>
        <v>-0.76130062045759339</v>
      </c>
      <c r="BY262">
        <f t="shared" si="218"/>
        <v>-0.76130062045759339</v>
      </c>
      <c r="DG262">
        <f t="shared" si="216"/>
        <v>-13.5</v>
      </c>
      <c r="DH262">
        <f t="shared" si="217"/>
        <v>345.7</v>
      </c>
      <c r="DI262">
        <f t="shared" si="217"/>
        <v>345.7</v>
      </c>
      <c r="EY262" s="479">
        <f>VLOOKUP(B262,Literatuur!$A:$B,2,FALSE)</f>
        <v>11</v>
      </c>
      <c r="EZ262" t="str">
        <f t="shared" si="199"/>
        <v>methoxychlor</v>
      </c>
      <c r="FA262" t="str">
        <f t="shared" si="200"/>
        <v>overige</v>
      </c>
      <c r="FB262" t="str">
        <f t="shared" si="201"/>
        <v>LDPE</v>
      </c>
      <c r="FC262" t="str">
        <f t="shared" si="202"/>
        <v>Immersion (spinning)</v>
      </c>
      <c r="FD262" t="str">
        <f t="shared" si="203"/>
        <v>room</v>
      </c>
      <c r="FE262" t="str">
        <f t="shared" si="204"/>
        <v>water</v>
      </c>
      <c r="FF262" t="str">
        <f t="shared" si="205"/>
        <v xml:space="preserve"> </v>
      </c>
      <c r="FG262" s="408" t="str">
        <f t="shared" si="198"/>
        <v/>
      </c>
      <c r="FH262" s="138">
        <f t="shared" si="206"/>
        <v>4.2300000000000004</v>
      </c>
      <c r="FI262" s="106" t="str">
        <f t="shared" si="176"/>
        <v>**</v>
      </c>
      <c r="FJ262" s="138">
        <f t="shared" si="207"/>
        <v>-13.5</v>
      </c>
      <c r="FK262" s="138" t="str">
        <f t="shared" si="208"/>
        <v>**</v>
      </c>
    </row>
    <row r="263" spans="1:167" ht="12.75" hidden="1" customHeight="1" x14ac:dyDescent="0.2">
      <c r="A263">
        <v>224</v>
      </c>
      <c r="B263" t="s">
        <v>1597</v>
      </c>
      <c r="C263" s="4"/>
      <c r="D263" t="s">
        <v>1196</v>
      </c>
      <c r="E263">
        <v>-1766</v>
      </c>
      <c r="F263" t="str">
        <f>VLOOKUP(E263,CompDbase!B:L,4,FALSE)</f>
        <v>o,p’-DDD</v>
      </c>
      <c r="G263" s="95" t="str">
        <f>VLOOKUP(E263,CompDbase!B:M,12,FALSE)</f>
        <v>overige</v>
      </c>
      <c r="H263" s="95">
        <f>VLOOKUP(E263,CompDbase!B:L,8,FALSE)</f>
        <v>320.10000000000002</v>
      </c>
      <c r="I263" s="95">
        <f>VLOOKUP(E263,CompDbase!B:L,11,FALSE)</f>
        <v>224.8</v>
      </c>
      <c r="J263" s="95">
        <f>VLOOKUP(E263,CompDbase!B:L,9,FALSE)</f>
        <v>0.32010000000000005</v>
      </c>
      <c r="K263" s="95">
        <f>VLOOKUP(E263,CompDbase!B:L,10,FALSE)</f>
        <v>6.8</v>
      </c>
      <c r="L263" s="4" t="s">
        <v>769</v>
      </c>
      <c r="M263" s="420"/>
      <c r="N263" s="420"/>
      <c r="O263" s="4" t="s">
        <v>1986</v>
      </c>
      <c r="P263" s="4" t="s">
        <v>1980</v>
      </c>
      <c r="Q263" s="4" t="s">
        <v>1049</v>
      </c>
      <c r="S263" s="4"/>
      <c r="T263" s="95"/>
      <c r="W263" s="199">
        <f t="shared" si="213"/>
        <v>77624.711662869129</v>
      </c>
      <c r="X263" s="4">
        <v>4.8899999999999997</v>
      </c>
      <c r="Z263" s="289"/>
      <c r="AG263" s="138">
        <f t="shared" si="214"/>
        <v>4.8899999999999997</v>
      </c>
      <c r="AH263">
        <f t="shared" si="215"/>
        <v>6.8</v>
      </c>
      <c r="AI263">
        <f t="shared" si="215"/>
        <v>6.8</v>
      </c>
      <c r="BW263" s="138"/>
      <c r="BX263">
        <f t="shared" si="218"/>
        <v>-0.49471432585586761</v>
      </c>
      <c r="BY263">
        <f t="shared" si="218"/>
        <v>-0.49471432585586761</v>
      </c>
      <c r="DG263" s="138"/>
      <c r="EY263" s="479">
        <f>VLOOKUP(B263,Literatuur!$A:$B,2,FALSE)</f>
        <v>11</v>
      </c>
      <c r="EZ263" t="str">
        <f t="shared" si="199"/>
        <v>o,p’-DDD</v>
      </c>
      <c r="FA263" t="str">
        <f t="shared" si="200"/>
        <v>overige</v>
      </c>
      <c r="FB263" t="str">
        <f t="shared" si="201"/>
        <v>LDPE</v>
      </c>
      <c r="FC263" t="str">
        <f t="shared" si="202"/>
        <v>Immersion (spinning)</v>
      </c>
      <c r="FD263" t="str">
        <f t="shared" si="203"/>
        <v>room</v>
      </c>
      <c r="FE263" t="str">
        <f t="shared" si="204"/>
        <v>water</v>
      </c>
      <c r="FF263" t="str">
        <f t="shared" si="205"/>
        <v xml:space="preserve"> </v>
      </c>
      <c r="FG263" s="408" t="str">
        <f t="shared" si="198"/>
        <v/>
      </c>
      <c r="FH263" s="138">
        <f t="shared" si="206"/>
        <v>4.8899999999999997</v>
      </c>
      <c r="FI263" s="106" t="str">
        <f t="shared" si="176"/>
        <v>**</v>
      </c>
      <c r="FJ263" s="138" t="str">
        <f t="shared" si="207"/>
        <v/>
      </c>
      <c r="FK263" s="138" t="str">
        <f t="shared" si="208"/>
        <v>**</v>
      </c>
    </row>
    <row r="264" spans="1:167" ht="12.75" hidden="1" customHeight="1" x14ac:dyDescent="0.2">
      <c r="A264">
        <v>225</v>
      </c>
      <c r="B264" t="s">
        <v>1597</v>
      </c>
      <c r="C264" s="4"/>
      <c r="D264" t="s">
        <v>1198</v>
      </c>
      <c r="E264">
        <v>-1768</v>
      </c>
      <c r="F264" t="str">
        <f>VLOOKUP(E264,CompDbase!B:L,4,FALSE)</f>
        <v>o,p’-DDE</v>
      </c>
      <c r="G264" s="95" t="str">
        <f>VLOOKUP(E264,CompDbase!B:M,12,FALSE)</f>
        <v>overige</v>
      </c>
      <c r="H264" s="95">
        <f>VLOOKUP(E264,CompDbase!B:L,8,FALSE)</f>
        <v>318</v>
      </c>
      <c r="I264" s="95">
        <f>VLOOKUP(E264,CompDbase!B:L,11,FALSE)</f>
        <v>221.1</v>
      </c>
      <c r="J264" s="95">
        <f>VLOOKUP(E264,CompDbase!B:L,9,FALSE)</f>
        <v>0.40033828095054486</v>
      </c>
      <c r="K264" s="95">
        <f>VLOOKUP(E264,CompDbase!B:L,10,FALSE)</f>
        <v>7.1</v>
      </c>
      <c r="L264" s="4" t="s">
        <v>769</v>
      </c>
      <c r="M264" s="420"/>
      <c r="N264" s="420"/>
      <c r="O264" s="4" t="s">
        <v>1986</v>
      </c>
      <c r="P264" s="4" t="s">
        <v>1980</v>
      </c>
      <c r="Q264" s="4" t="s">
        <v>1049</v>
      </c>
      <c r="S264" s="4"/>
      <c r="T264" s="95"/>
      <c r="W264" s="199">
        <f t="shared" si="213"/>
        <v>416869.38347033598</v>
      </c>
      <c r="X264" s="4">
        <v>5.62</v>
      </c>
      <c r="Z264" s="289"/>
      <c r="AG264" s="138">
        <f t="shared" si="214"/>
        <v>5.62</v>
      </c>
      <c r="AH264">
        <f t="shared" si="215"/>
        <v>7.1</v>
      </c>
      <c r="AI264">
        <f t="shared" si="215"/>
        <v>7.1</v>
      </c>
      <c r="AJ264" s="4"/>
      <c r="BW264" s="138"/>
      <c r="BX264">
        <f t="shared" si="218"/>
        <v>-0.39757288001556768</v>
      </c>
      <c r="BY264">
        <f t="shared" si="218"/>
        <v>-0.39757288001556768</v>
      </c>
      <c r="BZ264" s="4"/>
      <c r="DG264" s="138"/>
      <c r="DJ264" s="4"/>
      <c r="EY264" s="479">
        <f>VLOOKUP(B264,Literatuur!$A:$B,2,FALSE)</f>
        <v>11</v>
      </c>
      <c r="EZ264" t="str">
        <f t="shared" si="199"/>
        <v>o,p’-DDE</v>
      </c>
      <c r="FA264" t="str">
        <f t="shared" si="200"/>
        <v>overige</v>
      </c>
      <c r="FB264" t="str">
        <f t="shared" si="201"/>
        <v>LDPE</v>
      </c>
      <c r="FC264" t="str">
        <f t="shared" si="202"/>
        <v>Immersion (spinning)</v>
      </c>
      <c r="FD264" t="str">
        <f t="shared" si="203"/>
        <v>room</v>
      </c>
      <c r="FE264" t="str">
        <f t="shared" si="204"/>
        <v>water</v>
      </c>
      <c r="FF264" t="str">
        <f t="shared" si="205"/>
        <v xml:space="preserve"> </v>
      </c>
      <c r="FG264" s="408" t="str">
        <f t="shared" si="198"/>
        <v/>
      </c>
      <c r="FH264" s="138">
        <f t="shared" si="206"/>
        <v>5.62</v>
      </c>
      <c r="FI264" s="106" t="str">
        <f t="shared" si="176"/>
        <v>**</v>
      </c>
      <c r="FJ264" s="138" t="str">
        <f t="shared" si="207"/>
        <v/>
      </c>
      <c r="FK264" s="138" t="str">
        <f t="shared" si="208"/>
        <v>**</v>
      </c>
    </row>
    <row r="265" spans="1:167" ht="12.75" hidden="1" customHeight="1" x14ac:dyDescent="0.2">
      <c r="A265">
        <v>226</v>
      </c>
      <c r="B265" t="s">
        <v>1597</v>
      </c>
      <c r="C265" s="4"/>
      <c r="D265" t="s">
        <v>1194</v>
      </c>
      <c r="E265">
        <v>-1764</v>
      </c>
      <c r="F265" t="str">
        <f>VLOOKUP(E265,CompDbase!B:L,4,FALSE)</f>
        <v>o,p’-DDT</v>
      </c>
      <c r="G265" s="95" t="str">
        <f>VLOOKUP(E265,CompDbase!B:M,12,FALSE)</f>
        <v>overige</v>
      </c>
      <c r="H265" s="95">
        <f>VLOOKUP(E265,CompDbase!B:L,8,FALSE)</f>
        <v>354.5</v>
      </c>
      <c r="I265" s="95">
        <f>VLOOKUP(E265,CompDbase!B:L,11,FALSE)</f>
        <v>237.7</v>
      </c>
      <c r="J265" s="95">
        <f>VLOOKUP(E265,CompDbase!B:L,9,FALSE)</f>
        <v>0.17767087432086795</v>
      </c>
      <c r="K265" s="95">
        <f>VLOOKUP(E265,CompDbase!B:L,10,FALSE)</f>
        <v>6.4</v>
      </c>
      <c r="L265" s="4" t="s">
        <v>769</v>
      </c>
      <c r="M265" s="420"/>
      <c r="N265" s="420"/>
      <c r="O265" s="4" t="s">
        <v>1986</v>
      </c>
      <c r="P265" s="4" t="s">
        <v>1980</v>
      </c>
      <c r="Q265" s="4" t="s">
        <v>1049</v>
      </c>
      <c r="S265" s="4"/>
      <c r="T265" s="95"/>
      <c r="W265" s="199">
        <f t="shared" si="213"/>
        <v>575439.93733715697</v>
      </c>
      <c r="X265" s="4">
        <v>5.76</v>
      </c>
      <c r="Z265" s="289"/>
      <c r="AG265" s="138">
        <f t="shared" si="214"/>
        <v>5.76</v>
      </c>
      <c r="AH265">
        <f t="shared" si="215"/>
        <v>6.4</v>
      </c>
      <c r="AI265">
        <f t="shared" si="215"/>
        <v>6.4</v>
      </c>
      <c r="BW265" s="138"/>
      <c r="BX265">
        <f t="shared" si="218"/>
        <v>-0.75038376048091482</v>
      </c>
      <c r="BY265">
        <f t="shared" si="218"/>
        <v>-0.75038376048091482</v>
      </c>
      <c r="DG265" s="138"/>
      <c r="EY265" s="479">
        <f>VLOOKUP(B265,Literatuur!$A:$B,2,FALSE)</f>
        <v>11</v>
      </c>
      <c r="EZ265" t="str">
        <f t="shared" si="199"/>
        <v>o,p’-DDT</v>
      </c>
      <c r="FA265" t="str">
        <f t="shared" si="200"/>
        <v>overige</v>
      </c>
      <c r="FB265" t="str">
        <f t="shared" si="201"/>
        <v>LDPE</v>
      </c>
      <c r="FC265" t="str">
        <f t="shared" si="202"/>
        <v>Immersion (spinning)</v>
      </c>
      <c r="FD265" t="str">
        <f t="shared" si="203"/>
        <v>room</v>
      </c>
      <c r="FE265" t="str">
        <f t="shared" si="204"/>
        <v>water</v>
      </c>
      <c r="FF265" t="str">
        <f t="shared" si="205"/>
        <v xml:space="preserve"> </v>
      </c>
      <c r="FG265" s="408" t="str">
        <f t="shared" si="198"/>
        <v/>
      </c>
      <c r="FH265" s="138">
        <f t="shared" si="206"/>
        <v>5.76</v>
      </c>
      <c r="FI265" s="106" t="str">
        <f t="shared" si="176"/>
        <v>**</v>
      </c>
      <c r="FJ265" s="138" t="str">
        <f t="shared" si="207"/>
        <v/>
      </c>
      <c r="FK265" s="138" t="str">
        <f t="shared" si="208"/>
        <v>**</v>
      </c>
    </row>
    <row r="266" spans="1:167" ht="12.75" hidden="1" customHeight="1" x14ac:dyDescent="0.2">
      <c r="A266">
        <v>227</v>
      </c>
      <c r="B266" t="s">
        <v>1597</v>
      </c>
      <c r="C266" s="4"/>
      <c r="D266" t="s">
        <v>1195</v>
      </c>
      <c r="E266">
        <v>-1765</v>
      </c>
      <c r="F266" t="str">
        <f>VLOOKUP(E266,CompDbase!B:L,4,FALSE)</f>
        <v>p,p’-DDD</v>
      </c>
      <c r="G266" s="95" t="str">
        <f>VLOOKUP(E266,CompDbase!B:M,12,FALSE)</f>
        <v>overige</v>
      </c>
      <c r="H266" s="95">
        <f>VLOOKUP(E266,CompDbase!B:L,8,FALSE)</f>
        <v>320.10000000000002</v>
      </c>
      <c r="I266" s="95">
        <f>VLOOKUP(E266,CompDbase!B:L,11,FALSE)</f>
        <v>227.1</v>
      </c>
      <c r="J266" s="95">
        <f>VLOOKUP(E266,CompDbase!B:L,9,FALSE)</f>
        <v>0.80405484672621585</v>
      </c>
      <c r="K266" s="95">
        <f>VLOOKUP(E266,CompDbase!B:L,10,FALSE)</f>
        <v>6.3</v>
      </c>
      <c r="L266" s="4" t="s">
        <v>769</v>
      </c>
      <c r="M266" s="420"/>
      <c r="N266" s="420"/>
      <c r="O266" s="4" t="s">
        <v>1986</v>
      </c>
      <c r="P266" s="4" t="s">
        <v>1980</v>
      </c>
      <c r="Q266" s="4" t="s">
        <v>1049</v>
      </c>
      <c r="S266" s="4"/>
      <c r="T266" s="95"/>
      <c r="W266" s="199">
        <f t="shared" si="213"/>
        <v>77624.711662869129</v>
      </c>
      <c r="X266" s="4">
        <v>4.8899999999999997</v>
      </c>
      <c r="Z266" s="289"/>
      <c r="AG266" s="138">
        <f t="shared" si="214"/>
        <v>4.8899999999999997</v>
      </c>
      <c r="AH266">
        <f t="shared" si="215"/>
        <v>6.3</v>
      </c>
      <c r="AI266">
        <f t="shared" si="215"/>
        <v>6.3</v>
      </c>
      <c r="BW266" s="138"/>
      <c r="BX266">
        <f t="shared" si="218"/>
        <v>-9.4714325855868073E-2</v>
      </c>
      <c r="BY266">
        <f t="shared" si="218"/>
        <v>-9.4714325855868073E-2</v>
      </c>
      <c r="DG266" s="138"/>
      <c r="EY266" s="479">
        <f>VLOOKUP(B266,Literatuur!$A:$B,2,FALSE)</f>
        <v>11</v>
      </c>
      <c r="EZ266" t="str">
        <f t="shared" si="199"/>
        <v>p,p’-DDD</v>
      </c>
      <c r="FA266" t="str">
        <f t="shared" si="200"/>
        <v>overige</v>
      </c>
      <c r="FB266" t="str">
        <f t="shared" si="201"/>
        <v>LDPE</v>
      </c>
      <c r="FC266" t="str">
        <f t="shared" si="202"/>
        <v>Immersion (spinning)</v>
      </c>
      <c r="FD266" t="str">
        <f t="shared" si="203"/>
        <v>room</v>
      </c>
      <c r="FE266" t="str">
        <f t="shared" si="204"/>
        <v>water</v>
      </c>
      <c r="FF266" t="str">
        <f t="shared" si="205"/>
        <v xml:space="preserve"> </v>
      </c>
      <c r="FG266" s="408" t="str">
        <f t="shared" si="198"/>
        <v/>
      </c>
      <c r="FH266" s="138">
        <f t="shared" si="206"/>
        <v>4.8899999999999997</v>
      </c>
      <c r="FI266" s="106" t="str">
        <f t="shared" si="176"/>
        <v>**</v>
      </c>
      <c r="FJ266" s="138" t="str">
        <f t="shared" si="207"/>
        <v/>
      </c>
      <c r="FK266" s="138" t="str">
        <f t="shared" si="208"/>
        <v>**</v>
      </c>
    </row>
    <row r="267" spans="1:167" ht="12.75" hidden="1" customHeight="1" x14ac:dyDescent="0.2">
      <c r="A267">
        <v>228</v>
      </c>
      <c r="B267" t="s">
        <v>1597</v>
      </c>
      <c r="C267" s="4"/>
      <c r="D267" t="s">
        <v>1197</v>
      </c>
      <c r="E267">
        <v>-1767</v>
      </c>
      <c r="F267" t="str">
        <f>VLOOKUP(E267,CompDbase!B:L,4,FALSE)</f>
        <v>p,p’-DDE</v>
      </c>
      <c r="G267" s="95" t="str">
        <f>VLOOKUP(E267,CompDbase!B:M,12,FALSE)</f>
        <v>overige</v>
      </c>
      <c r="H267" s="95">
        <f>VLOOKUP(E267,CompDbase!B:L,8,FALSE)</f>
        <v>318</v>
      </c>
      <c r="I267" s="95">
        <f>VLOOKUP(E267,CompDbase!B:L,11,FALSE)</f>
        <v>222.4</v>
      </c>
      <c r="J267" s="95">
        <f>VLOOKUP(E267,CompDbase!B:L,9,FALSE)</f>
        <v>0.25259637864232137</v>
      </c>
      <c r="K267" s="95">
        <f>VLOOKUP(E267,CompDbase!B:L,10,FALSE)</f>
        <v>6.9</v>
      </c>
      <c r="L267" s="4" t="s">
        <v>769</v>
      </c>
      <c r="M267" s="420"/>
      <c r="N267" s="420"/>
      <c r="O267" s="4" t="s">
        <v>1986</v>
      </c>
      <c r="P267" s="4" t="s">
        <v>1980</v>
      </c>
      <c r="Q267" s="4" t="s">
        <v>1049</v>
      </c>
      <c r="S267" s="4"/>
      <c r="T267" s="95"/>
      <c r="W267" s="199">
        <f t="shared" si="213"/>
        <v>588843.65535558888</v>
      </c>
      <c r="X267" s="4">
        <v>5.77</v>
      </c>
      <c r="Z267" s="289"/>
      <c r="AG267" s="138">
        <f t="shared" si="214"/>
        <v>5.77</v>
      </c>
      <c r="AH267">
        <f t="shared" si="215"/>
        <v>6.9</v>
      </c>
      <c r="AI267">
        <f t="shared" si="215"/>
        <v>6.9</v>
      </c>
      <c r="BW267" s="138"/>
      <c r="BX267">
        <f t="shared" si="218"/>
        <v>-0.59757288001556752</v>
      </c>
      <c r="BY267">
        <f t="shared" si="218"/>
        <v>-0.59757288001556752</v>
      </c>
      <c r="DG267" s="138"/>
      <c r="EY267" s="479">
        <f>VLOOKUP(B267,Literatuur!$A:$B,2,FALSE)</f>
        <v>11</v>
      </c>
      <c r="EZ267" t="str">
        <f t="shared" si="199"/>
        <v>p,p’-DDE</v>
      </c>
      <c r="FA267" t="str">
        <f t="shared" si="200"/>
        <v>overige</v>
      </c>
      <c r="FB267" t="str">
        <f t="shared" si="201"/>
        <v>LDPE</v>
      </c>
      <c r="FC267" t="str">
        <f t="shared" si="202"/>
        <v>Immersion (spinning)</v>
      </c>
      <c r="FD267" t="str">
        <f t="shared" si="203"/>
        <v>room</v>
      </c>
      <c r="FE267" t="str">
        <f t="shared" si="204"/>
        <v>water</v>
      </c>
      <c r="FF267" t="str">
        <f t="shared" si="205"/>
        <v xml:space="preserve"> </v>
      </c>
      <c r="FG267" s="408" t="str">
        <f t="shared" si="198"/>
        <v/>
      </c>
      <c r="FH267" s="138">
        <f t="shared" si="206"/>
        <v>5.77</v>
      </c>
      <c r="FI267" s="106" t="str">
        <f t="shared" si="176"/>
        <v>**</v>
      </c>
      <c r="FJ267" s="138" t="str">
        <f t="shared" si="207"/>
        <v/>
      </c>
      <c r="FK267" s="138" t="str">
        <f t="shared" si="208"/>
        <v>**</v>
      </c>
    </row>
    <row r="268" spans="1:167" ht="12.75" hidden="1" customHeight="1" x14ac:dyDescent="0.2">
      <c r="A268">
        <v>229</v>
      </c>
      <c r="B268" t="s">
        <v>1597</v>
      </c>
      <c r="C268" s="4"/>
      <c r="D268" t="s">
        <v>1199</v>
      </c>
      <c r="E268">
        <v>-1769</v>
      </c>
      <c r="F268" t="str">
        <f>VLOOKUP(E268,CompDbase!B:L,4,FALSE)</f>
        <v>p,p’-DDMU</v>
      </c>
      <c r="G268" s="95" t="str">
        <f>VLOOKUP(E268,CompDbase!B:M,12,FALSE)</f>
        <v>overige</v>
      </c>
      <c r="H268" s="95">
        <f>VLOOKUP(E268,CompDbase!B:L,8,FALSE)</f>
        <v>283.60000000000002</v>
      </c>
      <c r="I268" s="95">
        <f>VLOOKUP(E268,CompDbase!B:L,11,FALSE)</f>
        <v>210.4</v>
      </c>
      <c r="J268" s="95" t="e">
        <f>VLOOKUP(E268,CompDbase!B:L,9,FALSE)</f>
        <v>#DIV/0!</v>
      </c>
      <c r="K268" s="95">
        <f>VLOOKUP(E268,CompDbase!B:L,10,FALSE)</f>
        <v>6.2</v>
      </c>
      <c r="L268" s="4" t="s">
        <v>769</v>
      </c>
      <c r="M268" s="420"/>
      <c r="N268" s="420"/>
      <c r="O268" s="4" t="s">
        <v>1986</v>
      </c>
      <c r="P268" s="4" t="s">
        <v>1980</v>
      </c>
      <c r="Q268" s="4" t="s">
        <v>1049</v>
      </c>
      <c r="S268" s="4"/>
      <c r="T268" s="95"/>
      <c r="W268" s="199">
        <f t="shared" si="213"/>
        <v>234422.88153199267</v>
      </c>
      <c r="X268" s="4">
        <v>5.37</v>
      </c>
      <c r="Z268" s="289"/>
      <c r="AG268" s="138">
        <f t="shared" si="214"/>
        <v>5.37</v>
      </c>
      <c r="AH268">
        <f t="shared" si="215"/>
        <v>6.2</v>
      </c>
      <c r="AI268">
        <f t="shared" si="215"/>
        <v>6.2</v>
      </c>
      <c r="BW268" s="138"/>
      <c r="DG268" s="138"/>
      <c r="EY268" s="479">
        <f>VLOOKUP(B268,Literatuur!$A:$B,2,FALSE)</f>
        <v>11</v>
      </c>
      <c r="EZ268" t="str">
        <f t="shared" si="199"/>
        <v>p,p’-DDMU</v>
      </c>
      <c r="FA268" t="str">
        <f t="shared" si="200"/>
        <v>overige</v>
      </c>
      <c r="FB268" t="str">
        <f t="shared" si="201"/>
        <v>LDPE</v>
      </c>
      <c r="FC268" t="str">
        <f t="shared" si="202"/>
        <v>Immersion (spinning)</v>
      </c>
      <c r="FD268" t="str">
        <f t="shared" si="203"/>
        <v>room</v>
      </c>
      <c r="FE268" t="str">
        <f t="shared" si="204"/>
        <v>water</v>
      </c>
      <c r="FF268" t="str">
        <f t="shared" si="205"/>
        <v xml:space="preserve"> </v>
      </c>
      <c r="FG268" s="408" t="str">
        <f t="shared" si="198"/>
        <v/>
      </c>
      <c r="FH268" s="138">
        <f t="shared" si="206"/>
        <v>5.37</v>
      </c>
      <c r="FI268" s="106" t="str">
        <f t="shared" si="176"/>
        <v>**</v>
      </c>
      <c r="FJ268" s="138" t="str">
        <f t="shared" si="207"/>
        <v/>
      </c>
      <c r="FK268" s="138" t="str">
        <f t="shared" si="208"/>
        <v>**</v>
      </c>
    </row>
    <row r="269" spans="1:167" ht="12.75" hidden="1" customHeight="1" x14ac:dyDescent="0.2">
      <c r="A269">
        <v>230</v>
      </c>
      <c r="B269" t="s">
        <v>1597</v>
      </c>
      <c r="C269" s="4"/>
      <c r="D269" t="s">
        <v>1193</v>
      </c>
      <c r="E269">
        <v>-1763</v>
      </c>
      <c r="F269" t="str">
        <f>VLOOKUP(E269,CompDbase!B:L,4,FALSE)</f>
        <v>p,p’-DDT</v>
      </c>
      <c r="G269" s="95" t="str">
        <f>VLOOKUP(E269,CompDbase!B:M,12,FALSE)</f>
        <v>overige</v>
      </c>
      <c r="H269" s="95">
        <f>VLOOKUP(E269,CompDbase!B:L,8,FALSE)</f>
        <v>354.5</v>
      </c>
      <c r="I269" s="95">
        <f>VLOOKUP(E269,CompDbase!B:L,11,FALSE)</f>
        <v>240.1</v>
      </c>
      <c r="J269" s="95">
        <f>VLOOKUP(E269,CompDbase!B:L,9,FALSE)</f>
        <v>0.14112899196121473</v>
      </c>
      <c r="K269" s="95">
        <f>VLOOKUP(E269,CompDbase!B:L,10,FALSE)</f>
        <v>6.4</v>
      </c>
      <c r="L269" s="4" t="s">
        <v>769</v>
      </c>
      <c r="M269" s="420"/>
      <c r="N269" s="420"/>
      <c r="O269" s="4" t="s">
        <v>1986</v>
      </c>
      <c r="P269" s="4" t="s">
        <v>1980</v>
      </c>
      <c r="Q269" s="4" t="s">
        <v>1049</v>
      </c>
      <c r="S269" s="4"/>
      <c r="T269" s="95"/>
      <c r="W269" s="199">
        <f t="shared" si="213"/>
        <v>389045.14499428123</v>
      </c>
      <c r="X269" s="4">
        <v>5.59</v>
      </c>
      <c r="Z269" s="289"/>
      <c r="AG269" s="138">
        <f t="shared" si="214"/>
        <v>5.59</v>
      </c>
      <c r="AH269">
        <f t="shared" si="215"/>
        <v>6.4</v>
      </c>
      <c r="AI269">
        <f t="shared" si="215"/>
        <v>6.4</v>
      </c>
      <c r="BW269" s="138"/>
      <c r="BX269">
        <f t="shared" ref="BX269:BY274" si="219">LOG(1*$J269)</f>
        <v>-0.8503837604809148</v>
      </c>
      <c r="BY269">
        <f t="shared" si="219"/>
        <v>-0.8503837604809148</v>
      </c>
      <c r="DG269" s="138"/>
      <c r="EY269" s="479">
        <f>VLOOKUP(B269,Literatuur!$A:$B,2,FALSE)</f>
        <v>11</v>
      </c>
      <c r="EZ269" t="str">
        <f t="shared" si="199"/>
        <v>p,p’-DDT</v>
      </c>
      <c r="FA269" t="str">
        <f t="shared" si="200"/>
        <v>overige</v>
      </c>
      <c r="FB269" t="str">
        <f t="shared" si="201"/>
        <v>LDPE</v>
      </c>
      <c r="FC269" t="str">
        <f t="shared" si="202"/>
        <v>Immersion (spinning)</v>
      </c>
      <c r="FD269" t="str">
        <f t="shared" si="203"/>
        <v>room</v>
      </c>
      <c r="FE269" t="str">
        <f t="shared" si="204"/>
        <v>water</v>
      </c>
      <c r="FF269" t="str">
        <f t="shared" si="205"/>
        <v xml:space="preserve"> </v>
      </c>
      <c r="FG269" s="408" t="str">
        <f t="shared" si="198"/>
        <v/>
      </c>
      <c r="FH269" s="138">
        <f t="shared" si="206"/>
        <v>5.59</v>
      </c>
      <c r="FI269" s="106" t="str">
        <f t="shared" si="176"/>
        <v>**</v>
      </c>
      <c r="FJ269" s="138" t="str">
        <f t="shared" si="207"/>
        <v/>
      </c>
      <c r="FK269" s="138" t="str">
        <f t="shared" si="208"/>
        <v>**</v>
      </c>
    </row>
    <row r="270" spans="1:167" ht="12.75" hidden="1" customHeight="1" x14ac:dyDescent="0.2">
      <c r="A270">
        <v>231</v>
      </c>
      <c r="B270" t="s">
        <v>1597</v>
      </c>
      <c r="C270" s="4"/>
      <c r="D270" t="s">
        <v>1207</v>
      </c>
      <c r="E270">
        <v>-1777</v>
      </c>
      <c r="F270" t="str">
        <f>VLOOKUP(E270,CompDbase!B:L,4,FALSE)</f>
        <v>α-endosulfan</v>
      </c>
      <c r="G270" s="95" t="str">
        <f>VLOOKUP(E270,CompDbase!B:M,12,FALSE)</f>
        <v>overige</v>
      </c>
      <c r="H270" s="95">
        <f>VLOOKUP(E270,CompDbase!B:L,8,FALSE)</f>
        <v>406.9</v>
      </c>
      <c r="I270" s="95">
        <f>VLOOKUP(E270,CompDbase!B:L,11,FALSE)</f>
        <v>236.3</v>
      </c>
      <c r="J270" s="95">
        <f>VLOOKUP(E270,CompDbase!B:L,9,FALSE)</f>
        <v>2.5673654346899033</v>
      </c>
      <c r="K270" s="95">
        <f>VLOOKUP(E270,CompDbase!B:L,10,FALSE)</f>
        <v>4.9000000000000004</v>
      </c>
      <c r="L270" s="4" t="s">
        <v>769</v>
      </c>
      <c r="M270" s="420"/>
      <c r="N270" s="420"/>
      <c r="O270" s="4" t="s">
        <v>1986</v>
      </c>
      <c r="P270" s="4" t="s">
        <v>1980</v>
      </c>
      <c r="Q270" s="4" t="s">
        <v>1049</v>
      </c>
      <c r="S270" s="4"/>
      <c r="T270" s="95"/>
      <c r="W270" s="199">
        <f t="shared" si="213"/>
        <v>31622.77660168384</v>
      </c>
      <c r="X270" s="4">
        <v>4.5</v>
      </c>
      <c r="Z270" s="289">
        <v>-13.63</v>
      </c>
      <c r="AG270" s="138">
        <f t="shared" si="214"/>
        <v>4.5</v>
      </c>
      <c r="AH270">
        <f t="shared" si="215"/>
        <v>4.9000000000000004</v>
      </c>
      <c r="AI270">
        <f t="shared" si="215"/>
        <v>4.9000000000000004</v>
      </c>
      <c r="BW270" s="138"/>
      <c r="BX270">
        <f t="shared" si="219"/>
        <v>0.40948768985328476</v>
      </c>
      <c r="BY270">
        <f t="shared" si="219"/>
        <v>0.40948768985328476</v>
      </c>
      <c r="DG270">
        <f t="shared" ref="DG270:DG277" si="220">Z270</f>
        <v>-13.63</v>
      </c>
      <c r="DH270">
        <f t="shared" ref="DH270:DI277" si="221">$H270</f>
        <v>406.9</v>
      </c>
      <c r="DI270">
        <f t="shared" si="221"/>
        <v>406.9</v>
      </c>
      <c r="EY270" s="479">
        <f>VLOOKUP(B270,Literatuur!$A:$B,2,FALSE)</f>
        <v>11</v>
      </c>
      <c r="EZ270" t="str">
        <f t="shared" si="199"/>
        <v>α-endosulfan</v>
      </c>
      <c r="FA270" t="str">
        <f t="shared" si="200"/>
        <v>overige</v>
      </c>
      <c r="FB270" t="str">
        <f t="shared" si="201"/>
        <v>LDPE</v>
      </c>
      <c r="FC270" t="str">
        <f t="shared" si="202"/>
        <v>Immersion (spinning)</v>
      </c>
      <c r="FD270" t="str">
        <f t="shared" si="203"/>
        <v>room</v>
      </c>
      <c r="FE270" t="str">
        <f t="shared" si="204"/>
        <v>water</v>
      </c>
      <c r="FF270" t="str">
        <f t="shared" si="205"/>
        <v xml:space="preserve"> </v>
      </c>
      <c r="FG270" s="408" t="str">
        <f t="shared" si="198"/>
        <v/>
      </c>
      <c r="FH270" s="138">
        <f t="shared" si="206"/>
        <v>4.5</v>
      </c>
      <c r="FI270" s="106" t="str">
        <f t="shared" si="176"/>
        <v>**</v>
      </c>
      <c r="FJ270" s="138">
        <f t="shared" si="207"/>
        <v>-13.63</v>
      </c>
      <c r="FK270" s="138" t="str">
        <f t="shared" si="208"/>
        <v>**</v>
      </c>
    </row>
    <row r="271" spans="1:167" ht="12.75" hidden="1" customHeight="1" x14ac:dyDescent="0.2">
      <c r="A271">
        <v>232</v>
      </c>
      <c r="B271" t="s">
        <v>1597</v>
      </c>
      <c r="C271" s="4"/>
      <c r="D271" t="s">
        <v>1201</v>
      </c>
      <c r="E271">
        <v>-1771</v>
      </c>
      <c r="F271" t="str">
        <f>VLOOKUP(E271,CompDbase!B:L,4,FALSE)</f>
        <v>α-HCH</v>
      </c>
      <c r="G271" s="95" t="str">
        <f>VLOOKUP(E271,CompDbase!B:M,12,FALSE)</f>
        <v>overige</v>
      </c>
      <c r="H271" s="95">
        <f>VLOOKUP(E271,CompDbase!B:L,8,FALSE)</f>
        <v>290.8</v>
      </c>
      <c r="I271" s="95">
        <f>VLOOKUP(E271,CompDbase!B:L,11,FALSE)</f>
        <v>178</v>
      </c>
      <c r="J271" s="95">
        <f>VLOOKUP(E271,CompDbase!B:L,9,FALSE)</f>
        <v>91.959034357696481</v>
      </c>
      <c r="K271" s="95">
        <f>VLOOKUP(E271,CompDbase!B:L,10,FALSE)</f>
        <v>3.9</v>
      </c>
      <c r="L271" s="4" t="s">
        <v>769</v>
      </c>
      <c r="M271" s="420"/>
      <c r="N271" s="420"/>
      <c r="O271" s="4" t="s">
        <v>1986</v>
      </c>
      <c r="P271" s="4" t="s">
        <v>1980</v>
      </c>
      <c r="Q271" s="4" t="s">
        <v>1049</v>
      </c>
      <c r="S271" s="4"/>
      <c r="T271" s="95"/>
      <c r="W271" s="199">
        <f t="shared" si="213"/>
        <v>630.95734448019323</v>
      </c>
      <c r="X271" s="4">
        <v>2.8</v>
      </c>
      <c r="Z271" s="289">
        <v>-12.9</v>
      </c>
      <c r="AG271" s="138">
        <f t="shared" si="214"/>
        <v>2.8</v>
      </c>
      <c r="AH271">
        <f t="shared" si="215"/>
        <v>3.9</v>
      </c>
      <c r="AI271">
        <f t="shared" si="215"/>
        <v>3.9</v>
      </c>
      <c r="BW271" s="138"/>
      <c r="BX271">
        <f t="shared" si="219"/>
        <v>1.9635944021870002</v>
      </c>
      <c r="BY271">
        <f t="shared" si="219"/>
        <v>1.9635944021870002</v>
      </c>
      <c r="DG271">
        <f t="shared" si="220"/>
        <v>-12.9</v>
      </c>
      <c r="DH271">
        <f t="shared" si="221"/>
        <v>290.8</v>
      </c>
      <c r="DI271">
        <f t="shared" si="221"/>
        <v>290.8</v>
      </c>
      <c r="EY271" s="479">
        <f>VLOOKUP(B271,Literatuur!$A:$B,2,FALSE)</f>
        <v>11</v>
      </c>
      <c r="EZ271" t="str">
        <f t="shared" si="199"/>
        <v>α-HCH</v>
      </c>
      <c r="FA271" t="str">
        <f t="shared" si="200"/>
        <v>overige</v>
      </c>
      <c r="FB271" t="str">
        <f t="shared" si="201"/>
        <v>LDPE</v>
      </c>
      <c r="FC271" t="str">
        <f t="shared" si="202"/>
        <v>Immersion (spinning)</v>
      </c>
      <c r="FD271" t="str">
        <f t="shared" si="203"/>
        <v>room</v>
      </c>
      <c r="FE271" t="str">
        <f t="shared" si="204"/>
        <v>water</v>
      </c>
      <c r="FF271" t="str">
        <f t="shared" si="205"/>
        <v xml:space="preserve"> </v>
      </c>
      <c r="FG271" s="408" t="str">
        <f t="shared" si="198"/>
        <v/>
      </c>
      <c r="FH271" s="138">
        <f t="shared" si="206"/>
        <v>2.8</v>
      </c>
      <c r="FI271" s="106" t="str">
        <f t="shared" si="176"/>
        <v>**</v>
      </c>
      <c r="FJ271" s="138">
        <f t="shared" si="207"/>
        <v>-12.9</v>
      </c>
      <c r="FK271" s="138" t="str">
        <f t="shared" si="208"/>
        <v>**</v>
      </c>
    </row>
    <row r="272" spans="1:167" ht="12.75" hidden="1" customHeight="1" x14ac:dyDescent="0.2">
      <c r="A272">
        <v>234</v>
      </c>
      <c r="B272" t="s">
        <v>1597</v>
      </c>
      <c r="C272" s="4"/>
      <c r="D272" t="s">
        <v>1202</v>
      </c>
      <c r="E272">
        <v>-1772</v>
      </c>
      <c r="F272" t="str">
        <f>VLOOKUP(E272,CompDbase!B:L,4,FALSE)</f>
        <v>β-HCH</v>
      </c>
      <c r="G272" s="95" t="str">
        <f>VLOOKUP(E272,CompDbase!B:M,12,FALSE)</f>
        <v>overige</v>
      </c>
      <c r="H272" s="95">
        <f>VLOOKUP(E272,CompDbase!B:L,8,FALSE)</f>
        <v>290.8</v>
      </c>
      <c r="I272" s="95">
        <f>VLOOKUP(E272,CompDbase!B:L,11,FALSE)</f>
        <v>178</v>
      </c>
      <c r="J272" s="95">
        <f>VLOOKUP(E272,CompDbase!B:L,9,FALSE)</f>
        <v>460.88694036769186</v>
      </c>
      <c r="K272" s="95">
        <f>VLOOKUP(E272,CompDbase!B:L,10,FALSE)</f>
        <v>3.9</v>
      </c>
      <c r="L272" s="4" t="s">
        <v>769</v>
      </c>
      <c r="M272" s="420"/>
      <c r="N272" s="420"/>
      <c r="O272" s="4" t="s">
        <v>1986</v>
      </c>
      <c r="P272" s="4" t="s">
        <v>1980</v>
      </c>
      <c r="Q272" s="4" t="s">
        <v>1049</v>
      </c>
      <c r="S272" s="4"/>
      <c r="T272" s="95"/>
      <c r="W272" s="199">
        <f t="shared" si="213"/>
        <v>173.78008287493768</v>
      </c>
      <c r="X272" s="4">
        <v>2.2400000000000002</v>
      </c>
      <c r="Z272" s="289">
        <v>-12.67</v>
      </c>
      <c r="AG272" s="138">
        <f t="shared" si="214"/>
        <v>2.2400000000000002</v>
      </c>
      <c r="AH272">
        <f t="shared" si="215"/>
        <v>3.9</v>
      </c>
      <c r="AI272">
        <f t="shared" si="215"/>
        <v>3.9</v>
      </c>
      <c r="BW272" s="138"/>
      <c r="BX272">
        <f t="shared" si="219"/>
        <v>2.6635944021870004</v>
      </c>
      <c r="BY272">
        <f t="shared" si="219"/>
        <v>2.6635944021870004</v>
      </c>
      <c r="DG272">
        <f t="shared" si="220"/>
        <v>-12.67</v>
      </c>
      <c r="DH272">
        <f t="shared" si="221"/>
        <v>290.8</v>
      </c>
      <c r="DI272">
        <f t="shared" si="221"/>
        <v>290.8</v>
      </c>
      <c r="EY272" s="479">
        <f>VLOOKUP(B272,Literatuur!$A:$B,2,FALSE)</f>
        <v>11</v>
      </c>
      <c r="EZ272" t="str">
        <f t="shared" si="199"/>
        <v>β-HCH</v>
      </c>
      <c r="FA272" t="str">
        <f t="shared" si="200"/>
        <v>overige</v>
      </c>
      <c r="FB272" t="str">
        <f t="shared" si="201"/>
        <v>LDPE</v>
      </c>
      <c r="FC272" t="str">
        <f t="shared" si="202"/>
        <v>Immersion (spinning)</v>
      </c>
      <c r="FD272" t="str">
        <f t="shared" si="203"/>
        <v>room</v>
      </c>
      <c r="FE272" t="str">
        <f t="shared" si="204"/>
        <v>water</v>
      </c>
      <c r="FF272" t="str">
        <f t="shared" si="205"/>
        <v xml:space="preserve"> </v>
      </c>
      <c r="FG272" s="408" t="str">
        <f t="shared" si="198"/>
        <v/>
      </c>
      <c r="FH272" s="138">
        <f t="shared" si="206"/>
        <v>2.2400000000000002</v>
      </c>
      <c r="FI272" s="106" t="str">
        <f t="shared" si="176"/>
        <v>**</v>
      </c>
      <c r="FJ272" s="138">
        <f t="shared" si="207"/>
        <v>-12.67</v>
      </c>
      <c r="FK272" s="138" t="str">
        <f t="shared" si="208"/>
        <v>**</v>
      </c>
    </row>
    <row r="273" spans="1:167" ht="12.75" hidden="1" customHeight="1" x14ac:dyDescent="0.2">
      <c r="A273">
        <v>236</v>
      </c>
      <c r="B273" t="s">
        <v>1597</v>
      </c>
      <c r="C273" s="4"/>
      <c r="D273" t="s">
        <v>1203</v>
      </c>
      <c r="E273">
        <v>-1773</v>
      </c>
      <c r="F273" t="str">
        <f>VLOOKUP(E273,CompDbase!B:L,4,FALSE)</f>
        <v>γ-HCH</v>
      </c>
      <c r="G273" s="95" t="str">
        <f>VLOOKUP(E273,CompDbase!B:M,12,FALSE)</f>
        <v>overige</v>
      </c>
      <c r="H273" s="95">
        <f>VLOOKUP(E273,CompDbase!B:L,8,FALSE)</f>
        <v>290.8</v>
      </c>
      <c r="I273" s="95">
        <f>VLOOKUP(E273,CompDbase!B:L,11,FALSE)</f>
        <v>178</v>
      </c>
      <c r="J273" s="95">
        <f>VLOOKUP(E273,CompDbase!B:L,9,FALSE)</f>
        <v>73.045657428298597</v>
      </c>
      <c r="K273" s="95">
        <f>VLOOKUP(E273,CompDbase!B:L,10,FALSE)</f>
        <v>3.8</v>
      </c>
      <c r="L273" s="4" t="s">
        <v>769</v>
      </c>
      <c r="M273" s="420"/>
      <c r="N273" s="420"/>
      <c r="O273" s="4" t="s">
        <v>1986</v>
      </c>
      <c r="P273" s="4" t="s">
        <v>1980</v>
      </c>
      <c r="Q273" s="4" t="s">
        <v>1049</v>
      </c>
      <c r="S273" s="4"/>
      <c r="T273" s="95"/>
      <c r="W273" s="199">
        <f t="shared" si="213"/>
        <v>416.86938347033572</v>
      </c>
      <c r="X273" s="4">
        <v>2.62</v>
      </c>
      <c r="Z273" s="289">
        <v>-13</v>
      </c>
      <c r="AG273" s="138">
        <f t="shared" si="214"/>
        <v>2.62</v>
      </c>
      <c r="AH273">
        <f t="shared" si="215"/>
        <v>3.8</v>
      </c>
      <c r="AI273">
        <f t="shared" si="215"/>
        <v>3.8</v>
      </c>
      <c r="BW273" s="138"/>
      <c r="BX273">
        <f t="shared" si="219"/>
        <v>1.8635944021870003</v>
      </c>
      <c r="BY273">
        <f t="shared" si="219"/>
        <v>1.8635944021870003</v>
      </c>
      <c r="DG273">
        <f t="shared" si="220"/>
        <v>-13</v>
      </c>
      <c r="DH273">
        <f t="shared" si="221"/>
        <v>290.8</v>
      </c>
      <c r="DI273">
        <f t="shared" si="221"/>
        <v>290.8</v>
      </c>
      <c r="EY273" s="479">
        <f>VLOOKUP(B273,Literatuur!$A:$B,2,FALSE)</f>
        <v>11</v>
      </c>
      <c r="EZ273" t="str">
        <f t="shared" si="199"/>
        <v>γ-HCH</v>
      </c>
      <c r="FA273" t="str">
        <f t="shared" si="200"/>
        <v>overige</v>
      </c>
      <c r="FB273" t="str">
        <f t="shared" si="201"/>
        <v>LDPE</v>
      </c>
      <c r="FC273" t="str">
        <f t="shared" si="202"/>
        <v>Immersion (spinning)</v>
      </c>
      <c r="FD273" t="str">
        <f t="shared" si="203"/>
        <v>room</v>
      </c>
      <c r="FE273" t="str">
        <f t="shared" si="204"/>
        <v>water</v>
      </c>
      <c r="FF273" t="str">
        <f t="shared" si="205"/>
        <v xml:space="preserve"> </v>
      </c>
      <c r="FG273" s="408" t="str">
        <f t="shared" si="198"/>
        <v/>
      </c>
      <c r="FH273" s="138">
        <f t="shared" si="206"/>
        <v>2.62</v>
      </c>
      <c r="FI273" s="106" t="str">
        <f t="shared" si="176"/>
        <v>**</v>
      </c>
      <c r="FJ273" s="138">
        <f t="shared" si="207"/>
        <v>-13</v>
      </c>
      <c r="FK273" s="138" t="str">
        <f t="shared" si="208"/>
        <v>**</v>
      </c>
    </row>
    <row r="274" spans="1:167" ht="12.75" hidden="1" customHeight="1" x14ac:dyDescent="0.2">
      <c r="A274">
        <v>238</v>
      </c>
      <c r="B274" t="s">
        <v>1597</v>
      </c>
      <c r="C274" s="4"/>
      <c r="D274" t="s">
        <v>1204</v>
      </c>
      <c r="E274">
        <v>-1774</v>
      </c>
      <c r="F274" t="str">
        <f>VLOOKUP(E274,CompDbase!B:L,4,FALSE)</f>
        <v>δ-HCH</v>
      </c>
      <c r="G274" s="95" t="str">
        <f>VLOOKUP(E274,CompDbase!B:M,12,FALSE)</f>
        <v>overige</v>
      </c>
      <c r="H274" s="95">
        <f>VLOOKUP(E274,CompDbase!B:L,8,FALSE)</f>
        <v>290.8</v>
      </c>
      <c r="I274" s="95">
        <f>VLOOKUP(E274,CompDbase!B:L,11,FALSE)</f>
        <v>178</v>
      </c>
      <c r="J274" s="95">
        <f>VLOOKUP(E274,CompDbase!B:L,9,FALSE)</f>
        <v>115.76956519695699</v>
      </c>
      <c r="K274" s="95">
        <f>VLOOKUP(E274,CompDbase!B:L,10,FALSE)</f>
        <v>3.9</v>
      </c>
      <c r="L274" s="4" t="s">
        <v>769</v>
      </c>
      <c r="M274" s="420"/>
      <c r="N274" s="420"/>
      <c r="O274" s="4" t="s">
        <v>1986</v>
      </c>
      <c r="P274" s="4" t="s">
        <v>1980</v>
      </c>
      <c r="Q274" s="4" t="s">
        <v>1049</v>
      </c>
      <c r="S274" s="4"/>
      <c r="T274" s="95"/>
      <c r="W274" s="199">
        <f t="shared" si="213"/>
        <v>104.71285480508998</v>
      </c>
      <c r="X274" s="4">
        <v>2.02</v>
      </c>
      <c r="Z274" s="289">
        <v>-12.8</v>
      </c>
      <c r="AG274" s="138">
        <f t="shared" si="214"/>
        <v>2.02</v>
      </c>
      <c r="AH274">
        <f t="shared" si="215"/>
        <v>3.9</v>
      </c>
      <c r="AI274">
        <f t="shared" si="215"/>
        <v>3.9</v>
      </c>
      <c r="BW274" s="138"/>
      <c r="BX274">
        <f t="shared" si="219"/>
        <v>2.0635944021870003</v>
      </c>
      <c r="BY274">
        <f t="shared" si="219"/>
        <v>2.0635944021870003</v>
      </c>
      <c r="DG274">
        <f t="shared" si="220"/>
        <v>-12.8</v>
      </c>
      <c r="DH274">
        <f t="shared" si="221"/>
        <v>290.8</v>
      </c>
      <c r="DI274">
        <f t="shared" si="221"/>
        <v>290.8</v>
      </c>
      <c r="EY274" s="479">
        <f>VLOOKUP(B274,Literatuur!$A:$B,2,FALSE)</f>
        <v>11</v>
      </c>
      <c r="EZ274" t="str">
        <f t="shared" si="199"/>
        <v>δ-HCH</v>
      </c>
      <c r="FA274" t="str">
        <f t="shared" si="200"/>
        <v>overige</v>
      </c>
      <c r="FB274" t="str">
        <f t="shared" si="201"/>
        <v>LDPE</v>
      </c>
      <c r="FC274" t="str">
        <f t="shared" si="202"/>
        <v>Immersion (spinning)</v>
      </c>
      <c r="FD274" t="str">
        <f t="shared" si="203"/>
        <v>room</v>
      </c>
      <c r="FE274" t="str">
        <f t="shared" si="204"/>
        <v>water</v>
      </c>
      <c r="FF274" t="str">
        <f t="shared" si="205"/>
        <v xml:space="preserve"> </v>
      </c>
      <c r="FG274" s="408" t="str">
        <f t="shared" si="198"/>
        <v/>
      </c>
      <c r="FH274" s="138">
        <f t="shared" si="206"/>
        <v>2.02</v>
      </c>
      <c r="FI274" s="106" t="str">
        <f t="shared" si="176"/>
        <v>**</v>
      </c>
      <c r="FJ274" s="138">
        <f t="shared" si="207"/>
        <v>-12.8</v>
      </c>
      <c r="FK274" s="138" t="str">
        <f t="shared" si="208"/>
        <v>**</v>
      </c>
    </row>
    <row r="275" spans="1:167" ht="12.75" hidden="1" customHeight="1" x14ac:dyDescent="0.2">
      <c r="A275">
        <v>240</v>
      </c>
      <c r="B275" s="4" t="s">
        <v>1226</v>
      </c>
      <c r="C275" s="4"/>
      <c r="D275" s="4" t="s">
        <v>864</v>
      </c>
      <c r="E275">
        <v>-1657</v>
      </c>
      <c r="F275" t="str">
        <f>VLOOKUP(E275,CompDbase!B:L,4,FALSE)</f>
        <v xml:space="preserve">1,4-Dioxane </v>
      </c>
      <c r="G275" s="95" t="str">
        <f>VLOOKUP(E275,CompDbase!B:M,12,FALSE)</f>
        <v>overige</v>
      </c>
      <c r="H275" s="95">
        <f>VLOOKUP(E275,CompDbase!B:L,8,FALSE)</f>
        <v>88.11</v>
      </c>
      <c r="I275" s="95" t="e">
        <f>VLOOKUP(E275,CompDbase!B:L,11,FALSE)</f>
        <v>#DIV/0!</v>
      </c>
      <c r="J275" s="95">
        <f>VLOOKUP(E275,CompDbase!B:L,9,FALSE)</f>
        <v>1000000</v>
      </c>
      <c r="K275" s="95">
        <f>VLOOKUP(E275,CompDbase!B:L,10,FALSE)</f>
        <v>-0.27</v>
      </c>
      <c r="L275" s="4" t="s">
        <v>769</v>
      </c>
      <c r="M275" s="420"/>
      <c r="N275" s="420"/>
      <c r="O275" s="4"/>
      <c r="P275">
        <v>296</v>
      </c>
      <c r="Q275" s="4" t="s">
        <v>1049</v>
      </c>
      <c r="S275" s="4"/>
      <c r="Y275">
        <v>4.0000000000000006E-13</v>
      </c>
      <c r="Z275" s="95">
        <f>LOG(Y275)</f>
        <v>-12.397940008672037</v>
      </c>
      <c r="AC275" t="s">
        <v>68</v>
      </c>
      <c r="DG275">
        <f t="shared" si="220"/>
        <v>-12.397940008672037</v>
      </c>
      <c r="DH275">
        <f t="shared" si="221"/>
        <v>88.11</v>
      </c>
      <c r="EY275" s="479">
        <f>VLOOKUP(B275,Literatuur!$A:$B,2,FALSE)</f>
        <v>12</v>
      </c>
      <c r="EZ275" t="str">
        <f t="shared" si="199"/>
        <v>p-Dioxane</v>
      </c>
      <c r="FA275" t="str">
        <f t="shared" si="200"/>
        <v>overige</v>
      </c>
      <c r="FB275" t="str">
        <f t="shared" si="201"/>
        <v>LDPE</v>
      </c>
      <c r="FC275" t="str">
        <f t="shared" si="202"/>
        <v/>
      </c>
      <c r="FD275">
        <f t="shared" si="203"/>
        <v>296</v>
      </c>
      <c r="FE275" t="str">
        <f t="shared" si="204"/>
        <v>water</v>
      </c>
      <c r="FF275" t="str">
        <f t="shared" si="205"/>
        <v xml:space="preserve"> </v>
      </c>
      <c r="FG275" s="408" t="str">
        <f t="shared" si="198"/>
        <v/>
      </c>
      <c r="FH275" s="138" t="str">
        <f t="shared" si="206"/>
        <v/>
      </c>
      <c r="FI275" s="106" t="str">
        <f t="shared" si="176"/>
        <v>**</v>
      </c>
      <c r="FJ275" s="138">
        <f t="shared" si="207"/>
        <v>-12.397940008672037</v>
      </c>
      <c r="FK275" s="138" t="str">
        <f t="shared" si="208"/>
        <v>**</v>
      </c>
    </row>
    <row r="276" spans="1:167" ht="12.75" hidden="1" customHeight="1" x14ac:dyDescent="0.2">
      <c r="A276">
        <v>241</v>
      </c>
      <c r="B276" s="4" t="s">
        <v>1226</v>
      </c>
      <c r="C276" s="4"/>
      <c r="D276" s="4" t="s">
        <v>444</v>
      </c>
      <c r="E276">
        <v>-1656</v>
      </c>
      <c r="F276" t="str">
        <f>VLOOKUP(E276,CompDbase!B:L,4,FALSE)</f>
        <v>Propionitrile</v>
      </c>
      <c r="G276" s="95" t="str">
        <f>VLOOKUP(E276,CompDbase!B:M,12,FALSE)</f>
        <v>overige</v>
      </c>
      <c r="H276" s="95">
        <f>VLOOKUP(E276,CompDbase!B:L,8,FALSE)</f>
        <v>55.08</v>
      </c>
      <c r="I276" s="95" t="e">
        <f>VLOOKUP(E276,CompDbase!B:L,11,FALSE)</f>
        <v>#DIV/0!</v>
      </c>
      <c r="J276" s="95">
        <f>VLOOKUP(E276,CompDbase!B:L,9,FALSE)</f>
        <v>103000</v>
      </c>
      <c r="K276" s="95">
        <f>VLOOKUP(E276,CompDbase!B:L,10,FALSE)</f>
        <v>0.16</v>
      </c>
      <c r="L276" s="4" t="s">
        <v>769</v>
      </c>
      <c r="M276" s="420"/>
      <c r="N276" s="420"/>
      <c r="O276" s="4"/>
      <c r="P276">
        <v>298</v>
      </c>
      <c r="Q276" s="4" t="s">
        <v>1049</v>
      </c>
      <c r="S276" s="4"/>
      <c r="Y276">
        <v>4.9999999999999999E-13</v>
      </c>
      <c r="Z276" s="95">
        <f>LOG(Y276)</f>
        <v>-12.301029995663981</v>
      </c>
      <c r="AC276" t="s">
        <v>68</v>
      </c>
      <c r="DG276">
        <f t="shared" si="220"/>
        <v>-12.301029995663981</v>
      </c>
      <c r="DH276">
        <f t="shared" si="221"/>
        <v>55.08</v>
      </c>
      <c r="EY276" s="479">
        <f>VLOOKUP(B276,Literatuur!$A:$B,2,FALSE)</f>
        <v>12</v>
      </c>
      <c r="EZ276" t="str">
        <f t="shared" si="199"/>
        <v>Propionitrile</v>
      </c>
      <c r="FA276" t="str">
        <f t="shared" si="200"/>
        <v>overige</v>
      </c>
      <c r="FB276" t="str">
        <f t="shared" si="201"/>
        <v>LDPE</v>
      </c>
      <c r="FC276" t="str">
        <f t="shared" si="202"/>
        <v/>
      </c>
      <c r="FD276">
        <f t="shared" si="203"/>
        <v>298</v>
      </c>
      <c r="FE276" t="str">
        <f t="shared" si="204"/>
        <v>water</v>
      </c>
      <c r="FF276" t="str">
        <f t="shared" si="205"/>
        <v xml:space="preserve"> </v>
      </c>
      <c r="FG276" s="408" t="str">
        <f t="shared" si="198"/>
        <v/>
      </c>
      <c r="FH276" s="138" t="str">
        <f t="shared" si="206"/>
        <v/>
      </c>
      <c r="FI276" s="106" t="str">
        <f t="shared" si="176"/>
        <v>**</v>
      </c>
      <c r="FJ276" s="138">
        <f t="shared" si="207"/>
        <v>-12.301029995663981</v>
      </c>
      <c r="FK276" s="138" t="str">
        <f t="shared" si="208"/>
        <v>**</v>
      </c>
    </row>
    <row r="277" spans="1:167" ht="12.75" hidden="1" customHeight="1" x14ac:dyDescent="0.2">
      <c r="A277">
        <v>242</v>
      </c>
      <c r="B277" s="4" t="s">
        <v>1691</v>
      </c>
      <c r="C277" s="4"/>
      <c r="D277" s="4" t="s">
        <v>1689</v>
      </c>
      <c r="E277">
        <v>-1793</v>
      </c>
      <c r="F277" t="str">
        <f>VLOOKUP(E277,CompDbase!B:L,4,FALSE)</f>
        <v>butylated hydroxyanisol</v>
      </c>
      <c r="G277" s="95" t="str">
        <f>VLOOKUP(E277,CompDbase!B:M,12,FALSE)</f>
        <v>overige</v>
      </c>
      <c r="H277" s="95">
        <f>VLOOKUP(E277,CompDbase!B:L,8,FALSE)</f>
        <v>180.2</v>
      </c>
      <c r="I277" s="95">
        <f>VLOOKUP(E277,CompDbase!B:L,11,FALSE)</f>
        <v>175.7</v>
      </c>
      <c r="J277" s="95" t="e">
        <f>VLOOKUP(E277,CompDbase!B:L,9,FALSE)</f>
        <v>#DIV/0!</v>
      </c>
      <c r="K277" s="95" t="e">
        <f>VLOOKUP(E277,CompDbase!B:L,10,FALSE)</f>
        <v>#DIV/0!</v>
      </c>
      <c r="L277" s="4" t="s">
        <v>769</v>
      </c>
      <c r="M277" s="420"/>
      <c r="N277" s="420"/>
      <c r="O277" s="4" t="s">
        <v>1740</v>
      </c>
      <c r="P277" s="4" t="s">
        <v>1980</v>
      </c>
      <c r="Q277" s="4" t="s">
        <v>1049</v>
      </c>
      <c r="S277" s="4"/>
      <c r="T277" s="95"/>
      <c r="W277" s="199"/>
      <c r="Y277" s="408">
        <v>3.3599999999999998E-13</v>
      </c>
      <c r="Z277" s="95">
        <f>LOG(Y277)</f>
        <v>-12.473660722610155</v>
      </c>
      <c r="AC277" t="s">
        <v>68</v>
      </c>
      <c r="AG277" s="138"/>
      <c r="BW277" s="138"/>
      <c r="DG277">
        <f t="shared" si="220"/>
        <v>-12.473660722610155</v>
      </c>
      <c r="DH277">
        <f t="shared" si="221"/>
        <v>180.2</v>
      </c>
      <c r="DL277">
        <f t="shared" ref="DL277" si="222">$H277</f>
        <v>180.2</v>
      </c>
      <c r="EY277" s="479">
        <f>VLOOKUP(B277,Literatuur!$A:$B,2,FALSE)</f>
        <v>13</v>
      </c>
      <c r="EZ277" t="str">
        <f t="shared" si="199"/>
        <v>butylated hydroxyanisol</v>
      </c>
      <c r="FA277" t="str">
        <f t="shared" si="200"/>
        <v>overige</v>
      </c>
      <c r="FB277" t="str">
        <f t="shared" si="201"/>
        <v>LDPE</v>
      </c>
      <c r="FC277" t="str">
        <f t="shared" si="202"/>
        <v>Filmstacking</v>
      </c>
      <c r="FD277" t="str">
        <f t="shared" si="203"/>
        <v>room</v>
      </c>
      <c r="FE277" t="str">
        <f t="shared" si="204"/>
        <v>water</v>
      </c>
      <c r="FF277" t="str">
        <f t="shared" si="205"/>
        <v xml:space="preserve"> </v>
      </c>
      <c r="FG277" s="408" t="str">
        <f t="shared" si="198"/>
        <v/>
      </c>
      <c r="FH277" s="138" t="str">
        <f t="shared" si="206"/>
        <v/>
      </c>
      <c r="FI277" s="106" t="str">
        <f t="shared" si="176"/>
        <v>**</v>
      </c>
      <c r="FJ277" s="138">
        <f t="shared" si="207"/>
        <v>-12.473660722610155</v>
      </c>
      <c r="FK277" s="138" t="str">
        <f t="shared" si="208"/>
        <v>**</v>
      </c>
    </row>
    <row r="278" spans="1:167" ht="12.75" hidden="1" customHeight="1" x14ac:dyDescent="0.2">
      <c r="A278">
        <v>243</v>
      </c>
      <c r="B278" s="4" t="s">
        <v>1557</v>
      </c>
      <c r="C278" s="4" t="s">
        <v>1557</v>
      </c>
      <c r="D278" t="s">
        <v>1192</v>
      </c>
      <c r="E278">
        <v>-1762</v>
      </c>
      <c r="F278" t="str">
        <f>VLOOKUP(E278,CompDbase!B:L,4,FALSE)</f>
        <v>2,3,7-TriCDD</v>
      </c>
      <c r="G278" s="95" t="str">
        <f>VLOOKUP(E278,CompDbase!B:M,12,FALSE)</f>
        <v>overige</v>
      </c>
      <c r="H278" s="95">
        <f>VLOOKUP(E278,CompDbase!B:L,8,FALSE)</f>
        <v>287.5</v>
      </c>
      <c r="I278" s="95">
        <f>VLOOKUP(E278,CompDbase!B:L,11,FALSE)</f>
        <v>179.9</v>
      </c>
      <c r="J278" s="95">
        <f>VLOOKUP(E278,CompDbase!B:L,9,FALSE)</f>
        <v>0.14409132966784072</v>
      </c>
      <c r="K278" s="95">
        <f>VLOOKUP(E278,CompDbase!B:L,10,FALSE)</f>
        <v>6.1</v>
      </c>
      <c r="L278" s="4" t="s">
        <v>769</v>
      </c>
      <c r="M278" s="420"/>
      <c r="N278" s="420"/>
      <c r="P278" s="4" t="s">
        <v>1987</v>
      </c>
      <c r="Q278" s="4" t="s">
        <v>1049</v>
      </c>
      <c r="S278" s="4"/>
      <c r="W278" s="199">
        <f>10^X278</f>
        <v>630957.34448019415</v>
      </c>
      <c r="X278">
        <v>5.8</v>
      </c>
      <c r="Z278" s="190"/>
      <c r="AC278" t="s">
        <v>68</v>
      </c>
      <c r="AG278" s="138">
        <f t="shared" ref="AG278:AG280" si="223">X278</f>
        <v>5.8</v>
      </c>
      <c r="AH278">
        <f t="shared" ref="AH278:AH280" si="224">$K278</f>
        <v>6.1</v>
      </c>
      <c r="BW278" s="138"/>
      <c r="BX278">
        <f>LOG(1*$J278)</f>
        <v>-0.84136215097435085</v>
      </c>
      <c r="DG278" s="138"/>
      <c r="EY278" s="479">
        <f>VLOOKUP(B278,Literatuur!$A:$B,2,FALSE)</f>
        <v>17</v>
      </c>
      <c r="EZ278" t="str">
        <f t="shared" si="199"/>
        <v>2,3,7-TriCDD</v>
      </c>
      <c r="FA278" t="str">
        <f t="shared" si="200"/>
        <v>overige</v>
      </c>
      <c r="FB278" t="str">
        <f t="shared" si="201"/>
        <v>LDPE</v>
      </c>
      <c r="FC278" t="str">
        <f t="shared" si="202"/>
        <v/>
      </c>
      <c r="FD278" t="str">
        <f t="shared" si="203"/>
        <v>room ??</v>
      </c>
      <c r="FE278" t="str">
        <f t="shared" si="204"/>
        <v>water</v>
      </c>
      <c r="FF278" t="str">
        <f t="shared" si="205"/>
        <v xml:space="preserve"> </v>
      </c>
      <c r="FG278" s="408" t="str">
        <f t="shared" si="198"/>
        <v/>
      </c>
      <c r="FH278" s="138">
        <f t="shared" si="206"/>
        <v>5.8</v>
      </c>
      <c r="FI278" s="106" t="str">
        <f t="shared" si="176"/>
        <v>**</v>
      </c>
      <c r="FJ278" s="138" t="str">
        <f t="shared" si="207"/>
        <v/>
      </c>
      <c r="FK278" s="138" t="str">
        <f t="shared" si="208"/>
        <v>**</v>
      </c>
    </row>
    <row r="279" spans="1:167" ht="12.75" hidden="1" customHeight="1" x14ac:dyDescent="0.2">
      <c r="A279">
        <v>244</v>
      </c>
      <c r="B279" s="4" t="s">
        <v>1557</v>
      </c>
      <c r="C279" s="4" t="s">
        <v>1557</v>
      </c>
      <c r="D279" t="s">
        <v>1190</v>
      </c>
      <c r="E279">
        <v>-1760</v>
      </c>
      <c r="F279" t="str">
        <f>VLOOKUP(E279,CompDbase!B:L,4,FALSE)</f>
        <v>2-CDD</v>
      </c>
      <c r="G279" s="95" t="str">
        <f>VLOOKUP(E279,CompDbase!B:M,12,FALSE)</f>
        <v>overige</v>
      </c>
      <c r="H279" s="95">
        <f>VLOOKUP(E279,CompDbase!B:L,8,FALSE)</f>
        <v>218.6</v>
      </c>
      <c r="I279" s="95">
        <f>VLOOKUP(E279,CompDbase!B:L,11,FALSE)</f>
        <v>156.4</v>
      </c>
      <c r="J279" s="95">
        <f>VLOOKUP(E279,CompDbase!B:L,9,FALSE)</f>
        <v>1.7364015211072787</v>
      </c>
      <c r="K279" s="95">
        <f>VLOOKUP(E279,CompDbase!B:L,10,FALSE)</f>
        <v>5.2</v>
      </c>
      <c r="L279" s="4" t="s">
        <v>769</v>
      </c>
      <c r="M279" s="420"/>
      <c r="N279" s="420"/>
      <c r="P279" s="4" t="s">
        <v>1987</v>
      </c>
      <c r="Q279" s="4" t="s">
        <v>1049</v>
      </c>
      <c r="S279" s="4"/>
      <c r="W279" s="199">
        <f>10^X279</f>
        <v>63095.734448019342</v>
      </c>
      <c r="X279">
        <v>4.8</v>
      </c>
      <c r="Z279" s="190"/>
      <c r="AC279" t="s">
        <v>68</v>
      </c>
      <c r="AG279" s="138">
        <f t="shared" si="223"/>
        <v>4.8</v>
      </c>
      <c r="AH279">
        <f t="shared" si="224"/>
        <v>5.2</v>
      </c>
      <c r="BW279" s="138"/>
      <c r="BX279">
        <f>LOG(1*$J279)</f>
        <v>0.23965015761368383</v>
      </c>
      <c r="DG279" s="138"/>
      <c r="EY279" s="479">
        <f>VLOOKUP(B279,Literatuur!$A:$B,2,FALSE)</f>
        <v>17</v>
      </c>
      <c r="EZ279" t="str">
        <f t="shared" si="199"/>
        <v>2-CDD</v>
      </c>
      <c r="FA279" t="str">
        <f t="shared" si="200"/>
        <v>overige</v>
      </c>
      <c r="FB279" t="str">
        <f t="shared" si="201"/>
        <v>LDPE</v>
      </c>
      <c r="FC279" t="str">
        <f t="shared" si="202"/>
        <v/>
      </c>
      <c r="FD279" t="str">
        <f t="shared" si="203"/>
        <v>room ??</v>
      </c>
      <c r="FE279" t="str">
        <f t="shared" si="204"/>
        <v>water</v>
      </c>
      <c r="FF279" t="str">
        <f t="shared" si="205"/>
        <v xml:space="preserve"> </v>
      </c>
      <c r="FG279" s="408" t="str">
        <f t="shared" si="198"/>
        <v/>
      </c>
      <c r="FH279" s="138">
        <f t="shared" si="206"/>
        <v>4.8</v>
      </c>
      <c r="FI279" s="106" t="str">
        <f t="shared" si="176"/>
        <v>**</v>
      </c>
      <c r="FJ279" s="138" t="str">
        <f t="shared" si="207"/>
        <v/>
      </c>
      <c r="FK279" s="138" t="str">
        <f t="shared" si="208"/>
        <v>**</v>
      </c>
    </row>
    <row r="280" spans="1:167" ht="12.75" hidden="1" customHeight="1" x14ac:dyDescent="0.2">
      <c r="A280">
        <v>245</v>
      </c>
      <c r="B280" t="s">
        <v>1596</v>
      </c>
      <c r="C280" s="4" t="s">
        <v>1557</v>
      </c>
      <c r="D280" t="s">
        <v>1207</v>
      </c>
      <c r="E280">
        <v>-1777</v>
      </c>
      <c r="F280" t="str">
        <f>VLOOKUP(E280,CompDbase!B:L,4,FALSE)</f>
        <v>α-endosulfan</v>
      </c>
      <c r="G280" s="95" t="str">
        <f>VLOOKUP(E280,CompDbase!B:M,12,FALSE)</f>
        <v>overige</v>
      </c>
      <c r="H280" s="95">
        <f>VLOOKUP(E280,CompDbase!B:L,8,FALSE)</f>
        <v>406.9</v>
      </c>
      <c r="I280" s="95">
        <f>VLOOKUP(E280,CompDbase!B:L,11,FALSE)</f>
        <v>236.3</v>
      </c>
      <c r="J280" s="95">
        <f>VLOOKUP(E280,CompDbase!B:L,9,FALSE)</f>
        <v>2.5673654346899033</v>
      </c>
      <c r="K280" s="95">
        <f>VLOOKUP(E280,CompDbase!B:L,10,FALSE)</f>
        <v>4.9000000000000004</v>
      </c>
      <c r="L280" s="4" t="s">
        <v>769</v>
      </c>
      <c r="M280" s="420"/>
      <c r="N280" s="420"/>
      <c r="P280" s="4" t="s">
        <v>1987</v>
      </c>
      <c r="Q280" s="4" t="s">
        <v>1049</v>
      </c>
      <c r="S280" s="4"/>
      <c r="T280" s="95"/>
      <c r="W280" s="199">
        <f>10^X280</f>
        <v>10000</v>
      </c>
      <c r="X280">
        <v>4</v>
      </c>
      <c r="Z280" s="190"/>
      <c r="AC280" t="s">
        <v>68</v>
      </c>
      <c r="AG280" s="138">
        <f t="shared" si="223"/>
        <v>4</v>
      </c>
      <c r="AH280">
        <f t="shared" si="224"/>
        <v>4.9000000000000004</v>
      </c>
      <c r="BW280" s="138"/>
      <c r="BX280">
        <f>LOG(1*$J280)</f>
        <v>0.40948768985328476</v>
      </c>
      <c r="DG280" s="138"/>
      <c r="EY280" s="479">
        <f>VLOOKUP(B280,Literatuur!$A:$B,2,FALSE)</f>
        <v>20</v>
      </c>
      <c r="EZ280" t="str">
        <f t="shared" si="199"/>
        <v>α-endosulfan</v>
      </c>
      <c r="FA280" t="str">
        <f t="shared" si="200"/>
        <v>overige</v>
      </c>
      <c r="FB280" t="str">
        <f t="shared" si="201"/>
        <v>LDPE</v>
      </c>
      <c r="FC280" t="str">
        <f t="shared" si="202"/>
        <v/>
      </c>
      <c r="FD280" t="str">
        <f t="shared" si="203"/>
        <v>room ??</v>
      </c>
      <c r="FE280" t="str">
        <f t="shared" si="204"/>
        <v>water</v>
      </c>
      <c r="FF280" t="str">
        <f t="shared" si="205"/>
        <v xml:space="preserve"> </v>
      </c>
      <c r="FG280" s="408" t="str">
        <f t="shared" si="198"/>
        <v/>
      </c>
      <c r="FH280" s="138">
        <f t="shared" si="206"/>
        <v>4</v>
      </c>
      <c r="FI280" s="106" t="str">
        <f t="shared" si="176"/>
        <v>**</v>
      </c>
      <c r="FJ280" s="138" t="str">
        <f t="shared" si="207"/>
        <v/>
      </c>
      <c r="FK280" s="138" t="str">
        <f t="shared" si="208"/>
        <v>**</v>
      </c>
    </row>
    <row r="281" spans="1:167" ht="12.75" hidden="1" customHeight="1" x14ac:dyDescent="0.2">
      <c r="A281">
        <v>246</v>
      </c>
      <c r="B281" t="s">
        <v>1235</v>
      </c>
      <c r="D281" s="4" t="s">
        <v>828</v>
      </c>
      <c r="E281">
        <v>-1684</v>
      </c>
      <c r="F281" t="str">
        <f>VLOOKUP(E281,CompDbase!B:L,4,FALSE)</f>
        <v>2-(2-Hydroxy-3.t-butyl-5-methylphenyl-5-Chloro-benztriazol</v>
      </c>
      <c r="G281" s="95" t="str">
        <f>VLOOKUP(E281,CompDbase!B:M,12,FALSE)</f>
        <v>overige</v>
      </c>
      <c r="H281" s="95">
        <f>VLOOKUP(E281,CompDbase!B:L,8,FALSE)</f>
        <v>315.8</v>
      </c>
      <c r="I281" s="95" t="e">
        <f>VLOOKUP(E281,CompDbase!B:L,11,FALSE)</f>
        <v>#DIV/0!</v>
      </c>
      <c r="J281" s="95" t="e">
        <f>VLOOKUP(E281,CompDbase!B:L,9,FALSE)</f>
        <v>#DIV/0!</v>
      </c>
      <c r="K281" s="95" t="e">
        <f>VLOOKUP(E281,CompDbase!B:L,10,FALSE)</f>
        <v>#DIV/0!</v>
      </c>
      <c r="L281" s="4" t="s">
        <v>769</v>
      </c>
      <c r="M281" s="423"/>
      <c r="N281" s="423"/>
      <c r="O281" s="4"/>
      <c r="P281">
        <v>296</v>
      </c>
      <c r="Q281" s="4" t="s">
        <v>1049</v>
      </c>
      <c r="T281" s="95"/>
      <c r="Y281">
        <v>2.0000000000000003E-14</v>
      </c>
      <c r="Z281" s="95">
        <f t="shared" ref="Z281:Z288" si="225">LOG(Y281)</f>
        <v>-13.698970004336019</v>
      </c>
      <c r="AC281" t="s">
        <v>68</v>
      </c>
      <c r="DG281">
        <f t="shared" ref="DG281:DG289" si="226">Z281</f>
        <v>-13.698970004336019</v>
      </c>
      <c r="DH281">
        <f t="shared" ref="DH281:DH289" si="227">$H281</f>
        <v>315.8</v>
      </c>
      <c r="EY281" s="479">
        <f>VLOOKUP(B281,Literatuur!$A:$B,2,FALSE)</f>
        <v>21</v>
      </c>
      <c r="EZ281" t="str">
        <f t="shared" si="199"/>
        <v>2-(2-Hydroxy-3.t-butyl-5-methylphenyl-5-Chloro-benztriazol (Tinuvin 326)</v>
      </c>
      <c r="FA281" t="str">
        <f t="shared" si="200"/>
        <v>overige</v>
      </c>
      <c r="FB281" t="str">
        <f t="shared" si="201"/>
        <v>LDPE</v>
      </c>
      <c r="FC281" t="str">
        <f t="shared" si="202"/>
        <v/>
      </c>
      <c r="FD281">
        <f t="shared" si="203"/>
        <v>296</v>
      </c>
      <c r="FE281" t="str">
        <f t="shared" si="204"/>
        <v>water</v>
      </c>
      <c r="FF281" t="str">
        <f t="shared" si="205"/>
        <v xml:space="preserve"> </v>
      </c>
      <c r="FG281" s="408" t="str">
        <f t="shared" si="198"/>
        <v/>
      </c>
      <c r="FH281" s="138" t="str">
        <f t="shared" si="206"/>
        <v/>
      </c>
      <c r="FI281" s="106" t="str">
        <f t="shared" si="176"/>
        <v>**</v>
      </c>
      <c r="FJ281" s="138">
        <f t="shared" si="207"/>
        <v>-13.698970004336019</v>
      </c>
      <c r="FK281" s="138" t="str">
        <f t="shared" si="208"/>
        <v>**</v>
      </c>
    </row>
    <row r="282" spans="1:167" ht="12.75" hidden="1" customHeight="1" x14ac:dyDescent="0.2">
      <c r="A282">
        <v>247</v>
      </c>
      <c r="B282" t="s">
        <v>1235</v>
      </c>
      <c r="D282" s="4" t="s">
        <v>813</v>
      </c>
      <c r="E282">
        <v>-1669</v>
      </c>
      <c r="F282" t="str">
        <f>VLOOKUP(E282,CompDbase!B:L,4,FALSE)</f>
        <v>2,3,5,6,-Tetramethyl-phenol</v>
      </c>
      <c r="G282" s="95" t="str">
        <f>VLOOKUP(E282,CompDbase!B:M,12,FALSE)</f>
        <v>overige</v>
      </c>
      <c r="H282" s="95">
        <f>VLOOKUP(E282,CompDbase!B:L,8,FALSE)</f>
        <v>150</v>
      </c>
      <c r="I282" s="95" t="e">
        <f>VLOOKUP(E282,CompDbase!B:L,11,FALSE)</f>
        <v>#DIV/0!</v>
      </c>
      <c r="J282" s="95" t="e">
        <f>VLOOKUP(E282,CompDbase!B:L,9,FALSE)</f>
        <v>#DIV/0!</v>
      </c>
      <c r="K282" s="95" t="e">
        <f>VLOOKUP(E282,CompDbase!B:L,10,FALSE)</f>
        <v>#DIV/0!</v>
      </c>
      <c r="L282" s="4" t="s">
        <v>769</v>
      </c>
      <c r="M282" s="423"/>
      <c r="N282" s="423"/>
      <c r="O282" s="4"/>
      <c r="P282">
        <v>296</v>
      </c>
      <c r="Q282" s="4" t="s">
        <v>1049</v>
      </c>
      <c r="T282" s="95"/>
      <c r="Y282">
        <v>1.6000000000000003E-13</v>
      </c>
      <c r="Z282" s="95">
        <f t="shared" si="225"/>
        <v>-12.795880017344075</v>
      </c>
      <c r="AC282" t="s">
        <v>68</v>
      </c>
      <c r="DG282">
        <f t="shared" si="226"/>
        <v>-12.795880017344075</v>
      </c>
      <c r="DH282">
        <f t="shared" si="227"/>
        <v>150</v>
      </c>
      <c r="EY282" s="479">
        <f>VLOOKUP(B282,Literatuur!$A:$B,2,FALSE)</f>
        <v>21</v>
      </c>
      <c r="EZ282" t="str">
        <f t="shared" si="199"/>
        <v>2,3,5,6,-Tetramethyl-phenol</v>
      </c>
      <c r="FA282" t="str">
        <f t="shared" si="200"/>
        <v>overige</v>
      </c>
      <c r="FB282" t="str">
        <f t="shared" si="201"/>
        <v>LDPE</v>
      </c>
      <c r="FC282" t="str">
        <f t="shared" si="202"/>
        <v/>
      </c>
      <c r="FD282">
        <f t="shared" si="203"/>
        <v>296</v>
      </c>
      <c r="FE282" t="str">
        <f t="shared" si="204"/>
        <v>water</v>
      </c>
      <c r="FF282" t="str">
        <f t="shared" si="205"/>
        <v xml:space="preserve"> </v>
      </c>
      <c r="FG282" s="408" t="str">
        <f t="shared" si="198"/>
        <v/>
      </c>
      <c r="FH282" s="138" t="str">
        <f t="shared" si="206"/>
        <v/>
      </c>
      <c r="FI282" s="106" t="str">
        <f t="shared" si="176"/>
        <v>**</v>
      </c>
      <c r="FJ282" s="138">
        <f t="shared" si="207"/>
        <v>-12.795880017344075</v>
      </c>
      <c r="FK282" s="138" t="str">
        <f t="shared" si="208"/>
        <v>**</v>
      </c>
    </row>
    <row r="283" spans="1:167" ht="12.75" hidden="1" customHeight="1" x14ac:dyDescent="0.2">
      <c r="A283">
        <v>248</v>
      </c>
      <c r="B283" t="s">
        <v>1235</v>
      </c>
      <c r="D283" s="4" t="s">
        <v>824</v>
      </c>
      <c r="E283">
        <v>-1680</v>
      </c>
      <c r="F283" t="str">
        <f>VLOOKUP(E283,CompDbase!B:L,4,FALSE)</f>
        <v>2,6-Di-tert-butyl-4-methyl-phenol</v>
      </c>
      <c r="G283" s="95" t="str">
        <f>VLOOKUP(E283,CompDbase!B:M,12,FALSE)</f>
        <v>overige</v>
      </c>
      <c r="H283" s="95">
        <f>VLOOKUP(E283,CompDbase!B:L,8,FALSE)</f>
        <v>220</v>
      </c>
      <c r="I283" s="95" t="e">
        <f>VLOOKUP(E283,CompDbase!B:L,11,FALSE)</f>
        <v>#DIV/0!</v>
      </c>
      <c r="J283" s="95" t="e">
        <f>VLOOKUP(E283,CompDbase!B:L,9,FALSE)</f>
        <v>#DIV/0!</v>
      </c>
      <c r="K283" s="95" t="e">
        <f>VLOOKUP(E283,CompDbase!B:L,10,FALSE)</f>
        <v>#DIV/0!</v>
      </c>
      <c r="L283" s="4" t="s">
        <v>769</v>
      </c>
      <c r="M283" s="423"/>
      <c r="N283" s="423"/>
      <c r="O283" s="4"/>
      <c r="P283">
        <v>296</v>
      </c>
      <c r="Q283" s="4" t="s">
        <v>1049</v>
      </c>
      <c r="T283" s="95"/>
      <c r="Y283">
        <v>4.8000000000000004E-14</v>
      </c>
      <c r="Z283" s="95">
        <f t="shared" si="225"/>
        <v>-13.318758762624412</v>
      </c>
      <c r="AC283" t="s">
        <v>68</v>
      </c>
      <c r="AG283" s="138"/>
      <c r="BW283" s="138"/>
      <c r="DG283">
        <f t="shared" si="226"/>
        <v>-13.318758762624412</v>
      </c>
      <c r="DH283">
        <f t="shared" si="227"/>
        <v>220</v>
      </c>
      <c r="EY283" s="479">
        <f>VLOOKUP(B283,Literatuur!$A:$B,2,FALSE)</f>
        <v>21</v>
      </c>
      <c r="EZ283" t="str">
        <f t="shared" si="199"/>
        <v>2,6-Di-tert-butyl-4-methyl-phenol (BHT)</v>
      </c>
      <c r="FA283" t="str">
        <f t="shared" si="200"/>
        <v>overige</v>
      </c>
      <c r="FB283" t="str">
        <f t="shared" si="201"/>
        <v>LDPE</v>
      </c>
      <c r="FC283" t="str">
        <f t="shared" si="202"/>
        <v/>
      </c>
      <c r="FD283">
        <f t="shared" si="203"/>
        <v>296</v>
      </c>
      <c r="FE283" t="str">
        <f t="shared" si="204"/>
        <v>water</v>
      </c>
      <c r="FF283" t="str">
        <f t="shared" si="205"/>
        <v xml:space="preserve"> </v>
      </c>
      <c r="FG283" s="408" t="str">
        <f t="shared" si="198"/>
        <v/>
      </c>
      <c r="FH283" s="138" t="str">
        <f t="shared" si="206"/>
        <v/>
      </c>
      <c r="FI283" s="106" t="str">
        <f t="shared" si="176"/>
        <v>**</v>
      </c>
      <c r="FJ283" s="138">
        <f t="shared" si="207"/>
        <v>-13.318758762624412</v>
      </c>
      <c r="FK283" s="138" t="str">
        <f t="shared" si="208"/>
        <v>**</v>
      </c>
    </row>
    <row r="284" spans="1:167" ht="12.75" hidden="1" customHeight="1" x14ac:dyDescent="0.2">
      <c r="A284">
        <v>249</v>
      </c>
      <c r="B284" t="s">
        <v>1235</v>
      </c>
      <c r="D284" s="4" t="s">
        <v>829</v>
      </c>
      <c r="E284">
        <v>-1685</v>
      </c>
      <c r="F284" t="str">
        <f>VLOOKUP(E284,CompDbase!B:L,4,FALSE)</f>
        <v>2-Hydroxy-4-ethandiol methyl-thioacetic acid ester</v>
      </c>
      <c r="G284" s="95" t="str">
        <f>VLOOKUP(E284,CompDbase!B:M,12,FALSE)</f>
        <v>overige</v>
      </c>
      <c r="H284" s="95">
        <f>VLOOKUP(E284,CompDbase!B:L,8,FALSE)</f>
        <v>346</v>
      </c>
      <c r="I284" s="95" t="e">
        <f>VLOOKUP(E284,CompDbase!B:L,11,FALSE)</f>
        <v>#DIV/0!</v>
      </c>
      <c r="J284" s="95" t="e">
        <f>VLOOKUP(E284,CompDbase!B:L,9,FALSE)</f>
        <v>#DIV/0!</v>
      </c>
      <c r="K284" s="95" t="e">
        <f>VLOOKUP(E284,CompDbase!B:L,10,FALSE)</f>
        <v>#DIV/0!</v>
      </c>
      <c r="L284" s="4" t="s">
        <v>769</v>
      </c>
      <c r="M284" s="423"/>
      <c r="N284" s="423"/>
      <c r="O284" s="4"/>
      <c r="P284">
        <v>296</v>
      </c>
      <c r="Q284" s="4" t="s">
        <v>1049</v>
      </c>
      <c r="T284" s="95"/>
      <c r="Y284">
        <v>9.0000000000000011E-15</v>
      </c>
      <c r="Z284" s="95">
        <f t="shared" si="225"/>
        <v>-14.045757490560675</v>
      </c>
      <c r="AC284" t="s">
        <v>68</v>
      </c>
      <c r="DG284">
        <f t="shared" si="226"/>
        <v>-14.045757490560675</v>
      </c>
      <c r="DH284">
        <f t="shared" si="227"/>
        <v>346</v>
      </c>
      <c r="EY284" s="479">
        <f>VLOOKUP(B284,Literatuur!$A:$B,2,FALSE)</f>
        <v>21</v>
      </c>
      <c r="EZ284" t="str">
        <f t="shared" si="199"/>
        <v>2-Hydroxy-4-ethandiol methyl-thioacetic acid ester</v>
      </c>
      <c r="FA284" t="str">
        <f t="shared" si="200"/>
        <v>overige</v>
      </c>
      <c r="FB284" t="str">
        <f t="shared" si="201"/>
        <v>LDPE</v>
      </c>
      <c r="FC284" t="str">
        <f t="shared" si="202"/>
        <v/>
      </c>
      <c r="FD284">
        <f t="shared" si="203"/>
        <v>296</v>
      </c>
      <c r="FE284" t="str">
        <f t="shared" si="204"/>
        <v>water</v>
      </c>
      <c r="FF284" t="str">
        <f t="shared" si="205"/>
        <v xml:space="preserve"> </v>
      </c>
      <c r="FG284" s="408" t="str">
        <f t="shared" si="198"/>
        <v/>
      </c>
      <c r="FH284" s="138" t="str">
        <f t="shared" si="206"/>
        <v/>
      </c>
      <c r="FI284" s="106" t="str">
        <f t="shared" si="176"/>
        <v>**</v>
      </c>
      <c r="FJ284" s="138">
        <f t="shared" si="207"/>
        <v>-14.045757490560675</v>
      </c>
      <c r="FK284" s="138" t="str">
        <f t="shared" si="208"/>
        <v>**</v>
      </c>
    </row>
    <row r="285" spans="1:167" ht="12.75" hidden="1" customHeight="1" x14ac:dyDescent="0.2">
      <c r="A285">
        <v>250</v>
      </c>
      <c r="B285" t="s">
        <v>1235</v>
      </c>
      <c r="D285" s="4" t="s">
        <v>818</v>
      </c>
      <c r="E285">
        <v>-1674</v>
      </c>
      <c r="F285" t="str">
        <f>VLOOKUP(E285,CompDbase!B:L,4,FALSE)</f>
        <v>2-Methoxy-4-propenyl-phenol</v>
      </c>
      <c r="G285" s="95" t="str">
        <f>VLOOKUP(E285,CompDbase!B:M,12,FALSE)</f>
        <v>overige</v>
      </c>
      <c r="H285" s="95">
        <f>VLOOKUP(E285,CompDbase!B:L,8,FALSE)</f>
        <v>164</v>
      </c>
      <c r="I285" s="95" t="e">
        <f>VLOOKUP(E285,CompDbase!B:L,11,FALSE)</f>
        <v>#DIV/0!</v>
      </c>
      <c r="J285" s="95" t="e">
        <f>VLOOKUP(E285,CompDbase!B:L,9,FALSE)</f>
        <v>#DIV/0!</v>
      </c>
      <c r="K285" s="95" t="e">
        <f>VLOOKUP(E285,CompDbase!B:L,10,FALSE)</f>
        <v>#DIV/0!</v>
      </c>
      <c r="L285" s="4" t="s">
        <v>769</v>
      </c>
      <c r="M285" s="423"/>
      <c r="N285" s="423"/>
      <c r="O285" s="4"/>
      <c r="P285">
        <v>296</v>
      </c>
      <c r="Q285" s="4" t="s">
        <v>1049</v>
      </c>
      <c r="T285" s="95"/>
      <c r="Y285">
        <v>1.5500000000000002E-13</v>
      </c>
      <c r="Z285" s="95">
        <f t="shared" si="225"/>
        <v>-12.809668301829708</v>
      </c>
      <c r="AC285" t="s">
        <v>68</v>
      </c>
      <c r="DG285">
        <f t="shared" si="226"/>
        <v>-12.809668301829708</v>
      </c>
      <c r="DH285">
        <f t="shared" si="227"/>
        <v>164</v>
      </c>
      <c r="EY285" s="479">
        <f>VLOOKUP(B285,Literatuur!$A:$B,2,FALSE)</f>
        <v>21</v>
      </c>
      <c r="EZ285" t="str">
        <f t="shared" si="199"/>
        <v>2-Methoxy-4-propenyl-phenol</v>
      </c>
      <c r="FA285" t="str">
        <f t="shared" si="200"/>
        <v>overige</v>
      </c>
      <c r="FB285" t="str">
        <f t="shared" si="201"/>
        <v>LDPE</v>
      </c>
      <c r="FC285" t="str">
        <f t="shared" si="202"/>
        <v/>
      </c>
      <c r="FD285">
        <f t="shared" si="203"/>
        <v>296</v>
      </c>
      <c r="FE285" t="str">
        <f t="shared" si="204"/>
        <v>water</v>
      </c>
      <c r="FF285" t="str">
        <f t="shared" si="205"/>
        <v xml:space="preserve"> </v>
      </c>
      <c r="FG285" s="408" t="str">
        <f t="shared" si="198"/>
        <v/>
      </c>
      <c r="FH285" s="138" t="str">
        <f t="shared" si="206"/>
        <v/>
      </c>
      <c r="FI285" s="106" t="str">
        <f t="shared" si="176"/>
        <v>**</v>
      </c>
      <c r="FJ285" s="138">
        <f t="shared" si="207"/>
        <v>-12.809668301829708</v>
      </c>
      <c r="FK285" s="138" t="str">
        <f t="shared" si="208"/>
        <v>**</v>
      </c>
    </row>
    <row r="286" spans="1:167" ht="12.75" hidden="1" customHeight="1" x14ac:dyDescent="0.2">
      <c r="A286">
        <v>251</v>
      </c>
      <c r="B286" t="s">
        <v>1235</v>
      </c>
      <c r="D286" s="4" t="s">
        <v>809</v>
      </c>
      <c r="E286">
        <v>-1665</v>
      </c>
      <c r="F286" t="str">
        <f>VLOOKUP(E286,CompDbase!B:L,4,FALSE)</f>
        <v>4-Isopropenyl-1-methyl-1-cyclohexene</v>
      </c>
      <c r="G286" s="95" t="str">
        <f>VLOOKUP(E286,CompDbase!B:M,12,FALSE)</f>
        <v>overige</v>
      </c>
      <c r="H286" s="95">
        <f>VLOOKUP(E286,CompDbase!B:L,8,FALSE)</f>
        <v>136</v>
      </c>
      <c r="I286" s="95" t="e">
        <f>VLOOKUP(E286,CompDbase!B:L,11,FALSE)</f>
        <v>#DIV/0!</v>
      </c>
      <c r="J286" s="95" t="e">
        <f>VLOOKUP(E286,CompDbase!B:L,9,FALSE)</f>
        <v>#DIV/0!</v>
      </c>
      <c r="K286" s="95" t="e">
        <f>VLOOKUP(E286,CompDbase!B:L,10,FALSE)</f>
        <v>#DIV/0!</v>
      </c>
      <c r="L286" s="4" t="s">
        <v>769</v>
      </c>
      <c r="M286" s="423"/>
      <c r="N286" s="423"/>
      <c r="O286" s="4"/>
      <c r="P286">
        <v>296</v>
      </c>
      <c r="Q286" s="4" t="s">
        <v>1049</v>
      </c>
      <c r="T286" s="95"/>
      <c r="Y286">
        <v>4.3000000000000009E-13</v>
      </c>
      <c r="Z286" s="95">
        <f t="shared" si="225"/>
        <v>-12.366531544420413</v>
      </c>
      <c r="AC286" t="s">
        <v>68</v>
      </c>
      <c r="DG286">
        <f t="shared" si="226"/>
        <v>-12.366531544420413</v>
      </c>
      <c r="DH286">
        <f t="shared" si="227"/>
        <v>136</v>
      </c>
      <c r="EY286" s="479">
        <f>VLOOKUP(B286,Literatuur!$A:$B,2,FALSE)</f>
        <v>21</v>
      </c>
      <c r="EZ286" t="str">
        <f t="shared" si="199"/>
        <v>4-Isopropenyl-1-methyl-1-cyclohexene (Limonene)</v>
      </c>
      <c r="FA286" t="str">
        <f t="shared" si="200"/>
        <v>overige</v>
      </c>
      <c r="FB286" t="str">
        <f t="shared" si="201"/>
        <v>LDPE</v>
      </c>
      <c r="FC286" t="str">
        <f t="shared" si="202"/>
        <v/>
      </c>
      <c r="FD286">
        <f t="shared" si="203"/>
        <v>296</v>
      </c>
      <c r="FE286" t="str">
        <f t="shared" si="204"/>
        <v>water</v>
      </c>
      <c r="FF286" t="str">
        <f t="shared" si="205"/>
        <v xml:space="preserve"> </v>
      </c>
      <c r="FG286" s="408" t="str">
        <f t="shared" si="198"/>
        <v/>
      </c>
      <c r="FH286" s="138" t="str">
        <f t="shared" si="206"/>
        <v/>
      </c>
      <c r="FI286" s="106" t="str">
        <f t="shared" si="176"/>
        <v>**</v>
      </c>
      <c r="FJ286" s="138">
        <f t="shared" si="207"/>
        <v>-12.366531544420413</v>
      </c>
      <c r="FK286" s="138" t="str">
        <f t="shared" si="208"/>
        <v>**</v>
      </c>
    </row>
    <row r="287" spans="1:167" ht="12.75" hidden="1" customHeight="1" x14ac:dyDescent="0.2">
      <c r="A287">
        <v>252</v>
      </c>
      <c r="B287" t="s">
        <v>1235</v>
      </c>
      <c r="D287" s="4" t="s">
        <v>825</v>
      </c>
      <c r="E287">
        <v>-1681</v>
      </c>
      <c r="F287" t="str">
        <f>VLOOKUP(E287,CompDbase!B:L,4,FALSE)</f>
        <v>Cedrylacetate</v>
      </c>
      <c r="G287" s="95" t="str">
        <f>VLOOKUP(E287,CompDbase!B:M,12,FALSE)</f>
        <v>overige</v>
      </c>
      <c r="H287" s="95">
        <f>VLOOKUP(E287,CompDbase!B:L,8,FALSE)</f>
        <v>264</v>
      </c>
      <c r="I287" s="95" t="e">
        <f>VLOOKUP(E287,CompDbase!B:L,11,FALSE)</f>
        <v>#DIV/0!</v>
      </c>
      <c r="J287" s="95" t="e">
        <f>VLOOKUP(E287,CompDbase!B:L,9,FALSE)</f>
        <v>#DIV/0!</v>
      </c>
      <c r="K287" s="95" t="e">
        <f>VLOOKUP(E287,CompDbase!B:L,10,FALSE)</f>
        <v>#DIV/0!</v>
      </c>
      <c r="L287" s="4" t="s">
        <v>769</v>
      </c>
      <c r="M287" s="423"/>
      <c r="N287" s="423"/>
      <c r="O287" s="4"/>
      <c r="P287">
        <v>296</v>
      </c>
      <c r="Q287" s="4" t="s">
        <v>1049</v>
      </c>
      <c r="T287" s="95"/>
      <c r="Y287">
        <v>4.1000000000000002E-14</v>
      </c>
      <c r="Z287" s="95">
        <f t="shared" si="225"/>
        <v>-13.387216143280265</v>
      </c>
      <c r="AC287" t="s">
        <v>68</v>
      </c>
      <c r="AG287" s="138"/>
      <c r="BW287" s="138"/>
      <c r="DG287">
        <f t="shared" si="226"/>
        <v>-13.387216143280265</v>
      </c>
      <c r="DH287">
        <f t="shared" si="227"/>
        <v>264</v>
      </c>
      <c r="EY287" s="479">
        <f>VLOOKUP(B287,Literatuur!$A:$B,2,FALSE)</f>
        <v>21</v>
      </c>
      <c r="EZ287" t="str">
        <f t="shared" si="199"/>
        <v>Cedrylacetate</v>
      </c>
      <c r="FA287" t="str">
        <f t="shared" si="200"/>
        <v>overige</v>
      </c>
      <c r="FB287" t="str">
        <f t="shared" si="201"/>
        <v>LDPE</v>
      </c>
      <c r="FC287" t="str">
        <f t="shared" si="202"/>
        <v/>
      </c>
      <c r="FD287">
        <f t="shared" si="203"/>
        <v>296</v>
      </c>
      <c r="FE287" t="str">
        <f t="shared" si="204"/>
        <v>water</v>
      </c>
      <c r="FF287" t="str">
        <f t="shared" si="205"/>
        <v xml:space="preserve"> </v>
      </c>
      <c r="FG287" s="408" t="str">
        <f t="shared" si="198"/>
        <v/>
      </c>
      <c r="FH287" s="138" t="str">
        <f t="shared" si="206"/>
        <v/>
      </c>
      <c r="FI287" s="106" t="str">
        <f t="shared" si="176"/>
        <v>**</v>
      </c>
      <c r="FJ287" s="138">
        <f t="shared" si="207"/>
        <v>-13.387216143280265</v>
      </c>
      <c r="FK287" s="138" t="str">
        <f t="shared" si="208"/>
        <v>**</v>
      </c>
    </row>
    <row r="288" spans="1:167" ht="12.75" hidden="1" customHeight="1" x14ac:dyDescent="0.2">
      <c r="A288">
        <v>253</v>
      </c>
      <c r="B288" t="s">
        <v>1235</v>
      </c>
      <c r="D288" s="4" t="s">
        <v>819</v>
      </c>
      <c r="E288">
        <v>-1675</v>
      </c>
      <c r="F288" t="str">
        <f>VLOOKUP(E288,CompDbase!B:L,4,FALSE)</f>
        <v>Diphenyl-oxide</v>
      </c>
      <c r="G288" s="95" t="str">
        <f>VLOOKUP(E288,CompDbase!B:M,12,FALSE)</f>
        <v>overige</v>
      </c>
      <c r="H288" s="95">
        <f>VLOOKUP(E288,CompDbase!B:L,8,FALSE)</f>
        <v>170</v>
      </c>
      <c r="I288" s="95" t="e">
        <f>VLOOKUP(E288,CompDbase!B:L,11,FALSE)</f>
        <v>#DIV/0!</v>
      </c>
      <c r="J288" s="95" t="e">
        <f>VLOOKUP(E288,CompDbase!B:L,9,FALSE)</f>
        <v>#DIV/0!</v>
      </c>
      <c r="K288" s="95" t="e">
        <f>VLOOKUP(E288,CompDbase!B:L,10,FALSE)</f>
        <v>#DIV/0!</v>
      </c>
      <c r="L288" s="4" t="s">
        <v>769</v>
      </c>
      <c r="M288" s="423"/>
      <c r="N288" s="423"/>
      <c r="O288" s="4"/>
      <c r="P288">
        <v>296</v>
      </c>
      <c r="Q288" s="4" t="s">
        <v>1049</v>
      </c>
      <c r="T288" s="95"/>
      <c r="Y288">
        <v>3.7000000000000004E-13</v>
      </c>
      <c r="Z288" s="95">
        <f t="shared" si="225"/>
        <v>-12.431798275933005</v>
      </c>
      <c r="AC288" t="s">
        <v>68</v>
      </c>
      <c r="AG288" s="138"/>
      <c r="BW288" s="138"/>
      <c r="DG288">
        <f t="shared" si="226"/>
        <v>-12.431798275933005</v>
      </c>
      <c r="DH288">
        <f t="shared" si="227"/>
        <v>170</v>
      </c>
      <c r="EY288" s="479">
        <f>VLOOKUP(B288,Literatuur!$A:$B,2,FALSE)</f>
        <v>21</v>
      </c>
      <c r="EZ288" t="str">
        <f t="shared" si="199"/>
        <v>Diphenyl-oxide</v>
      </c>
      <c r="FA288" t="str">
        <f t="shared" si="200"/>
        <v>overige</v>
      </c>
      <c r="FB288" t="str">
        <f t="shared" si="201"/>
        <v>LDPE</v>
      </c>
      <c r="FC288" t="str">
        <f t="shared" si="202"/>
        <v/>
      </c>
      <c r="FD288">
        <f t="shared" si="203"/>
        <v>296</v>
      </c>
      <c r="FE288" t="str">
        <f t="shared" si="204"/>
        <v>water</v>
      </c>
      <c r="FF288" t="str">
        <f t="shared" si="205"/>
        <v xml:space="preserve"> </v>
      </c>
      <c r="FG288" s="408" t="str">
        <f t="shared" si="198"/>
        <v/>
      </c>
      <c r="FH288" s="138" t="str">
        <f t="shared" si="206"/>
        <v/>
      </c>
      <c r="FI288" s="106" t="str">
        <f t="shared" ref="FI288:FI351" si="228">IF(ISNUMBER(AL288),AL288*AL$19+AL$21,IF(ISNUMBER(AM288),AM288*AM$19+AM$21,IF(ISNUMBER(AN288),AN288*AN$19+AN$21,"**")))</f>
        <v>**</v>
      </c>
      <c r="FJ288" s="138">
        <f t="shared" si="207"/>
        <v>-12.431798275933005</v>
      </c>
      <c r="FK288" s="138" t="str">
        <f t="shared" si="208"/>
        <v>**</v>
      </c>
    </row>
    <row r="289" spans="1:167" ht="12.75" hidden="1" customHeight="1" x14ac:dyDescent="0.2">
      <c r="A289">
        <v>254</v>
      </c>
      <c r="B289" s="4" t="s">
        <v>1680</v>
      </c>
      <c r="C289" s="4"/>
      <c r="D289" t="s">
        <v>1200</v>
      </c>
      <c r="E289">
        <v>-1770</v>
      </c>
      <c r="F289" t="str">
        <f>VLOOKUP(E289,CompDbase!B:L,4,FALSE)</f>
        <v>HCB</v>
      </c>
      <c r="G289" s="95" t="str">
        <f>VLOOKUP(E289,CompDbase!B:M,12,FALSE)</f>
        <v>overige</v>
      </c>
      <c r="H289" s="95">
        <f>VLOOKUP(E289,CompDbase!B:L,8,FALSE)</f>
        <v>284.8</v>
      </c>
      <c r="I289" s="95">
        <f>VLOOKUP(E289,CompDbase!B:L,11,FALSE)</f>
        <v>161.19999999999999</v>
      </c>
      <c r="J289" s="95">
        <f>VLOOKUP(E289,CompDbase!B:L,9,FALSE)</f>
        <v>0.35854195727897853</v>
      </c>
      <c r="K289" s="95">
        <f>VLOOKUP(E289,CompDbase!B:L,10,FALSE)</f>
        <v>5.6</v>
      </c>
      <c r="L289" s="4" t="s">
        <v>769</v>
      </c>
      <c r="M289" s="426">
        <v>910000</v>
      </c>
      <c r="N289" s="426"/>
      <c r="O289" s="4" t="s">
        <v>1740</v>
      </c>
      <c r="P289" s="4" t="s">
        <v>1980</v>
      </c>
      <c r="Q289" s="4" t="s">
        <v>1049</v>
      </c>
      <c r="S289" s="4"/>
      <c r="T289" s="95"/>
      <c r="W289" s="199"/>
      <c r="Z289" s="4">
        <v>-12.68</v>
      </c>
      <c r="AC289" t="s">
        <v>68</v>
      </c>
      <c r="AG289" s="138"/>
      <c r="BW289" s="138"/>
      <c r="DG289">
        <f t="shared" si="226"/>
        <v>-12.68</v>
      </c>
      <c r="DH289">
        <f t="shared" si="227"/>
        <v>284.8</v>
      </c>
      <c r="DL289">
        <f t="shared" ref="DL289" si="229">$H289</f>
        <v>284.8</v>
      </c>
      <c r="EY289" s="479">
        <f>VLOOKUP(B289,Literatuur!$A:$B,2,FALSE)</f>
        <v>23</v>
      </c>
      <c r="EZ289" t="str">
        <f t="shared" si="199"/>
        <v>HCB</v>
      </c>
      <c r="FA289" t="str">
        <f t="shared" si="200"/>
        <v>overige</v>
      </c>
      <c r="FB289" t="str">
        <f t="shared" si="201"/>
        <v>LDPE</v>
      </c>
      <c r="FC289" t="str">
        <f t="shared" si="202"/>
        <v>Filmstacking</v>
      </c>
      <c r="FD289" t="str">
        <f t="shared" si="203"/>
        <v>room</v>
      </c>
      <c r="FE289" t="str">
        <f t="shared" si="204"/>
        <v>water</v>
      </c>
      <c r="FF289" t="str">
        <f t="shared" si="205"/>
        <v xml:space="preserve"> </v>
      </c>
      <c r="FG289" s="408" t="str">
        <f t="shared" si="198"/>
        <v/>
      </c>
      <c r="FH289" s="138" t="str">
        <f t="shared" si="206"/>
        <v/>
      </c>
      <c r="FI289" s="106" t="str">
        <f t="shared" si="228"/>
        <v>**</v>
      </c>
      <c r="FJ289" s="138">
        <f t="shared" si="207"/>
        <v>-12.68</v>
      </c>
      <c r="FK289" s="138" t="str">
        <f t="shared" si="208"/>
        <v>**</v>
      </c>
    </row>
    <row r="290" spans="1:167" ht="12.75" hidden="1" customHeight="1" x14ac:dyDescent="0.2">
      <c r="A290">
        <v>255</v>
      </c>
      <c r="B290" t="s">
        <v>2067</v>
      </c>
      <c r="C290" s="4"/>
      <c r="D290" t="s">
        <v>1212</v>
      </c>
      <c r="E290">
        <v>-1786</v>
      </c>
      <c r="F290" t="str">
        <f>VLOOKUP(E290,CompDbase!B:L,4,FALSE)</f>
        <v>me-triclosan</v>
      </c>
      <c r="G290" s="95" t="str">
        <f>VLOOKUP(E290,CompDbase!B:M,12,FALSE)</f>
        <v>overige</v>
      </c>
      <c r="H290" s="95">
        <f>VLOOKUP(E290,CompDbase!B:L,8,FALSE)</f>
        <v>303.60000000000002</v>
      </c>
      <c r="I290" s="95">
        <f>VLOOKUP(E290,CompDbase!B:L,11,FALSE)</f>
        <v>214.2</v>
      </c>
      <c r="J290" s="95">
        <f>VLOOKUP(E290,CompDbase!B:L,9,FALSE)</f>
        <v>2.4115805206229179</v>
      </c>
      <c r="K290" s="95">
        <f>VLOOKUP(E290,CompDbase!B:L,10,FALSE)</f>
        <v>5.4</v>
      </c>
      <c r="L290" s="4" t="s">
        <v>769</v>
      </c>
      <c r="M290" s="420"/>
      <c r="N290" s="420"/>
      <c r="O290" s="4" t="s">
        <v>1986</v>
      </c>
      <c r="P290">
        <v>293</v>
      </c>
      <c r="Q290" s="4" t="s">
        <v>1049</v>
      </c>
      <c r="R290" s="289" t="s">
        <v>1982</v>
      </c>
      <c r="S290" s="4">
        <f t="shared" ref="S290:S297" si="230">10^-6/0.25</f>
        <v>3.9999999999999998E-6</v>
      </c>
      <c r="T290" s="289">
        <f t="shared" ref="T290:T297" si="231">S290/J290</f>
        <v>1.6586632566458069E-6</v>
      </c>
      <c r="W290" s="199">
        <f t="shared" ref="W290:W298" si="232">10^X290</f>
        <v>33884.41561392029</v>
      </c>
      <c r="X290" s="138">
        <v>4.53</v>
      </c>
      <c r="Z290" s="190"/>
      <c r="AC290" t="s">
        <v>68</v>
      </c>
      <c r="AG290" s="138">
        <f t="shared" ref="AG290:AG298" si="233">X290</f>
        <v>4.53</v>
      </c>
      <c r="AH290">
        <f t="shared" ref="AH290:AI291" si="234">$K290</f>
        <v>5.4</v>
      </c>
      <c r="AI290">
        <f t="shared" si="234"/>
        <v>5.4</v>
      </c>
      <c r="BW290" s="138"/>
      <c r="BX290">
        <f>LOG(1*$J290)</f>
        <v>0.38230176722344261</v>
      </c>
      <c r="BY290">
        <f>LOG(1*$J290)</f>
        <v>0.38230176722344261</v>
      </c>
      <c r="DG290" s="138"/>
      <c r="EY290" s="479">
        <f>VLOOKUP(B290,Literatuur!$A:$B,2,FALSE)</f>
        <v>25</v>
      </c>
      <c r="EZ290" t="str">
        <f t="shared" si="199"/>
        <v>me-triclosan</v>
      </c>
      <c r="FA290" t="str">
        <f t="shared" si="200"/>
        <v>overige</v>
      </c>
      <c r="FB290" t="str">
        <f t="shared" si="201"/>
        <v>LDPE</v>
      </c>
      <c r="FC290" t="str">
        <f t="shared" si="202"/>
        <v>Immersion (spinning)</v>
      </c>
      <c r="FD290">
        <f t="shared" si="203"/>
        <v>293</v>
      </c>
      <c r="FE290" t="str">
        <f t="shared" si="204"/>
        <v>water</v>
      </c>
      <c r="FF290" t="str">
        <f t="shared" si="205"/>
        <v>measured 0.000004</v>
      </c>
      <c r="FG290" s="408">
        <f t="shared" si="198"/>
        <v>1.6586632566458069E-6</v>
      </c>
      <c r="FH290" s="138">
        <f t="shared" si="206"/>
        <v>4.53</v>
      </c>
      <c r="FI290" s="106" t="str">
        <f t="shared" si="228"/>
        <v>**</v>
      </c>
      <c r="FJ290" s="138" t="str">
        <f t="shared" si="207"/>
        <v/>
      </c>
      <c r="FK290" s="138" t="str">
        <f t="shared" si="208"/>
        <v>**</v>
      </c>
    </row>
    <row r="291" spans="1:167" ht="12.75" hidden="1" customHeight="1" x14ac:dyDescent="0.2">
      <c r="A291">
        <v>256</v>
      </c>
      <c r="B291" t="s">
        <v>2067</v>
      </c>
      <c r="C291" s="4"/>
      <c r="D291" t="s">
        <v>1213</v>
      </c>
      <c r="E291">
        <v>-1787</v>
      </c>
      <c r="F291" t="str">
        <f>VLOOKUP(E291,CompDbase!B:L,4,FALSE)</f>
        <v>n-nonylphenol</v>
      </c>
      <c r="G291" s="95" t="str">
        <f>VLOOKUP(E291,CompDbase!B:M,12,FALSE)</f>
        <v>overige</v>
      </c>
      <c r="H291" s="95">
        <f>VLOOKUP(E291,CompDbase!B:L,8,FALSE)</f>
        <v>220.4</v>
      </c>
      <c r="I291" s="95">
        <f>VLOOKUP(E291,CompDbase!B:L,11,FALSE)</f>
        <v>238.8</v>
      </c>
      <c r="J291" s="95">
        <f>VLOOKUP(E291,CompDbase!B:L,9,FALSE)</f>
        <v>1.1046166629145078</v>
      </c>
      <c r="K291" s="95">
        <f>VLOOKUP(E291,CompDbase!B:L,10,FALSE)</f>
        <v>4.5</v>
      </c>
      <c r="L291" s="4" t="s">
        <v>769</v>
      </c>
      <c r="M291" s="420"/>
      <c r="N291" s="420"/>
      <c r="O291" s="4" t="s">
        <v>1986</v>
      </c>
      <c r="P291">
        <v>293</v>
      </c>
      <c r="Q291" s="4" t="s">
        <v>1049</v>
      </c>
      <c r="R291" s="289" t="s">
        <v>1982</v>
      </c>
      <c r="S291" s="4">
        <f t="shared" si="230"/>
        <v>3.9999999999999998E-6</v>
      </c>
      <c r="T291" s="289">
        <f t="shared" si="231"/>
        <v>3.6211657258963343E-6</v>
      </c>
      <c r="W291" s="199">
        <f t="shared" si="232"/>
        <v>15848.931924611146</v>
      </c>
      <c r="X291" s="138">
        <v>4.2</v>
      </c>
      <c r="Z291" s="190"/>
      <c r="AC291" t="s">
        <v>68</v>
      </c>
      <c r="AG291" s="138">
        <f t="shared" si="233"/>
        <v>4.2</v>
      </c>
      <c r="AH291">
        <f t="shared" si="234"/>
        <v>4.5</v>
      </c>
      <c r="AI291">
        <f t="shared" si="234"/>
        <v>4.5</v>
      </c>
      <c r="BW291" s="138"/>
      <c r="BX291">
        <f>LOG(1*$J291)</f>
        <v>4.3211590179747301E-2</v>
      </c>
      <c r="BY291">
        <f>LOG(1*$J291)</f>
        <v>4.3211590179747301E-2</v>
      </c>
      <c r="DG291" s="138"/>
      <c r="EY291" s="479">
        <f>VLOOKUP(B291,Literatuur!$A:$B,2,FALSE)</f>
        <v>25</v>
      </c>
      <c r="EZ291" t="str">
        <f t="shared" si="199"/>
        <v>n-nonylphenol</v>
      </c>
      <c r="FA291" t="str">
        <f t="shared" si="200"/>
        <v>overige</v>
      </c>
      <c r="FB291" t="str">
        <f t="shared" si="201"/>
        <v>LDPE</v>
      </c>
      <c r="FC291" t="str">
        <f t="shared" si="202"/>
        <v>Immersion (spinning)</v>
      </c>
      <c r="FD291">
        <f t="shared" si="203"/>
        <v>293</v>
      </c>
      <c r="FE291" t="str">
        <f t="shared" si="204"/>
        <v>water</v>
      </c>
      <c r="FF291" t="str">
        <f t="shared" si="205"/>
        <v>measured 0.000004</v>
      </c>
      <c r="FG291" s="408">
        <f t="shared" si="198"/>
        <v>3.6211657258963343E-6</v>
      </c>
      <c r="FH291" s="138">
        <f t="shared" si="206"/>
        <v>4.2</v>
      </c>
      <c r="FI291" s="106" t="str">
        <f t="shared" si="228"/>
        <v>**</v>
      </c>
      <c r="FJ291" s="138" t="str">
        <f t="shared" si="207"/>
        <v/>
      </c>
      <c r="FK291" s="138" t="str">
        <f t="shared" si="208"/>
        <v>**</v>
      </c>
    </row>
    <row r="292" spans="1:167" ht="12.75" hidden="1" customHeight="1" x14ac:dyDescent="0.2">
      <c r="A292">
        <v>257</v>
      </c>
      <c r="B292" t="s">
        <v>2067</v>
      </c>
      <c r="C292" s="4"/>
      <c r="D292" s="4" t="s">
        <v>1977</v>
      </c>
      <c r="E292">
        <v>-1813</v>
      </c>
      <c r="F292" t="str">
        <f>VLOOKUP(E292,CompDbase!B:L,4,FALSE)</f>
        <v>n-nonylphenol-tech</v>
      </c>
      <c r="G292" s="95" t="str">
        <f>VLOOKUP(E292,CompDbase!B:M,12,FALSE)</f>
        <v>overige</v>
      </c>
      <c r="H292" s="95" t="e">
        <f>VLOOKUP(E292,CompDbase!B:L,8,FALSE)</f>
        <v>#DIV/0!</v>
      </c>
      <c r="I292" s="95">
        <f>VLOOKUP(E292,CompDbase!B:L,11,FALSE)</f>
        <v>0</v>
      </c>
      <c r="J292" s="95" t="e">
        <f>VLOOKUP(E292,CompDbase!B:L,9,FALSE)</f>
        <v>#DIV/0!</v>
      </c>
      <c r="K292" s="95" t="e">
        <f>VLOOKUP(E292,CompDbase!B:L,10,FALSE)</f>
        <v>#DIV/0!</v>
      </c>
      <c r="L292" s="4" t="s">
        <v>769</v>
      </c>
      <c r="M292" s="420"/>
      <c r="N292" s="420"/>
      <c r="O292" s="4" t="s">
        <v>1986</v>
      </c>
      <c r="P292">
        <v>293</v>
      </c>
      <c r="Q292" s="4" t="s">
        <v>1049</v>
      </c>
      <c r="R292" s="289" t="s">
        <v>1982</v>
      </c>
      <c r="S292" s="4">
        <f t="shared" si="230"/>
        <v>3.9999999999999998E-6</v>
      </c>
      <c r="T292" s="289" t="e">
        <f t="shared" si="231"/>
        <v>#DIV/0!</v>
      </c>
      <c r="W292" s="199">
        <f t="shared" si="232"/>
        <v>3235.9365692962833</v>
      </c>
      <c r="X292" s="138">
        <v>3.51</v>
      </c>
      <c r="Z292" s="190"/>
      <c r="AC292" t="s">
        <v>68</v>
      </c>
      <c r="AG292" s="138">
        <f t="shared" si="233"/>
        <v>3.51</v>
      </c>
      <c r="BW292" s="138"/>
      <c r="DG292" s="138"/>
      <c r="EY292" s="479">
        <f>VLOOKUP(B292,Literatuur!$A:$B,2,FALSE)</f>
        <v>25</v>
      </c>
      <c r="EZ292" t="str">
        <f t="shared" si="199"/>
        <v>n-nonylphenol-tech</v>
      </c>
      <c r="FA292" t="str">
        <f t="shared" si="200"/>
        <v>overige</v>
      </c>
      <c r="FB292" t="str">
        <f t="shared" si="201"/>
        <v>LDPE</v>
      </c>
      <c r="FC292" t="str">
        <f t="shared" si="202"/>
        <v>Immersion (spinning)</v>
      </c>
      <c r="FD292">
        <f t="shared" si="203"/>
        <v>293</v>
      </c>
      <c r="FE292" t="str">
        <f t="shared" si="204"/>
        <v>water</v>
      </c>
      <c r="FF292" t="str">
        <f t="shared" si="205"/>
        <v>measured 0.000004</v>
      </c>
      <c r="FG292" s="408" t="str">
        <f t="shared" si="198"/>
        <v/>
      </c>
      <c r="FH292" s="138">
        <f t="shared" si="206"/>
        <v>3.51</v>
      </c>
      <c r="FI292" s="106" t="str">
        <f t="shared" si="228"/>
        <v>**</v>
      </c>
      <c r="FJ292" s="138" t="str">
        <f t="shared" si="207"/>
        <v/>
      </c>
      <c r="FK292" s="138" t="str">
        <f t="shared" si="208"/>
        <v>**</v>
      </c>
    </row>
    <row r="293" spans="1:167" ht="12.75" hidden="1" customHeight="1" x14ac:dyDescent="0.2">
      <c r="A293">
        <v>258</v>
      </c>
      <c r="B293" t="s">
        <v>2067</v>
      </c>
      <c r="C293" s="4"/>
      <c r="D293" t="s">
        <v>1214</v>
      </c>
      <c r="E293">
        <v>-1788</v>
      </c>
      <c r="F293" t="str">
        <f>VLOOKUP(E293,CompDbase!B:L,4,FALSE)</f>
        <v>n-octylphenol</v>
      </c>
      <c r="G293" s="95" t="str">
        <f>VLOOKUP(E293,CompDbase!B:M,12,FALSE)</f>
        <v>overige</v>
      </c>
      <c r="H293" s="95">
        <f>VLOOKUP(E293,CompDbase!B:L,8,FALSE)</f>
        <v>206.3</v>
      </c>
      <c r="I293" s="95">
        <f>VLOOKUP(E293,CompDbase!B:L,11,FALSE)</f>
        <v>222.3</v>
      </c>
      <c r="J293" s="95">
        <f>VLOOKUP(E293,CompDbase!B:L,9,FALSE)</f>
        <v>5.1820217082042594</v>
      </c>
      <c r="K293" s="95">
        <f>VLOOKUP(E293,CompDbase!B:L,10,FALSE)</f>
        <v>4</v>
      </c>
      <c r="L293" s="4" t="s">
        <v>769</v>
      </c>
      <c r="M293" s="420"/>
      <c r="N293" s="420"/>
      <c r="O293" s="4" t="s">
        <v>1986</v>
      </c>
      <c r="P293">
        <v>293</v>
      </c>
      <c r="Q293" s="4" t="s">
        <v>1049</v>
      </c>
      <c r="R293" s="289" t="s">
        <v>1982</v>
      </c>
      <c r="S293" s="4">
        <f t="shared" si="230"/>
        <v>3.9999999999999998E-6</v>
      </c>
      <c r="T293" s="289">
        <f t="shared" si="231"/>
        <v>7.7189950664759584E-7</v>
      </c>
      <c r="W293" s="199">
        <f t="shared" si="232"/>
        <v>4365.1583224016631</v>
      </c>
      <c r="X293" s="138">
        <v>3.64</v>
      </c>
      <c r="Z293" s="190"/>
      <c r="AC293" t="s">
        <v>68</v>
      </c>
      <c r="AG293" s="138">
        <f t="shared" si="233"/>
        <v>3.64</v>
      </c>
      <c r="AH293">
        <f>$K293</f>
        <v>4</v>
      </c>
      <c r="AI293">
        <f>$K293</f>
        <v>4</v>
      </c>
      <c r="BW293" s="138"/>
      <c r="BX293">
        <f>LOG(1*$J293)</f>
        <v>0.71449922797315124</v>
      </c>
      <c r="BY293">
        <f>LOG(1*$J293)</f>
        <v>0.71449922797315124</v>
      </c>
      <c r="DG293" s="138"/>
      <c r="EY293" s="479">
        <f>VLOOKUP(B293,Literatuur!$A:$B,2,FALSE)</f>
        <v>25</v>
      </c>
      <c r="EZ293" t="str">
        <f t="shared" si="199"/>
        <v>n-octylphenol</v>
      </c>
      <c r="FA293" t="str">
        <f t="shared" si="200"/>
        <v>overige</v>
      </c>
      <c r="FB293" t="str">
        <f t="shared" si="201"/>
        <v>LDPE</v>
      </c>
      <c r="FC293" t="str">
        <f t="shared" si="202"/>
        <v>Immersion (spinning)</v>
      </c>
      <c r="FD293">
        <f t="shared" si="203"/>
        <v>293</v>
      </c>
      <c r="FE293" t="str">
        <f t="shared" si="204"/>
        <v>water</v>
      </c>
      <c r="FF293" t="str">
        <f t="shared" si="205"/>
        <v>measured 0.000004</v>
      </c>
      <c r="FG293" s="408">
        <f t="shared" si="198"/>
        <v>7.7189950664759584E-7</v>
      </c>
      <c r="FH293" s="138">
        <f t="shared" si="206"/>
        <v>3.64</v>
      </c>
      <c r="FI293" s="106" t="str">
        <f t="shared" si="228"/>
        <v>**</v>
      </c>
      <c r="FJ293" s="138" t="str">
        <f t="shared" si="207"/>
        <v/>
      </c>
      <c r="FK293" s="138" t="str">
        <f t="shared" si="208"/>
        <v>**</v>
      </c>
    </row>
    <row r="294" spans="1:167" ht="12.75" hidden="1" customHeight="1" x14ac:dyDescent="0.2">
      <c r="A294">
        <v>259</v>
      </c>
      <c r="B294" t="s">
        <v>2067</v>
      </c>
      <c r="C294" s="4"/>
      <c r="D294" s="4" t="s">
        <v>1978</v>
      </c>
      <c r="E294">
        <v>-1814</v>
      </c>
      <c r="F294" t="str">
        <f>VLOOKUP(E294,CompDbase!B:L,4,FALSE)</f>
        <v>nonylphenol-d4</v>
      </c>
      <c r="G294" s="95" t="str">
        <f>VLOOKUP(E294,CompDbase!B:M,12,FALSE)</f>
        <v>overige</v>
      </c>
      <c r="H294" s="95" t="e">
        <f>VLOOKUP(E294,CompDbase!B:L,8,FALSE)</f>
        <v>#DIV/0!</v>
      </c>
      <c r="I294" s="95">
        <f>VLOOKUP(E294,CompDbase!B:L,11,FALSE)</f>
        <v>0</v>
      </c>
      <c r="J294" s="95" t="e">
        <f>VLOOKUP(E294,CompDbase!B:L,9,FALSE)</f>
        <v>#DIV/0!</v>
      </c>
      <c r="K294" s="95" t="e">
        <f>VLOOKUP(E294,CompDbase!B:L,10,FALSE)</f>
        <v>#DIV/0!</v>
      </c>
      <c r="L294" s="4" t="s">
        <v>769</v>
      </c>
      <c r="M294" s="420"/>
      <c r="N294" s="420"/>
      <c r="O294" s="4" t="s">
        <v>1986</v>
      </c>
      <c r="P294">
        <v>293</v>
      </c>
      <c r="Q294" s="4" t="s">
        <v>1049</v>
      </c>
      <c r="R294" s="289" t="s">
        <v>1982</v>
      </c>
      <c r="S294" s="4">
        <f t="shared" si="230"/>
        <v>3.9999999999999998E-6</v>
      </c>
      <c r="T294" s="289" t="e">
        <f t="shared" si="231"/>
        <v>#DIV/0!</v>
      </c>
      <c r="W294" s="199">
        <f t="shared" si="232"/>
        <v>8709.6358995608189</v>
      </c>
      <c r="X294" s="138">
        <v>3.94</v>
      </c>
      <c r="Z294" s="190"/>
      <c r="AC294" t="s">
        <v>68</v>
      </c>
      <c r="AG294" s="138">
        <f t="shared" si="233"/>
        <v>3.94</v>
      </c>
      <c r="BW294" s="138"/>
      <c r="DG294" s="138"/>
      <c r="EY294" s="479">
        <f>VLOOKUP(B294,Literatuur!$A:$B,2,FALSE)</f>
        <v>25</v>
      </c>
      <c r="EZ294" t="str">
        <f t="shared" si="199"/>
        <v>nonylphenol-d4</v>
      </c>
      <c r="FA294" t="str">
        <f t="shared" si="200"/>
        <v>overige</v>
      </c>
      <c r="FB294" t="str">
        <f t="shared" si="201"/>
        <v>LDPE</v>
      </c>
      <c r="FC294" t="str">
        <f t="shared" si="202"/>
        <v>Immersion (spinning)</v>
      </c>
      <c r="FD294">
        <f t="shared" si="203"/>
        <v>293</v>
      </c>
      <c r="FE294" t="str">
        <f t="shared" si="204"/>
        <v>water</v>
      </c>
      <c r="FF294" t="str">
        <f t="shared" si="205"/>
        <v>measured 0.000004</v>
      </c>
      <c r="FG294" s="408" t="str">
        <f t="shared" si="198"/>
        <v/>
      </c>
      <c r="FH294" s="138">
        <f t="shared" si="206"/>
        <v>3.94</v>
      </c>
      <c r="FI294" s="106" t="str">
        <f t="shared" si="228"/>
        <v>**</v>
      </c>
      <c r="FJ294" s="138" t="str">
        <f t="shared" si="207"/>
        <v/>
      </c>
      <c r="FK294" s="138" t="str">
        <f t="shared" si="208"/>
        <v>**</v>
      </c>
    </row>
    <row r="295" spans="1:167" ht="12.75" hidden="1" customHeight="1" x14ac:dyDescent="0.2">
      <c r="A295">
        <v>260</v>
      </c>
      <c r="B295" t="s">
        <v>2067</v>
      </c>
      <c r="C295" s="4"/>
      <c r="D295" s="4" t="s">
        <v>1979</v>
      </c>
      <c r="E295">
        <v>-1815</v>
      </c>
      <c r="F295" t="str">
        <f>VLOOKUP(E295,CompDbase!B:L,4,FALSE)</f>
        <v>octylphenol-d17</v>
      </c>
      <c r="G295" s="95" t="str">
        <f>VLOOKUP(E295,CompDbase!B:M,12,FALSE)</f>
        <v>overige</v>
      </c>
      <c r="H295" s="95" t="e">
        <f>VLOOKUP(E295,CompDbase!B:L,8,FALSE)</f>
        <v>#DIV/0!</v>
      </c>
      <c r="I295" s="95">
        <f>VLOOKUP(E295,CompDbase!B:L,11,FALSE)</f>
        <v>0</v>
      </c>
      <c r="J295" s="95" t="e">
        <f>VLOOKUP(E295,CompDbase!B:L,9,FALSE)</f>
        <v>#DIV/0!</v>
      </c>
      <c r="K295" s="95" t="e">
        <f>VLOOKUP(E295,CompDbase!B:L,10,FALSE)</f>
        <v>#DIV/0!</v>
      </c>
      <c r="L295" s="4" t="s">
        <v>769</v>
      </c>
      <c r="M295" s="420"/>
      <c r="N295" s="420"/>
      <c r="O295" s="4" t="s">
        <v>1986</v>
      </c>
      <c r="P295">
        <v>293</v>
      </c>
      <c r="Q295" s="4" t="s">
        <v>1049</v>
      </c>
      <c r="R295" s="289" t="s">
        <v>1982</v>
      </c>
      <c r="S295" s="4">
        <f t="shared" si="230"/>
        <v>3.9999999999999998E-6</v>
      </c>
      <c r="T295" s="289" t="e">
        <f t="shared" si="231"/>
        <v>#DIV/0!</v>
      </c>
      <c r="W295" s="199">
        <f t="shared" si="232"/>
        <v>8317.6377110267094</v>
      </c>
      <c r="X295" s="138">
        <v>3.92</v>
      </c>
      <c r="Z295" s="190"/>
      <c r="AC295" t="s">
        <v>68</v>
      </c>
      <c r="AG295" s="138">
        <f t="shared" si="233"/>
        <v>3.92</v>
      </c>
      <c r="BW295" s="138"/>
      <c r="DG295" s="138"/>
      <c r="EY295" s="479">
        <f>VLOOKUP(B295,Literatuur!$A:$B,2,FALSE)</f>
        <v>25</v>
      </c>
      <c r="EZ295" t="str">
        <f t="shared" si="199"/>
        <v>octylphenol-d17</v>
      </c>
      <c r="FA295" t="str">
        <f t="shared" si="200"/>
        <v>overige</v>
      </c>
      <c r="FB295" t="str">
        <f t="shared" si="201"/>
        <v>LDPE</v>
      </c>
      <c r="FC295" t="str">
        <f t="shared" si="202"/>
        <v>Immersion (spinning)</v>
      </c>
      <c r="FD295">
        <f t="shared" si="203"/>
        <v>293</v>
      </c>
      <c r="FE295" t="str">
        <f t="shared" si="204"/>
        <v>water</v>
      </c>
      <c r="FF295" t="str">
        <f t="shared" si="205"/>
        <v>measured 0.000004</v>
      </c>
      <c r="FG295" s="408" t="str">
        <f t="shared" si="198"/>
        <v/>
      </c>
      <c r="FH295" s="138">
        <f t="shared" si="206"/>
        <v>3.92</v>
      </c>
      <c r="FI295" s="106" t="str">
        <f t="shared" si="228"/>
        <v>**</v>
      </c>
      <c r="FJ295" s="138" t="str">
        <f t="shared" si="207"/>
        <v/>
      </c>
      <c r="FK295" s="138" t="str">
        <f t="shared" si="208"/>
        <v>**</v>
      </c>
    </row>
    <row r="296" spans="1:167" ht="12.75" hidden="1" customHeight="1" x14ac:dyDescent="0.2">
      <c r="A296">
        <v>261</v>
      </c>
      <c r="B296" t="s">
        <v>2067</v>
      </c>
      <c r="C296" s="4"/>
      <c r="D296" t="s">
        <v>1215</v>
      </c>
      <c r="E296">
        <v>-1789</v>
      </c>
      <c r="F296" t="str">
        <f>VLOOKUP(E296,CompDbase!B:L,4,FALSE)</f>
        <v>t-octylphenol</v>
      </c>
      <c r="G296" s="95" t="str">
        <f>VLOOKUP(E296,CompDbase!B:M,12,FALSE)</f>
        <v>overige</v>
      </c>
      <c r="H296" s="95">
        <f>VLOOKUP(E296,CompDbase!B:L,8,FALSE)</f>
        <v>206.3</v>
      </c>
      <c r="I296" s="95">
        <f>VLOOKUP(E296,CompDbase!B:L,11,FALSE)</f>
        <v>219.5</v>
      </c>
      <c r="J296" s="95">
        <f>VLOOKUP(E296,CompDbase!B:L,9,FALSE)</f>
        <v>25.97163124531366</v>
      </c>
      <c r="K296" s="95">
        <f>VLOOKUP(E296,CompDbase!B:L,10,FALSE)</f>
        <v>4.0999999999999996</v>
      </c>
      <c r="L296" s="4" t="s">
        <v>769</v>
      </c>
      <c r="M296" s="420"/>
      <c r="N296" s="420"/>
      <c r="O296" s="4" t="s">
        <v>1986</v>
      </c>
      <c r="P296">
        <v>293</v>
      </c>
      <c r="Q296" s="4" t="s">
        <v>1049</v>
      </c>
      <c r="R296" s="289" t="s">
        <v>1982</v>
      </c>
      <c r="S296" s="4">
        <f t="shared" si="230"/>
        <v>3.9999999999999998E-6</v>
      </c>
      <c r="T296" s="289">
        <f t="shared" si="231"/>
        <v>1.5401419965570176E-7</v>
      </c>
      <c r="W296" s="199">
        <f t="shared" si="232"/>
        <v>549.54087385762534</v>
      </c>
      <c r="X296" s="138">
        <v>2.74</v>
      </c>
      <c r="Z296" s="190"/>
      <c r="AC296" t="s">
        <v>68</v>
      </c>
      <c r="AG296" s="138">
        <f t="shared" si="233"/>
        <v>2.74</v>
      </c>
      <c r="AH296">
        <f t="shared" ref="AH296:AI298" si="235">$K296</f>
        <v>4.0999999999999996</v>
      </c>
      <c r="AI296">
        <f t="shared" si="235"/>
        <v>4.0999999999999996</v>
      </c>
      <c r="BW296" s="138"/>
      <c r="BX296">
        <f t="shared" ref="BX296:BY298" si="236">LOG(1*$J296)</f>
        <v>1.4144992279731514</v>
      </c>
      <c r="BY296">
        <f t="shared" si="236"/>
        <v>1.4144992279731514</v>
      </c>
      <c r="DG296" s="138"/>
      <c r="EY296" s="479">
        <f>VLOOKUP(B296,Literatuur!$A:$B,2,FALSE)</f>
        <v>25</v>
      </c>
      <c r="EZ296" t="str">
        <f t="shared" si="199"/>
        <v>t-octylphenol</v>
      </c>
      <c r="FA296" t="str">
        <f t="shared" si="200"/>
        <v>overige</v>
      </c>
      <c r="FB296" t="str">
        <f t="shared" si="201"/>
        <v>LDPE</v>
      </c>
      <c r="FC296" t="str">
        <f t="shared" si="202"/>
        <v>Immersion (spinning)</v>
      </c>
      <c r="FD296">
        <f t="shared" si="203"/>
        <v>293</v>
      </c>
      <c r="FE296" t="str">
        <f t="shared" si="204"/>
        <v>water</v>
      </c>
      <c r="FF296" t="str">
        <f t="shared" si="205"/>
        <v>measured 0.000004</v>
      </c>
      <c r="FG296" s="408">
        <f t="shared" si="198"/>
        <v>1.5401419965570176E-7</v>
      </c>
      <c r="FH296" s="138">
        <f t="shared" si="206"/>
        <v>2.74</v>
      </c>
      <c r="FI296" s="106" t="str">
        <f t="shared" si="228"/>
        <v>**</v>
      </c>
      <c r="FJ296" s="138" t="str">
        <f t="shared" si="207"/>
        <v/>
      </c>
      <c r="FK296" s="138" t="str">
        <f t="shared" si="208"/>
        <v>**</v>
      </c>
    </row>
    <row r="297" spans="1:167" ht="12.75" hidden="1" customHeight="1" x14ac:dyDescent="0.2">
      <c r="A297">
        <v>262</v>
      </c>
      <c r="B297" t="s">
        <v>2067</v>
      </c>
      <c r="C297" s="4"/>
      <c r="D297" t="s">
        <v>1211</v>
      </c>
      <c r="E297">
        <v>-1785</v>
      </c>
      <c r="F297" t="str">
        <f>VLOOKUP(E297,CompDbase!B:L,4,FALSE)</f>
        <v>triclosan</v>
      </c>
      <c r="G297" s="95" t="str">
        <f>VLOOKUP(E297,CompDbase!B:M,12,FALSE)</f>
        <v>overige</v>
      </c>
      <c r="H297" s="95">
        <f>VLOOKUP(E297,CompDbase!B:L,8,FALSE)</f>
        <v>289.5</v>
      </c>
      <c r="I297" s="95">
        <f>VLOOKUP(E297,CompDbase!B:L,11,FALSE)</f>
        <v>192.1</v>
      </c>
      <c r="J297" s="95">
        <f>VLOOKUP(E297,CompDbase!B:L,9,FALSE)</f>
        <v>11.525202587523745</v>
      </c>
      <c r="K297" s="95">
        <f>VLOOKUP(E297,CompDbase!B:L,10,FALSE)</f>
        <v>4.8</v>
      </c>
      <c r="L297" s="4" t="s">
        <v>769</v>
      </c>
      <c r="M297" s="420"/>
      <c r="N297" s="420"/>
      <c r="O297" s="4" t="s">
        <v>1986</v>
      </c>
      <c r="P297">
        <v>293</v>
      </c>
      <c r="Q297" s="4" t="s">
        <v>1049</v>
      </c>
      <c r="R297" s="289" t="s">
        <v>1982</v>
      </c>
      <c r="S297" s="4">
        <f t="shared" si="230"/>
        <v>3.9999999999999998E-6</v>
      </c>
      <c r="T297" s="289">
        <f t="shared" si="231"/>
        <v>3.4706548276470883E-7</v>
      </c>
      <c r="W297" s="199">
        <f t="shared" si="232"/>
        <v>2187.7616239495528</v>
      </c>
      <c r="X297" s="138">
        <v>3.34</v>
      </c>
      <c r="Z297" s="190"/>
      <c r="AC297" t="s">
        <v>68</v>
      </c>
      <c r="AG297" s="138">
        <f t="shared" si="233"/>
        <v>3.34</v>
      </c>
      <c r="AH297">
        <f t="shared" si="235"/>
        <v>4.8</v>
      </c>
      <c r="AI297">
        <f t="shared" si="235"/>
        <v>4.8</v>
      </c>
      <c r="BW297" s="138"/>
      <c r="BX297">
        <f t="shared" si="236"/>
        <v>1.0616485680634551</v>
      </c>
      <c r="BY297">
        <f t="shared" si="236"/>
        <v>1.0616485680634551</v>
      </c>
      <c r="DG297" s="138"/>
      <c r="EY297" s="479">
        <f>VLOOKUP(B297,Literatuur!$A:$B,2,FALSE)</f>
        <v>25</v>
      </c>
      <c r="EZ297" t="str">
        <f t="shared" si="199"/>
        <v>triclosan</v>
      </c>
      <c r="FA297" t="str">
        <f t="shared" si="200"/>
        <v>overige</v>
      </c>
      <c r="FB297" t="str">
        <f t="shared" si="201"/>
        <v>LDPE</v>
      </c>
      <c r="FC297" t="str">
        <f t="shared" si="202"/>
        <v>Immersion (spinning)</v>
      </c>
      <c r="FD297">
        <f t="shared" si="203"/>
        <v>293</v>
      </c>
      <c r="FE297" t="str">
        <f t="shared" si="204"/>
        <v>water</v>
      </c>
      <c r="FF297" t="str">
        <f t="shared" si="205"/>
        <v>measured 0.000004</v>
      </c>
      <c r="FG297" s="408">
        <f t="shared" si="198"/>
        <v>3.4706548276470883E-7</v>
      </c>
      <c r="FH297" s="138">
        <f t="shared" si="206"/>
        <v>3.34</v>
      </c>
      <c r="FI297" s="106" t="str">
        <f t="shared" si="228"/>
        <v>**</v>
      </c>
      <c r="FJ297" s="138" t="str">
        <f t="shared" si="207"/>
        <v/>
      </c>
      <c r="FK297" s="138" t="str">
        <f t="shared" si="208"/>
        <v>**</v>
      </c>
    </row>
    <row r="298" spans="1:167" ht="12.75" hidden="1" customHeight="1" x14ac:dyDescent="0.2">
      <c r="A298">
        <v>263</v>
      </c>
      <c r="B298" t="s">
        <v>1595</v>
      </c>
      <c r="C298" s="4"/>
      <c r="D298" t="s">
        <v>1200</v>
      </c>
      <c r="E298">
        <v>-1770</v>
      </c>
      <c r="F298" t="str">
        <f>VLOOKUP(E298,CompDbase!B:L,4,FALSE)</f>
        <v>HCB</v>
      </c>
      <c r="G298" s="95" t="str">
        <f>VLOOKUP(E298,CompDbase!B:M,12,FALSE)</f>
        <v>overige</v>
      </c>
      <c r="H298" s="95">
        <f>VLOOKUP(E298,CompDbase!B:L,8,FALSE)</f>
        <v>284.8</v>
      </c>
      <c r="I298" s="95">
        <f>VLOOKUP(E298,CompDbase!B:L,11,FALSE)</f>
        <v>161.19999999999999</v>
      </c>
      <c r="J298" s="95">
        <f>VLOOKUP(E298,CompDbase!B:L,9,FALSE)</f>
        <v>0.35854195727897853</v>
      </c>
      <c r="K298" s="95">
        <f>VLOOKUP(E298,CompDbase!B:L,10,FALSE)</f>
        <v>5.6</v>
      </c>
      <c r="L298" s="4" t="s">
        <v>769</v>
      </c>
      <c r="M298" s="426">
        <v>900000</v>
      </c>
      <c r="N298" s="426"/>
      <c r="O298" s="4" t="s">
        <v>1985</v>
      </c>
      <c r="P298">
        <f>273+20</f>
        <v>293</v>
      </c>
      <c r="Q298" s="4" t="s">
        <v>1049</v>
      </c>
      <c r="S298" s="4"/>
      <c r="T298" s="95"/>
      <c r="W298" s="199">
        <f t="shared" si="232"/>
        <v>251188.64315095844</v>
      </c>
      <c r="X298">
        <v>5.4</v>
      </c>
      <c r="Z298" s="190"/>
      <c r="AC298" t="s">
        <v>68</v>
      </c>
      <c r="AG298" s="138">
        <f t="shared" si="233"/>
        <v>5.4</v>
      </c>
      <c r="AH298">
        <f t="shared" si="235"/>
        <v>5.6</v>
      </c>
      <c r="AI298">
        <f t="shared" si="235"/>
        <v>5.6</v>
      </c>
      <c r="BW298" s="138"/>
      <c r="BX298">
        <f t="shared" si="236"/>
        <v>-0.44546001503518157</v>
      </c>
      <c r="BY298">
        <f t="shared" si="236"/>
        <v>-0.44546001503518157</v>
      </c>
      <c r="DG298" s="138"/>
      <c r="EY298" s="479">
        <f>VLOOKUP(B298,Literatuur!$A:$B,2,FALSE)</f>
        <v>29</v>
      </c>
      <c r="EZ298" t="str">
        <f t="shared" si="199"/>
        <v>HCB</v>
      </c>
      <c r="FA298" t="str">
        <f t="shared" si="200"/>
        <v>overige</v>
      </c>
      <c r="FB298" t="str">
        <f t="shared" si="201"/>
        <v>LDPE</v>
      </c>
      <c r="FC298" t="str">
        <f t="shared" si="202"/>
        <v>Immersion (shaking)</v>
      </c>
      <c r="FD298">
        <f t="shared" si="203"/>
        <v>293</v>
      </c>
      <c r="FE298" t="str">
        <f t="shared" si="204"/>
        <v>water</v>
      </c>
      <c r="FF298" t="str">
        <f t="shared" si="205"/>
        <v xml:space="preserve"> </v>
      </c>
      <c r="FG298" s="408" t="str">
        <f t="shared" si="198"/>
        <v/>
      </c>
      <c r="FH298" s="138">
        <f t="shared" si="206"/>
        <v>5.4</v>
      </c>
      <c r="FI298" s="106" t="str">
        <f t="shared" si="228"/>
        <v>**</v>
      </c>
      <c r="FJ298" s="138" t="str">
        <f t="shared" si="207"/>
        <v/>
      </c>
      <c r="FK298" s="138" t="str">
        <f t="shared" si="208"/>
        <v>**</v>
      </c>
    </row>
    <row r="299" spans="1:167" ht="12.75" hidden="1" customHeight="1" x14ac:dyDescent="0.2">
      <c r="A299">
        <v>264</v>
      </c>
      <c r="B299" s="4" t="s">
        <v>1226</v>
      </c>
      <c r="C299" s="4"/>
      <c r="D299" s="4" t="s">
        <v>859</v>
      </c>
      <c r="E299">
        <v>-1514</v>
      </c>
      <c r="F299" t="str">
        <f>VLOOKUP(E299,CompDbase!B:L,4,FALSE)</f>
        <v>Cyclopopane</v>
      </c>
      <c r="G299" s="95" t="str">
        <f>VLOOKUP(E299,CompDbase!B:M,12,FALSE)</f>
        <v xml:space="preserve">overige </v>
      </c>
      <c r="H299" s="95">
        <f>VLOOKUP(E299,CompDbase!B:L,8,FALSE)</f>
        <v>42.08</v>
      </c>
      <c r="I299" s="95" t="e">
        <f>VLOOKUP(E299,CompDbase!B:L,11,FALSE)</f>
        <v>#DIV/0!</v>
      </c>
      <c r="J299" s="95">
        <f>VLOOKUP(E299,CompDbase!B:L,9,FALSE)</f>
        <v>502000</v>
      </c>
      <c r="K299" s="95">
        <f>VLOOKUP(E299,CompDbase!B:L,10,FALSE)</f>
        <v>1.72</v>
      </c>
      <c r="L299" s="4" t="s">
        <v>769</v>
      </c>
      <c r="M299" s="420"/>
      <c r="N299" s="420"/>
      <c r="O299" s="4"/>
      <c r="P299">
        <v>296</v>
      </c>
      <c r="Q299" s="4" t="s">
        <v>1049</v>
      </c>
      <c r="S299" s="4"/>
      <c r="Y299">
        <v>4.0999999999999997E-13</v>
      </c>
      <c r="Z299" s="95">
        <f t="shared" ref="Z299:Z304" si="237">LOG(Y299)</f>
        <v>-12.387216143280265</v>
      </c>
      <c r="DG299">
        <f t="shared" ref="DG299:DG304" si="238">Z299</f>
        <v>-12.387216143280265</v>
      </c>
      <c r="DH299">
        <f t="shared" ref="DH299:DH304" si="239">$H299</f>
        <v>42.08</v>
      </c>
      <c r="EY299" s="479">
        <f>VLOOKUP(B299,Literatuur!$A:$B,2,FALSE)</f>
        <v>12</v>
      </c>
      <c r="EZ299" t="str">
        <f t="shared" si="199"/>
        <v>Cyclohexane</v>
      </c>
      <c r="FA299" t="str">
        <f t="shared" si="200"/>
        <v xml:space="preserve">overige </v>
      </c>
      <c r="FB299" t="str">
        <f t="shared" si="201"/>
        <v>LDPE</v>
      </c>
      <c r="FC299" t="str">
        <f t="shared" si="202"/>
        <v/>
      </c>
      <c r="FD299">
        <f t="shared" si="203"/>
        <v>296</v>
      </c>
      <c r="FE299" t="str">
        <f t="shared" si="204"/>
        <v>water</v>
      </c>
      <c r="FF299" t="str">
        <f t="shared" si="205"/>
        <v xml:space="preserve"> </v>
      </c>
      <c r="FG299" s="408" t="str">
        <f t="shared" si="198"/>
        <v/>
      </c>
      <c r="FH299" s="138" t="str">
        <f t="shared" si="206"/>
        <v/>
      </c>
      <c r="FI299" s="106" t="str">
        <f t="shared" si="228"/>
        <v>**</v>
      </c>
      <c r="FJ299" s="138">
        <f t="shared" si="207"/>
        <v>-12.387216143280265</v>
      </c>
      <c r="FK299" s="138" t="str">
        <f t="shared" si="208"/>
        <v>**</v>
      </c>
    </row>
    <row r="300" spans="1:167" ht="12.75" hidden="1" customHeight="1" x14ac:dyDescent="0.2">
      <c r="A300">
        <v>265</v>
      </c>
      <c r="B300" s="4" t="s">
        <v>1226</v>
      </c>
      <c r="C300" s="4"/>
      <c r="D300" s="4" t="s">
        <v>859</v>
      </c>
      <c r="E300">
        <v>-1514</v>
      </c>
      <c r="F300" t="str">
        <f>VLOOKUP(E300,CompDbase!B:L,4,FALSE)</f>
        <v>Cyclopopane</v>
      </c>
      <c r="G300" s="95" t="str">
        <f>VLOOKUP(E300,CompDbase!B:M,12,FALSE)</f>
        <v xml:space="preserve">overige </v>
      </c>
      <c r="H300" s="95">
        <f>VLOOKUP(E300,CompDbase!B:L,8,FALSE)</f>
        <v>42.08</v>
      </c>
      <c r="I300" s="95" t="e">
        <f>VLOOKUP(E300,CompDbase!B:L,11,FALSE)</f>
        <v>#DIV/0!</v>
      </c>
      <c r="J300" s="95">
        <f>VLOOKUP(E300,CompDbase!B:L,9,FALSE)</f>
        <v>502000</v>
      </c>
      <c r="K300" s="95">
        <f>VLOOKUP(E300,CompDbase!B:L,10,FALSE)</f>
        <v>1.72</v>
      </c>
      <c r="L300" s="4" t="s">
        <v>769</v>
      </c>
      <c r="M300" s="420"/>
      <c r="N300" s="420"/>
      <c r="O300" s="4"/>
      <c r="P300">
        <v>296</v>
      </c>
      <c r="Q300" s="4" t="s">
        <v>1049</v>
      </c>
      <c r="S300" s="4"/>
      <c r="Y300">
        <v>2.0000000000000003E-13</v>
      </c>
      <c r="Z300" s="95">
        <f t="shared" si="237"/>
        <v>-12.698970004336019</v>
      </c>
      <c r="DG300">
        <f t="shared" si="238"/>
        <v>-12.698970004336019</v>
      </c>
      <c r="DH300">
        <f t="shared" si="239"/>
        <v>42.08</v>
      </c>
      <c r="EY300" s="479">
        <f>VLOOKUP(B300,Literatuur!$A:$B,2,FALSE)</f>
        <v>12</v>
      </c>
      <c r="EZ300" t="str">
        <f t="shared" si="199"/>
        <v>Cyclohexane</v>
      </c>
      <c r="FA300" t="str">
        <f t="shared" si="200"/>
        <v xml:space="preserve">overige </v>
      </c>
      <c r="FB300" t="str">
        <f t="shared" si="201"/>
        <v>LDPE</v>
      </c>
      <c r="FC300" t="str">
        <f t="shared" si="202"/>
        <v/>
      </c>
      <c r="FD300">
        <f t="shared" si="203"/>
        <v>296</v>
      </c>
      <c r="FE300" t="str">
        <f t="shared" si="204"/>
        <v>water</v>
      </c>
      <c r="FF300" t="str">
        <f t="shared" si="205"/>
        <v xml:space="preserve"> </v>
      </c>
      <c r="FG300" s="408" t="str">
        <f t="shared" si="198"/>
        <v/>
      </c>
      <c r="FH300" s="138" t="str">
        <f t="shared" si="206"/>
        <v/>
      </c>
      <c r="FI300" s="106" t="str">
        <f t="shared" si="228"/>
        <v>**</v>
      </c>
      <c r="FJ300" s="138">
        <f t="shared" si="207"/>
        <v>-12.698970004336019</v>
      </c>
      <c r="FK300" s="138" t="str">
        <f t="shared" si="208"/>
        <v>**</v>
      </c>
    </row>
    <row r="301" spans="1:167" ht="12.75" hidden="1" customHeight="1" x14ac:dyDescent="0.2">
      <c r="A301">
        <v>266</v>
      </c>
      <c r="B301" s="4" t="s">
        <v>1226</v>
      </c>
      <c r="C301" s="4"/>
      <c r="D301" s="4" t="s">
        <v>859</v>
      </c>
      <c r="E301">
        <v>-1514</v>
      </c>
      <c r="F301" t="str">
        <f>VLOOKUP(E301,CompDbase!B:L,4,FALSE)</f>
        <v>Cyclopopane</v>
      </c>
      <c r="G301" s="95" t="str">
        <f>VLOOKUP(E301,CompDbase!B:M,12,FALSE)</f>
        <v xml:space="preserve">overige </v>
      </c>
      <c r="H301" s="95">
        <f>VLOOKUP(E301,CompDbase!B:L,8,FALSE)</f>
        <v>42.08</v>
      </c>
      <c r="I301" s="95" t="e">
        <f>VLOOKUP(E301,CompDbase!B:L,11,FALSE)</f>
        <v>#DIV/0!</v>
      </c>
      <c r="J301" s="95">
        <f>VLOOKUP(E301,CompDbase!B:L,9,FALSE)</f>
        <v>502000</v>
      </c>
      <c r="K301" s="95">
        <f>VLOOKUP(E301,CompDbase!B:L,10,FALSE)</f>
        <v>1.72</v>
      </c>
      <c r="L301" s="4" t="s">
        <v>769</v>
      </c>
      <c r="M301" s="420"/>
      <c r="N301" s="420"/>
      <c r="O301" s="4"/>
      <c r="P301">
        <v>296</v>
      </c>
      <c r="Q301" s="4" t="s">
        <v>1049</v>
      </c>
      <c r="S301" s="4"/>
      <c r="Y301">
        <v>1.7000000000000003E-13</v>
      </c>
      <c r="Z301" s="95">
        <f t="shared" si="237"/>
        <v>-12.769551078621726</v>
      </c>
      <c r="DG301">
        <f t="shared" si="238"/>
        <v>-12.769551078621726</v>
      </c>
      <c r="DH301">
        <f t="shared" si="239"/>
        <v>42.08</v>
      </c>
      <c r="EY301" s="479">
        <f>VLOOKUP(B301,Literatuur!$A:$B,2,FALSE)</f>
        <v>12</v>
      </c>
      <c r="EZ301" t="str">
        <f t="shared" si="199"/>
        <v>Cyclohexane</v>
      </c>
      <c r="FA301" t="str">
        <f t="shared" si="200"/>
        <v xml:space="preserve">overige </v>
      </c>
      <c r="FB301" t="str">
        <f t="shared" si="201"/>
        <v>LDPE</v>
      </c>
      <c r="FC301" t="str">
        <f t="shared" si="202"/>
        <v/>
      </c>
      <c r="FD301">
        <f t="shared" si="203"/>
        <v>296</v>
      </c>
      <c r="FE301" t="str">
        <f t="shared" si="204"/>
        <v>water</v>
      </c>
      <c r="FF301" t="str">
        <f t="shared" si="205"/>
        <v xml:space="preserve"> </v>
      </c>
      <c r="FG301" s="408" t="str">
        <f t="shared" si="198"/>
        <v/>
      </c>
      <c r="FH301" s="138" t="str">
        <f t="shared" si="206"/>
        <v/>
      </c>
      <c r="FI301" s="106" t="str">
        <f t="shared" si="228"/>
        <v>**</v>
      </c>
      <c r="FJ301" s="138">
        <f t="shared" si="207"/>
        <v>-12.769551078621726</v>
      </c>
      <c r="FK301" s="138" t="str">
        <f t="shared" si="208"/>
        <v>**</v>
      </c>
    </row>
    <row r="302" spans="1:167" ht="12.75" hidden="1" customHeight="1" x14ac:dyDescent="0.2">
      <c r="A302">
        <v>267</v>
      </c>
      <c r="B302" s="4" t="s">
        <v>1226</v>
      </c>
      <c r="C302" s="4"/>
      <c r="D302" s="4" t="s">
        <v>859</v>
      </c>
      <c r="E302">
        <v>-1514</v>
      </c>
      <c r="F302" t="str">
        <f>VLOOKUP(E302,CompDbase!B:L,4,FALSE)</f>
        <v>Cyclopopane</v>
      </c>
      <c r="G302" s="95" t="str">
        <f>VLOOKUP(E302,CompDbase!B:M,12,FALSE)</f>
        <v xml:space="preserve">overige </v>
      </c>
      <c r="H302" s="95">
        <f>VLOOKUP(E302,CompDbase!B:L,8,FALSE)</f>
        <v>42.08</v>
      </c>
      <c r="I302" s="95" t="e">
        <f>VLOOKUP(E302,CompDbase!B:L,11,FALSE)</f>
        <v>#DIV/0!</v>
      </c>
      <c r="J302" s="95">
        <f>VLOOKUP(E302,CompDbase!B:L,9,FALSE)</f>
        <v>502000</v>
      </c>
      <c r="K302" s="95">
        <f>VLOOKUP(E302,CompDbase!B:L,10,FALSE)</f>
        <v>1.72</v>
      </c>
      <c r="L302" s="4" t="s">
        <v>769</v>
      </c>
      <c r="M302" s="420"/>
      <c r="N302" s="420"/>
      <c r="O302" s="4"/>
      <c r="P302">
        <v>298</v>
      </c>
      <c r="Q302" s="4" t="s">
        <v>1049</v>
      </c>
      <c r="S302" s="4"/>
      <c r="Y302">
        <v>6.1000000000000003E-13</v>
      </c>
      <c r="Z302" s="95">
        <f t="shared" si="237"/>
        <v>-12.214670164989233</v>
      </c>
      <c r="AC302" t="s">
        <v>68</v>
      </c>
      <c r="DG302">
        <f t="shared" si="238"/>
        <v>-12.214670164989233</v>
      </c>
      <c r="DH302">
        <f t="shared" si="239"/>
        <v>42.08</v>
      </c>
      <c r="EY302" s="479">
        <f>VLOOKUP(B302,Literatuur!$A:$B,2,FALSE)</f>
        <v>12</v>
      </c>
      <c r="EZ302" t="str">
        <f t="shared" si="199"/>
        <v>Cyclohexane</v>
      </c>
      <c r="FA302" t="str">
        <f t="shared" si="200"/>
        <v xml:space="preserve">overige </v>
      </c>
      <c r="FB302" t="str">
        <f t="shared" si="201"/>
        <v>LDPE</v>
      </c>
      <c r="FC302" t="str">
        <f t="shared" si="202"/>
        <v/>
      </c>
      <c r="FD302">
        <f t="shared" si="203"/>
        <v>298</v>
      </c>
      <c r="FE302" t="str">
        <f t="shared" si="204"/>
        <v>water</v>
      </c>
      <c r="FF302" t="str">
        <f t="shared" si="205"/>
        <v xml:space="preserve"> </v>
      </c>
      <c r="FG302" s="408" t="str">
        <f t="shared" si="198"/>
        <v/>
      </c>
      <c r="FH302" s="138" t="str">
        <f t="shared" si="206"/>
        <v/>
      </c>
      <c r="FI302" s="106" t="str">
        <f t="shared" si="228"/>
        <v>**</v>
      </c>
      <c r="FJ302" s="138">
        <f t="shared" si="207"/>
        <v>-12.214670164989233</v>
      </c>
      <c r="FK302" s="138" t="str">
        <f t="shared" si="208"/>
        <v>**</v>
      </c>
    </row>
    <row r="303" spans="1:167" ht="12.75" hidden="1" customHeight="1" x14ac:dyDescent="0.2">
      <c r="A303">
        <v>268</v>
      </c>
      <c r="B303" s="4" t="s">
        <v>1226</v>
      </c>
      <c r="C303" s="4"/>
      <c r="D303" s="4" t="s">
        <v>857</v>
      </c>
      <c r="E303">
        <v>-1513</v>
      </c>
      <c r="F303" t="str">
        <f>VLOOKUP(E303,CompDbase!B:L,4,FALSE)</f>
        <v>Dimethyl sulfoxide</v>
      </c>
      <c r="G303" s="95" t="str">
        <f>VLOOKUP(E303,CompDbase!B:M,12,FALSE)</f>
        <v xml:space="preserve">overige </v>
      </c>
      <c r="H303" s="95">
        <f>VLOOKUP(E303,CompDbase!B:L,8,FALSE)</f>
        <v>78.14</v>
      </c>
      <c r="I303" s="95" t="e">
        <f>VLOOKUP(E303,CompDbase!B:L,11,FALSE)</f>
        <v>#DIV/0!</v>
      </c>
      <c r="J303" s="95">
        <f>VLOOKUP(E303,CompDbase!B:L,9,FALSE)</f>
        <v>1000000</v>
      </c>
      <c r="K303" s="95">
        <f>VLOOKUP(E303,CompDbase!B:L,10,FALSE)</f>
        <v>-1.35</v>
      </c>
      <c r="L303" s="4" t="s">
        <v>769</v>
      </c>
      <c r="M303" s="420"/>
      <c r="N303" s="420"/>
      <c r="O303" s="4"/>
      <c r="P303">
        <v>296</v>
      </c>
      <c r="Q303" s="4" t="s">
        <v>1049</v>
      </c>
      <c r="S303" s="4"/>
      <c r="Y303">
        <v>2.4999999999999999E-13</v>
      </c>
      <c r="Z303" s="95">
        <f t="shared" si="237"/>
        <v>-12.602059991327963</v>
      </c>
      <c r="AC303" t="s">
        <v>68</v>
      </c>
      <c r="DG303">
        <f t="shared" si="238"/>
        <v>-12.602059991327963</v>
      </c>
      <c r="DH303">
        <f t="shared" si="239"/>
        <v>78.14</v>
      </c>
      <c r="EY303" s="479">
        <f>VLOOKUP(B303,Literatuur!$A:$B,2,FALSE)</f>
        <v>12</v>
      </c>
      <c r="EZ303" t="str">
        <f t="shared" si="199"/>
        <v>Dimethylsulfideoxide (DMSO)</v>
      </c>
      <c r="FA303" t="str">
        <f t="shared" si="200"/>
        <v xml:space="preserve">overige </v>
      </c>
      <c r="FB303" t="str">
        <f t="shared" si="201"/>
        <v>LDPE</v>
      </c>
      <c r="FC303" t="str">
        <f t="shared" si="202"/>
        <v/>
      </c>
      <c r="FD303">
        <f t="shared" si="203"/>
        <v>296</v>
      </c>
      <c r="FE303" t="str">
        <f t="shared" si="204"/>
        <v>water</v>
      </c>
      <c r="FF303" t="str">
        <f t="shared" si="205"/>
        <v xml:space="preserve"> </v>
      </c>
      <c r="FG303" s="408" t="str">
        <f t="shared" ref="FG303:FG366" si="240">IF(ISNUMBER(T303),T303,"")</f>
        <v/>
      </c>
      <c r="FH303" s="138" t="str">
        <f t="shared" si="206"/>
        <v/>
      </c>
      <c r="FI303" s="106" t="str">
        <f t="shared" si="228"/>
        <v>**</v>
      </c>
      <c r="FJ303" s="138">
        <f t="shared" si="207"/>
        <v>-12.602059991327963</v>
      </c>
      <c r="FK303" s="138" t="str">
        <f t="shared" si="208"/>
        <v>**</v>
      </c>
    </row>
    <row r="304" spans="1:167" ht="12.75" hidden="1" customHeight="1" x14ac:dyDescent="0.2">
      <c r="A304">
        <v>269</v>
      </c>
      <c r="B304" s="4" t="s">
        <v>1226</v>
      </c>
      <c r="C304" s="4"/>
      <c r="D304" s="4" t="s">
        <v>861</v>
      </c>
      <c r="E304">
        <v>-1518</v>
      </c>
      <c r="F304" t="str">
        <f>VLOOKUP(E304,CompDbase!B:L,4,FALSE)</f>
        <v>Tetrafluoromethane</v>
      </c>
      <c r="G304" s="95" t="str">
        <f>VLOOKUP(E304,CompDbase!B:M,12,FALSE)</f>
        <v xml:space="preserve">overige </v>
      </c>
      <c r="H304" s="95">
        <f>VLOOKUP(E304,CompDbase!B:L,8,FALSE)</f>
        <v>88.01</v>
      </c>
      <c r="I304" s="95" t="e">
        <f>VLOOKUP(E304,CompDbase!B:L,11,FALSE)</f>
        <v>#DIV/0!</v>
      </c>
      <c r="J304" s="95">
        <f>VLOOKUP(E304,CompDbase!B:L,9,FALSE)</f>
        <v>20</v>
      </c>
      <c r="K304" s="95">
        <f>VLOOKUP(E304,CompDbase!B:L,10,FALSE)</f>
        <v>1.18</v>
      </c>
      <c r="L304" s="4" t="s">
        <v>769</v>
      </c>
      <c r="M304" s="420"/>
      <c r="N304" s="420"/>
      <c r="O304" s="4"/>
      <c r="P304">
        <v>296</v>
      </c>
      <c r="Q304" s="4" t="s">
        <v>1049</v>
      </c>
      <c r="R304" s="289" t="s">
        <v>1976</v>
      </c>
      <c r="S304" s="4"/>
      <c r="T304" s="319">
        <v>1E-3</v>
      </c>
      <c r="Y304">
        <v>7.4000000000000008E-13</v>
      </c>
      <c r="Z304" s="95">
        <f t="shared" si="237"/>
        <v>-12.130768280269024</v>
      </c>
      <c r="AC304" t="s">
        <v>68</v>
      </c>
      <c r="DG304">
        <f t="shared" si="238"/>
        <v>-12.130768280269024</v>
      </c>
      <c r="DH304">
        <f t="shared" si="239"/>
        <v>88.01</v>
      </c>
      <c r="EY304" s="479">
        <f>VLOOKUP(B304,Literatuur!$A:$B,2,FALSE)</f>
        <v>12</v>
      </c>
      <c r="EZ304" t="str">
        <f t="shared" ref="EZ304:EZ367" si="241">D304</f>
        <v>Tetrafluormethane</v>
      </c>
      <c r="FA304" t="str">
        <f t="shared" ref="FA304:FA367" si="242">G304</f>
        <v xml:space="preserve">overige </v>
      </c>
      <c r="FB304" t="str">
        <f t="shared" ref="FB304:FB367" si="243">L304</f>
        <v>LDPE</v>
      </c>
      <c r="FC304" t="str">
        <f t="shared" ref="FC304:FC367" si="244">CONCATENATE(O304)</f>
        <v/>
      </c>
      <c r="FD304">
        <f t="shared" ref="FD304:FD367" si="245">P304</f>
        <v>296</v>
      </c>
      <c r="FE304" t="str">
        <f t="shared" ref="FE304:FE367" si="246">Q304</f>
        <v>water</v>
      </c>
      <c r="FF304" t="str">
        <f t="shared" ref="FF304:FF367" si="247">CONCATENATE(R304," ",S304)</f>
        <v xml:space="preserve">almost 0 </v>
      </c>
      <c r="FG304" s="408">
        <f t="shared" si="240"/>
        <v>1E-3</v>
      </c>
      <c r="FH304" s="138" t="str">
        <f t="shared" ref="FH304:FH367" si="248">IF(ISNUMBER(X304),X304,"")</f>
        <v/>
      </c>
      <c r="FI304" s="106" t="str">
        <f t="shared" si="228"/>
        <v>**</v>
      </c>
      <c r="FJ304" s="138">
        <f t="shared" ref="FJ304:FJ367" si="249">IF(ISNUMBER(Z304),Z304,"")</f>
        <v>-12.130768280269024</v>
      </c>
      <c r="FK304" s="138" t="str">
        <f t="shared" ref="FK304:FK367" si="250">IF(ISNUMBER(DM304),DM304*DM$19+DM$21,IF(ISNUMBER(DN304),DN304*DN$19+DN$21,IF(ISNUMBER(DO304),DO304*DO$19+DO$21,"**")))</f>
        <v>**</v>
      </c>
    </row>
    <row r="305" spans="1:167" ht="12.75" hidden="1" customHeight="1" x14ac:dyDescent="0.2">
      <c r="A305">
        <v>270</v>
      </c>
      <c r="B305" t="s">
        <v>430</v>
      </c>
      <c r="D305" t="s">
        <v>324</v>
      </c>
      <c r="E305">
        <v>-1400</v>
      </c>
      <c r="F305" t="str">
        <f>VLOOKUP(E305,CompDbase!B:L,4,FALSE)</f>
        <v>Anilin</v>
      </c>
      <c r="G305" s="95" t="str">
        <f>VLOOKUP(E305,CompDbase!B:M,12,FALSE)</f>
        <v xml:space="preserve">overige </v>
      </c>
      <c r="H305" s="95">
        <f>VLOOKUP(E305,CompDbase!B:L,8,FALSE)</f>
        <v>93.13</v>
      </c>
      <c r="I305" s="95" t="e">
        <f>VLOOKUP(E305,CompDbase!B:L,11,FALSE)</f>
        <v>#DIV/0!</v>
      </c>
      <c r="J305" s="95">
        <f>VLOOKUP(E305,CompDbase!B:L,9,FALSE)</f>
        <v>35333.333333333336</v>
      </c>
      <c r="K305" s="95">
        <f>VLOOKUP(E305,CompDbase!B:L,10,FALSE)</f>
        <v>0.98799999999999999</v>
      </c>
      <c r="L305" s="4" t="s">
        <v>769</v>
      </c>
      <c r="N305" s="416">
        <v>940000</v>
      </c>
      <c r="O305" s="4" t="s">
        <v>1044</v>
      </c>
      <c r="P305">
        <v>293</v>
      </c>
      <c r="Q305" s="4" t="s">
        <v>1049</v>
      </c>
      <c r="R305" s="289" t="s">
        <v>1988</v>
      </c>
      <c r="T305" s="95">
        <v>1</v>
      </c>
      <c r="V305" s="33">
        <v>6.0000000000000001E-3</v>
      </c>
      <c r="W305" s="95">
        <f>V305*N305/J305</f>
        <v>0.15962264150943395</v>
      </c>
      <c r="X305" s="288">
        <f>LOG(W305)</f>
        <v>-0.79690550656176551</v>
      </c>
      <c r="Z305" s="190"/>
      <c r="AC305" t="s">
        <v>68</v>
      </c>
      <c r="AG305" s="138">
        <f t="shared" ref="AG305:AG370" si="251">X305</f>
        <v>-0.79690550656176551</v>
      </c>
      <c r="AH305">
        <f t="shared" ref="AH305:AI348" si="252">$K305</f>
        <v>0.98799999999999999</v>
      </c>
      <c r="AI305">
        <f t="shared" si="252"/>
        <v>0.98799999999999999</v>
      </c>
      <c r="BW305" s="138"/>
      <c r="BX305">
        <f t="shared" ref="BX305:BY317" si="253">LOG(1*$J305)</f>
        <v>4.5481846105451078</v>
      </c>
      <c r="BY305">
        <f t="shared" si="253"/>
        <v>4.5481846105451078</v>
      </c>
      <c r="DG305" s="138"/>
      <c r="EY305" s="479">
        <f>VLOOKUP(B305,Literatuur!$A:$B,2,FALSE)</f>
        <v>37</v>
      </c>
      <c r="EZ305" t="str">
        <f t="shared" si="241"/>
        <v>Aniline</v>
      </c>
      <c r="FA305" t="str">
        <f t="shared" si="242"/>
        <v xml:space="preserve">overige </v>
      </c>
      <c r="FB305" t="str">
        <f t="shared" si="243"/>
        <v>LDPE</v>
      </c>
      <c r="FC305" t="str">
        <f t="shared" si="244"/>
        <v>Immersion</v>
      </c>
      <c r="FD305">
        <f t="shared" si="245"/>
        <v>293</v>
      </c>
      <c r="FE305" t="str">
        <f t="shared" si="246"/>
        <v>water</v>
      </c>
      <c r="FF305" t="str">
        <f t="shared" si="247"/>
        <v xml:space="preserve">saturated </v>
      </c>
      <c r="FG305" s="408">
        <f t="shared" si="240"/>
        <v>1</v>
      </c>
      <c r="FH305" s="138">
        <f t="shared" si="248"/>
        <v>-0.79690550656176551</v>
      </c>
      <c r="FI305" s="106" t="str">
        <f t="shared" si="228"/>
        <v>**</v>
      </c>
      <c r="FJ305" s="138" t="str">
        <f t="shared" si="249"/>
        <v/>
      </c>
      <c r="FK305" s="138" t="str">
        <f t="shared" si="250"/>
        <v>**</v>
      </c>
    </row>
    <row r="306" spans="1:167" ht="12.75" hidden="1" customHeight="1" x14ac:dyDescent="0.2">
      <c r="A306">
        <v>271</v>
      </c>
      <c r="B306" t="s">
        <v>430</v>
      </c>
      <c r="D306" t="s">
        <v>329</v>
      </c>
      <c r="E306">
        <v>-1405</v>
      </c>
      <c r="F306" t="str">
        <f>VLOOKUP(E306,CompDbase!B:L,4,FALSE)</f>
        <v>3-Nitroaniline</v>
      </c>
      <c r="G306" s="95" t="str">
        <f>VLOOKUP(E306,CompDbase!B:M,12,FALSE)</f>
        <v xml:space="preserve">overige </v>
      </c>
      <c r="H306" s="95">
        <f>VLOOKUP(E306,CompDbase!B:L,8,FALSE)</f>
        <v>138.13</v>
      </c>
      <c r="I306" s="95" t="e">
        <f>VLOOKUP(E306,CompDbase!B:L,11,FALSE)</f>
        <v>#DIV/0!</v>
      </c>
      <c r="J306" s="95">
        <f>VLOOKUP(E306,CompDbase!B:L,9,FALSE)</f>
        <v>1200</v>
      </c>
      <c r="K306" s="95">
        <f>VLOOKUP(E306,CompDbase!B:L,10,FALSE)</f>
        <v>1.37</v>
      </c>
      <c r="L306" s="4" t="s">
        <v>769</v>
      </c>
      <c r="N306" s="416">
        <v>940000</v>
      </c>
      <c r="O306" s="4" t="s">
        <v>1044</v>
      </c>
      <c r="P306">
        <v>293</v>
      </c>
      <c r="Q306" s="4" t="s">
        <v>1049</v>
      </c>
      <c r="R306" s="289" t="s">
        <v>1988</v>
      </c>
      <c r="T306" s="95">
        <v>1</v>
      </c>
      <c r="V306" s="33">
        <v>1E-3</v>
      </c>
      <c r="W306" s="95">
        <f>V306*N306/J306</f>
        <v>0.78333333333333333</v>
      </c>
      <c r="X306" s="288">
        <f>LOG(W306)</f>
        <v>-0.10605339244792618</v>
      </c>
      <c r="Z306" s="190"/>
      <c r="AC306" t="s">
        <v>68</v>
      </c>
      <c r="AG306" s="138">
        <f t="shared" si="251"/>
        <v>-0.10605339244792618</v>
      </c>
      <c r="AH306">
        <f t="shared" si="252"/>
        <v>1.37</v>
      </c>
      <c r="AI306">
        <f t="shared" si="252"/>
        <v>1.37</v>
      </c>
      <c r="BW306" s="138"/>
      <c r="BX306">
        <f t="shared" si="253"/>
        <v>3.0791812460476247</v>
      </c>
      <c r="BY306">
        <f t="shared" si="253"/>
        <v>3.0791812460476247</v>
      </c>
      <c r="DG306" s="138"/>
      <c r="EY306" s="479">
        <f>VLOOKUP(B306,Literatuur!$A:$B,2,FALSE)</f>
        <v>37</v>
      </c>
      <c r="EZ306" t="str">
        <f t="shared" si="241"/>
        <v>m-Nitroaniline</v>
      </c>
      <c r="FA306" t="str">
        <f t="shared" si="242"/>
        <v xml:space="preserve">overige </v>
      </c>
      <c r="FB306" t="str">
        <f t="shared" si="243"/>
        <v>LDPE</v>
      </c>
      <c r="FC306" t="str">
        <f t="shared" si="244"/>
        <v>Immersion</v>
      </c>
      <c r="FD306">
        <f t="shared" si="245"/>
        <v>293</v>
      </c>
      <c r="FE306" t="str">
        <f t="shared" si="246"/>
        <v>water</v>
      </c>
      <c r="FF306" t="str">
        <f t="shared" si="247"/>
        <v xml:space="preserve">saturated </v>
      </c>
      <c r="FG306" s="408">
        <f t="shared" si="240"/>
        <v>1</v>
      </c>
      <c r="FH306" s="138">
        <f t="shared" si="248"/>
        <v>-0.10605339244792618</v>
      </c>
      <c r="FI306" s="106" t="str">
        <f t="shared" si="228"/>
        <v>**</v>
      </c>
      <c r="FJ306" s="138" t="str">
        <f t="shared" si="249"/>
        <v/>
      </c>
      <c r="FK306" s="138" t="str">
        <f t="shared" si="250"/>
        <v>**</v>
      </c>
    </row>
    <row r="307" spans="1:167" ht="12.75" hidden="1" customHeight="1" x14ac:dyDescent="0.2">
      <c r="A307">
        <v>272</v>
      </c>
      <c r="B307" t="s">
        <v>430</v>
      </c>
      <c r="D307" t="s">
        <v>332</v>
      </c>
      <c r="E307">
        <v>-1408</v>
      </c>
      <c r="F307" t="str">
        <f>VLOOKUP(E307,CompDbase!B:L,4,FALSE)</f>
        <v>Nitrobenzene</v>
      </c>
      <c r="G307" s="95" t="str">
        <f>VLOOKUP(E307,CompDbase!B:M,12,FALSE)</f>
        <v xml:space="preserve">overige </v>
      </c>
      <c r="H307" s="95">
        <f>VLOOKUP(E307,CompDbase!B:L,8,FALSE)</f>
        <v>123.11</v>
      </c>
      <c r="I307" s="95" t="e">
        <f>VLOOKUP(E307,CompDbase!B:L,11,FALSE)</f>
        <v>#DIV/0!</v>
      </c>
      <c r="J307" s="95">
        <f>VLOOKUP(E307,CompDbase!B:L,9,FALSE)</f>
        <v>2026.6666666666667</v>
      </c>
      <c r="K307" s="95">
        <f>VLOOKUP(E307,CompDbase!B:L,10,FALSE)</f>
        <v>1.8450000000000002</v>
      </c>
      <c r="L307" s="4" t="s">
        <v>769</v>
      </c>
      <c r="N307" s="416">
        <v>940000</v>
      </c>
      <c r="O307" s="4" t="s">
        <v>1044</v>
      </c>
      <c r="P307">
        <v>293</v>
      </c>
      <c r="Q307" s="4" t="s">
        <v>1049</v>
      </c>
      <c r="R307" s="289" t="s">
        <v>1988</v>
      </c>
      <c r="T307" s="95">
        <v>1</v>
      </c>
      <c r="V307" s="33">
        <v>1.7999999999999999E-2</v>
      </c>
      <c r="W307" s="95">
        <f>V307*N307/J307</f>
        <v>8.348684210526315</v>
      </c>
      <c r="X307" s="288">
        <f>LOG(W307)</f>
        <v>0.92161803414993215</v>
      </c>
      <c r="Z307" s="190"/>
      <c r="AC307" t="s">
        <v>68</v>
      </c>
      <c r="AG307" s="138">
        <f t="shared" si="251"/>
        <v>0.92161803414993215</v>
      </c>
      <c r="AH307">
        <f t="shared" si="252"/>
        <v>1.8450000000000002</v>
      </c>
      <c r="AI307">
        <f t="shared" si="252"/>
        <v>1.8450000000000002</v>
      </c>
      <c r="BW307" s="138"/>
      <c r="BX307">
        <f t="shared" si="253"/>
        <v>3.3067823245530725</v>
      </c>
      <c r="BY307">
        <f t="shared" si="253"/>
        <v>3.3067823245530725</v>
      </c>
      <c r="DG307" s="138"/>
      <c r="EY307" s="479">
        <f>VLOOKUP(B307,Literatuur!$A:$B,2,FALSE)</f>
        <v>37</v>
      </c>
      <c r="EZ307" t="str">
        <f t="shared" si="241"/>
        <v>Nitrobenzeen</v>
      </c>
      <c r="FA307" t="str">
        <f t="shared" si="242"/>
        <v xml:space="preserve">overige </v>
      </c>
      <c r="FB307" t="str">
        <f t="shared" si="243"/>
        <v>LDPE</v>
      </c>
      <c r="FC307" t="str">
        <f t="shared" si="244"/>
        <v>Immersion</v>
      </c>
      <c r="FD307">
        <f t="shared" si="245"/>
        <v>293</v>
      </c>
      <c r="FE307" t="str">
        <f t="shared" si="246"/>
        <v>water</v>
      </c>
      <c r="FF307" t="str">
        <f t="shared" si="247"/>
        <v xml:space="preserve">saturated </v>
      </c>
      <c r="FG307" s="408">
        <f t="shared" si="240"/>
        <v>1</v>
      </c>
      <c r="FH307" s="138">
        <f t="shared" si="248"/>
        <v>0.92161803414993215</v>
      </c>
      <c r="FI307" s="106" t="str">
        <f t="shared" si="228"/>
        <v>**</v>
      </c>
      <c r="FJ307" s="138" t="str">
        <f t="shared" si="249"/>
        <v/>
      </c>
      <c r="FK307" s="138" t="str">
        <f t="shared" si="250"/>
        <v>**</v>
      </c>
    </row>
    <row r="308" spans="1:167" ht="12.75" hidden="1" customHeight="1" x14ac:dyDescent="0.2">
      <c r="A308">
        <v>273</v>
      </c>
      <c r="B308" t="s">
        <v>430</v>
      </c>
      <c r="D308" t="s">
        <v>328</v>
      </c>
      <c r="E308">
        <v>-1404</v>
      </c>
      <c r="F308" t="str">
        <f>VLOOKUP(E308,CompDbase!B:L,4,FALSE)</f>
        <v>N-Methylaniline</v>
      </c>
      <c r="G308" s="95" t="str">
        <f>VLOOKUP(E308,CompDbase!B:M,12,FALSE)</f>
        <v xml:space="preserve">overige </v>
      </c>
      <c r="H308" s="95">
        <f>VLOOKUP(E308,CompDbase!B:L,8,FALSE)</f>
        <v>107.16</v>
      </c>
      <c r="I308" s="95" t="e">
        <f>VLOOKUP(E308,CompDbase!B:L,11,FALSE)</f>
        <v>#DIV/0!</v>
      </c>
      <c r="J308" s="95">
        <f>VLOOKUP(E308,CompDbase!B:L,9,FALSE)</f>
        <v>5620</v>
      </c>
      <c r="K308" s="95">
        <f>VLOOKUP(E308,CompDbase!B:L,10,FALSE)</f>
        <v>1.66</v>
      </c>
      <c r="L308" s="4" t="s">
        <v>769</v>
      </c>
      <c r="N308" s="416">
        <v>940000</v>
      </c>
      <c r="O308" s="4" t="s">
        <v>1044</v>
      </c>
      <c r="P308">
        <v>293</v>
      </c>
      <c r="Q308" s="4" t="s">
        <v>1049</v>
      </c>
      <c r="R308" s="289" t="s">
        <v>1988</v>
      </c>
      <c r="T308" s="95">
        <v>1</v>
      </c>
      <c r="V308" s="33">
        <v>0.02</v>
      </c>
      <c r="W308" s="95">
        <f>V308*N308/J308</f>
        <v>3.3451957295373664</v>
      </c>
      <c r="X308" s="288">
        <f>LOG(W308)</f>
        <v>0.52442153369461875</v>
      </c>
      <c r="Z308" s="190"/>
      <c r="AC308" t="s">
        <v>68</v>
      </c>
      <c r="AG308" s="138">
        <f t="shared" si="251"/>
        <v>0.52442153369461875</v>
      </c>
      <c r="AH308">
        <f t="shared" si="252"/>
        <v>1.66</v>
      </c>
      <c r="AI308">
        <f t="shared" si="252"/>
        <v>1.66</v>
      </c>
      <c r="BW308" s="138"/>
      <c r="BX308">
        <f t="shared" si="253"/>
        <v>3.7497363155690611</v>
      </c>
      <c r="BY308">
        <f t="shared" si="253"/>
        <v>3.7497363155690611</v>
      </c>
      <c r="DG308" s="138"/>
      <c r="EY308" s="479">
        <f>VLOOKUP(B308,Literatuur!$A:$B,2,FALSE)</f>
        <v>37</v>
      </c>
      <c r="EZ308" t="str">
        <f t="shared" si="241"/>
        <v>n-Methylaniline</v>
      </c>
      <c r="FA308" t="str">
        <f t="shared" si="242"/>
        <v xml:space="preserve">overige </v>
      </c>
      <c r="FB308" t="str">
        <f t="shared" si="243"/>
        <v>LDPE</v>
      </c>
      <c r="FC308" t="str">
        <f t="shared" si="244"/>
        <v>Immersion</v>
      </c>
      <c r="FD308">
        <f t="shared" si="245"/>
        <v>293</v>
      </c>
      <c r="FE308" t="str">
        <f t="shared" si="246"/>
        <v>water</v>
      </c>
      <c r="FF308" t="str">
        <f t="shared" si="247"/>
        <v xml:space="preserve">saturated </v>
      </c>
      <c r="FG308" s="408">
        <f t="shared" si="240"/>
        <v>1</v>
      </c>
      <c r="FH308" s="138">
        <f t="shared" si="248"/>
        <v>0.52442153369461875</v>
      </c>
      <c r="FI308" s="106" t="str">
        <f t="shared" si="228"/>
        <v>**</v>
      </c>
      <c r="FJ308" s="138" t="str">
        <f t="shared" si="249"/>
        <v/>
      </c>
      <c r="FK308" s="138" t="str">
        <f t="shared" si="250"/>
        <v>**</v>
      </c>
    </row>
    <row r="309" spans="1:167" ht="12.75" hidden="1" customHeight="1" x14ac:dyDescent="0.2">
      <c r="A309">
        <v>274</v>
      </c>
      <c r="B309" t="s">
        <v>1547</v>
      </c>
      <c r="C309" s="4"/>
      <c r="D309" t="s">
        <v>594</v>
      </c>
      <c r="E309" s="33">
        <v>-1552</v>
      </c>
      <c r="F309" t="str">
        <f>VLOOKUP(E309,CompDbase!B:L,4,FALSE)</f>
        <v>2-methylnaphthalene</v>
      </c>
      <c r="G309" s="95" t="str">
        <f>VLOOKUP(E309,CompDbase!B:M,12,FALSE)</f>
        <v>PAK</v>
      </c>
      <c r="H309" s="95">
        <f>VLOOKUP(E309,CompDbase!B:L,8,FALSE)</f>
        <v>167.15</v>
      </c>
      <c r="I309" s="95">
        <f>VLOOKUP(E309,CompDbase!B:L,11,FALSE)</f>
        <v>158.25</v>
      </c>
      <c r="J309" s="95">
        <f>VLOOKUP(E309,CompDbase!B:L,9,FALSE)</f>
        <v>1.6610369145756172</v>
      </c>
      <c r="K309" s="95">
        <f>VLOOKUP(E309,CompDbase!B:L,10,FALSE)</f>
        <v>4.28</v>
      </c>
      <c r="L309" s="4" t="s">
        <v>769</v>
      </c>
      <c r="M309" s="420"/>
      <c r="N309" s="420"/>
      <c r="O309" s="4" t="s">
        <v>1986</v>
      </c>
      <c r="P309">
        <f t="shared" ref="P309:P317" si="254">273+24</f>
        <v>297</v>
      </c>
      <c r="Q309" s="4" t="s">
        <v>1049</v>
      </c>
      <c r="R309" s="289" t="s">
        <v>1983</v>
      </c>
      <c r="S309" s="4"/>
      <c r="T309" s="289">
        <v>1</v>
      </c>
      <c r="W309" s="199">
        <f t="shared" ref="W309:W317" si="255">10^X309</f>
        <v>63095.734448019342</v>
      </c>
      <c r="X309">
        <v>4.8</v>
      </c>
      <c r="AC309" t="s">
        <v>68</v>
      </c>
      <c r="AG309" s="138">
        <f t="shared" si="251"/>
        <v>4.8</v>
      </c>
      <c r="AH309">
        <f t="shared" si="252"/>
        <v>4.28</v>
      </c>
      <c r="AI309">
        <f t="shared" si="252"/>
        <v>4.28</v>
      </c>
      <c r="AL309">
        <f t="shared" ref="AL309:AL348" si="256">$K309</f>
        <v>4.28</v>
      </c>
      <c r="AO309">
        <f t="shared" ref="AO309:AO317" si="257">$K309</f>
        <v>4.28</v>
      </c>
      <c r="BW309" s="138"/>
      <c r="BX309">
        <f t="shared" si="253"/>
        <v>0.22037928423847888</v>
      </c>
      <c r="BY309">
        <f t="shared" si="253"/>
        <v>0.22037928423847888</v>
      </c>
      <c r="CB309">
        <f t="shared" ref="CB309:CB317" si="258">LOG(1*$J309)</f>
        <v>0.22037928423847888</v>
      </c>
      <c r="CE309">
        <f t="shared" ref="CE309:CE317" si="259">LOG(1*$J309)</f>
        <v>0.22037928423847888</v>
      </c>
      <c r="DG309" s="138"/>
      <c r="EY309" s="479">
        <f>VLOOKUP(B309,Literatuur!$A:$B,2,FALSE)</f>
        <v>2</v>
      </c>
      <c r="EZ309" t="str">
        <f t="shared" si="241"/>
        <v>2-methylphenanthrene</v>
      </c>
      <c r="FA309" t="str">
        <f t="shared" si="242"/>
        <v>PAK</v>
      </c>
      <c r="FB309" t="str">
        <f t="shared" si="243"/>
        <v>LDPE</v>
      </c>
      <c r="FC309" t="str">
        <f t="shared" si="244"/>
        <v>Immersion (spinning)</v>
      </c>
      <c r="FD309">
        <f t="shared" si="245"/>
        <v>297</v>
      </c>
      <c r="FE309" t="str">
        <f t="shared" si="246"/>
        <v>water</v>
      </c>
      <c r="FF309" t="str">
        <f t="shared" si="247"/>
        <v xml:space="preserve">saturated ?? </v>
      </c>
      <c r="FG309" s="408">
        <f t="shared" si="240"/>
        <v>1</v>
      </c>
      <c r="FH309" s="138">
        <f t="shared" si="248"/>
        <v>4.8</v>
      </c>
      <c r="FI309" s="106">
        <f t="shared" si="228"/>
        <v>4.007423839488669</v>
      </c>
      <c r="FJ309" s="138" t="str">
        <f t="shared" si="249"/>
        <v/>
      </c>
      <c r="FK309" s="138" t="str">
        <f t="shared" si="250"/>
        <v>**</v>
      </c>
    </row>
    <row r="310" spans="1:167" ht="12.75" hidden="1" customHeight="1" x14ac:dyDescent="0.2">
      <c r="A310">
        <v>275</v>
      </c>
      <c r="B310" t="s">
        <v>1547</v>
      </c>
      <c r="C310" s="4"/>
      <c r="D310" t="s">
        <v>967</v>
      </c>
      <c r="E310" s="33">
        <v>-1542</v>
      </c>
      <c r="F310" t="str">
        <f>VLOOKUP(E310,CompDbase!B:L,4,FALSE)</f>
        <v>benz[a]anthracene</v>
      </c>
      <c r="G310" s="95" t="str">
        <f>VLOOKUP(E310,CompDbase!B:M,12,FALSE)</f>
        <v>PAK</v>
      </c>
      <c r="H310" s="95">
        <f>VLOOKUP(E310,CompDbase!B:L,8,FALSE)</f>
        <v>228.15</v>
      </c>
      <c r="I310" s="95">
        <f>VLOOKUP(E310,CompDbase!B:L,11,FALSE)</f>
        <v>194.89999999999998</v>
      </c>
      <c r="J310" s="95">
        <f>VLOOKUP(E310,CompDbase!B:L,9,FALSE)</f>
        <v>0.13896515350405772</v>
      </c>
      <c r="K310" s="95">
        <f>VLOOKUP(E310,CompDbase!B:L,10,FALSE)</f>
        <v>5.7799999999999994</v>
      </c>
      <c r="L310" s="4" t="s">
        <v>769</v>
      </c>
      <c r="M310" s="420"/>
      <c r="N310" s="420"/>
      <c r="O310" s="4" t="s">
        <v>1986</v>
      </c>
      <c r="P310">
        <f t="shared" si="254"/>
        <v>297</v>
      </c>
      <c r="Q310" s="4" t="s">
        <v>1049</v>
      </c>
      <c r="R310" s="289" t="s">
        <v>1983</v>
      </c>
      <c r="S310" s="4"/>
      <c r="T310" s="289">
        <v>1</v>
      </c>
      <c r="W310" s="199">
        <f t="shared" si="255"/>
        <v>501187.23362727347</v>
      </c>
      <c r="X310">
        <v>5.7</v>
      </c>
      <c r="AC310" t="s">
        <v>68</v>
      </c>
      <c r="AG310" s="138">
        <f t="shared" si="251"/>
        <v>5.7</v>
      </c>
      <c r="AH310">
        <f t="shared" si="252"/>
        <v>5.7799999999999994</v>
      </c>
      <c r="AI310">
        <f t="shared" si="252"/>
        <v>5.7799999999999994</v>
      </c>
      <c r="AL310">
        <f t="shared" si="256"/>
        <v>5.7799999999999994</v>
      </c>
      <c r="AO310">
        <f t="shared" si="257"/>
        <v>5.7799999999999994</v>
      </c>
      <c r="BW310" s="138"/>
      <c r="BX310">
        <f t="shared" si="253"/>
        <v>-0.85709408850976543</v>
      </c>
      <c r="BY310">
        <f t="shared" si="253"/>
        <v>-0.85709408850976543</v>
      </c>
      <c r="CB310">
        <f t="shared" si="258"/>
        <v>-0.85709408850976543</v>
      </c>
      <c r="CE310">
        <f t="shared" si="259"/>
        <v>-0.85709408850976543</v>
      </c>
      <c r="DG310" s="138"/>
      <c r="EY310" s="479">
        <f>VLOOKUP(B310,Literatuur!$A:$B,2,FALSE)</f>
        <v>2</v>
      </c>
      <c r="EZ310" t="str">
        <f t="shared" si="241"/>
        <v>benz(a)anthracene</v>
      </c>
      <c r="FA310" t="str">
        <f t="shared" si="242"/>
        <v>PAK</v>
      </c>
      <c r="FB310" t="str">
        <f t="shared" si="243"/>
        <v>LDPE</v>
      </c>
      <c r="FC310" t="str">
        <f t="shared" si="244"/>
        <v>Immersion (spinning)</v>
      </c>
      <c r="FD310">
        <f t="shared" si="245"/>
        <v>297</v>
      </c>
      <c r="FE310" t="str">
        <f t="shared" si="246"/>
        <v>water</v>
      </c>
      <c r="FF310" t="str">
        <f t="shared" si="247"/>
        <v xml:space="preserve">saturated ?? </v>
      </c>
      <c r="FG310" s="408">
        <f t="shared" si="240"/>
        <v>1</v>
      </c>
      <c r="FH310" s="138">
        <f t="shared" si="248"/>
        <v>5.7</v>
      </c>
      <c r="FI310" s="106">
        <f t="shared" si="228"/>
        <v>5.6505326123955157</v>
      </c>
      <c r="FJ310" s="138" t="str">
        <f t="shared" si="249"/>
        <v/>
      </c>
      <c r="FK310" s="138" t="str">
        <f t="shared" si="250"/>
        <v>**</v>
      </c>
    </row>
    <row r="311" spans="1:167" ht="12.75" hidden="1" customHeight="1" x14ac:dyDescent="0.2">
      <c r="A311">
        <v>276</v>
      </c>
      <c r="B311" t="s">
        <v>1547</v>
      </c>
      <c r="C311" s="4"/>
      <c r="D311" t="s">
        <v>971</v>
      </c>
      <c r="E311" s="33">
        <v>-1546</v>
      </c>
      <c r="F311" t="str">
        <f>VLOOKUP(E311,CompDbase!B:L,4,FALSE)</f>
        <v>benzo[e]pyrene</v>
      </c>
      <c r="G311" s="95" t="str">
        <f>VLOOKUP(E311,CompDbase!B:M,12,FALSE)</f>
        <v>PAK</v>
      </c>
      <c r="H311" s="95">
        <f>VLOOKUP(E311,CompDbase!B:L,8,FALSE)</f>
        <v>252.15</v>
      </c>
      <c r="I311" s="95">
        <f>VLOOKUP(E311,CompDbase!B:L,11,FALSE)</f>
        <v>219.45</v>
      </c>
      <c r="J311" s="95">
        <f>VLOOKUP(E311,CompDbase!B:L,9,FALSE)</f>
        <v>2.620096279985866E-2</v>
      </c>
      <c r="K311" s="95">
        <f>VLOOKUP(E311,CompDbase!B:L,10,FALSE)</f>
        <v>6.27</v>
      </c>
      <c r="L311" s="4" t="s">
        <v>769</v>
      </c>
      <c r="M311" s="420"/>
      <c r="N311" s="420"/>
      <c r="O311" s="4" t="s">
        <v>1986</v>
      </c>
      <c r="P311">
        <f t="shared" si="254"/>
        <v>297</v>
      </c>
      <c r="Q311" s="4" t="s">
        <v>1049</v>
      </c>
      <c r="R311" s="289" t="s">
        <v>1983</v>
      </c>
      <c r="S311" s="4"/>
      <c r="T311" s="289">
        <v>1</v>
      </c>
      <c r="W311" s="199">
        <f t="shared" si="255"/>
        <v>1584893.1924611153</v>
      </c>
      <c r="X311">
        <v>6.2</v>
      </c>
      <c r="AC311" t="s">
        <v>68</v>
      </c>
      <c r="AG311" s="138">
        <f t="shared" si="251"/>
        <v>6.2</v>
      </c>
      <c r="AH311">
        <f t="shared" si="252"/>
        <v>6.27</v>
      </c>
      <c r="AI311">
        <f t="shared" si="252"/>
        <v>6.27</v>
      </c>
      <c r="AL311">
        <f t="shared" si="256"/>
        <v>6.27</v>
      </c>
      <c r="AO311">
        <f t="shared" si="257"/>
        <v>6.27</v>
      </c>
      <c r="BW311" s="138"/>
      <c r="BX311">
        <f t="shared" si="253"/>
        <v>-1.5816827494824268</v>
      </c>
      <c r="BY311">
        <f t="shared" si="253"/>
        <v>-1.5816827494824268</v>
      </c>
      <c r="CB311">
        <f t="shared" si="258"/>
        <v>-1.5816827494824268</v>
      </c>
      <c r="CE311">
        <f t="shared" si="259"/>
        <v>-1.5816827494824268</v>
      </c>
      <c r="DG311" s="138"/>
      <c r="EY311" s="479">
        <f>VLOOKUP(B311,Literatuur!$A:$B,2,FALSE)</f>
        <v>2</v>
      </c>
      <c r="EZ311" t="str">
        <f t="shared" si="241"/>
        <v>benzo(e)pyrene</v>
      </c>
      <c r="FA311" t="str">
        <f t="shared" si="242"/>
        <v>PAK</v>
      </c>
      <c r="FB311" t="str">
        <f t="shared" si="243"/>
        <v>LDPE</v>
      </c>
      <c r="FC311" t="str">
        <f t="shared" si="244"/>
        <v>Immersion (spinning)</v>
      </c>
      <c r="FD311">
        <f t="shared" si="245"/>
        <v>297</v>
      </c>
      <c r="FE311" t="str">
        <f t="shared" si="246"/>
        <v>water</v>
      </c>
      <c r="FF311" t="str">
        <f t="shared" si="247"/>
        <v xml:space="preserve">saturated ?? </v>
      </c>
      <c r="FG311" s="408">
        <f t="shared" si="240"/>
        <v>1</v>
      </c>
      <c r="FH311" s="138">
        <f t="shared" si="248"/>
        <v>6.2</v>
      </c>
      <c r="FI311" s="106">
        <f t="shared" si="228"/>
        <v>6.1872814782117533</v>
      </c>
      <c r="FJ311" s="138" t="str">
        <f t="shared" si="249"/>
        <v/>
      </c>
      <c r="FK311" s="138" t="str">
        <f t="shared" si="250"/>
        <v>**</v>
      </c>
    </row>
    <row r="312" spans="1:167" ht="12.75" hidden="1" customHeight="1" x14ac:dyDescent="0.2">
      <c r="A312">
        <v>277</v>
      </c>
      <c r="B312" t="s">
        <v>1547</v>
      </c>
      <c r="C312" s="4"/>
      <c r="D312" t="s">
        <v>567</v>
      </c>
      <c r="E312" s="33">
        <v>-1543</v>
      </c>
      <c r="F312" t="str">
        <f>VLOOKUP(E312,CompDbase!B:L,4,FALSE)</f>
        <v>chrysene</v>
      </c>
      <c r="G312" s="95" t="str">
        <f>VLOOKUP(E312,CompDbase!B:M,12,FALSE)</f>
        <v>PAK</v>
      </c>
      <c r="H312" s="95">
        <f>VLOOKUP(E312,CompDbase!B:L,8,FALSE)</f>
        <v>228.15</v>
      </c>
      <c r="I312" s="95">
        <f>VLOOKUP(E312,CompDbase!B:L,11,FALSE)</f>
        <v>196.3</v>
      </c>
      <c r="J312" s="95">
        <f>VLOOKUP(E312,CompDbase!B:L,9,FALSE)</f>
        <v>0.13896515350405772</v>
      </c>
      <c r="K312" s="95">
        <f>VLOOKUP(E312,CompDbase!B:L,10,FALSE)</f>
        <v>5.7549999999999999</v>
      </c>
      <c r="L312" s="4" t="s">
        <v>769</v>
      </c>
      <c r="M312" s="420"/>
      <c r="N312" s="420"/>
      <c r="O312" s="4" t="s">
        <v>1986</v>
      </c>
      <c r="P312">
        <f t="shared" si="254"/>
        <v>297</v>
      </c>
      <c r="Q312" s="4" t="s">
        <v>1049</v>
      </c>
      <c r="R312" s="289" t="s">
        <v>1983</v>
      </c>
      <c r="S312" s="4"/>
      <c r="T312" s="289">
        <v>1</v>
      </c>
      <c r="W312" s="199">
        <f t="shared" si="255"/>
        <v>501187.23362727347</v>
      </c>
      <c r="X312">
        <v>5.7</v>
      </c>
      <c r="AC312" t="s">
        <v>68</v>
      </c>
      <c r="AG312" s="138">
        <f t="shared" si="251"/>
        <v>5.7</v>
      </c>
      <c r="AH312">
        <f t="shared" si="252"/>
        <v>5.7549999999999999</v>
      </c>
      <c r="AI312">
        <f t="shared" si="252"/>
        <v>5.7549999999999999</v>
      </c>
      <c r="AL312">
        <f t="shared" si="256"/>
        <v>5.7549999999999999</v>
      </c>
      <c r="AO312">
        <f t="shared" si="257"/>
        <v>5.7549999999999999</v>
      </c>
      <c r="BW312" s="138"/>
      <c r="BX312">
        <f t="shared" si="253"/>
        <v>-0.85709408850976543</v>
      </c>
      <c r="BY312">
        <f t="shared" si="253"/>
        <v>-0.85709408850976543</v>
      </c>
      <c r="CB312">
        <f t="shared" si="258"/>
        <v>-0.85709408850976543</v>
      </c>
      <c r="CE312">
        <f t="shared" si="259"/>
        <v>-0.85709408850976543</v>
      </c>
      <c r="DG312" s="138"/>
      <c r="EY312" s="479">
        <f>VLOOKUP(B312,Literatuur!$A:$B,2,FALSE)</f>
        <v>2</v>
      </c>
      <c r="EZ312" t="str">
        <f t="shared" si="241"/>
        <v>chrysene</v>
      </c>
      <c r="FA312" t="str">
        <f t="shared" si="242"/>
        <v>PAK</v>
      </c>
      <c r="FB312" t="str">
        <f t="shared" si="243"/>
        <v>LDPE</v>
      </c>
      <c r="FC312" t="str">
        <f t="shared" si="244"/>
        <v>Immersion (spinning)</v>
      </c>
      <c r="FD312">
        <f t="shared" si="245"/>
        <v>297</v>
      </c>
      <c r="FE312" t="str">
        <f t="shared" si="246"/>
        <v>water</v>
      </c>
      <c r="FF312" t="str">
        <f t="shared" si="247"/>
        <v xml:space="preserve">saturated ?? </v>
      </c>
      <c r="FG312" s="408">
        <f t="shared" si="240"/>
        <v>1</v>
      </c>
      <c r="FH312" s="138">
        <f t="shared" si="248"/>
        <v>5.7</v>
      </c>
      <c r="FI312" s="106">
        <f t="shared" si="228"/>
        <v>5.6231474661804022</v>
      </c>
      <c r="FJ312" s="138" t="str">
        <f t="shared" si="249"/>
        <v/>
      </c>
      <c r="FK312" s="138" t="str">
        <f t="shared" si="250"/>
        <v>**</v>
      </c>
    </row>
    <row r="313" spans="1:167" ht="12.75" hidden="1" customHeight="1" x14ac:dyDescent="0.2">
      <c r="A313">
        <v>278</v>
      </c>
      <c r="B313" t="s">
        <v>1547</v>
      </c>
      <c r="C313" s="4"/>
      <c r="D313" s="4" t="s">
        <v>1947</v>
      </c>
      <c r="E313" s="33">
        <v>-1812</v>
      </c>
      <c r="F313" t="str">
        <f>VLOOKUP(E313,CompDbase!B:L,4,FALSE)</f>
        <v>d12-benz[a]anthracene</v>
      </c>
      <c r="G313" s="95" t="str">
        <f>VLOOKUP(E313,CompDbase!B:M,12,FALSE)</f>
        <v>PAK</v>
      </c>
      <c r="H313" s="95">
        <f>VLOOKUP(E313,CompDbase!B:L,8,FALSE)</f>
        <v>228.15</v>
      </c>
      <c r="I313" s="95">
        <f>VLOOKUP(E313,CompDbase!B:L,11,FALSE)</f>
        <v>0</v>
      </c>
      <c r="J313" s="95">
        <f>VLOOKUP(E313,CompDbase!B:L,9,FALSE)</f>
        <v>0.13896515350405772</v>
      </c>
      <c r="K313" s="95">
        <f>VLOOKUP(E313,CompDbase!B:L,10,FALSE)</f>
        <v>5.7799999999999994</v>
      </c>
      <c r="L313" s="4" t="s">
        <v>769</v>
      </c>
      <c r="M313" s="420"/>
      <c r="N313" s="420"/>
      <c r="O313" s="4" t="s">
        <v>1986</v>
      </c>
      <c r="P313">
        <f t="shared" si="254"/>
        <v>297</v>
      </c>
      <c r="Q313" s="4" t="s">
        <v>1049</v>
      </c>
      <c r="R313" s="289" t="s">
        <v>1983</v>
      </c>
      <c r="S313" s="4"/>
      <c r="T313" s="289">
        <v>1</v>
      </c>
      <c r="W313" s="199">
        <f t="shared" si="255"/>
        <v>501187.23362727347</v>
      </c>
      <c r="X313">
        <v>5.7</v>
      </c>
      <c r="AC313" t="s">
        <v>68</v>
      </c>
      <c r="AG313" s="138">
        <f t="shared" si="251"/>
        <v>5.7</v>
      </c>
      <c r="AH313">
        <f t="shared" si="252"/>
        <v>5.7799999999999994</v>
      </c>
      <c r="AI313">
        <f t="shared" si="252"/>
        <v>5.7799999999999994</v>
      </c>
      <c r="AL313">
        <f t="shared" si="256"/>
        <v>5.7799999999999994</v>
      </c>
      <c r="AO313">
        <f t="shared" si="257"/>
        <v>5.7799999999999994</v>
      </c>
      <c r="BW313" s="138"/>
      <c r="BX313">
        <f t="shared" si="253"/>
        <v>-0.85709408850976543</v>
      </c>
      <c r="BY313">
        <f t="shared" si="253"/>
        <v>-0.85709408850976543</v>
      </c>
      <c r="CB313">
        <f t="shared" si="258"/>
        <v>-0.85709408850976543</v>
      </c>
      <c r="CE313">
        <f t="shared" si="259"/>
        <v>-0.85709408850976543</v>
      </c>
      <c r="DG313" s="138"/>
      <c r="EY313" s="479">
        <f>VLOOKUP(B313,Literatuur!$A:$B,2,FALSE)</f>
        <v>2</v>
      </c>
      <c r="EZ313" t="str">
        <f t="shared" si="241"/>
        <v>d12-benz(a)anthracene</v>
      </c>
      <c r="FA313" t="str">
        <f t="shared" si="242"/>
        <v>PAK</v>
      </c>
      <c r="FB313" t="str">
        <f t="shared" si="243"/>
        <v>LDPE</v>
      </c>
      <c r="FC313" t="str">
        <f t="shared" si="244"/>
        <v>Immersion (spinning)</v>
      </c>
      <c r="FD313">
        <f t="shared" si="245"/>
        <v>297</v>
      </c>
      <c r="FE313" t="str">
        <f t="shared" si="246"/>
        <v>water</v>
      </c>
      <c r="FF313" t="str">
        <f t="shared" si="247"/>
        <v xml:space="preserve">saturated ?? </v>
      </c>
      <c r="FG313" s="408">
        <f t="shared" si="240"/>
        <v>1</v>
      </c>
      <c r="FH313" s="138">
        <f t="shared" si="248"/>
        <v>5.7</v>
      </c>
      <c r="FI313" s="106">
        <f t="shared" si="228"/>
        <v>5.6505326123955157</v>
      </c>
      <c r="FJ313" s="138" t="str">
        <f t="shared" si="249"/>
        <v/>
      </c>
      <c r="FK313" s="138" t="str">
        <f t="shared" si="250"/>
        <v>**</v>
      </c>
    </row>
    <row r="314" spans="1:167" ht="12.75" hidden="1" customHeight="1" x14ac:dyDescent="0.2">
      <c r="A314">
        <v>279</v>
      </c>
      <c r="B314" t="s">
        <v>1547</v>
      </c>
      <c r="C314" s="4"/>
      <c r="D314" t="s">
        <v>564</v>
      </c>
      <c r="E314" s="33">
        <v>-1540</v>
      </c>
      <c r="F314" t="str">
        <f>VLOOKUP(E314,CompDbase!B:L,4,FALSE)</f>
        <v>fluoranthene</v>
      </c>
      <c r="G314" s="95" t="str">
        <f>VLOOKUP(E314,CompDbase!B:M,12,FALSE)</f>
        <v>PAK</v>
      </c>
      <c r="H314" s="95">
        <f>VLOOKUP(E314,CompDbase!B:L,8,FALSE)</f>
        <v>202.15</v>
      </c>
      <c r="I314" s="95">
        <f>VLOOKUP(E314,CompDbase!B:L,11,FALSE)</f>
        <v>195.85</v>
      </c>
      <c r="J314" s="95">
        <f>VLOOKUP(E314,CompDbase!B:L,9,FALSE)</f>
        <v>0.83636506257935239</v>
      </c>
      <c r="K314" s="95">
        <f>VLOOKUP(E314,CompDbase!B:L,10,FALSE)</f>
        <v>5.08</v>
      </c>
      <c r="L314" s="4" t="s">
        <v>769</v>
      </c>
      <c r="M314" s="420"/>
      <c r="N314" s="420"/>
      <c r="O314" s="4" t="s">
        <v>1986</v>
      </c>
      <c r="P314">
        <f t="shared" si="254"/>
        <v>297</v>
      </c>
      <c r="Q314" s="4" t="s">
        <v>1049</v>
      </c>
      <c r="R314" s="289" t="s">
        <v>1983</v>
      </c>
      <c r="T314" s="289">
        <v>1</v>
      </c>
      <c r="W314" s="199">
        <f t="shared" si="255"/>
        <v>79432.823472428237</v>
      </c>
      <c r="X314">
        <v>4.9000000000000004</v>
      </c>
      <c r="AC314" t="s">
        <v>68</v>
      </c>
      <c r="AG314" s="138">
        <f t="shared" si="251"/>
        <v>4.9000000000000004</v>
      </c>
      <c r="AH314">
        <f t="shared" si="252"/>
        <v>5.08</v>
      </c>
      <c r="AI314">
        <f t="shared" si="252"/>
        <v>5.08</v>
      </c>
      <c r="AL314">
        <f t="shared" si="256"/>
        <v>5.08</v>
      </c>
      <c r="AO314">
        <f t="shared" si="257"/>
        <v>5.08</v>
      </c>
      <c r="BW314" s="138"/>
      <c r="BX314">
        <f t="shared" si="253"/>
        <v>-7.760411722919576E-2</v>
      </c>
      <c r="BY314">
        <f t="shared" si="253"/>
        <v>-7.760411722919576E-2</v>
      </c>
      <c r="CB314">
        <f t="shared" si="258"/>
        <v>-7.760411722919576E-2</v>
      </c>
      <c r="CE314">
        <f t="shared" si="259"/>
        <v>-7.760411722919576E-2</v>
      </c>
      <c r="DG314" s="138"/>
      <c r="EY314" s="479">
        <f>VLOOKUP(B314,Literatuur!$A:$B,2,FALSE)</f>
        <v>2</v>
      </c>
      <c r="EZ314" t="str">
        <f t="shared" si="241"/>
        <v>fluoranthene</v>
      </c>
      <c r="FA314" t="str">
        <f t="shared" si="242"/>
        <v>PAK</v>
      </c>
      <c r="FB314" t="str">
        <f t="shared" si="243"/>
        <v>LDPE</v>
      </c>
      <c r="FC314" t="str">
        <f t="shared" si="244"/>
        <v>Immersion (spinning)</v>
      </c>
      <c r="FD314">
        <f t="shared" si="245"/>
        <v>297</v>
      </c>
      <c r="FE314" t="str">
        <f t="shared" si="246"/>
        <v>water</v>
      </c>
      <c r="FF314" t="str">
        <f t="shared" si="247"/>
        <v xml:space="preserve">saturated ?? </v>
      </c>
      <c r="FG314" s="408">
        <f t="shared" si="240"/>
        <v>1</v>
      </c>
      <c r="FH314" s="138">
        <f t="shared" si="248"/>
        <v>4.9000000000000004</v>
      </c>
      <c r="FI314" s="106">
        <f t="shared" si="228"/>
        <v>4.8837485183723208</v>
      </c>
      <c r="FJ314" s="138" t="str">
        <f t="shared" si="249"/>
        <v/>
      </c>
      <c r="FK314" s="138" t="str">
        <f t="shared" si="250"/>
        <v>**</v>
      </c>
    </row>
    <row r="315" spans="1:167" ht="12.75" hidden="1" customHeight="1" x14ac:dyDescent="0.2">
      <c r="A315">
        <v>280</v>
      </c>
      <c r="B315" t="s">
        <v>1547</v>
      </c>
      <c r="C315" s="4"/>
      <c r="D315" t="s">
        <v>572</v>
      </c>
      <c r="E315" s="33">
        <v>-1548</v>
      </c>
      <c r="F315" t="str">
        <f>VLOOKUP(E315,CompDbase!B:L,4,FALSE)</f>
        <v>perylene</v>
      </c>
      <c r="G315" s="95" t="str">
        <f>VLOOKUP(E315,CompDbase!B:M,12,FALSE)</f>
        <v>PAK</v>
      </c>
      <c r="H315" s="95">
        <f>VLOOKUP(E315,CompDbase!B:L,8,FALSE)</f>
        <v>252.15</v>
      </c>
      <c r="I315" s="95">
        <f>VLOOKUP(E315,CompDbase!B:L,11,FALSE)</f>
        <v>219.45</v>
      </c>
      <c r="J315" s="95">
        <f>VLOOKUP(E315,CompDbase!B:L,9,FALSE)</f>
        <v>2.620096279985866E-2</v>
      </c>
      <c r="K315" s="95">
        <f>VLOOKUP(E315,CompDbase!B:L,10,FALSE)</f>
        <v>6.1749999999999998</v>
      </c>
      <c r="L315" s="4" t="s">
        <v>769</v>
      </c>
      <c r="M315" s="420"/>
      <c r="N315" s="420"/>
      <c r="O315" s="4" t="s">
        <v>1986</v>
      </c>
      <c r="P315">
        <f t="shared" si="254"/>
        <v>297</v>
      </c>
      <c r="Q315" s="4" t="s">
        <v>1049</v>
      </c>
      <c r="R315" s="289" t="s">
        <v>1983</v>
      </c>
      <c r="S315" s="4"/>
      <c r="T315" s="289">
        <v>1</v>
      </c>
      <c r="W315" s="199">
        <f t="shared" si="255"/>
        <v>3162277.6601683851</v>
      </c>
      <c r="X315">
        <v>6.5</v>
      </c>
      <c r="AC315" t="s">
        <v>68</v>
      </c>
      <c r="AG315" s="138">
        <f t="shared" si="251"/>
        <v>6.5</v>
      </c>
      <c r="AH315">
        <f t="shared" si="252"/>
        <v>6.1749999999999998</v>
      </c>
      <c r="AI315">
        <f t="shared" si="252"/>
        <v>6.1749999999999998</v>
      </c>
      <c r="AL315">
        <f t="shared" si="256"/>
        <v>6.1749999999999998</v>
      </c>
      <c r="AO315">
        <f t="shared" si="257"/>
        <v>6.1749999999999998</v>
      </c>
      <c r="BW315" s="138"/>
      <c r="BX315">
        <f t="shared" si="253"/>
        <v>-1.5816827494824268</v>
      </c>
      <c r="BY315">
        <f t="shared" si="253"/>
        <v>-1.5816827494824268</v>
      </c>
      <c r="CB315">
        <f t="shared" si="258"/>
        <v>-1.5816827494824268</v>
      </c>
      <c r="CE315">
        <f t="shared" si="259"/>
        <v>-1.5816827494824268</v>
      </c>
      <c r="DG315" s="138"/>
      <c r="EY315" s="479">
        <f>VLOOKUP(B315,Literatuur!$A:$B,2,FALSE)</f>
        <v>2</v>
      </c>
      <c r="EZ315" t="str">
        <f t="shared" si="241"/>
        <v>perylene</v>
      </c>
      <c r="FA315" t="str">
        <f t="shared" si="242"/>
        <v>PAK</v>
      </c>
      <c r="FB315" t="str">
        <f t="shared" si="243"/>
        <v>LDPE</v>
      </c>
      <c r="FC315" t="str">
        <f t="shared" si="244"/>
        <v>Immersion (spinning)</v>
      </c>
      <c r="FD315">
        <f t="shared" si="245"/>
        <v>297</v>
      </c>
      <c r="FE315" t="str">
        <f t="shared" si="246"/>
        <v>water</v>
      </c>
      <c r="FF315" t="str">
        <f t="shared" si="247"/>
        <v xml:space="preserve">saturated ?? </v>
      </c>
      <c r="FG315" s="408">
        <f t="shared" si="240"/>
        <v>1</v>
      </c>
      <c r="FH315" s="138">
        <f t="shared" si="248"/>
        <v>6.5</v>
      </c>
      <c r="FI315" s="106">
        <f t="shared" si="228"/>
        <v>6.0832179225943195</v>
      </c>
      <c r="FJ315" s="138" t="str">
        <f t="shared" si="249"/>
        <v/>
      </c>
      <c r="FK315" s="138" t="str">
        <f t="shared" si="250"/>
        <v>**</v>
      </c>
    </row>
    <row r="316" spans="1:167" ht="12.75" hidden="1" customHeight="1" x14ac:dyDescent="0.2">
      <c r="A316">
        <v>281</v>
      </c>
      <c r="B316" t="s">
        <v>1547</v>
      </c>
      <c r="C316" s="4"/>
      <c r="D316" t="s">
        <v>562</v>
      </c>
      <c r="E316" s="33">
        <v>-1538</v>
      </c>
      <c r="F316" t="str">
        <f>VLOOKUP(E316,CompDbase!B:L,4,FALSE)</f>
        <v>phenanthrene</v>
      </c>
      <c r="G316" s="95" t="str">
        <f>VLOOKUP(E316,CompDbase!B:M,12,FALSE)</f>
        <v>PAK</v>
      </c>
      <c r="H316" s="95">
        <f>VLOOKUP(E316,CompDbase!B:L,8,FALSE)</f>
        <v>178.1</v>
      </c>
      <c r="I316" s="95">
        <f>VLOOKUP(E316,CompDbase!B:L,11,FALSE)</f>
        <v>160.35</v>
      </c>
      <c r="J316" s="95">
        <f>VLOOKUP(E316,CompDbase!B:L,9,FALSE)</f>
        <v>4.3501847309898105</v>
      </c>
      <c r="K316" s="95">
        <f>VLOOKUP(E316,CompDbase!B:L,10,FALSE)</f>
        <v>4.4800000000000004</v>
      </c>
      <c r="L316" s="4" t="s">
        <v>769</v>
      </c>
      <c r="M316" s="420"/>
      <c r="N316" s="420"/>
      <c r="O316" s="4" t="s">
        <v>1986</v>
      </c>
      <c r="P316">
        <f t="shared" si="254"/>
        <v>297</v>
      </c>
      <c r="Q316" s="4" t="s">
        <v>1049</v>
      </c>
      <c r="R316" s="289" t="s">
        <v>1983</v>
      </c>
      <c r="S316" s="4"/>
      <c r="T316" s="289">
        <v>1</v>
      </c>
      <c r="W316" s="199">
        <f t="shared" si="255"/>
        <v>19952.623149688792</v>
      </c>
      <c r="X316">
        <v>4.3</v>
      </c>
      <c r="AC316" t="s">
        <v>68</v>
      </c>
      <c r="AG316" s="138">
        <f t="shared" si="251"/>
        <v>4.3</v>
      </c>
      <c r="AH316">
        <f t="shared" si="252"/>
        <v>4.4800000000000004</v>
      </c>
      <c r="AI316">
        <f t="shared" si="252"/>
        <v>4.4800000000000004</v>
      </c>
      <c r="AL316">
        <f t="shared" si="256"/>
        <v>4.4800000000000004</v>
      </c>
      <c r="AO316">
        <f t="shared" si="257"/>
        <v>4.4800000000000004</v>
      </c>
      <c r="BW316" s="138"/>
      <c r="BX316">
        <f t="shared" si="253"/>
        <v>0.63850769970085575</v>
      </c>
      <c r="BY316">
        <f t="shared" si="253"/>
        <v>0.63850769970085575</v>
      </c>
      <c r="CB316">
        <f t="shared" si="258"/>
        <v>0.63850769970085575</v>
      </c>
      <c r="CE316">
        <f t="shared" si="259"/>
        <v>0.63850769970085575</v>
      </c>
      <c r="DG316" s="138"/>
      <c r="EY316" s="479">
        <f>VLOOKUP(B316,Literatuur!$A:$B,2,FALSE)</f>
        <v>2</v>
      </c>
      <c r="EZ316" t="str">
        <f t="shared" si="241"/>
        <v>phenanthrene</v>
      </c>
      <c r="FA316" t="str">
        <f t="shared" si="242"/>
        <v>PAK</v>
      </c>
      <c r="FB316" t="str">
        <f t="shared" si="243"/>
        <v>LDPE</v>
      </c>
      <c r="FC316" t="str">
        <f t="shared" si="244"/>
        <v>Immersion (spinning)</v>
      </c>
      <c r="FD316">
        <f t="shared" si="245"/>
        <v>297</v>
      </c>
      <c r="FE316" t="str">
        <f t="shared" si="246"/>
        <v>water</v>
      </c>
      <c r="FF316" t="str">
        <f t="shared" si="247"/>
        <v xml:space="preserve">saturated ?? </v>
      </c>
      <c r="FG316" s="408">
        <f t="shared" si="240"/>
        <v>1</v>
      </c>
      <c r="FH316" s="138">
        <f t="shared" si="248"/>
        <v>4.3</v>
      </c>
      <c r="FI316" s="106">
        <f t="shared" si="228"/>
        <v>4.2265050092095819</v>
      </c>
      <c r="FJ316" s="138" t="str">
        <f t="shared" si="249"/>
        <v/>
      </c>
      <c r="FK316" s="138" t="str">
        <f t="shared" si="250"/>
        <v>**</v>
      </c>
    </row>
    <row r="317" spans="1:167" ht="12.75" hidden="1" customHeight="1" x14ac:dyDescent="0.2">
      <c r="A317">
        <v>282</v>
      </c>
      <c r="B317" t="s">
        <v>1547</v>
      </c>
      <c r="C317" s="4"/>
      <c r="D317" t="s">
        <v>565</v>
      </c>
      <c r="E317" s="33">
        <v>-1541</v>
      </c>
      <c r="F317" t="str">
        <f>VLOOKUP(E317,CompDbase!B:L,4,FALSE)</f>
        <v>pyrene</v>
      </c>
      <c r="G317" s="95" t="str">
        <f>VLOOKUP(E317,CompDbase!B:M,12,FALSE)</f>
        <v>PAK</v>
      </c>
      <c r="H317" s="95">
        <f>VLOOKUP(E317,CompDbase!B:L,8,FALSE)</f>
        <v>202.15</v>
      </c>
      <c r="I317" s="95">
        <f>VLOOKUP(E317,CompDbase!B:L,11,FALSE)</f>
        <v>182.10000000000002</v>
      </c>
      <c r="J317" s="95">
        <f>VLOOKUP(E317,CompDbase!B:L,9,FALSE)</f>
        <v>0.83636506257935239</v>
      </c>
      <c r="K317" s="95">
        <f>VLOOKUP(E317,CompDbase!B:L,10,FALSE)</f>
        <v>4.9399999999999995</v>
      </c>
      <c r="L317" s="4" t="s">
        <v>769</v>
      </c>
      <c r="M317" s="420"/>
      <c r="N317" s="420"/>
      <c r="O317" s="4" t="s">
        <v>1986</v>
      </c>
      <c r="P317">
        <f t="shared" si="254"/>
        <v>297</v>
      </c>
      <c r="Q317" s="4" t="s">
        <v>1049</v>
      </c>
      <c r="R317" s="289" t="s">
        <v>1983</v>
      </c>
      <c r="S317" s="4"/>
      <c r="T317" s="289">
        <v>1</v>
      </c>
      <c r="W317" s="199">
        <f t="shared" si="255"/>
        <v>100000</v>
      </c>
      <c r="X317">
        <v>5</v>
      </c>
      <c r="AC317" t="s">
        <v>68</v>
      </c>
      <c r="AG317" s="138">
        <f t="shared" si="251"/>
        <v>5</v>
      </c>
      <c r="AH317">
        <f t="shared" si="252"/>
        <v>4.9399999999999995</v>
      </c>
      <c r="AI317">
        <f t="shared" si="252"/>
        <v>4.9399999999999995</v>
      </c>
      <c r="AL317">
        <f t="shared" si="256"/>
        <v>4.9399999999999995</v>
      </c>
      <c r="AO317">
        <f t="shared" si="257"/>
        <v>4.9399999999999995</v>
      </c>
      <c r="BW317" s="138"/>
      <c r="BX317">
        <f t="shared" si="253"/>
        <v>-7.760411722919576E-2</v>
      </c>
      <c r="BY317">
        <f t="shared" si="253"/>
        <v>-7.760411722919576E-2</v>
      </c>
      <c r="CB317">
        <f t="shared" si="258"/>
        <v>-7.760411722919576E-2</v>
      </c>
      <c r="CE317">
        <f t="shared" si="259"/>
        <v>-7.760411722919576E-2</v>
      </c>
      <c r="DG317" s="138"/>
      <c r="EY317" s="479">
        <f>VLOOKUP(B317,Literatuur!$A:$B,2,FALSE)</f>
        <v>2</v>
      </c>
      <c r="EZ317" t="str">
        <f t="shared" si="241"/>
        <v>pyrene</v>
      </c>
      <c r="FA317" t="str">
        <f t="shared" si="242"/>
        <v>PAK</v>
      </c>
      <c r="FB317" t="str">
        <f t="shared" si="243"/>
        <v>LDPE</v>
      </c>
      <c r="FC317" t="str">
        <f t="shared" si="244"/>
        <v>Immersion (spinning)</v>
      </c>
      <c r="FD317">
        <f t="shared" si="245"/>
        <v>297</v>
      </c>
      <c r="FE317" t="str">
        <f t="shared" si="246"/>
        <v>water</v>
      </c>
      <c r="FF317" t="str">
        <f t="shared" si="247"/>
        <v xml:space="preserve">saturated ?? </v>
      </c>
      <c r="FG317" s="408">
        <f t="shared" si="240"/>
        <v>1</v>
      </c>
      <c r="FH317" s="138">
        <f t="shared" si="248"/>
        <v>5</v>
      </c>
      <c r="FI317" s="106">
        <f t="shared" si="228"/>
        <v>4.7303916995676811</v>
      </c>
      <c r="FJ317" s="138" t="str">
        <f t="shared" si="249"/>
        <v/>
      </c>
      <c r="FK317" s="138" t="str">
        <f t="shared" si="250"/>
        <v>**</v>
      </c>
    </row>
    <row r="318" spans="1:167" ht="12.75" hidden="1" customHeight="1" x14ac:dyDescent="0.2">
      <c r="A318">
        <v>283</v>
      </c>
      <c r="B318" s="4" t="s">
        <v>1937</v>
      </c>
      <c r="C318" s="4"/>
      <c r="D318" t="s">
        <v>584</v>
      </c>
      <c r="E318">
        <v>-1557</v>
      </c>
      <c r="F318" t="str">
        <f>VLOOKUP(E318,CompDbase!B:L,4,FALSE)</f>
        <v>1,2-dimethylnaphthalene</v>
      </c>
      <c r="G318" s="95" t="str">
        <f>VLOOKUP(E318,CompDbase!B:M,12,FALSE)</f>
        <v>PAK</v>
      </c>
      <c r="H318" s="95">
        <f>VLOOKUP(E318,CompDbase!B:L,8,FALSE)</f>
        <v>156</v>
      </c>
      <c r="I318" s="95">
        <f>VLOOKUP(E318,CompDbase!B:L,11,FALSE)</f>
        <v>154.19999999999999</v>
      </c>
      <c r="J318" s="95" t="e">
        <f>VLOOKUP(E318,CompDbase!B:L,9,FALSE)</f>
        <v>#DIV/0!</v>
      </c>
      <c r="K318" s="95">
        <f>VLOOKUP(E318,CompDbase!B:L,10,FALSE)</f>
        <v>4.3099999999999996</v>
      </c>
      <c r="L318" s="4" t="s">
        <v>769</v>
      </c>
      <c r="O318" s="4" t="s">
        <v>1985</v>
      </c>
      <c r="P318">
        <v>293</v>
      </c>
      <c r="Q318" s="4" t="s">
        <v>1049</v>
      </c>
      <c r="R318" s="289" t="s">
        <v>1982</v>
      </c>
      <c r="S318">
        <f t="shared" ref="S318:S354" si="260">0.000005</f>
        <v>5.0000000000000004E-6</v>
      </c>
      <c r="T318" s="95" t="e">
        <f t="shared" ref="T318:T354" si="261">S318/J318</f>
        <v>#DIV/0!</v>
      </c>
      <c r="W318">
        <v>5248.0746024977352</v>
      </c>
      <c r="X318" s="95">
        <f t="shared" ref="X318:X354" si="262">LOG(W318)</f>
        <v>3.7200000000000006</v>
      </c>
      <c r="Z318" s="190"/>
      <c r="AC318" t="s">
        <v>68</v>
      </c>
      <c r="AG318" s="138">
        <f t="shared" si="251"/>
        <v>3.7200000000000006</v>
      </c>
      <c r="AH318">
        <f t="shared" si="252"/>
        <v>4.3099999999999996</v>
      </c>
      <c r="AI318">
        <f t="shared" si="252"/>
        <v>4.3099999999999996</v>
      </c>
      <c r="AL318">
        <f t="shared" si="256"/>
        <v>4.3099999999999996</v>
      </c>
      <c r="BW318" s="138"/>
      <c r="DG318" s="138"/>
      <c r="EY318" s="479">
        <f>VLOOKUP(B318,Literatuur!$A:$B,2,FALSE)</f>
        <v>8</v>
      </c>
      <c r="EZ318" t="str">
        <f t="shared" si="241"/>
        <v>1,2-dimethylnaphthalene</v>
      </c>
      <c r="FA318" t="str">
        <f t="shared" si="242"/>
        <v>PAK</v>
      </c>
      <c r="FB318" t="str">
        <f t="shared" si="243"/>
        <v>LDPE</v>
      </c>
      <c r="FC318" t="str">
        <f t="shared" si="244"/>
        <v>Immersion (shaking)</v>
      </c>
      <c r="FD318">
        <f t="shared" si="245"/>
        <v>293</v>
      </c>
      <c r="FE318" t="str">
        <f t="shared" si="246"/>
        <v>water</v>
      </c>
      <c r="FF318" t="str">
        <f t="shared" si="247"/>
        <v>measured 0.000005</v>
      </c>
      <c r="FG318" s="408" t="str">
        <f t="shared" si="240"/>
        <v/>
      </c>
      <c r="FH318" s="138">
        <f t="shared" si="248"/>
        <v>3.7200000000000006</v>
      </c>
      <c r="FI318" s="106">
        <f t="shared" si="228"/>
        <v>4.0402860149468056</v>
      </c>
      <c r="FJ318" s="138" t="str">
        <f t="shared" si="249"/>
        <v/>
      </c>
      <c r="FK318" s="138" t="str">
        <f t="shared" si="250"/>
        <v>**</v>
      </c>
    </row>
    <row r="319" spans="1:167" ht="12.75" hidden="1" customHeight="1" x14ac:dyDescent="0.2">
      <c r="A319">
        <v>284</v>
      </c>
      <c r="B319" s="4" t="s">
        <v>1937</v>
      </c>
      <c r="C319" s="4"/>
      <c r="D319" t="s">
        <v>582</v>
      </c>
      <c r="E319">
        <v>-1555</v>
      </c>
      <c r="F319" t="str">
        <f>VLOOKUP(E319,CompDbase!B:L,4,FALSE)</f>
        <v>1,3-dimethylnaphthalene</v>
      </c>
      <c r="G319" s="95" t="str">
        <f>VLOOKUP(E319,CompDbase!B:M,12,FALSE)</f>
        <v>PAK</v>
      </c>
      <c r="H319" s="95">
        <f>VLOOKUP(E319,CompDbase!B:L,8,FALSE)</f>
        <v>156</v>
      </c>
      <c r="I319" s="95">
        <f>VLOOKUP(E319,CompDbase!B:L,11,FALSE)</f>
        <v>155.80000000000001</v>
      </c>
      <c r="J319" s="95" t="e">
        <f>VLOOKUP(E319,CompDbase!B:L,9,FALSE)</f>
        <v>#DIV/0!</v>
      </c>
      <c r="K319" s="95">
        <f>VLOOKUP(E319,CompDbase!B:L,10,FALSE)</f>
        <v>4.42</v>
      </c>
      <c r="L319" s="4" t="s">
        <v>769</v>
      </c>
      <c r="O319" s="4" t="s">
        <v>1985</v>
      </c>
      <c r="P319">
        <v>293</v>
      </c>
      <c r="Q319" s="4" t="s">
        <v>1049</v>
      </c>
      <c r="R319" s="289" t="s">
        <v>1982</v>
      </c>
      <c r="S319">
        <f t="shared" si="260"/>
        <v>5.0000000000000004E-6</v>
      </c>
      <c r="T319" s="95" t="e">
        <f t="shared" si="261"/>
        <v>#DIV/0!</v>
      </c>
      <c r="W319">
        <v>6760.8297539198229</v>
      </c>
      <c r="X319" s="95">
        <f t="shared" si="262"/>
        <v>3.8300000000000005</v>
      </c>
      <c r="Z319" s="190"/>
      <c r="AC319" t="s">
        <v>68</v>
      </c>
      <c r="AG319" s="138">
        <f t="shared" si="251"/>
        <v>3.8300000000000005</v>
      </c>
      <c r="AH319">
        <f t="shared" si="252"/>
        <v>4.42</v>
      </c>
      <c r="AI319">
        <f t="shared" si="252"/>
        <v>4.42</v>
      </c>
      <c r="AL319">
        <f t="shared" si="256"/>
        <v>4.42</v>
      </c>
      <c r="BW319" s="138"/>
      <c r="DG319" s="138"/>
      <c r="EY319" s="479">
        <f>VLOOKUP(B319,Literatuur!$A:$B,2,FALSE)</f>
        <v>8</v>
      </c>
      <c r="EZ319" t="str">
        <f t="shared" si="241"/>
        <v>1,3-dimethylnaphthalene</v>
      </c>
      <c r="FA319" t="str">
        <f t="shared" si="242"/>
        <v>PAK</v>
      </c>
      <c r="FB319" t="str">
        <f t="shared" si="243"/>
        <v>LDPE</v>
      </c>
      <c r="FC319" t="str">
        <f t="shared" si="244"/>
        <v>Immersion (shaking)</v>
      </c>
      <c r="FD319">
        <f t="shared" si="245"/>
        <v>293</v>
      </c>
      <c r="FE319" t="str">
        <f t="shared" si="246"/>
        <v>water</v>
      </c>
      <c r="FF319" t="str">
        <f t="shared" si="247"/>
        <v>measured 0.000005</v>
      </c>
      <c r="FG319" s="408" t="str">
        <f t="shared" si="240"/>
        <v/>
      </c>
      <c r="FH319" s="138">
        <f t="shared" si="248"/>
        <v>3.8300000000000005</v>
      </c>
      <c r="FI319" s="106">
        <f t="shared" si="228"/>
        <v>4.1607806582933078</v>
      </c>
      <c r="FJ319" s="138" t="str">
        <f t="shared" si="249"/>
        <v/>
      </c>
      <c r="FK319" s="138" t="str">
        <f t="shared" si="250"/>
        <v>**</v>
      </c>
    </row>
    <row r="320" spans="1:167" ht="12.75" hidden="1" customHeight="1" x14ac:dyDescent="0.2">
      <c r="A320">
        <v>285</v>
      </c>
      <c r="B320" s="4" t="s">
        <v>1937</v>
      </c>
      <c r="C320" s="4"/>
      <c r="D320" t="s">
        <v>590</v>
      </c>
      <c r="E320">
        <v>-1561</v>
      </c>
      <c r="F320" t="str">
        <f>VLOOKUP(E320,CompDbase!B:L,4,FALSE)</f>
        <v>1,4,6,7-tetramethylnaphthalene</v>
      </c>
      <c r="G320" s="95" t="str">
        <f>VLOOKUP(E320,CompDbase!B:M,12,FALSE)</f>
        <v>PAK</v>
      </c>
      <c r="H320" s="95">
        <f>VLOOKUP(E320,CompDbase!B:L,8,FALSE)</f>
        <v>184</v>
      </c>
      <c r="I320" s="95">
        <f>VLOOKUP(E320,CompDbase!B:L,11,FALSE)</f>
        <v>186</v>
      </c>
      <c r="J320" s="95" t="e">
        <f>VLOOKUP(E320,CompDbase!B:L,9,FALSE)</f>
        <v>#DIV/0!</v>
      </c>
      <c r="K320" s="95">
        <f>VLOOKUP(E320,CompDbase!B:L,10,FALSE)</f>
        <v>5.36</v>
      </c>
      <c r="L320" s="4" t="s">
        <v>769</v>
      </c>
      <c r="M320" s="423"/>
      <c r="N320" s="423"/>
      <c r="O320" s="4" t="s">
        <v>1985</v>
      </c>
      <c r="P320">
        <v>293</v>
      </c>
      <c r="Q320" s="4" t="s">
        <v>1049</v>
      </c>
      <c r="R320" s="289" t="s">
        <v>1982</v>
      </c>
      <c r="S320">
        <f t="shared" si="260"/>
        <v>5.0000000000000004E-6</v>
      </c>
      <c r="T320" s="95" t="e">
        <f t="shared" si="261"/>
        <v>#DIV/0!</v>
      </c>
      <c r="W320">
        <v>41686.938347033625</v>
      </c>
      <c r="X320" s="95">
        <f t="shared" si="262"/>
        <v>4.620000000000001</v>
      </c>
      <c r="Z320" s="190"/>
      <c r="AC320" t="s">
        <v>68</v>
      </c>
      <c r="AG320" s="138">
        <f t="shared" si="251"/>
        <v>4.620000000000001</v>
      </c>
      <c r="AH320">
        <f t="shared" si="252"/>
        <v>5.36</v>
      </c>
      <c r="AI320">
        <f t="shared" si="252"/>
        <v>5.36</v>
      </c>
      <c r="AL320">
        <f t="shared" si="256"/>
        <v>5.36</v>
      </c>
      <c r="BW320" s="138"/>
      <c r="DG320" s="138"/>
      <c r="EY320" s="479">
        <f>VLOOKUP(B320,Literatuur!$A:$B,2,FALSE)</f>
        <v>8</v>
      </c>
      <c r="EZ320" t="str">
        <f t="shared" si="241"/>
        <v>1,4,6,7-tetramethylnaphthalene</v>
      </c>
      <c r="FA320" t="str">
        <f t="shared" si="242"/>
        <v>PAK</v>
      </c>
      <c r="FB320" t="str">
        <f t="shared" si="243"/>
        <v>LDPE</v>
      </c>
      <c r="FC320" t="str">
        <f t="shared" si="244"/>
        <v>Immersion (shaking)</v>
      </c>
      <c r="FD320">
        <f t="shared" si="245"/>
        <v>293</v>
      </c>
      <c r="FE320" t="str">
        <f t="shared" si="246"/>
        <v>water</v>
      </c>
      <c r="FF320" t="str">
        <f t="shared" si="247"/>
        <v>measured 0.000005</v>
      </c>
      <c r="FG320" s="408" t="str">
        <f t="shared" si="240"/>
        <v/>
      </c>
      <c r="FH320" s="138">
        <f t="shared" si="248"/>
        <v>4.620000000000001</v>
      </c>
      <c r="FI320" s="106">
        <f t="shared" si="228"/>
        <v>5.1904621559815993</v>
      </c>
      <c r="FJ320" s="138" t="str">
        <f t="shared" si="249"/>
        <v/>
      </c>
      <c r="FK320" s="138" t="str">
        <f t="shared" si="250"/>
        <v>**</v>
      </c>
    </row>
    <row r="321" spans="1:167" ht="12.75" hidden="1" customHeight="1" x14ac:dyDescent="0.2">
      <c r="A321">
        <v>286</v>
      </c>
      <c r="B321" s="4" t="s">
        <v>1937</v>
      </c>
      <c r="C321" s="4"/>
      <c r="D321" t="s">
        <v>583</v>
      </c>
      <c r="E321">
        <v>-1556</v>
      </c>
      <c r="F321" t="str">
        <f>VLOOKUP(E321,CompDbase!B:L,4,FALSE)</f>
        <v>1,4-dimethylnaphthalene</v>
      </c>
      <c r="G321" s="95" t="str">
        <f>VLOOKUP(E321,CompDbase!B:M,12,FALSE)</f>
        <v>PAK</v>
      </c>
      <c r="H321" s="95">
        <f>VLOOKUP(E321,CompDbase!B:L,8,FALSE)</f>
        <v>156</v>
      </c>
      <c r="I321" s="95">
        <f>VLOOKUP(E321,CompDbase!B:L,11,FALSE)</f>
        <v>155.6</v>
      </c>
      <c r="J321" s="95" t="e">
        <f>VLOOKUP(E321,CompDbase!B:L,9,FALSE)</f>
        <v>#DIV/0!</v>
      </c>
      <c r="K321" s="95">
        <f>VLOOKUP(E321,CompDbase!B:L,10,FALSE)</f>
        <v>4.37</v>
      </c>
      <c r="L321" s="4" t="s">
        <v>769</v>
      </c>
      <c r="O321" s="4" t="s">
        <v>1985</v>
      </c>
      <c r="P321">
        <v>293</v>
      </c>
      <c r="Q321" s="4" t="s">
        <v>1049</v>
      </c>
      <c r="R321" s="289" t="s">
        <v>1982</v>
      </c>
      <c r="S321">
        <f t="shared" si="260"/>
        <v>5.0000000000000004E-6</v>
      </c>
      <c r="T321" s="95" t="e">
        <f t="shared" si="261"/>
        <v>#DIV/0!</v>
      </c>
      <c r="W321">
        <v>6165.9500186148289</v>
      </c>
      <c r="X321" s="95">
        <f t="shared" si="262"/>
        <v>3.7900000000000005</v>
      </c>
      <c r="Z321" s="190"/>
      <c r="AC321" t="s">
        <v>68</v>
      </c>
      <c r="AG321" s="138">
        <f t="shared" si="251"/>
        <v>3.7900000000000005</v>
      </c>
      <c r="AH321">
        <f t="shared" si="252"/>
        <v>4.37</v>
      </c>
      <c r="AI321">
        <f t="shared" si="252"/>
        <v>4.37</v>
      </c>
      <c r="AL321">
        <f t="shared" si="256"/>
        <v>4.37</v>
      </c>
      <c r="BW321" s="138"/>
      <c r="DG321" s="138"/>
      <c r="EY321" s="479">
        <f>VLOOKUP(B321,Literatuur!$A:$B,2,FALSE)</f>
        <v>8</v>
      </c>
      <c r="EZ321" t="str">
        <f t="shared" si="241"/>
        <v>1,4-dimethylnaphthalene</v>
      </c>
      <c r="FA321" t="str">
        <f t="shared" si="242"/>
        <v>PAK</v>
      </c>
      <c r="FB321" t="str">
        <f t="shared" si="243"/>
        <v>LDPE</v>
      </c>
      <c r="FC321" t="str">
        <f t="shared" si="244"/>
        <v>Immersion (shaking)</v>
      </c>
      <c r="FD321">
        <f t="shared" si="245"/>
        <v>293</v>
      </c>
      <c r="FE321" t="str">
        <f t="shared" si="246"/>
        <v>water</v>
      </c>
      <c r="FF321" t="str">
        <f t="shared" si="247"/>
        <v>measured 0.000005</v>
      </c>
      <c r="FG321" s="408" t="str">
        <f t="shared" si="240"/>
        <v/>
      </c>
      <c r="FH321" s="138">
        <f t="shared" si="248"/>
        <v>3.7900000000000005</v>
      </c>
      <c r="FI321" s="106">
        <f t="shared" si="228"/>
        <v>4.1060103658630798</v>
      </c>
      <c r="FJ321" s="138" t="str">
        <f t="shared" si="249"/>
        <v/>
      </c>
      <c r="FK321" s="138" t="str">
        <f t="shared" si="250"/>
        <v>**</v>
      </c>
    </row>
    <row r="322" spans="1:167" ht="12.75" hidden="1" customHeight="1" x14ac:dyDescent="0.2">
      <c r="A322">
        <v>287</v>
      </c>
      <c r="B322" s="4" t="s">
        <v>1937</v>
      </c>
      <c r="C322" s="4"/>
      <c r="D322" t="s">
        <v>585</v>
      </c>
      <c r="E322">
        <v>-1558</v>
      </c>
      <c r="F322" t="str">
        <f>VLOOKUP(E322,CompDbase!B:L,4,FALSE)</f>
        <v>1,8-dimethylnaphthalene</v>
      </c>
      <c r="G322" s="95" t="str">
        <f>VLOOKUP(E322,CompDbase!B:M,12,FALSE)</f>
        <v>PAK</v>
      </c>
      <c r="H322" s="95">
        <f>VLOOKUP(E322,CompDbase!B:L,8,FALSE)</f>
        <v>156</v>
      </c>
      <c r="I322" s="95">
        <f>VLOOKUP(E322,CompDbase!B:L,11,FALSE)</f>
        <v>155.6</v>
      </c>
      <c r="J322" s="95" t="e">
        <f>VLOOKUP(E322,CompDbase!B:L,9,FALSE)</f>
        <v>#DIV/0!</v>
      </c>
      <c r="K322" s="95">
        <f>VLOOKUP(E322,CompDbase!B:L,10,FALSE)</f>
        <v>4.32</v>
      </c>
      <c r="L322" s="4" t="s">
        <v>769</v>
      </c>
      <c r="M322" s="423"/>
      <c r="N322" s="423"/>
      <c r="O322" s="4" t="s">
        <v>1985</v>
      </c>
      <c r="P322">
        <v>293</v>
      </c>
      <c r="Q322" s="4" t="s">
        <v>1049</v>
      </c>
      <c r="R322" s="289" t="s">
        <v>1982</v>
      </c>
      <c r="S322">
        <f t="shared" si="260"/>
        <v>5.0000000000000004E-6</v>
      </c>
      <c r="T322" s="95" t="e">
        <f t="shared" si="261"/>
        <v>#DIV/0!</v>
      </c>
      <c r="W322">
        <v>4897.7881936844633</v>
      </c>
      <c r="X322" s="95">
        <f t="shared" si="262"/>
        <v>3.69</v>
      </c>
      <c r="Z322" s="190"/>
      <c r="AC322" t="s">
        <v>68</v>
      </c>
      <c r="AG322" s="138">
        <f t="shared" si="251"/>
        <v>3.69</v>
      </c>
      <c r="AH322">
        <f t="shared" si="252"/>
        <v>4.32</v>
      </c>
      <c r="AI322">
        <f t="shared" si="252"/>
        <v>4.32</v>
      </c>
      <c r="AL322">
        <f t="shared" si="256"/>
        <v>4.32</v>
      </c>
      <c r="BW322" s="138"/>
      <c r="DG322" s="138"/>
      <c r="EY322" s="479">
        <f>VLOOKUP(B322,Literatuur!$A:$B,2,FALSE)</f>
        <v>8</v>
      </c>
      <c r="EZ322" t="str">
        <f t="shared" si="241"/>
        <v>1,8-dimethylnaphthalene</v>
      </c>
      <c r="FA322" t="str">
        <f t="shared" si="242"/>
        <v>PAK</v>
      </c>
      <c r="FB322" t="str">
        <f t="shared" si="243"/>
        <v>LDPE</v>
      </c>
      <c r="FC322" t="str">
        <f t="shared" si="244"/>
        <v>Immersion (shaking)</v>
      </c>
      <c r="FD322">
        <f t="shared" si="245"/>
        <v>293</v>
      </c>
      <c r="FE322" t="str">
        <f t="shared" si="246"/>
        <v>water</v>
      </c>
      <c r="FF322" t="str">
        <f t="shared" si="247"/>
        <v>measured 0.000005</v>
      </c>
      <c r="FG322" s="408" t="str">
        <f t="shared" si="240"/>
        <v/>
      </c>
      <c r="FH322" s="138">
        <f t="shared" si="248"/>
        <v>3.69</v>
      </c>
      <c r="FI322" s="106">
        <f t="shared" si="228"/>
        <v>4.0512400734328518</v>
      </c>
      <c r="FJ322" s="138" t="str">
        <f t="shared" si="249"/>
        <v/>
      </c>
      <c r="FK322" s="138" t="str">
        <f t="shared" si="250"/>
        <v>**</v>
      </c>
    </row>
    <row r="323" spans="1:167" ht="12.75" hidden="1" customHeight="1" x14ac:dyDescent="0.2">
      <c r="A323">
        <v>288</v>
      </c>
      <c r="B323" s="4" t="s">
        <v>1937</v>
      </c>
      <c r="C323" s="4"/>
      <c r="D323" t="s">
        <v>592</v>
      </c>
      <c r="E323">
        <v>-1562</v>
      </c>
      <c r="F323" t="str">
        <f>VLOOKUP(E323,CompDbase!B:L,4,FALSE)</f>
        <v>1-methylfluorene</v>
      </c>
      <c r="G323" s="95" t="str">
        <f>VLOOKUP(E323,CompDbase!B:M,12,FALSE)</f>
        <v>PAK</v>
      </c>
      <c r="H323" s="95">
        <f>VLOOKUP(E323,CompDbase!B:L,8,FALSE)</f>
        <v>180</v>
      </c>
      <c r="I323" s="95">
        <f>VLOOKUP(E323,CompDbase!B:L,11,FALSE)</f>
        <v>169.4</v>
      </c>
      <c r="J323" s="95" t="e">
        <f>VLOOKUP(E323,CompDbase!B:L,9,FALSE)</f>
        <v>#DIV/0!</v>
      </c>
      <c r="K323" s="95">
        <f>VLOOKUP(E323,CompDbase!B:L,10,FALSE)</f>
        <v>4.97</v>
      </c>
      <c r="L323" s="4" t="s">
        <v>769</v>
      </c>
      <c r="O323" s="4" t="s">
        <v>1985</v>
      </c>
      <c r="P323">
        <v>293</v>
      </c>
      <c r="Q323" s="4" t="s">
        <v>1049</v>
      </c>
      <c r="R323" s="289" t="s">
        <v>1982</v>
      </c>
      <c r="S323">
        <f t="shared" si="260"/>
        <v>5.0000000000000004E-6</v>
      </c>
      <c r="T323" s="95" t="e">
        <f t="shared" si="261"/>
        <v>#DIV/0!</v>
      </c>
      <c r="W323">
        <v>14125.375446227561</v>
      </c>
      <c r="X323" s="95">
        <f t="shared" si="262"/>
        <v>4.1500000000000004</v>
      </c>
      <c r="Z323" s="190"/>
      <c r="AC323" t="s">
        <v>68</v>
      </c>
      <c r="AG323" s="138">
        <f t="shared" si="251"/>
        <v>4.1500000000000004</v>
      </c>
      <c r="AH323">
        <f t="shared" si="252"/>
        <v>4.97</v>
      </c>
      <c r="AI323">
        <f t="shared" si="252"/>
        <v>4.97</v>
      </c>
      <c r="AL323">
        <f t="shared" si="256"/>
        <v>4.97</v>
      </c>
      <c r="BW323" s="138"/>
      <c r="DG323" s="138"/>
      <c r="EY323" s="479">
        <f>VLOOKUP(B323,Literatuur!$A:$B,2,FALSE)</f>
        <v>8</v>
      </c>
      <c r="EZ323" t="str">
        <f t="shared" si="241"/>
        <v>1-methylfluorene</v>
      </c>
      <c r="FA323" t="str">
        <f t="shared" si="242"/>
        <v>PAK</v>
      </c>
      <c r="FB323" t="str">
        <f t="shared" si="243"/>
        <v>LDPE</v>
      </c>
      <c r="FC323" t="str">
        <f t="shared" si="244"/>
        <v>Immersion (shaking)</v>
      </c>
      <c r="FD323">
        <f t="shared" si="245"/>
        <v>293</v>
      </c>
      <c r="FE323" t="str">
        <f t="shared" si="246"/>
        <v>water</v>
      </c>
      <c r="FF323" t="str">
        <f t="shared" si="247"/>
        <v>measured 0.000005</v>
      </c>
      <c r="FG323" s="408" t="str">
        <f t="shared" si="240"/>
        <v/>
      </c>
      <c r="FH323" s="138">
        <f t="shared" si="248"/>
        <v>4.1500000000000004</v>
      </c>
      <c r="FI323" s="106">
        <f t="shared" si="228"/>
        <v>4.7632538750258187</v>
      </c>
      <c r="FJ323" s="138" t="str">
        <f t="shared" si="249"/>
        <v/>
      </c>
      <c r="FK323" s="138" t="str">
        <f t="shared" si="250"/>
        <v>**</v>
      </c>
    </row>
    <row r="324" spans="1:167" ht="12.75" hidden="1" customHeight="1" x14ac:dyDescent="0.2">
      <c r="A324">
        <v>289</v>
      </c>
      <c r="B324" s="4" t="s">
        <v>1937</v>
      </c>
      <c r="C324" s="4"/>
      <c r="D324" t="s">
        <v>579</v>
      </c>
      <c r="E324">
        <v>-1553</v>
      </c>
      <c r="F324" t="str">
        <f>VLOOKUP(E324,CompDbase!B:L,4,FALSE)</f>
        <v>1-methylnaphthalene</v>
      </c>
      <c r="G324" s="95" t="str">
        <f>VLOOKUP(E324,CompDbase!B:M,12,FALSE)</f>
        <v>PAK</v>
      </c>
      <c r="H324" s="95">
        <f>VLOOKUP(E324,CompDbase!B:L,8,FALSE)</f>
        <v>142</v>
      </c>
      <c r="I324" s="95">
        <f>VLOOKUP(E324,CompDbase!B:L,11,FALSE)</f>
        <v>139.9</v>
      </c>
      <c r="J324" s="95" t="e">
        <f>VLOOKUP(E324,CompDbase!B:L,9,FALSE)</f>
        <v>#DIV/0!</v>
      </c>
      <c r="K324" s="95">
        <f>VLOOKUP(E324,CompDbase!B:L,10,FALSE)</f>
        <v>3.87</v>
      </c>
      <c r="L324" s="4" t="s">
        <v>769</v>
      </c>
      <c r="M324" s="423"/>
      <c r="N324" s="423"/>
      <c r="O324" s="4" t="s">
        <v>1985</v>
      </c>
      <c r="P324">
        <v>293</v>
      </c>
      <c r="Q324" s="4" t="s">
        <v>1049</v>
      </c>
      <c r="R324" s="289" t="s">
        <v>1982</v>
      </c>
      <c r="S324">
        <f t="shared" si="260"/>
        <v>5.0000000000000004E-6</v>
      </c>
      <c r="T324" s="95" t="e">
        <f t="shared" si="261"/>
        <v>#DIV/0!</v>
      </c>
      <c r="W324">
        <v>1905.4607179632485</v>
      </c>
      <c r="X324" s="95">
        <f t="shared" si="262"/>
        <v>3.2800000000000002</v>
      </c>
      <c r="Z324" s="190"/>
      <c r="AC324" t="s">
        <v>68</v>
      </c>
      <c r="AG324" s="138">
        <f t="shared" si="251"/>
        <v>3.2800000000000002</v>
      </c>
      <c r="AH324">
        <f t="shared" si="252"/>
        <v>3.87</v>
      </c>
      <c r="AI324">
        <f t="shared" si="252"/>
        <v>3.87</v>
      </c>
      <c r="AL324">
        <f t="shared" si="256"/>
        <v>3.87</v>
      </c>
      <c r="BW324" s="138"/>
      <c r="DG324" s="138"/>
      <c r="EY324" s="479">
        <f>VLOOKUP(B324,Literatuur!$A:$B,2,FALSE)</f>
        <v>8</v>
      </c>
      <c r="EZ324" t="str">
        <f t="shared" si="241"/>
        <v>1-methylnaphthalene</v>
      </c>
      <c r="FA324" t="str">
        <f t="shared" si="242"/>
        <v>PAK</v>
      </c>
      <c r="FB324" t="str">
        <f t="shared" si="243"/>
        <v>LDPE</v>
      </c>
      <c r="FC324" t="str">
        <f t="shared" si="244"/>
        <v>Immersion (shaking)</v>
      </c>
      <c r="FD324">
        <f t="shared" si="245"/>
        <v>293</v>
      </c>
      <c r="FE324" t="str">
        <f t="shared" si="246"/>
        <v>water</v>
      </c>
      <c r="FF324" t="str">
        <f t="shared" si="247"/>
        <v>measured 0.000005</v>
      </c>
      <c r="FG324" s="408" t="str">
        <f t="shared" si="240"/>
        <v/>
      </c>
      <c r="FH324" s="138">
        <f t="shared" si="248"/>
        <v>3.2800000000000002</v>
      </c>
      <c r="FI324" s="106">
        <f t="shared" si="228"/>
        <v>3.5583074415607969</v>
      </c>
      <c r="FJ324" s="138" t="str">
        <f t="shared" si="249"/>
        <v/>
      </c>
      <c r="FK324" s="138" t="str">
        <f t="shared" si="250"/>
        <v>**</v>
      </c>
    </row>
    <row r="325" spans="1:167" ht="12.75" hidden="1" customHeight="1" x14ac:dyDescent="0.2">
      <c r="A325">
        <v>290</v>
      </c>
      <c r="B325" s="4" t="s">
        <v>1937</v>
      </c>
      <c r="C325" s="4"/>
      <c r="D325" t="s">
        <v>596</v>
      </c>
      <c r="E325">
        <v>-1565</v>
      </c>
      <c r="F325" t="str">
        <f>VLOOKUP(E325,CompDbase!B:L,4,FALSE)</f>
        <v>1-methylphenanthrene</v>
      </c>
      <c r="G325" s="95" t="str">
        <f>VLOOKUP(E325,CompDbase!B:M,12,FALSE)</f>
        <v>PAK</v>
      </c>
      <c r="H325" s="95">
        <f>VLOOKUP(E325,CompDbase!B:L,8,FALSE)</f>
        <v>192</v>
      </c>
      <c r="I325" s="95">
        <f>VLOOKUP(E325,CompDbase!B:L,11,FALSE)</f>
        <v>175.9</v>
      </c>
      <c r="J325" s="95" t="e">
        <f>VLOOKUP(E325,CompDbase!B:L,9,FALSE)</f>
        <v>#DIV/0!</v>
      </c>
      <c r="K325" s="95">
        <f>VLOOKUP(E325,CompDbase!B:L,10,FALSE)</f>
        <v>5.08</v>
      </c>
      <c r="L325" s="4" t="s">
        <v>769</v>
      </c>
      <c r="O325" s="4" t="s">
        <v>1985</v>
      </c>
      <c r="P325">
        <v>293</v>
      </c>
      <c r="Q325" s="4" t="s">
        <v>1049</v>
      </c>
      <c r="R325" s="289" t="s">
        <v>1982</v>
      </c>
      <c r="S325">
        <f t="shared" si="260"/>
        <v>5.0000000000000004E-6</v>
      </c>
      <c r="T325" s="95" t="e">
        <f t="shared" si="261"/>
        <v>#DIV/0!</v>
      </c>
      <c r="W325">
        <v>44668.359215096389</v>
      </c>
      <c r="X325" s="95">
        <f t="shared" si="262"/>
        <v>4.6500000000000004</v>
      </c>
      <c r="Z325" s="190"/>
      <c r="AC325" t="s">
        <v>68</v>
      </c>
      <c r="AG325" s="138">
        <f t="shared" si="251"/>
        <v>4.6500000000000004</v>
      </c>
      <c r="AH325">
        <f t="shared" si="252"/>
        <v>5.08</v>
      </c>
      <c r="AI325">
        <f t="shared" si="252"/>
        <v>5.08</v>
      </c>
      <c r="AL325">
        <f t="shared" si="256"/>
        <v>5.08</v>
      </c>
      <c r="BW325" s="138"/>
      <c r="DG325" s="138"/>
      <c r="EY325" s="479">
        <f>VLOOKUP(B325,Literatuur!$A:$B,2,FALSE)</f>
        <v>8</v>
      </c>
      <c r="EZ325" t="str">
        <f t="shared" si="241"/>
        <v>1-methylphenanthrene</v>
      </c>
      <c r="FA325" t="str">
        <f t="shared" si="242"/>
        <v>PAK</v>
      </c>
      <c r="FB325" t="str">
        <f t="shared" si="243"/>
        <v>LDPE</v>
      </c>
      <c r="FC325" t="str">
        <f t="shared" si="244"/>
        <v>Immersion (shaking)</v>
      </c>
      <c r="FD325">
        <f t="shared" si="245"/>
        <v>293</v>
      </c>
      <c r="FE325" t="str">
        <f t="shared" si="246"/>
        <v>water</v>
      </c>
      <c r="FF325" t="str">
        <f t="shared" si="247"/>
        <v>measured 0.000005</v>
      </c>
      <c r="FG325" s="408" t="str">
        <f t="shared" si="240"/>
        <v/>
      </c>
      <c r="FH325" s="138">
        <f t="shared" si="248"/>
        <v>4.6500000000000004</v>
      </c>
      <c r="FI325" s="106">
        <f t="shared" si="228"/>
        <v>4.8837485183723208</v>
      </c>
      <c r="FJ325" s="138" t="str">
        <f t="shared" si="249"/>
        <v/>
      </c>
      <c r="FK325" s="138" t="str">
        <f t="shared" si="250"/>
        <v>**</v>
      </c>
    </row>
    <row r="326" spans="1:167" ht="12.75" hidden="1" customHeight="1" x14ac:dyDescent="0.2">
      <c r="A326">
        <v>291</v>
      </c>
      <c r="B326" s="4" t="s">
        <v>1937</v>
      </c>
      <c r="C326" s="4"/>
      <c r="D326" t="s">
        <v>603</v>
      </c>
      <c r="E326">
        <v>-1570</v>
      </c>
      <c r="F326" t="str">
        <f>VLOOKUP(E326,CompDbase!B:L,4,FALSE)</f>
        <v>1-methylpyrene</v>
      </c>
      <c r="G326" s="95" t="str">
        <f>VLOOKUP(E326,CompDbase!B:M,12,FALSE)</f>
        <v>PAK</v>
      </c>
      <c r="H326" s="95">
        <f>VLOOKUP(E326,CompDbase!B:L,8,FALSE)</f>
        <v>216</v>
      </c>
      <c r="I326" s="95">
        <f>VLOOKUP(E326,CompDbase!B:L,11,FALSE)</f>
        <v>197.7</v>
      </c>
      <c r="J326" s="95" t="e">
        <f>VLOOKUP(E326,CompDbase!B:L,9,FALSE)</f>
        <v>#DIV/0!</v>
      </c>
      <c r="K326" s="95">
        <f>VLOOKUP(E326,CompDbase!B:L,10,FALSE)</f>
        <v>5.48</v>
      </c>
      <c r="L326" s="4" t="s">
        <v>769</v>
      </c>
      <c r="O326" s="4" t="s">
        <v>1985</v>
      </c>
      <c r="P326">
        <v>293</v>
      </c>
      <c r="Q326" s="4" t="s">
        <v>1049</v>
      </c>
      <c r="R326" s="289" t="s">
        <v>1982</v>
      </c>
      <c r="S326">
        <f t="shared" si="260"/>
        <v>5.0000000000000004E-6</v>
      </c>
      <c r="T326" s="95" t="e">
        <f t="shared" si="261"/>
        <v>#DIV/0!</v>
      </c>
      <c r="W326">
        <v>257039.57827688678</v>
      </c>
      <c r="X326" s="95">
        <f t="shared" si="262"/>
        <v>5.410000000000001</v>
      </c>
      <c r="Z326" s="190"/>
      <c r="AC326" t="s">
        <v>68</v>
      </c>
      <c r="AG326" s="138">
        <f t="shared" si="251"/>
        <v>5.410000000000001</v>
      </c>
      <c r="AH326">
        <f t="shared" si="252"/>
        <v>5.48</v>
      </c>
      <c r="AI326">
        <f t="shared" si="252"/>
        <v>5.48</v>
      </c>
      <c r="AL326">
        <f t="shared" si="256"/>
        <v>5.48</v>
      </c>
      <c r="BW326" s="138"/>
      <c r="DG326" s="138"/>
      <c r="EY326" s="479">
        <f>VLOOKUP(B326,Literatuur!$A:$B,2,FALSE)</f>
        <v>8</v>
      </c>
      <c r="EZ326" t="str">
        <f t="shared" si="241"/>
        <v>1-methylpyrene</v>
      </c>
      <c r="FA326" t="str">
        <f t="shared" si="242"/>
        <v>PAK</v>
      </c>
      <c r="FB326" t="str">
        <f t="shared" si="243"/>
        <v>LDPE</v>
      </c>
      <c r="FC326" t="str">
        <f t="shared" si="244"/>
        <v>Immersion (shaking)</v>
      </c>
      <c r="FD326">
        <f t="shared" si="245"/>
        <v>293</v>
      </c>
      <c r="FE326" t="str">
        <f t="shared" si="246"/>
        <v>water</v>
      </c>
      <c r="FF326" t="str">
        <f t="shared" si="247"/>
        <v>measured 0.000005</v>
      </c>
      <c r="FG326" s="408" t="str">
        <f t="shared" si="240"/>
        <v/>
      </c>
      <c r="FH326" s="138">
        <f t="shared" si="248"/>
        <v>5.410000000000001</v>
      </c>
      <c r="FI326" s="106">
        <f t="shared" si="228"/>
        <v>5.3219108578141476</v>
      </c>
      <c r="FJ326" s="138" t="str">
        <f t="shared" si="249"/>
        <v/>
      </c>
      <c r="FK326" s="138" t="str">
        <f t="shared" si="250"/>
        <v>**</v>
      </c>
    </row>
    <row r="327" spans="1:167" ht="12.75" hidden="1" customHeight="1" x14ac:dyDescent="0.2">
      <c r="A327">
        <v>292</v>
      </c>
      <c r="B327" s="4" t="s">
        <v>1937</v>
      </c>
      <c r="C327" s="4"/>
      <c r="D327" t="s">
        <v>588</v>
      </c>
      <c r="E327">
        <v>-1560</v>
      </c>
      <c r="F327" t="str">
        <f>VLOOKUP(E327,CompDbase!B:L,4,FALSE)</f>
        <v>2,3,5-trimethylnaphthalene</v>
      </c>
      <c r="G327" s="95" t="str">
        <f>VLOOKUP(E327,CompDbase!B:M,12,FALSE)</f>
        <v>PAK</v>
      </c>
      <c r="H327" s="95">
        <f>VLOOKUP(E327,CompDbase!B:L,8,FALSE)</f>
        <v>170</v>
      </c>
      <c r="I327" s="95">
        <f>VLOOKUP(E327,CompDbase!B:L,11,FALSE)</f>
        <v>170.2</v>
      </c>
      <c r="J327" s="95" t="e">
        <f>VLOOKUP(E327,CompDbase!B:L,9,FALSE)</f>
        <v>#DIV/0!</v>
      </c>
      <c r="K327" s="95">
        <f>VLOOKUP(E327,CompDbase!B:L,10,FALSE)</f>
        <v>4.8099999999999996</v>
      </c>
      <c r="L327" s="4" t="s">
        <v>769</v>
      </c>
      <c r="M327" s="423"/>
      <c r="N327" s="423"/>
      <c r="O327" s="4" t="s">
        <v>1985</v>
      </c>
      <c r="P327">
        <v>293</v>
      </c>
      <c r="Q327" s="4" t="s">
        <v>1049</v>
      </c>
      <c r="R327" s="289" t="s">
        <v>1982</v>
      </c>
      <c r="S327">
        <f t="shared" si="260"/>
        <v>5.0000000000000004E-6</v>
      </c>
      <c r="T327" s="95" t="e">
        <f t="shared" si="261"/>
        <v>#DIV/0!</v>
      </c>
      <c r="W327">
        <v>15488.166189124853</v>
      </c>
      <c r="X327" s="95">
        <f t="shared" si="262"/>
        <v>4.1900000000000013</v>
      </c>
      <c r="Z327" s="190"/>
      <c r="AC327" t="s">
        <v>68</v>
      </c>
      <c r="AG327" s="138">
        <f t="shared" si="251"/>
        <v>4.1900000000000013</v>
      </c>
      <c r="AH327">
        <f t="shared" si="252"/>
        <v>4.8099999999999996</v>
      </c>
      <c r="AI327">
        <f t="shared" si="252"/>
        <v>4.8099999999999996</v>
      </c>
      <c r="AL327">
        <f t="shared" si="256"/>
        <v>4.8099999999999996</v>
      </c>
      <c r="BW327" s="138"/>
      <c r="DG327" s="138"/>
      <c r="EY327" s="479">
        <f>VLOOKUP(B327,Literatuur!$A:$B,2,FALSE)</f>
        <v>8</v>
      </c>
      <c r="EZ327" t="str">
        <f t="shared" si="241"/>
        <v>2,3,5-trimethylnaphthalene</v>
      </c>
      <c r="FA327" t="str">
        <f t="shared" si="242"/>
        <v>PAK</v>
      </c>
      <c r="FB327" t="str">
        <f t="shared" si="243"/>
        <v>LDPE</v>
      </c>
      <c r="FC327" t="str">
        <f t="shared" si="244"/>
        <v>Immersion (shaking)</v>
      </c>
      <c r="FD327">
        <f t="shared" si="245"/>
        <v>293</v>
      </c>
      <c r="FE327" t="str">
        <f t="shared" si="246"/>
        <v>water</v>
      </c>
      <c r="FF327" t="str">
        <f t="shared" si="247"/>
        <v>measured 0.000005</v>
      </c>
      <c r="FG327" s="408" t="str">
        <f t="shared" si="240"/>
        <v/>
      </c>
      <c r="FH327" s="138">
        <f t="shared" si="248"/>
        <v>4.1900000000000013</v>
      </c>
      <c r="FI327" s="106">
        <f t="shared" si="228"/>
        <v>4.5879889392490876</v>
      </c>
      <c r="FJ327" s="138" t="str">
        <f t="shared" si="249"/>
        <v/>
      </c>
      <c r="FK327" s="138" t="str">
        <f t="shared" si="250"/>
        <v>**</v>
      </c>
    </row>
    <row r="328" spans="1:167" ht="12.75" hidden="1" customHeight="1" x14ac:dyDescent="0.2">
      <c r="A328">
        <v>293</v>
      </c>
      <c r="B328" s="4" t="s">
        <v>1937</v>
      </c>
      <c r="C328" s="4"/>
      <c r="D328" t="s">
        <v>587</v>
      </c>
      <c r="E328">
        <v>-1559</v>
      </c>
      <c r="F328" t="str">
        <f>VLOOKUP(E328,CompDbase!B:L,4,FALSE)</f>
        <v>2,3,6-trimethylnaphthalene</v>
      </c>
      <c r="G328" s="95" t="str">
        <f>VLOOKUP(E328,CompDbase!B:M,12,FALSE)</f>
        <v>PAK</v>
      </c>
      <c r="H328" s="95">
        <f>VLOOKUP(E328,CompDbase!B:L,8,FALSE)</f>
        <v>170</v>
      </c>
      <c r="I328" s="95">
        <f>VLOOKUP(E328,CompDbase!B:L,11,FALSE)</f>
        <v>170.3</v>
      </c>
      <c r="J328" s="95" t="e">
        <f>VLOOKUP(E328,CompDbase!B:L,9,FALSE)</f>
        <v>#DIV/0!</v>
      </c>
      <c r="K328" s="95">
        <f>VLOOKUP(E328,CompDbase!B:L,10,FALSE)</f>
        <v>4.7300000000000004</v>
      </c>
      <c r="L328" s="4" t="s">
        <v>769</v>
      </c>
      <c r="O328" s="4" t="s">
        <v>1985</v>
      </c>
      <c r="P328">
        <v>293</v>
      </c>
      <c r="Q328" s="4" t="s">
        <v>1049</v>
      </c>
      <c r="R328" s="289" t="s">
        <v>1982</v>
      </c>
      <c r="S328">
        <f t="shared" si="260"/>
        <v>5.0000000000000004E-6</v>
      </c>
      <c r="T328" s="95" t="e">
        <f t="shared" si="261"/>
        <v>#DIV/0!</v>
      </c>
      <c r="W328">
        <v>20417.379446695286</v>
      </c>
      <c r="X328" s="95">
        <f t="shared" si="262"/>
        <v>4.3099999999999996</v>
      </c>
      <c r="Z328" s="190"/>
      <c r="AC328" t="s">
        <v>68</v>
      </c>
      <c r="AG328" s="138">
        <f t="shared" si="251"/>
        <v>4.3099999999999996</v>
      </c>
      <c r="AH328">
        <f t="shared" si="252"/>
        <v>4.7300000000000004</v>
      </c>
      <c r="AI328">
        <f t="shared" si="252"/>
        <v>4.7300000000000004</v>
      </c>
      <c r="AL328">
        <f t="shared" si="256"/>
        <v>4.7300000000000004</v>
      </c>
      <c r="BW328" s="138"/>
      <c r="DG328" s="138"/>
      <c r="EY328" s="479">
        <f>VLOOKUP(B328,Literatuur!$A:$B,2,FALSE)</f>
        <v>8</v>
      </c>
      <c r="EZ328" t="str">
        <f t="shared" si="241"/>
        <v>2,3,6-trimethylnaphthalene</v>
      </c>
      <c r="FA328" t="str">
        <f t="shared" si="242"/>
        <v>PAK</v>
      </c>
      <c r="FB328" t="str">
        <f t="shared" si="243"/>
        <v>LDPE</v>
      </c>
      <c r="FC328" t="str">
        <f t="shared" si="244"/>
        <v>Immersion (shaking)</v>
      </c>
      <c r="FD328">
        <f t="shared" si="245"/>
        <v>293</v>
      </c>
      <c r="FE328" t="str">
        <f t="shared" si="246"/>
        <v>water</v>
      </c>
      <c r="FF328" t="str">
        <f t="shared" si="247"/>
        <v>measured 0.000005</v>
      </c>
      <c r="FG328" s="408" t="str">
        <f t="shared" si="240"/>
        <v/>
      </c>
      <c r="FH328" s="138">
        <f t="shared" si="248"/>
        <v>4.3099999999999996</v>
      </c>
      <c r="FI328" s="106">
        <f t="shared" si="228"/>
        <v>4.5003564713607238</v>
      </c>
      <c r="FJ328" s="138" t="str">
        <f t="shared" si="249"/>
        <v/>
      </c>
      <c r="FK328" s="138" t="str">
        <f t="shared" si="250"/>
        <v>**</v>
      </c>
    </row>
    <row r="329" spans="1:167" ht="12.75" hidden="1" customHeight="1" x14ac:dyDescent="0.2">
      <c r="A329">
        <v>294</v>
      </c>
      <c r="B329" s="4" t="s">
        <v>1937</v>
      </c>
      <c r="C329" s="4"/>
      <c r="D329" t="s">
        <v>581</v>
      </c>
      <c r="E329">
        <v>-1554</v>
      </c>
      <c r="F329" t="str">
        <f>VLOOKUP(E329,CompDbase!B:L,4,FALSE)</f>
        <v>2,6-dimethylnaphthalene</v>
      </c>
      <c r="G329" s="95" t="str">
        <f>VLOOKUP(E329,CompDbase!B:M,12,FALSE)</f>
        <v>PAK</v>
      </c>
      <c r="H329" s="95">
        <f>VLOOKUP(E329,CompDbase!B:L,8,FALSE)</f>
        <v>156</v>
      </c>
      <c r="I329" s="95">
        <f>VLOOKUP(E329,CompDbase!B:L,11,FALSE)</f>
        <v>155.9</v>
      </c>
      <c r="J329" s="95" t="e">
        <f>VLOOKUP(E329,CompDbase!B:L,9,FALSE)</f>
        <v>#DIV/0!</v>
      </c>
      <c r="K329" s="95">
        <f>VLOOKUP(E329,CompDbase!B:L,10,FALSE)</f>
        <v>4.3099999999999996</v>
      </c>
      <c r="L329" s="4" t="s">
        <v>769</v>
      </c>
      <c r="M329" s="423"/>
      <c r="N329" s="423"/>
      <c r="O329" s="4" t="s">
        <v>1985</v>
      </c>
      <c r="P329">
        <v>293</v>
      </c>
      <c r="Q329" s="4" t="s">
        <v>1049</v>
      </c>
      <c r="R329" s="289" t="s">
        <v>1982</v>
      </c>
      <c r="S329">
        <f t="shared" si="260"/>
        <v>5.0000000000000004E-6</v>
      </c>
      <c r="T329" s="95" t="e">
        <f t="shared" si="261"/>
        <v>#DIV/0!</v>
      </c>
      <c r="W329">
        <v>7079.4578438413828</v>
      </c>
      <c r="X329" s="95">
        <f t="shared" si="262"/>
        <v>3.85</v>
      </c>
      <c r="Z329" s="190"/>
      <c r="AC329" t="s">
        <v>68</v>
      </c>
      <c r="AG329" s="138">
        <f t="shared" si="251"/>
        <v>3.85</v>
      </c>
      <c r="AH329">
        <f t="shared" si="252"/>
        <v>4.3099999999999996</v>
      </c>
      <c r="AI329">
        <f t="shared" si="252"/>
        <v>4.3099999999999996</v>
      </c>
      <c r="AL329">
        <f t="shared" si="256"/>
        <v>4.3099999999999996</v>
      </c>
      <c r="BW329" s="138"/>
      <c r="DG329" s="138"/>
      <c r="EY329" s="479">
        <f>VLOOKUP(B329,Literatuur!$A:$B,2,FALSE)</f>
        <v>8</v>
      </c>
      <c r="EZ329" t="str">
        <f t="shared" si="241"/>
        <v>2,6-dimethylnaphthalene</v>
      </c>
      <c r="FA329" t="str">
        <f t="shared" si="242"/>
        <v>PAK</v>
      </c>
      <c r="FB329" t="str">
        <f t="shared" si="243"/>
        <v>LDPE</v>
      </c>
      <c r="FC329" t="str">
        <f t="shared" si="244"/>
        <v>Immersion (shaking)</v>
      </c>
      <c r="FD329">
        <f t="shared" si="245"/>
        <v>293</v>
      </c>
      <c r="FE329" t="str">
        <f t="shared" si="246"/>
        <v>water</v>
      </c>
      <c r="FF329" t="str">
        <f t="shared" si="247"/>
        <v>measured 0.000005</v>
      </c>
      <c r="FG329" s="408" t="str">
        <f t="shared" si="240"/>
        <v/>
      </c>
      <c r="FH329" s="138">
        <f t="shared" si="248"/>
        <v>3.85</v>
      </c>
      <c r="FI329" s="106">
        <f t="shared" si="228"/>
        <v>4.0402860149468056</v>
      </c>
      <c r="FJ329" s="138" t="str">
        <f t="shared" si="249"/>
        <v/>
      </c>
      <c r="FK329" s="138" t="str">
        <f t="shared" si="250"/>
        <v>**</v>
      </c>
    </row>
    <row r="330" spans="1:167" ht="12.75" hidden="1" customHeight="1" x14ac:dyDescent="0.2">
      <c r="A330">
        <v>295</v>
      </c>
      <c r="B330" s="4" t="s">
        <v>1937</v>
      </c>
      <c r="C330" s="4"/>
      <c r="D330" t="s">
        <v>600</v>
      </c>
      <c r="E330">
        <v>-1568</v>
      </c>
      <c r="F330" t="str">
        <f>VLOOKUP(E330,CompDbase!B:L,4,FALSE)</f>
        <v>2-ethylanthracene</v>
      </c>
      <c r="G330" s="95" t="str">
        <f>VLOOKUP(E330,CompDbase!B:M,12,FALSE)</f>
        <v>PAK</v>
      </c>
      <c r="H330" s="95">
        <f>VLOOKUP(E330,CompDbase!B:L,8,FALSE)</f>
        <v>206</v>
      </c>
      <c r="I330" s="95">
        <f>VLOOKUP(E330,CompDbase!B:L,11,FALSE)</f>
        <v>191.2</v>
      </c>
      <c r="J330" s="95" t="e">
        <f>VLOOKUP(E330,CompDbase!B:L,9,FALSE)</f>
        <v>#DIV/0!</v>
      </c>
      <c r="K330" s="95">
        <f>VLOOKUP(E330,CompDbase!B:L,10,FALSE)</f>
        <v>5.85</v>
      </c>
      <c r="L330" s="4" t="s">
        <v>769</v>
      </c>
      <c r="M330" s="423"/>
      <c r="N330" s="423"/>
      <c r="O330" s="4" t="s">
        <v>1985</v>
      </c>
      <c r="P330">
        <v>293</v>
      </c>
      <c r="Q330" s="4" t="s">
        <v>1049</v>
      </c>
      <c r="R330" s="289" t="s">
        <v>1982</v>
      </c>
      <c r="S330">
        <f t="shared" si="260"/>
        <v>5.0000000000000004E-6</v>
      </c>
      <c r="T330" s="95" t="e">
        <f t="shared" si="261"/>
        <v>#DIV/0!</v>
      </c>
      <c r="W330">
        <v>177827.94100389251</v>
      </c>
      <c r="X330" s="95">
        <f t="shared" si="262"/>
        <v>5.2500000000000009</v>
      </c>
      <c r="Z330" s="190"/>
      <c r="AC330" t="s">
        <v>68</v>
      </c>
      <c r="AG330" s="138">
        <f t="shared" si="251"/>
        <v>5.2500000000000009</v>
      </c>
      <c r="AH330">
        <f t="shared" si="252"/>
        <v>5.85</v>
      </c>
      <c r="AI330">
        <f t="shared" si="252"/>
        <v>5.85</v>
      </c>
      <c r="AL330">
        <f t="shared" si="256"/>
        <v>5.85</v>
      </c>
      <c r="BW330" s="138"/>
      <c r="DG330" s="138"/>
      <c r="EY330" s="479">
        <f>VLOOKUP(B330,Literatuur!$A:$B,2,FALSE)</f>
        <v>8</v>
      </c>
      <c r="EZ330" t="str">
        <f t="shared" si="241"/>
        <v>2-ethylanthracene</v>
      </c>
      <c r="FA330" t="str">
        <f t="shared" si="242"/>
        <v>PAK</v>
      </c>
      <c r="FB330" t="str">
        <f t="shared" si="243"/>
        <v>LDPE</v>
      </c>
      <c r="FC330" t="str">
        <f t="shared" si="244"/>
        <v>Immersion (shaking)</v>
      </c>
      <c r="FD330">
        <f t="shared" si="245"/>
        <v>293</v>
      </c>
      <c r="FE330" t="str">
        <f t="shared" si="246"/>
        <v>water</v>
      </c>
      <c r="FF330" t="str">
        <f t="shared" si="247"/>
        <v>measured 0.000005</v>
      </c>
      <c r="FG330" s="408" t="str">
        <f t="shared" si="240"/>
        <v/>
      </c>
      <c r="FH330" s="138">
        <f t="shared" si="248"/>
        <v>5.2500000000000009</v>
      </c>
      <c r="FI330" s="106">
        <f t="shared" si="228"/>
        <v>5.727211021797836</v>
      </c>
      <c r="FJ330" s="138" t="str">
        <f t="shared" si="249"/>
        <v/>
      </c>
      <c r="FK330" s="138" t="str">
        <f t="shared" si="250"/>
        <v>**</v>
      </c>
    </row>
    <row r="331" spans="1:167" ht="12.75" hidden="1" customHeight="1" x14ac:dyDescent="0.2">
      <c r="A331">
        <v>296</v>
      </c>
      <c r="B331" s="4" t="s">
        <v>1937</v>
      </c>
      <c r="C331" s="4"/>
      <c r="D331" t="s">
        <v>595</v>
      </c>
      <c r="E331">
        <v>-1564</v>
      </c>
      <c r="F331" t="str">
        <f>VLOOKUP(E331,CompDbase!B:L,4,FALSE)</f>
        <v>2-methylanthracene</v>
      </c>
      <c r="G331" s="95" t="str">
        <f>VLOOKUP(E331,CompDbase!B:M,12,FALSE)</f>
        <v>PAK</v>
      </c>
      <c r="H331" s="95">
        <f>VLOOKUP(E331,CompDbase!B:L,8,FALSE)</f>
        <v>192.15</v>
      </c>
      <c r="I331" s="95">
        <f>VLOOKUP(E331,CompDbase!B:L,11,FALSE)</f>
        <v>174.8</v>
      </c>
      <c r="J331" s="95">
        <f>VLOOKUP(E331,CompDbase!B:L,9,FALSE)</f>
        <v>1.6610369145756172</v>
      </c>
      <c r="K331" s="95">
        <f>VLOOKUP(E331,CompDbase!B:L,10,FALSE)</f>
        <v>4.8499999999999996</v>
      </c>
      <c r="L331" s="4" t="s">
        <v>769</v>
      </c>
      <c r="O331" s="4" t="s">
        <v>1985</v>
      </c>
      <c r="P331">
        <v>293</v>
      </c>
      <c r="Q331" s="4" t="s">
        <v>1049</v>
      </c>
      <c r="R331" s="289" t="s">
        <v>1982</v>
      </c>
      <c r="S331">
        <f t="shared" si="260"/>
        <v>5.0000000000000004E-6</v>
      </c>
      <c r="T331" s="95">
        <f t="shared" si="261"/>
        <v>3.0101678994156875E-6</v>
      </c>
      <c r="W331">
        <v>44668.359215096389</v>
      </c>
      <c r="X331" s="95">
        <f t="shared" si="262"/>
        <v>4.6500000000000004</v>
      </c>
      <c r="Z331" s="190"/>
      <c r="AC331" t="s">
        <v>68</v>
      </c>
      <c r="AG331" s="138">
        <f t="shared" si="251"/>
        <v>4.6500000000000004</v>
      </c>
      <c r="AH331">
        <f t="shared" si="252"/>
        <v>4.8499999999999996</v>
      </c>
      <c r="AI331">
        <f t="shared" si="252"/>
        <v>4.8499999999999996</v>
      </c>
      <c r="AL331">
        <f t="shared" si="256"/>
        <v>4.8499999999999996</v>
      </c>
      <c r="BW331" s="138"/>
      <c r="BX331">
        <f>LOG(1*$J331)</f>
        <v>0.22037928423847888</v>
      </c>
      <c r="BY331">
        <f>LOG(1*$J331)</f>
        <v>0.22037928423847888</v>
      </c>
      <c r="CB331">
        <f>LOG(1*$J331)</f>
        <v>0.22037928423847888</v>
      </c>
      <c r="DG331" s="138"/>
      <c r="EY331" s="479">
        <f>VLOOKUP(B331,Literatuur!$A:$B,2,FALSE)</f>
        <v>8</v>
      </c>
      <c r="EZ331" t="str">
        <f t="shared" si="241"/>
        <v>2-methylanthracene</v>
      </c>
      <c r="FA331" t="str">
        <f t="shared" si="242"/>
        <v>PAK</v>
      </c>
      <c r="FB331" t="str">
        <f t="shared" si="243"/>
        <v>LDPE</v>
      </c>
      <c r="FC331" t="str">
        <f t="shared" si="244"/>
        <v>Immersion (shaking)</v>
      </c>
      <c r="FD331">
        <f t="shared" si="245"/>
        <v>293</v>
      </c>
      <c r="FE331" t="str">
        <f t="shared" si="246"/>
        <v>water</v>
      </c>
      <c r="FF331" t="str">
        <f t="shared" si="247"/>
        <v>measured 0.000005</v>
      </c>
      <c r="FG331" s="408">
        <f t="shared" si="240"/>
        <v>3.0101678994156875E-6</v>
      </c>
      <c r="FH331" s="138">
        <f t="shared" si="248"/>
        <v>4.6500000000000004</v>
      </c>
      <c r="FI331" s="106">
        <f t="shared" si="228"/>
        <v>4.6318051731932703</v>
      </c>
      <c r="FJ331" s="138" t="str">
        <f t="shared" si="249"/>
        <v/>
      </c>
      <c r="FK331" s="138" t="str">
        <f t="shared" si="250"/>
        <v>**</v>
      </c>
    </row>
    <row r="332" spans="1:167" ht="12.75" hidden="1" customHeight="1" x14ac:dyDescent="0.2">
      <c r="A332">
        <v>297</v>
      </c>
      <c r="B332" s="4" t="s">
        <v>1937</v>
      </c>
      <c r="C332" s="4"/>
      <c r="D332" t="s">
        <v>578</v>
      </c>
      <c r="E332">
        <v>-1552</v>
      </c>
      <c r="F332" t="str">
        <f>VLOOKUP(E332,CompDbase!B:L,4,FALSE)</f>
        <v>2-methylnaphthalene</v>
      </c>
      <c r="G332" s="95" t="str">
        <f>VLOOKUP(E332,CompDbase!B:M,12,FALSE)</f>
        <v>PAK</v>
      </c>
      <c r="H332" s="95">
        <f>VLOOKUP(E332,CompDbase!B:L,8,FALSE)</f>
        <v>167.15</v>
      </c>
      <c r="I332" s="95">
        <f>VLOOKUP(E332,CompDbase!B:L,11,FALSE)</f>
        <v>158.25</v>
      </c>
      <c r="J332" s="95">
        <f>VLOOKUP(E332,CompDbase!B:L,9,FALSE)</f>
        <v>1.6610369145756172</v>
      </c>
      <c r="K332" s="95">
        <f>VLOOKUP(E332,CompDbase!B:L,10,FALSE)</f>
        <v>4.28</v>
      </c>
      <c r="L332" s="4" t="s">
        <v>769</v>
      </c>
      <c r="O332" s="4" t="s">
        <v>1985</v>
      </c>
      <c r="P332">
        <v>293</v>
      </c>
      <c r="Q332" s="4" t="s">
        <v>1049</v>
      </c>
      <c r="R332" s="289" t="s">
        <v>1982</v>
      </c>
      <c r="S332">
        <f t="shared" si="260"/>
        <v>5.0000000000000004E-6</v>
      </c>
      <c r="T332" s="95">
        <f t="shared" si="261"/>
        <v>3.0101678994156875E-6</v>
      </c>
      <c r="W332">
        <v>2041.7379446695318</v>
      </c>
      <c r="X332" s="95">
        <f t="shared" si="262"/>
        <v>3.3100000000000005</v>
      </c>
      <c r="Z332" s="190"/>
      <c r="AC332" t="s">
        <v>68</v>
      </c>
      <c r="AG332" s="138">
        <f t="shared" si="251"/>
        <v>3.3100000000000005</v>
      </c>
      <c r="AH332">
        <f t="shared" si="252"/>
        <v>4.28</v>
      </c>
      <c r="AI332">
        <f t="shared" si="252"/>
        <v>4.28</v>
      </c>
      <c r="AL332">
        <f t="shared" si="256"/>
        <v>4.28</v>
      </c>
      <c r="BW332" s="138"/>
      <c r="BX332">
        <f>LOG(1*$J332)</f>
        <v>0.22037928423847888</v>
      </c>
      <c r="BY332">
        <f>LOG(1*$J332)</f>
        <v>0.22037928423847888</v>
      </c>
      <c r="CB332">
        <f>LOG(1*$J332)</f>
        <v>0.22037928423847888</v>
      </c>
      <c r="DG332" s="138"/>
      <c r="EY332" s="479">
        <f>VLOOKUP(B332,Literatuur!$A:$B,2,FALSE)</f>
        <v>8</v>
      </c>
      <c r="EZ332" t="str">
        <f t="shared" si="241"/>
        <v>2-methylnaphthalene</v>
      </c>
      <c r="FA332" t="str">
        <f t="shared" si="242"/>
        <v>PAK</v>
      </c>
      <c r="FB332" t="str">
        <f t="shared" si="243"/>
        <v>LDPE</v>
      </c>
      <c r="FC332" t="str">
        <f t="shared" si="244"/>
        <v>Immersion (shaking)</v>
      </c>
      <c r="FD332">
        <f t="shared" si="245"/>
        <v>293</v>
      </c>
      <c r="FE332" t="str">
        <f t="shared" si="246"/>
        <v>water</v>
      </c>
      <c r="FF332" t="str">
        <f t="shared" si="247"/>
        <v>measured 0.000005</v>
      </c>
      <c r="FG332" s="408">
        <f t="shared" si="240"/>
        <v>3.0101678994156875E-6</v>
      </c>
      <c r="FH332" s="138">
        <f t="shared" si="248"/>
        <v>3.3100000000000005</v>
      </c>
      <c r="FI332" s="106">
        <f t="shared" si="228"/>
        <v>4.007423839488669</v>
      </c>
      <c r="FJ332" s="138" t="str">
        <f t="shared" si="249"/>
        <v/>
      </c>
      <c r="FK332" s="138" t="str">
        <f t="shared" si="250"/>
        <v>**</v>
      </c>
    </row>
    <row r="333" spans="1:167" ht="12.75" hidden="1" customHeight="1" x14ac:dyDescent="0.2">
      <c r="A333">
        <v>298</v>
      </c>
      <c r="B333" s="4" t="s">
        <v>1937</v>
      </c>
      <c r="C333" s="4"/>
      <c r="D333" t="s">
        <v>594</v>
      </c>
      <c r="E333">
        <v>-1563</v>
      </c>
      <c r="F333" t="str">
        <f>VLOOKUP(E333,CompDbase!B:L,4,FALSE)</f>
        <v>2-methylphenanthrene</v>
      </c>
      <c r="G333" s="95" t="str">
        <f>VLOOKUP(E333,CompDbase!B:M,12,FALSE)</f>
        <v>PAK</v>
      </c>
      <c r="H333" s="95">
        <f>VLOOKUP(E333,CompDbase!B:L,8,FALSE)</f>
        <v>192</v>
      </c>
      <c r="I333" s="95">
        <f>VLOOKUP(E333,CompDbase!B:L,11,FALSE)</f>
        <v>176</v>
      </c>
      <c r="J333" s="95" t="e">
        <f>VLOOKUP(E333,CompDbase!B:L,9,FALSE)</f>
        <v>#DIV/0!</v>
      </c>
      <c r="K333" s="95">
        <f>VLOOKUP(E333,CompDbase!B:L,10,FALSE)</f>
        <v>5.01</v>
      </c>
      <c r="L333" s="4" t="s">
        <v>769</v>
      </c>
      <c r="O333" s="4" t="s">
        <v>1985</v>
      </c>
      <c r="P333">
        <v>293</v>
      </c>
      <c r="Q333" s="4" t="s">
        <v>1049</v>
      </c>
      <c r="R333" s="289" t="s">
        <v>1982</v>
      </c>
      <c r="S333">
        <f t="shared" si="260"/>
        <v>5.0000000000000004E-6</v>
      </c>
      <c r="T333" s="95" t="e">
        <f t="shared" si="261"/>
        <v>#DIV/0!</v>
      </c>
      <c r="W333">
        <v>46773.514128719893</v>
      </c>
      <c r="X333" s="95">
        <f t="shared" si="262"/>
        <v>4.6700000000000008</v>
      </c>
      <c r="Z333" s="190"/>
      <c r="AC333" t="s">
        <v>68</v>
      </c>
      <c r="AG333" s="138">
        <f t="shared" si="251"/>
        <v>4.6700000000000008</v>
      </c>
      <c r="AH333">
        <f t="shared" si="252"/>
        <v>5.01</v>
      </c>
      <c r="AI333">
        <f t="shared" si="252"/>
        <v>5.01</v>
      </c>
      <c r="AL333">
        <f t="shared" si="256"/>
        <v>5.01</v>
      </c>
      <c r="BW333" s="138"/>
      <c r="DG333" s="138"/>
      <c r="EY333" s="479">
        <f>VLOOKUP(B333,Literatuur!$A:$B,2,FALSE)</f>
        <v>8</v>
      </c>
      <c r="EZ333" t="str">
        <f t="shared" si="241"/>
        <v>2-methylphenanthrene</v>
      </c>
      <c r="FA333" t="str">
        <f t="shared" si="242"/>
        <v>PAK</v>
      </c>
      <c r="FB333" t="str">
        <f t="shared" si="243"/>
        <v>LDPE</v>
      </c>
      <c r="FC333" t="str">
        <f t="shared" si="244"/>
        <v>Immersion (shaking)</v>
      </c>
      <c r="FD333">
        <f t="shared" si="245"/>
        <v>293</v>
      </c>
      <c r="FE333" t="str">
        <f t="shared" si="246"/>
        <v>water</v>
      </c>
      <c r="FF333" t="str">
        <f t="shared" si="247"/>
        <v>measured 0.000005</v>
      </c>
      <c r="FG333" s="408" t="str">
        <f t="shared" si="240"/>
        <v/>
      </c>
      <c r="FH333" s="138">
        <f t="shared" si="248"/>
        <v>4.6700000000000008</v>
      </c>
      <c r="FI333" s="106">
        <f t="shared" si="228"/>
        <v>4.8070701089700014</v>
      </c>
      <c r="FJ333" s="138" t="str">
        <f t="shared" si="249"/>
        <v/>
      </c>
      <c r="FK333" s="138" t="str">
        <f t="shared" si="250"/>
        <v>**</v>
      </c>
    </row>
    <row r="334" spans="1:167" ht="12.75" hidden="1" customHeight="1" x14ac:dyDescent="0.2">
      <c r="A334">
        <v>299</v>
      </c>
      <c r="B334" s="4" t="s">
        <v>1937</v>
      </c>
      <c r="C334" s="4"/>
      <c r="D334" t="s">
        <v>599</v>
      </c>
      <c r="E334">
        <v>-1567</v>
      </c>
      <c r="F334" t="str">
        <f>VLOOKUP(E334,CompDbase!B:L,4,FALSE)</f>
        <v>3,6-dimethylphenanthrene</v>
      </c>
      <c r="G334" s="95" t="str">
        <f>VLOOKUP(E334,CompDbase!B:M,12,FALSE)</f>
        <v>PAK</v>
      </c>
      <c r="H334" s="95">
        <f>VLOOKUP(E334,CompDbase!B:L,8,FALSE)</f>
        <v>206.15</v>
      </c>
      <c r="I334" s="95">
        <f>VLOOKUP(E334,CompDbase!B:L,11,FALSE)</f>
        <v>192.2</v>
      </c>
      <c r="J334" s="95">
        <f>VLOOKUP(E334,CompDbase!B:L,9,FALSE)</f>
        <v>0.6351835291996929</v>
      </c>
      <c r="K334" s="95">
        <f>VLOOKUP(E334,CompDbase!B:L,10,FALSE)</f>
        <v>5.17</v>
      </c>
      <c r="L334" s="4" t="s">
        <v>769</v>
      </c>
      <c r="M334" s="423"/>
      <c r="N334" s="423"/>
      <c r="O334" s="4" t="s">
        <v>1985</v>
      </c>
      <c r="P334">
        <v>293</v>
      </c>
      <c r="Q334" s="4" t="s">
        <v>1049</v>
      </c>
      <c r="R334" s="289" t="s">
        <v>1982</v>
      </c>
      <c r="S334">
        <f t="shared" si="260"/>
        <v>5.0000000000000004E-6</v>
      </c>
      <c r="T334" s="95">
        <f t="shared" si="261"/>
        <v>7.8717406389611679E-6</v>
      </c>
      <c r="W334">
        <v>114815.36214968823</v>
      </c>
      <c r="X334" s="95">
        <f t="shared" si="262"/>
        <v>5.0599999999999996</v>
      </c>
      <c r="Z334" s="190"/>
      <c r="AC334" t="s">
        <v>68</v>
      </c>
      <c r="AG334" s="138">
        <f t="shared" si="251"/>
        <v>5.0599999999999996</v>
      </c>
      <c r="AH334">
        <f t="shared" si="252"/>
        <v>5.17</v>
      </c>
      <c r="AI334">
        <f t="shared" si="252"/>
        <v>5.17</v>
      </c>
      <c r="AL334">
        <f t="shared" si="256"/>
        <v>5.17</v>
      </c>
      <c r="BW334" s="138"/>
      <c r="BX334">
        <f>LOG(1*$J334)</f>
        <v>-0.19710077202684936</v>
      </c>
      <c r="BY334">
        <f>LOG(1*$J334)</f>
        <v>-0.19710077202684936</v>
      </c>
      <c r="CB334">
        <f>LOG(1*$J334)</f>
        <v>-0.19710077202684936</v>
      </c>
      <c r="DG334" s="138"/>
      <c r="EY334" s="479">
        <f>VLOOKUP(B334,Literatuur!$A:$B,2,FALSE)</f>
        <v>8</v>
      </c>
      <c r="EZ334" t="str">
        <f t="shared" si="241"/>
        <v>3,6-dimethylphenanthrene</v>
      </c>
      <c r="FA334" t="str">
        <f t="shared" si="242"/>
        <v>PAK</v>
      </c>
      <c r="FB334" t="str">
        <f t="shared" si="243"/>
        <v>LDPE</v>
      </c>
      <c r="FC334" t="str">
        <f t="shared" si="244"/>
        <v>Immersion (shaking)</v>
      </c>
      <c r="FD334">
        <f t="shared" si="245"/>
        <v>293</v>
      </c>
      <c r="FE334" t="str">
        <f t="shared" si="246"/>
        <v>water</v>
      </c>
      <c r="FF334" t="str">
        <f t="shared" si="247"/>
        <v>measured 0.000005</v>
      </c>
      <c r="FG334" s="408">
        <f t="shared" si="240"/>
        <v>7.8717406389611679E-6</v>
      </c>
      <c r="FH334" s="138">
        <f t="shared" si="248"/>
        <v>5.0599999999999996</v>
      </c>
      <c r="FI334" s="106">
        <f t="shared" si="228"/>
        <v>4.9823350447467316</v>
      </c>
      <c r="FJ334" s="138" t="str">
        <f t="shared" si="249"/>
        <v/>
      </c>
      <c r="FK334" s="138" t="str">
        <f t="shared" si="250"/>
        <v>**</v>
      </c>
    </row>
    <row r="335" spans="1:167" ht="12.75" hidden="1" customHeight="1" x14ac:dyDescent="0.2">
      <c r="A335">
        <v>300</v>
      </c>
      <c r="B335" s="4" t="s">
        <v>1937</v>
      </c>
      <c r="C335" s="4"/>
      <c r="D335" t="s">
        <v>606</v>
      </c>
      <c r="E335">
        <v>-1572</v>
      </c>
      <c r="F335" t="str">
        <f>VLOOKUP(E335,CompDbase!B:L,4,FALSE)</f>
        <v>6-methylchrysene</v>
      </c>
      <c r="G335" s="95" t="str">
        <f>VLOOKUP(E335,CompDbase!B:M,12,FALSE)</f>
        <v>PAK</v>
      </c>
      <c r="H335" s="95">
        <f>VLOOKUP(E335,CompDbase!B:L,8,FALSE)</f>
        <v>242</v>
      </c>
      <c r="I335" s="95">
        <f>VLOOKUP(E335,CompDbase!B:L,11,FALSE)</f>
        <v>211.9</v>
      </c>
      <c r="J335" s="95" t="e">
        <f>VLOOKUP(E335,CompDbase!B:L,9,FALSE)</f>
        <v>#DIV/0!</v>
      </c>
      <c r="K335" s="95">
        <f>VLOOKUP(E335,CompDbase!B:L,10,FALSE)</f>
        <v>6.07</v>
      </c>
      <c r="L335" s="4" t="s">
        <v>769</v>
      </c>
      <c r="O335" s="4" t="s">
        <v>1985</v>
      </c>
      <c r="P335">
        <v>293</v>
      </c>
      <c r="Q335" s="4" t="s">
        <v>1049</v>
      </c>
      <c r="R335" s="289" t="s">
        <v>1982</v>
      </c>
      <c r="S335">
        <f t="shared" si="260"/>
        <v>5.0000000000000004E-6</v>
      </c>
      <c r="T335" s="95" t="e">
        <f t="shared" si="261"/>
        <v>#DIV/0!</v>
      </c>
      <c r="W335">
        <v>870963.58995608229</v>
      </c>
      <c r="X335" s="95">
        <f t="shared" si="262"/>
        <v>5.94</v>
      </c>
      <c r="Z335" s="190"/>
      <c r="AC335" t="s">
        <v>68</v>
      </c>
      <c r="AG335" s="138">
        <f t="shared" si="251"/>
        <v>5.94</v>
      </c>
      <c r="AH335">
        <f t="shared" si="252"/>
        <v>6.07</v>
      </c>
      <c r="AI335">
        <f t="shared" si="252"/>
        <v>6.07</v>
      </c>
      <c r="AL335">
        <f t="shared" si="256"/>
        <v>6.07</v>
      </c>
      <c r="BW335" s="138"/>
      <c r="DG335" s="138"/>
      <c r="EY335" s="479">
        <f>VLOOKUP(B335,Literatuur!$A:$B,2,FALSE)</f>
        <v>8</v>
      </c>
      <c r="EZ335" t="str">
        <f t="shared" si="241"/>
        <v>6-methylchrysene</v>
      </c>
      <c r="FA335" t="str">
        <f t="shared" si="242"/>
        <v>PAK</v>
      </c>
      <c r="FB335" t="str">
        <f t="shared" si="243"/>
        <v>LDPE</v>
      </c>
      <c r="FC335" t="str">
        <f t="shared" si="244"/>
        <v>Immersion (shaking)</v>
      </c>
      <c r="FD335">
        <f t="shared" si="245"/>
        <v>293</v>
      </c>
      <c r="FE335" t="str">
        <f t="shared" si="246"/>
        <v>water</v>
      </c>
      <c r="FF335" t="str">
        <f t="shared" si="247"/>
        <v>measured 0.000005</v>
      </c>
      <c r="FG335" s="408" t="str">
        <f t="shared" si="240"/>
        <v/>
      </c>
      <c r="FH335" s="138">
        <f t="shared" si="248"/>
        <v>5.94</v>
      </c>
      <c r="FI335" s="106">
        <f t="shared" si="228"/>
        <v>5.9682003084908413</v>
      </c>
      <c r="FJ335" s="138" t="str">
        <f t="shared" si="249"/>
        <v/>
      </c>
      <c r="FK335" s="138" t="str">
        <f t="shared" si="250"/>
        <v>**</v>
      </c>
    </row>
    <row r="336" spans="1:167" ht="12.75" hidden="1" customHeight="1" x14ac:dyDescent="0.2">
      <c r="A336">
        <v>301</v>
      </c>
      <c r="B336" s="4" t="s">
        <v>1937</v>
      </c>
      <c r="C336" s="4"/>
      <c r="D336" t="s">
        <v>608</v>
      </c>
      <c r="E336">
        <v>-1573</v>
      </c>
      <c r="F336" t="str">
        <f>VLOOKUP(E336,CompDbase!B:L,4,FALSE)</f>
        <v>7,12-dimethylbenz[a]anthracene</v>
      </c>
      <c r="G336" s="95" t="str">
        <f>VLOOKUP(E336,CompDbase!B:M,12,FALSE)</f>
        <v>PAK</v>
      </c>
      <c r="H336" s="95">
        <f>VLOOKUP(E336,CompDbase!B:L,8,FALSE)</f>
        <v>256</v>
      </c>
      <c r="I336" s="95">
        <f>VLOOKUP(E336,CompDbase!B:L,11,FALSE)</f>
        <v>226</v>
      </c>
      <c r="J336" s="95" t="e">
        <f>VLOOKUP(E336,CompDbase!B:L,9,FALSE)</f>
        <v>#DIV/0!</v>
      </c>
      <c r="K336" s="95">
        <f>VLOOKUP(E336,CompDbase!B:L,10,FALSE)</f>
        <v>6.62</v>
      </c>
      <c r="L336" s="4" t="s">
        <v>769</v>
      </c>
      <c r="O336" s="4" t="s">
        <v>1985</v>
      </c>
      <c r="P336">
        <v>293</v>
      </c>
      <c r="Q336" s="4" t="s">
        <v>1049</v>
      </c>
      <c r="R336" s="289" t="s">
        <v>1982</v>
      </c>
      <c r="S336">
        <f t="shared" si="260"/>
        <v>5.0000000000000004E-6</v>
      </c>
      <c r="T336" s="95" t="e">
        <f t="shared" si="261"/>
        <v>#DIV/0!</v>
      </c>
      <c r="W336">
        <v>1698243.6524617488</v>
      </c>
      <c r="X336" s="95">
        <f t="shared" si="262"/>
        <v>6.2300000000000013</v>
      </c>
      <c r="Z336" s="190"/>
      <c r="AC336" t="s">
        <v>68</v>
      </c>
      <c r="AG336" s="138">
        <f t="shared" si="251"/>
        <v>6.2300000000000013</v>
      </c>
      <c r="AH336">
        <f t="shared" si="252"/>
        <v>6.62</v>
      </c>
      <c r="AI336">
        <f t="shared" si="252"/>
        <v>6.62</v>
      </c>
      <c r="AL336">
        <f t="shared" si="256"/>
        <v>6.62</v>
      </c>
      <c r="BW336" s="138"/>
      <c r="DG336" s="138"/>
      <c r="EY336" s="479">
        <f>VLOOKUP(B336,Literatuur!$A:$B,2,FALSE)</f>
        <v>8</v>
      </c>
      <c r="EZ336" t="str">
        <f t="shared" si="241"/>
        <v>7,12-dimethylbenz[a]anthracene</v>
      </c>
      <c r="FA336" t="str">
        <f t="shared" si="242"/>
        <v>PAK</v>
      </c>
      <c r="FB336" t="str">
        <f t="shared" si="243"/>
        <v>LDPE</v>
      </c>
      <c r="FC336" t="str">
        <f t="shared" si="244"/>
        <v>Immersion (shaking)</v>
      </c>
      <c r="FD336">
        <f t="shared" si="245"/>
        <v>293</v>
      </c>
      <c r="FE336" t="str">
        <f t="shared" si="246"/>
        <v>water</v>
      </c>
      <c r="FF336" t="str">
        <f t="shared" si="247"/>
        <v>measured 0.000005</v>
      </c>
      <c r="FG336" s="408" t="str">
        <f t="shared" si="240"/>
        <v/>
      </c>
      <c r="FH336" s="138">
        <f t="shared" si="248"/>
        <v>6.2300000000000013</v>
      </c>
      <c r="FI336" s="106">
        <f t="shared" si="228"/>
        <v>6.5706735252233512</v>
      </c>
      <c r="FJ336" s="138" t="str">
        <f t="shared" si="249"/>
        <v/>
      </c>
      <c r="FK336" s="138" t="str">
        <f t="shared" si="250"/>
        <v>**</v>
      </c>
    </row>
    <row r="337" spans="1:167" ht="12.75" hidden="1" customHeight="1" x14ac:dyDescent="0.2">
      <c r="A337">
        <v>302</v>
      </c>
      <c r="B337" s="4" t="s">
        <v>1937</v>
      </c>
      <c r="C337" s="4"/>
      <c r="D337" t="s">
        <v>605</v>
      </c>
      <c r="E337">
        <v>-1571</v>
      </c>
      <c r="F337" t="str">
        <f>VLOOKUP(E337,CompDbase!B:L,4,FALSE)</f>
        <v>7-methylbenz[a]anthracene</v>
      </c>
      <c r="G337" s="95" t="str">
        <f>VLOOKUP(E337,CompDbase!B:M,12,FALSE)</f>
        <v>PAK</v>
      </c>
      <c r="H337" s="95">
        <f>VLOOKUP(E337,CompDbase!B:L,8,FALSE)</f>
        <v>242</v>
      </c>
      <c r="I337" s="95">
        <f>VLOOKUP(E337,CompDbase!B:L,11,FALSE)</f>
        <v>210.3</v>
      </c>
      <c r="J337" s="95" t="e">
        <f>VLOOKUP(E337,CompDbase!B:L,9,FALSE)</f>
        <v>#DIV/0!</v>
      </c>
      <c r="K337" s="95">
        <f>VLOOKUP(E337,CompDbase!B:L,10,FALSE)</f>
        <v>6.07</v>
      </c>
      <c r="L337" s="4" t="s">
        <v>769</v>
      </c>
      <c r="M337" s="423"/>
      <c r="N337" s="423"/>
      <c r="O337" s="4" t="s">
        <v>1985</v>
      </c>
      <c r="P337">
        <v>293</v>
      </c>
      <c r="Q337" s="4" t="s">
        <v>1049</v>
      </c>
      <c r="R337" s="289" t="s">
        <v>1982</v>
      </c>
      <c r="S337">
        <f t="shared" si="260"/>
        <v>5.0000000000000004E-6</v>
      </c>
      <c r="T337" s="95" t="e">
        <f t="shared" si="261"/>
        <v>#DIV/0!</v>
      </c>
      <c r="W337">
        <v>1023292.9922807553</v>
      </c>
      <c r="X337" s="95">
        <f t="shared" si="262"/>
        <v>6.0100000000000007</v>
      </c>
      <c r="Z337" s="190"/>
      <c r="AC337" t="s">
        <v>68</v>
      </c>
      <c r="AG337" s="138">
        <f t="shared" si="251"/>
        <v>6.0100000000000007</v>
      </c>
      <c r="AH337">
        <f t="shared" si="252"/>
        <v>6.07</v>
      </c>
      <c r="AI337">
        <f t="shared" si="252"/>
        <v>6.07</v>
      </c>
      <c r="AL337">
        <f t="shared" si="256"/>
        <v>6.07</v>
      </c>
      <c r="BW337" s="138"/>
      <c r="DG337" s="138"/>
      <c r="EY337" s="479">
        <f>VLOOKUP(B337,Literatuur!$A:$B,2,FALSE)</f>
        <v>8</v>
      </c>
      <c r="EZ337" t="str">
        <f t="shared" si="241"/>
        <v>7-methylbenz[a]anthracene</v>
      </c>
      <c r="FA337" t="str">
        <f t="shared" si="242"/>
        <v>PAK</v>
      </c>
      <c r="FB337" t="str">
        <f t="shared" si="243"/>
        <v>LDPE</v>
      </c>
      <c r="FC337" t="str">
        <f t="shared" si="244"/>
        <v>Immersion (shaking)</v>
      </c>
      <c r="FD337">
        <f t="shared" si="245"/>
        <v>293</v>
      </c>
      <c r="FE337" t="str">
        <f t="shared" si="246"/>
        <v>water</v>
      </c>
      <c r="FF337" t="str">
        <f t="shared" si="247"/>
        <v>measured 0.000005</v>
      </c>
      <c r="FG337" s="408" t="str">
        <f t="shared" si="240"/>
        <v/>
      </c>
      <c r="FH337" s="138">
        <f t="shared" si="248"/>
        <v>6.0100000000000007</v>
      </c>
      <c r="FI337" s="106">
        <f t="shared" si="228"/>
        <v>5.9682003084908413</v>
      </c>
      <c r="FJ337" s="138" t="str">
        <f t="shared" si="249"/>
        <v/>
      </c>
      <c r="FK337" s="138" t="str">
        <f t="shared" si="250"/>
        <v>**</v>
      </c>
    </row>
    <row r="338" spans="1:167" ht="12.75" hidden="1" customHeight="1" x14ac:dyDescent="0.2">
      <c r="A338">
        <v>303</v>
      </c>
      <c r="B338" s="4" t="s">
        <v>1937</v>
      </c>
      <c r="C338" s="4"/>
      <c r="D338" t="s">
        <v>601</v>
      </c>
      <c r="E338">
        <v>-1569</v>
      </c>
      <c r="F338" t="str">
        <f>VLOOKUP(E338,CompDbase!B:L,4,FALSE)</f>
        <v>9,10-dimethylanthracene</v>
      </c>
      <c r="G338" s="95" t="str">
        <f>VLOOKUP(E338,CompDbase!B:M,12,FALSE)</f>
        <v>PAK</v>
      </c>
      <c r="H338" s="95">
        <f>VLOOKUP(E338,CompDbase!B:L,8,FALSE)</f>
        <v>206.15</v>
      </c>
      <c r="I338" s="95">
        <f>VLOOKUP(E338,CompDbase!B:L,11,FALSE)</f>
        <v>190.15</v>
      </c>
      <c r="J338" s="95">
        <f>VLOOKUP(E338,CompDbase!B:L,9,FALSE)</f>
        <v>0.6351835291996929</v>
      </c>
      <c r="K338" s="95">
        <f>VLOOKUP(E338,CompDbase!B:L,10,FALSE)</f>
        <v>5.2949999999999999</v>
      </c>
      <c r="L338" s="4" t="s">
        <v>769</v>
      </c>
      <c r="O338" s="4" t="s">
        <v>1985</v>
      </c>
      <c r="P338">
        <v>293</v>
      </c>
      <c r="Q338" s="4" t="s">
        <v>1049</v>
      </c>
      <c r="R338" s="289" t="s">
        <v>1982</v>
      </c>
      <c r="S338">
        <f t="shared" si="260"/>
        <v>5.0000000000000004E-6</v>
      </c>
      <c r="T338" s="95">
        <f t="shared" si="261"/>
        <v>7.8717406389611679E-6</v>
      </c>
      <c r="W338">
        <v>158489.31924611164</v>
      </c>
      <c r="X338" s="95">
        <f t="shared" si="262"/>
        <v>5.2000000000000011</v>
      </c>
      <c r="Z338" s="190"/>
      <c r="AC338" t="s">
        <v>68</v>
      </c>
      <c r="AG338" s="138">
        <f t="shared" si="251"/>
        <v>5.2000000000000011</v>
      </c>
      <c r="AH338">
        <f t="shared" si="252"/>
        <v>5.2949999999999999</v>
      </c>
      <c r="AI338">
        <f t="shared" si="252"/>
        <v>5.2949999999999999</v>
      </c>
      <c r="AL338">
        <f t="shared" si="256"/>
        <v>5.2949999999999999</v>
      </c>
      <c r="BW338" s="138"/>
      <c r="BX338">
        <f>LOG(1*$J338)</f>
        <v>-0.19710077202684936</v>
      </c>
      <c r="BY338">
        <f>LOG(1*$J338)</f>
        <v>-0.19710077202684936</v>
      </c>
      <c r="CB338">
        <f>LOG(1*$J338)</f>
        <v>-0.19710077202684936</v>
      </c>
      <c r="DG338" s="138"/>
      <c r="EY338" s="479">
        <f>VLOOKUP(B338,Literatuur!$A:$B,2,FALSE)</f>
        <v>8</v>
      </c>
      <c r="EZ338" t="str">
        <f t="shared" si="241"/>
        <v>9,10-dimethylanthracene</v>
      </c>
      <c r="FA338" t="str">
        <f t="shared" si="242"/>
        <v>PAK</v>
      </c>
      <c r="FB338" t="str">
        <f t="shared" si="243"/>
        <v>LDPE</v>
      </c>
      <c r="FC338" t="str">
        <f t="shared" si="244"/>
        <v>Immersion (shaking)</v>
      </c>
      <c r="FD338">
        <f t="shared" si="245"/>
        <v>293</v>
      </c>
      <c r="FE338" t="str">
        <f t="shared" si="246"/>
        <v>water</v>
      </c>
      <c r="FF338" t="str">
        <f t="shared" si="247"/>
        <v>measured 0.000005</v>
      </c>
      <c r="FG338" s="408">
        <f t="shared" si="240"/>
        <v>7.8717406389611679E-6</v>
      </c>
      <c r="FH338" s="138">
        <f t="shared" si="248"/>
        <v>5.2000000000000011</v>
      </c>
      <c r="FI338" s="106">
        <f t="shared" si="228"/>
        <v>5.1192607758223021</v>
      </c>
      <c r="FJ338" s="138" t="str">
        <f t="shared" si="249"/>
        <v/>
      </c>
      <c r="FK338" s="138" t="str">
        <f t="shared" si="250"/>
        <v>**</v>
      </c>
    </row>
    <row r="339" spans="1:167" ht="12.75" hidden="1" customHeight="1" x14ac:dyDescent="0.2">
      <c r="A339">
        <v>304</v>
      </c>
      <c r="B339" s="4" t="s">
        <v>1937</v>
      </c>
      <c r="C339" s="4"/>
      <c r="D339" t="s">
        <v>597</v>
      </c>
      <c r="E339">
        <v>-1566</v>
      </c>
      <c r="F339" t="str">
        <f>VLOOKUP(E339,CompDbase!B:L,4,FALSE)</f>
        <v>9-methylanthracene</v>
      </c>
      <c r="G339" s="95" t="str">
        <f>VLOOKUP(E339,CompDbase!B:M,12,FALSE)</f>
        <v>PAK</v>
      </c>
      <c r="H339" s="95">
        <f>VLOOKUP(E339,CompDbase!B:L,8,FALSE)</f>
        <v>192</v>
      </c>
      <c r="I339" s="95">
        <f>VLOOKUP(E339,CompDbase!B:L,11,FALSE)</f>
        <v>174.3</v>
      </c>
      <c r="J339" s="95" t="e">
        <f>VLOOKUP(E339,CompDbase!B:L,9,FALSE)</f>
        <v>#DIV/0!</v>
      </c>
      <c r="K339" s="95">
        <f>VLOOKUP(E339,CompDbase!B:L,10,FALSE)</f>
        <v>5.07</v>
      </c>
      <c r="L339" s="4" t="s">
        <v>769</v>
      </c>
      <c r="O339" s="4" t="s">
        <v>1985</v>
      </c>
      <c r="P339">
        <v>293</v>
      </c>
      <c r="Q339" s="4" t="s">
        <v>1049</v>
      </c>
      <c r="R339" s="289" t="s">
        <v>1982</v>
      </c>
      <c r="S339">
        <f t="shared" si="260"/>
        <v>5.0000000000000004E-6</v>
      </c>
      <c r="T339" s="95" t="e">
        <f t="shared" si="261"/>
        <v>#DIV/0!</v>
      </c>
      <c r="W339">
        <v>63095.734448019342</v>
      </c>
      <c r="X339" s="95">
        <f t="shared" si="262"/>
        <v>4.8</v>
      </c>
      <c r="Z339" s="190"/>
      <c r="AC339" t="s">
        <v>68</v>
      </c>
      <c r="AG339" s="138">
        <f t="shared" si="251"/>
        <v>4.8</v>
      </c>
      <c r="AH339">
        <f t="shared" si="252"/>
        <v>5.07</v>
      </c>
      <c r="AI339">
        <f t="shared" si="252"/>
        <v>5.07</v>
      </c>
      <c r="AL339">
        <f t="shared" si="256"/>
        <v>5.07</v>
      </c>
      <c r="BW339" s="138"/>
      <c r="DG339" s="138"/>
      <c r="EY339" s="479">
        <f>VLOOKUP(B339,Literatuur!$A:$B,2,FALSE)</f>
        <v>8</v>
      </c>
      <c r="EZ339" t="str">
        <f t="shared" si="241"/>
        <v>9-methylanthracene</v>
      </c>
      <c r="FA339" t="str">
        <f t="shared" si="242"/>
        <v>PAK</v>
      </c>
      <c r="FB339" t="str">
        <f t="shared" si="243"/>
        <v>LDPE</v>
      </c>
      <c r="FC339" t="str">
        <f t="shared" si="244"/>
        <v>Immersion (shaking)</v>
      </c>
      <c r="FD339">
        <f t="shared" si="245"/>
        <v>293</v>
      </c>
      <c r="FE339" t="str">
        <f t="shared" si="246"/>
        <v>water</v>
      </c>
      <c r="FF339" t="str">
        <f t="shared" si="247"/>
        <v>measured 0.000005</v>
      </c>
      <c r="FG339" s="408" t="str">
        <f t="shared" si="240"/>
        <v/>
      </c>
      <c r="FH339" s="138">
        <f t="shared" si="248"/>
        <v>4.8</v>
      </c>
      <c r="FI339" s="106">
        <f t="shared" si="228"/>
        <v>4.8727944598862756</v>
      </c>
      <c r="FJ339" s="138" t="str">
        <f t="shared" si="249"/>
        <v/>
      </c>
      <c r="FK339" s="138" t="str">
        <f t="shared" si="250"/>
        <v>**</v>
      </c>
    </row>
    <row r="340" spans="1:167" ht="12.75" hidden="1" customHeight="1" x14ac:dyDescent="0.2">
      <c r="A340">
        <v>305</v>
      </c>
      <c r="B340" s="4" t="s">
        <v>1937</v>
      </c>
      <c r="C340" s="4"/>
      <c r="D340" t="s">
        <v>560</v>
      </c>
      <c r="E340">
        <v>-1536</v>
      </c>
      <c r="F340" t="str">
        <f>VLOOKUP(E340,CompDbase!B:L,4,FALSE)</f>
        <v>acenaphthene</v>
      </c>
      <c r="G340" s="95" t="str">
        <f>VLOOKUP(E340,CompDbase!B:M,12,FALSE)</f>
        <v>PAK</v>
      </c>
      <c r="H340" s="95">
        <f>VLOOKUP(E340,CompDbase!B:L,8,FALSE)</f>
        <v>154.1</v>
      </c>
      <c r="I340" s="95">
        <f>VLOOKUP(E340,CompDbase!B:L,11,FALSE)</f>
        <v>141.80000000000001</v>
      </c>
      <c r="J340" s="95">
        <f>VLOOKUP(E340,CompDbase!B:L,9,FALSE)</f>
        <v>22.064006344594798</v>
      </c>
      <c r="K340" s="95">
        <f>VLOOKUP(E340,CompDbase!B:L,10,FALSE)</f>
        <v>3.96</v>
      </c>
      <c r="L340" s="4" t="s">
        <v>769</v>
      </c>
      <c r="M340" s="423"/>
      <c r="O340" s="4" t="s">
        <v>1985</v>
      </c>
      <c r="P340">
        <v>293</v>
      </c>
      <c r="Q340" s="4" t="s">
        <v>1049</v>
      </c>
      <c r="R340" s="289" t="s">
        <v>1982</v>
      </c>
      <c r="S340">
        <f t="shared" si="260"/>
        <v>5.0000000000000004E-6</v>
      </c>
      <c r="T340" s="95">
        <f t="shared" si="261"/>
        <v>2.2661342287117732E-7</v>
      </c>
      <c r="W340">
        <v>3388.4415613920255</v>
      </c>
      <c r="X340" s="95">
        <f t="shared" si="262"/>
        <v>3.53</v>
      </c>
      <c r="Z340" s="190"/>
      <c r="AC340" t="s">
        <v>68</v>
      </c>
      <c r="AG340" s="138">
        <f t="shared" si="251"/>
        <v>3.53</v>
      </c>
      <c r="AH340">
        <f t="shared" si="252"/>
        <v>3.96</v>
      </c>
      <c r="AI340">
        <f t="shared" si="252"/>
        <v>3.96</v>
      </c>
      <c r="AL340">
        <f t="shared" si="256"/>
        <v>3.96</v>
      </c>
      <c r="BW340" s="138"/>
      <c r="BX340">
        <f t="shared" ref="BX340:BY345" si="263">LOG(1*$J340)</f>
        <v>1.3436843737149378</v>
      </c>
      <c r="BY340">
        <f t="shared" si="263"/>
        <v>1.3436843737149378</v>
      </c>
      <c r="CB340">
        <f t="shared" ref="CB340:CB345" si="264">LOG(1*$J340)</f>
        <v>1.3436843737149378</v>
      </c>
      <c r="DG340" s="138"/>
      <c r="EY340" s="479">
        <f>VLOOKUP(B340,Literatuur!$A:$B,2,FALSE)</f>
        <v>8</v>
      </c>
      <c r="EZ340" t="str">
        <f t="shared" si="241"/>
        <v>acenaphthene</v>
      </c>
      <c r="FA340" t="str">
        <f t="shared" si="242"/>
        <v>PAK</v>
      </c>
      <c r="FB340" t="str">
        <f t="shared" si="243"/>
        <v>LDPE</v>
      </c>
      <c r="FC340" t="str">
        <f t="shared" si="244"/>
        <v>Immersion (shaking)</v>
      </c>
      <c r="FD340">
        <f t="shared" si="245"/>
        <v>293</v>
      </c>
      <c r="FE340" t="str">
        <f t="shared" si="246"/>
        <v>water</v>
      </c>
      <c r="FF340" t="str">
        <f t="shared" si="247"/>
        <v>measured 0.000005</v>
      </c>
      <c r="FG340" s="408">
        <f t="shared" si="240"/>
        <v>2.2661342287117732E-7</v>
      </c>
      <c r="FH340" s="138">
        <f t="shared" si="248"/>
        <v>3.53</v>
      </c>
      <c r="FI340" s="106">
        <f t="shared" si="228"/>
        <v>3.6568939679352077</v>
      </c>
      <c r="FJ340" s="138" t="str">
        <f t="shared" si="249"/>
        <v/>
      </c>
      <c r="FK340" s="138" t="str">
        <f t="shared" si="250"/>
        <v>**</v>
      </c>
    </row>
    <row r="341" spans="1:167" ht="12.75" hidden="1" customHeight="1" x14ac:dyDescent="0.2">
      <c r="A341">
        <v>306</v>
      </c>
      <c r="B341" s="4" t="s">
        <v>1937</v>
      </c>
      <c r="C341" s="4"/>
      <c r="D341" t="s">
        <v>563</v>
      </c>
      <c r="E341">
        <v>-1539</v>
      </c>
      <c r="F341" t="str">
        <f>VLOOKUP(E341,CompDbase!B:L,4,FALSE)</f>
        <v>anthracene</v>
      </c>
      <c r="G341" s="95" t="str">
        <f>VLOOKUP(E341,CompDbase!B:M,12,FALSE)</f>
        <v>PAK</v>
      </c>
      <c r="H341" s="95">
        <f>VLOOKUP(E341,CompDbase!B:L,8,FALSE)</f>
        <v>178.1</v>
      </c>
      <c r="I341" s="95">
        <f>VLOOKUP(E341,CompDbase!B:L,11,FALSE)</f>
        <v>158.89999999999998</v>
      </c>
      <c r="J341" s="95">
        <f>VLOOKUP(E341,CompDbase!B:L,9,FALSE)</f>
        <v>4.3501847309898105</v>
      </c>
      <c r="K341" s="95">
        <f>VLOOKUP(E341,CompDbase!B:L,10,FALSE)</f>
        <v>4.5250000000000004</v>
      </c>
      <c r="L341" s="4" t="s">
        <v>769</v>
      </c>
      <c r="M341" s="423"/>
      <c r="O341" s="4" t="s">
        <v>1985</v>
      </c>
      <c r="P341">
        <v>293</v>
      </c>
      <c r="Q341" s="4" t="s">
        <v>1049</v>
      </c>
      <c r="R341" s="289" t="s">
        <v>1982</v>
      </c>
      <c r="S341">
        <f t="shared" si="260"/>
        <v>5.0000000000000004E-6</v>
      </c>
      <c r="T341" s="95">
        <f t="shared" si="261"/>
        <v>1.1493764769070704E-6</v>
      </c>
      <c r="W341">
        <v>14125.375446227561</v>
      </c>
      <c r="X341" s="95">
        <f t="shared" si="262"/>
        <v>4.1500000000000004</v>
      </c>
      <c r="Z341" s="190"/>
      <c r="AC341" t="s">
        <v>68</v>
      </c>
      <c r="AG341" s="138">
        <f t="shared" si="251"/>
        <v>4.1500000000000004</v>
      </c>
      <c r="AH341">
        <f t="shared" si="252"/>
        <v>4.5250000000000004</v>
      </c>
      <c r="AI341">
        <f t="shared" si="252"/>
        <v>4.5250000000000004</v>
      </c>
      <c r="AL341">
        <f t="shared" si="256"/>
        <v>4.5250000000000004</v>
      </c>
      <c r="BW341" s="138"/>
      <c r="BX341">
        <f t="shared" si="263"/>
        <v>0.63850769970085575</v>
      </c>
      <c r="BY341">
        <f t="shared" si="263"/>
        <v>0.63850769970085575</v>
      </c>
      <c r="CB341">
        <f t="shared" si="264"/>
        <v>0.63850769970085575</v>
      </c>
      <c r="DG341" s="138"/>
      <c r="EY341" s="479">
        <f>VLOOKUP(B341,Literatuur!$A:$B,2,FALSE)</f>
        <v>8</v>
      </c>
      <c r="EZ341" t="str">
        <f t="shared" si="241"/>
        <v>anthracene</v>
      </c>
      <c r="FA341" t="str">
        <f t="shared" si="242"/>
        <v>PAK</v>
      </c>
      <c r="FB341" t="str">
        <f t="shared" si="243"/>
        <v>LDPE</v>
      </c>
      <c r="FC341" t="str">
        <f t="shared" si="244"/>
        <v>Immersion (shaking)</v>
      </c>
      <c r="FD341">
        <f t="shared" si="245"/>
        <v>293</v>
      </c>
      <c r="FE341" t="str">
        <f t="shared" si="246"/>
        <v>water</v>
      </c>
      <c r="FF341" t="str">
        <f t="shared" si="247"/>
        <v>measured 0.000005</v>
      </c>
      <c r="FG341" s="408">
        <f t="shared" si="240"/>
        <v>1.1493764769070704E-6</v>
      </c>
      <c r="FH341" s="138">
        <f t="shared" si="248"/>
        <v>4.1500000000000004</v>
      </c>
      <c r="FI341" s="106">
        <f t="shared" si="228"/>
        <v>4.2757982723967878</v>
      </c>
      <c r="FJ341" s="138" t="str">
        <f t="shared" si="249"/>
        <v/>
      </c>
      <c r="FK341" s="138" t="str">
        <f t="shared" si="250"/>
        <v>**</v>
      </c>
    </row>
    <row r="342" spans="1:167" ht="12.75" hidden="1" customHeight="1" x14ac:dyDescent="0.2">
      <c r="A342">
        <v>307</v>
      </c>
      <c r="B342" s="4" t="s">
        <v>1937</v>
      </c>
      <c r="C342" s="4"/>
      <c r="D342" t="s">
        <v>566</v>
      </c>
      <c r="E342">
        <v>-1542</v>
      </c>
      <c r="F342" t="str">
        <f>VLOOKUP(E342,CompDbase!B:L,4,FALSE)</f>
        <v>benz[a]anthracene</v>
      </c>
      <c r="G342" s="95" t="str">
        <f>VLOOKUP(E342,CompDbase!B:M,12,FALSE)</f>
        <v>PAK</v>
      </c>
      <c r="H342" s="95">
        <f>VLOOKUP(E342,CompDbase!B:L,8,FALSE)</f>
        <v>228.15</v>
      </c>
      <c r="I342" s="95">
        <f>VLOOKUP(E342,CompDbase!B:L,11,FALSE)</f>
        <v>194.89999999999998</v>
      </c>
      <c r="J342" s="95">
        <f>VLOOKUP(E342,CompDbase!B:L,9,FALSE)</f>
        <v>0.13896515350405772</v>
      </c>
      <c r="K342" s="95">
        <f>VLOOKUP(E342,CompDbase!B:L,10,FALSE)</f>
        <v>5.7799999999999994</v>
      </c>
      <c r="L342" s="4" t="s">
        <v>769</v>
      </c>
      <c r="O342" s="4" t="s">
        <v>1985</v>
      </c>
      <c r="P342">
        <v>293</v>
      </c>
      <c r="Q342" s="4" t="s">
        <v>1049</v>
      </c>
      <c r="R342" s="289" t="s">
        <v>1982</v>
      </c>
      <c r="S342">
        <f t="shared" si="260"/>
        <v>5.0000000000000004E-6</v>
      </c>
      <c r="T342" s="95">
        <f t="shared" si="261"/>
        <v>3.5980243060387096E-5</v>
      </c>
      <c r="W342">
        <v>269153.48039269145</v>
      </c>
      <c r="X342" s="95">
        <f t="shared" si="262"/>
        <v>5.43</v>
      </c>
      <c r="Z342" s="190"/>
      <c r="AC342" t="s">
        <v>68</v>
      </c>
      <c r="AG342" s="138">
        <f t="shared" si="251"/>
        <v>5.43</v>
      </c>
      <c r="AH342">
        <f t="shared" si="252"/>
        <v>5.7799999999999994</v>
      </c>
      <c r="AI342">
        <f t="shared" si="252"/>
        <v>5.7799999999999994</v>
      </c>
      <c r="AL342">
        <f t="shared" si="256"/>
        <v>5.7799999999999994</v>
      </c>
      <c r="BW342" s="138"/>
      <c r="BX342">
        <f t="shared" si="263"/>
        <v>-0.85709408850976543</v>
      </c>
      <c r="BY342">
        <f t="shared" si="263"/>
        <v>-0.85709408850976543</v>
      </c>
      <c r="CB342">
        <f t="shared" si="264"/>
        <v>-0.85709408850976543</v>
      </c>
      <c r="DG342" s="138"/>
      <c r="EY342" s="479">
        <f>VLOOKUP(B342,Literatuur!$A:$B,2,FALSE)</f>
        <v>8</v>
      </c>
      <c r="EZ342" t="str">
        <f t="shared" si="241"/>
        <v>benz[a]anthracene</v>
      </c>
      <c r="FA342" t="str">
        <f t="shared" si="242"/>
        <v>PAK</v>
      </c>
      <c r="FB342" t="str">
        <f t="shared" si="243"/>
        <v>LDPE</v>
      </c>
      <c r="FC342" t="str">
        <f t="shared" si="244"/>
        <v>Immersion (shaking)</v>
      </c>
      <c r="FD342">
        <f t="shared" si="245"/>
        <v>293</v>
      </c>
      <c r="FE342" t="str">
        <f t="shared" si="246"/>
        <v>water</v>
      </c>
      <c r="FF342" t="str">
        <f t="shared" si="247"/>
        <v>measured 0.000005</v>
      </c>
      <c r="FG342" s="408">
        <f t="shared" si="240"/>
        <v>3.5980243060387096E-5</v>
      </c>
      <c r="FH342" s="138">
        <f t="shared" si="248"/>
        <v>5.43</v>
      </c>
      <c r="FI342" s="106">
        <f t="shared" si="228"/>
        <v>5.6505326123955157</v>
      </c>
      <c r="FJ342" s="138" t="str">
        <f t="shared" si="249"/>
        <v/>
      </c>
      <c r="FK342" s="138" t="str">
        <f t="shared" si="250"/>
        <v>**</v>
      </c>
    </row>
    <row r="343" spans="1:167" ht="12.75" hidden="1" customHeight="1" x14ac:dyDescent="0.2">
      <c r="A343">
        <v>308</v>
      </c>
      <c r="B343" s="4" t="s">
        <v>1937</v>
      </c>
      <c r="C343" s="4"/>
      <c r="D343" t="s">
        <v>571</v>
      </c>
      <c r="E343">
        <v>-1547</v>
      </c>
      <c r="F343" t="str">
        <f>VLOOKUP(E343,CompDbase!B:L,4,FALSE)</f>
        <v>benzo[a]pyrene</v>
      </c>
      <c r="G343" s="95" t="str">
        <f>VLOOKUP(E343,CompDbase!B:M,12,FALSE)</f>
        <v>PAK</v>
      </c>
      <c r="H343" s="95">
        <f>VLOOKUP(E343,CompDbase!B:L,8,FALSE)</f>
        <v>252.15</v>
      </c>
      <c r="I343" s="95">
        <f>VLOOKUP(E343,CompDbase!B:L,11,FALSE)</f>
        <v>218.05</v>
      </c>
      <c r="J343" s="95">
        <f>VLOOKUP(E343,CompDbase!B:L,9,FALSE)</f>
        <v>2.620096279985866E-2</v>
      </c>
      <c r="K343" s="95">
        <f>VLOOKUP(E343,CompDbase!B:L,10,FALSE)</f>
        <v>6.1150000000000002</v>
      </c>
      <c r="L343" s="4" t="s">
        <v>769</v>
      </c>
      <c r="O343" s="4" t="s">
        <v>1985</v>
      </c>
      <c r="P343">
        <v>293</v>
      </c>
      <c r="Q343" s="4" t="s">
        <v>1049</v>
      </c>
      <c r="R343" s="289" t="s">
        <v>1982</v>
      </c>
      <c r="S343">
        <f t="shared" si="260"/>
        <v>5.0000000000000004E-6</v>
      </c>
      <c r="T343" s="95">
        <f t="shared" si="261"/>
        <v>1.9083268192064196E-4</v>
      </c>
      <c r="W343">
        <v>1380384.2646028849</v>
      </c>
      <c r="X343" s="95">
        <f t="shared" si="262"/>
        <v>6.14</v>
      </c>
      <c r="Z343" s="190"/>
      <c r="AC343" t="s">
        <v>68</v>
      </c>
      <c r="AG343" s="138">
        <f t="shared" si="251"/>
        <v>6.14</v>
      </c>
      <c r="AH343">
        <f t="shared" si="252"/>
        <v>6.1150000000000002</v>
      </c>
      <c r="AI343">
        <f t="shared" si="252"/>
        <v>6.1150000000000002</v>
      </c>
      <c r="AL343">
        <f t="shared" si="256"/>
        <v>6.1150000000000002</v>
      </c>
      <c r="BW343" s="138"/>
      <c r="BX343">
        <f t="shared" si="263"/>
        <v>-1.5816827494824268</v>
      </c>
      <c r="BY343">
        <f t="shared" si="263"/>
        <v>-1.5816827494824268</v>
      </c>
      <c r="CB343">
        <f t="shared" si="264"/>
        <v>-1.5816827494824268</v>
      </c>
      <c r="DG343" s="138"/>
      <c r="EY343" s="479">
        <f>VLOOKUP(B343,Literatuur!$A:$B,2,FALSE)</f>
        <v>8</v>
      </c>
      <c r="EZ343" t="str">
        <f t="shared" si="241"/>
        <v>benzo[a]pyrene</v>
      </c>
      <c r="FA343" t="str">
        <f t="shared" si="242"/>
        <v>PAK</v>
      </c>
      <c r="FB343" t="str">
        <f t="shared" si="243"/>
        <v>LDPE</v>
      </c>
      <c r="FC343" t="str">
        <f t="shared" si="244"/>
        <v>Immersion (shaking)</v>
      </c>
      <c r="FD343">
        <f t="shared" si="245"/>
        <v>293</v>
      </c>
      <c r="FE343" t="str">
        <f t="shared" si="246"/>
        <v>water</v>
      </c>
      <c r="FF343" t="str">
        <f t="shared" si="247"/>
        <v>measured 0.000005</v>
      </c>
      <c r="FG343" s="408">
        <f t="shared" si="240"/>
        <v>1.9083268192064196E-4</v>
      </c>
      <c r="FH343" s="138">
        <f t="shared" si="248"/>
        <v>6.14</v>
      </c>
      <c r="FI343" s="106">
        <f t="shared" si="228"/>
        <v>6.0174935716780462</v>
      </c>
      <c r="FJ343" s="138" t="str">
        <f t="shared" si="249"/>
        <v/>
      </c>
      <c r="FK343" s="138" t="str">
        <f t="shared" si="250"/>
        <v>**</v>
      </c>
    </row>
    <row r="344" spans="1:167" ht="12.75" hidden="1" customHeight="1" x14ac:dyDescent="0.2">
      <c r="A344">
        <v>309</v>
      </c>
      <c r="B344" s="4" t="s">
        <v>1937</v>
      </c>
      <c r="C344" s="4"/>
      <c r="D344" t="s">
        <v>568</v>
      </c>
      <c r="E344">
        <v>-1544</v>
      </c>
      <c r="F344" t="str">
        <f>VLOOKUP(E344,CompDbase!B:L,4,FALSE)</f>
        <v>benzo[b]fluoranthene</v>
      </c>
      <c r="G344" s="95" t="str">
        <f>VLOOKUP(E344,CompDbase!B:M,12,FALSE)</f>
        <v>PAK</v>
      </c>
      <c r="H344" s="95">
        <f>VLOOKUP(E344,CompDbase!B:L,8,FALSE)</f>
        <v>252.15</v>
      </c>
      <c r="I344" s="95">
        <f>VLOOKUP(E344,CompDbase!B:L,11,FALSE)</f>
        <v>231.8</v>
      </c>
      <c r="J344" s="95">
        <f>VLOOKUP(E344,CompDbase!B:L,9,FALSE)</f>
        <v>2.620096279985866E-2</v>
      </c>
      <c r="K344" s="95">
        <f>VLOOKUP(E344,CompDbase!B:L,10,FALSE)</f>
        <v>5.84</v>
      </c>
      <c r="L344" s="4" t="s">
        <v>769</v>
      </c>
      <c r="O344" s="4" t="s">
        <v>1985</v>
      </c>
      <c r="P344">
        <v>293</v>
      </c>
      <c r="Q344" s="4" t="s">
        <v>1049</v>
      </c>
      <c r="R344" s="289" t="s">
        <v>1982</v>
      </c>
      <c r="S344">
        <f t="shared" si="260"/>
        <v>5.0000000000000004E-6</v>
      </c>
      <c r="T344" s="95">
        <f t="shared" si="261"/>
        <v>1.9083268192064196E-4</v>
      </c>
      <c r="W344">
        <v>1148153.6214968837</v>
      </c>
      <c r="X344" s="95">
        <f t="shared" si="262"/>
        <v>6.0600000000000005</v>
      </c>
      <c r="Z344" s="190"/>
      <c r="AC344" t="s">
        <v>68</v>
      </c>
      <c r="AG344" s="138">
        <f t="shared" si="251"/>
        <v>6.0600000000000005</v>
      </c>
      <c r="AH344">
        <f t="shared" si="252"/>
        <v>5.84</v>
      </c>
      <c r="AI344">
        <f t="shared" si="252"/>
        <v>5.84</v>
      </c>
      <c r="AL344">
        <f t="shared" si="256"/>
        <v>5.84</v>
      </c>
      <c r="BW344" s="138"/>
      <c r="BX344">
        <f t="shared" si="263"/>
        <v>-1.5816827494824268</v>
      </c>
      <c r="BY344">
        <f t="shared" si="263"/>
        <v>-1.5816827494824268</v>
      </c>
      <c r="CB344">
        <f t="shared" si="264"/>
        <v>-1.5816827494824268</v>
      </c>
      <c r="DG344" s="138"/>
      <c r="EY344" s="479">
        <f>VLOOKUP(B344,Literatuur!$A:$B,2,FALSE)</f>
        <v>8</v>
      </c>
      <c r="EZ344" t="str">
        <f t="shared" si="241"/>
        <v>benzo[b]fluoranthene</v>
      </c>
      <c r="FA344" t="str">
        <f t="shared" si="242"/>
        <v>PAK</v>
      </c>
      <c r="FB344" t="str">
        <f t="shared" si="243"/>
        <v>LDPE</v>
      </c>
      <c r="FC344" t="str">
        <f t="shared" si="244"/>
        <v>Immersion (shaking)</v>
      </c>
      <c r="FD344">
        <f t="shared" si="245"/>
        <v>293</v>
      </c>
      <c r="FE344" t="str">
        <f t="shared" si="246"/>
        <v>water</v>
      </c>
      <c r="FF344" t="str">
        <f t="shared" si="247"/>
        <v>measured 0.000005</v>
      </c>
      <c r="FG344" s="408">
        <f t="shared" si="240"/>
        <v>1.9083268192064196E-4</v>
      </c>
      <c r="FH344" s="138">
        <f t="shared" si="248"/>
        <v>6.0600000000000005</v>
      </c>
      <c r="FI344" s="106">
        <f t="shared" si="228"/>
        <v>5.7162569633117908</v>
      </c>
      <c r="FJ344" s="138" t="str">
        <f t="shared" si="249"/>
        <v/>
      </c>
      <c r="FK344" s="138" t="str">
        <f t="shared" si="250"/>
        <v>**</v>
      </c>
    </row>
    <row r="345" spans="1:167" ht="12.75" hidden="1" customHeight="1" x14ac:dyDescent="0.2">
      <c r="A345">
        <v>310</v>
      </c>
      <c r="B345" s="4" t="s">
        <v>1937</v>
      </c>
      <c r="C345" s="4"/>
      <c r="D345" t="s">
        <v>570</v>
      </c>
      <c r="E345">
        <v>-1546</v>
      </c>
      <c r="F345" t="str">
        <f>VLOOKUP(E345,CompDbase!B:L,4,FALSE)</f>
        <v>benzo[e]pyrene</v>
      </c>
      <c r="G345" s="95" t="str">
        <f>VLOOKUP(E345,CompDbase!B:M,12,FALSE)</f>
        <v>PAK</v>
      </c>
      <c r="H345" s="95">
        <f>VLOOKUP(E345,CompDbase!B:L,8,FALSE)</f>
        <v>252.15</v>
      </c>
      <c r="I345" s="95">
        <f>VLOOKUP(E345,CompDbase!B:L,11,FALSE)</f>
        <v>219.45</v>
      </c>
      <c r="J345" s="95">
        <f>VLOOKUP(E345,CompDbase!B:L,9,FALSE)</f>
        <v>2.620096279985866E-2</v>
      </c>
      <c r="K345" s="95">
        <f>VLOOKUP(E345,CompDbase!B:L,10,FALSE)</f>
        <v>6.27</v>
      </c>
      <c r="L345" s="4" t="s">
        <v>769</v>
      </c>
      <c r="M345" s="423"/>
      <c r="N345" s="423"/>
      <c r="O345" s="4" t="s">
        <v>1985</v>
      </c>
      <c r="P345">
        <v>293</v>
      </c>
      <c r="Q345" s="4" t="s">
        <v>1049</v>
      </c>
      <c r="R345" s="289" t="s">
        <v>1982</v>
      </c>
      <c r="S345">
        <f t="shared" si="260"/>
        <v>5.0000000000000004E-6</v>
      </c>
      <c r="T345" s="95">
        <f t="shared" si="261"/>
        <v>1.9083268192064196E-4</v>
      </c>
      <c r="W345">
        <v>1096478.196143186</v>
      </c>
      <c r="X345" s="95">
        <f t="shared" si="262"/>
        <v>6.04</v>
      </c>
      <c r="Z345" s="190"/>
      <c r="AC345" t="s">
        <v>68</v>
      </c>
      <c r="AG345" s="138">
        <f t="shared" si="251"/>
        <v>6.04</v>
      </c>
      <c r="AH345">
        <f t="shared" si="252"/>
        <v>6.27</v>
      </c>
      <c r="AI345">
        <f t="shared" si="252"/>
        <v>6.27</v>
      </c>
      <c r="AL345">
        <f t="shared" si="256"/>
        <v>6.27</v>
      </c>
      <c r="BW345" s="138"/>
      <c r="BX345">
        <f t="shared" si="263"/>
        <v>-1.5816827494824268</v>
      </c>
      <c r="BY345">
        <f t="shared" si="263"/>
        <v>-1.5816827494824268</v>
      </c>
      <c r="CB345">
        <f t="shared" si="264"/>
        <v>-1.5816827494824268</v>
      </c>
      <c r="DG345" s="138"/>
      <c r="EY345" s="479">
        <f>VLOOKUP(B345,Literatuur!$A:$B,2,FALSE)</f>
        <v>8</v>
      </c>
      <c r="EZ345" t="str">
        <f t="shared" si="241"/>
        <v>benzo[e]pyrene</v>
      </c>
      <c r="FA345" t="str">
        <f t="shared" si="242"/>
        <v>PAK</v>
      </c>
      <c r="FB345" t="str">
        <f t="shared" si="243"/>
        <v>LDPE</v>
      </c>
      <c r="FC345" t="str">
        <f t="shared" si="244"/>
        <v>Immersion (shaking)</v>
      </c>
      <c r="FD345">
        <f t="shared" si="245"/>
        <v>293</v>
      </c>
      <c r="FE345" t="str">
        <f t="shared" si="246"/>
        <v>water</v>
      </c>
      <c r="FF345" t="str">
        <f t="shared" si="247"/>
        <v>measured 0.000005</v>
      </c>
      <c r="FG345" s="408">
        <f t="shared" si="240"/>
        <v>1.9083268192064196E-4</v>
      </c>
      <c r="FH345" s="138">
        <f t="shared" si="248"/>
        <v>6.04</v>
      </c>
      <c r="FI345" s="106">
        <f t="shared" si="228"/>
        <v>6.1872814782117533</v>
      </c>
      <c r="FJ345" s="138" t="str">
        <f t="shared" si="249"/>
        <v/>
      </c>
      <c r="FK345" s="138" t="str">
        <f t="shared" si="250"/>
        <v>**</v>
      </c>
    </row>
    <row r="346" spans="1:167" ht="12.75" hidden="1" customHeight="1" x14ac:dyDescent="0.2">
      <c r="A346">
        <v>311</v>
      </c>
      <c r="B346" s="4" t="s">
        <v>1937</v>
      </c>
      <c r="C346" s="4"/>
      <c r="D346" t="s">
        <v>574</v>
      </c>
      <c r="E346">
        <v>-1550</v>
      </c>
      <c r="F346" t="str">
        <f>VLOOKUP(E346,CompDbase!B:L,4,FALSE)</f>
        <v>benzo[ghi]perylene</v>
      </c>
      <c r="G346" s="95" t="str">
        <f>VLOOKUP(E346,CompDbase!B:M,12,FALSE)</f>
        <v>PAK</v>
      </c>
      <c r="H346" s="95">
        <f>VLOOKUP(E346,CompDbase!B:L,8,FALSE)</f>
        <v>276</v>
      </c>
      <c r="I346" s="95">
        <f>VLOOKUP(E346,CompDbase!B:L,11,FALSE)</f>
        <v>241</v>
      </c>
      <c r="J346" s="95" t="e">
        <f>VLOOKUP(E346,CompDbase!B:L,9,FALSE)</f>
        <v>#DIV/0!</v>
      </c>
      <c r="K346" s="95">
        <f>VLOOKUP(E346,CompDbase!B:L,10,FALSE)</f>
        <v>6.7</v>
      </c>
      <c r="L346" s="4" t="s">
        <v>769</v>
      </c>
      <c r="M346" s="423"/>
      <c r="N346" s="423"/>
      <c r="O346" s="4" t="s">
        <v>1985</v>
      </c>
      <c r="P346">
        <v>293</v>
      </c>
      <c r="Q346" s="4" t="s">
        <v>1049</v>
      </c>
      <c r="R346" s="289" t="s">
        <v>1982</v>
      </c>
      <c r="S346">
        <f t="shared" si="260"/>
        <v>5.0000000000000004E-6</v>
      </c>
      <c r="T346" s="95" t="e">
        <f t="shared" si="261"/>
        <v>#DIV/0!</v>
      </c>
      <c r="W346">
        <v>1698243.6524617488</v>
      </c>
      <c r="X346" s="95">
        <f t="shared" si="262"/>
        <v>6.2300000000000013</v>
      </c>
      <c r="Z346" s="190"/>
      <c r="AC346" t="s">
        <v>68</v>
      </c>
      <c r="AG346" s="138">
        <f t="shared" si="251"/>
        <v>6.2300000000000013</v>
      </c>
      <c r="AH346">
        <f t="shared" si="252"/>
        <v>6.7</v>
      </c>
      <c r="AI346">
        <f t="shared" si="252"/>
        <v>6.7</v>
      </c>
      <c r="AL346">
        <f t="shared" si="256"/>
        <v>6.7</v>
      </c>
      <c r="BW346" s="138"/>
      <c r="DG346" s="138"/>
      <c r="EY346" s="479">
        <f>VLOOKUP(B346,Literatuur!$A:$B,2,FALSE)</f>
        <v>8</v>
      </c>
      <c r="EZ346" t="str">
        <f t="shared" si="241"/>
        <v>benzo[ghi]perylene</v>
      </c>
      <c r="FA346" t="str">
        <f t="shared" si="242"/>
        <v>PAK</v>
      </c>
      <c r="FB346" t="str">
        <f t="shared" si="243"/>
        <v>LDPE</v>
      </c>
      <c r="FC346" t="str">
        <f t="shared" si="244"/>
        <v>Immersion (shaking)</v>
      </c>
      <c r="FD346">
        <f t="shared" si="245"/>
        <v>293</v>
      </c>
      <c r="FE346" t="str">
        <f t="shared" si="246"/>
        <v>water</v>
      </c>
      <c r="FF346" t="str">
        <f t="shared" si="247"/>
        <v>measured 0.000005</v>
      </c>
      <c r="FG346" s="408" t="str">
        <f t="shared" si="240"/>
        <v/>
      </c>
      <c r="FH346" s="138">
        <f t="shared" si="248"/>
        <v>6.2300000000000013</v>
      </c>
      <c r="FI346" s="106">
        <f t="shared" si="228"/>
        <v>6.6583059931117168</v>
      </c>
      <c r="FJ346" s="138" t="str">
        <f t="shared" si="249"/>
        <v/>
      </c>
      <c r="FK346" s="138" t="str">
        <f t="shared" si="250"/>
        <v>**</v>
      </c>
    </row>
    <row r="347" spans="1:167" ht="12.75" hidden="1" customHeight="1" x14ac:dyDescent="0.2">
      <c r="A347">
        <v>312</v>
      </c>
      <c r="B347" s="4" t="s">
        <v>1937</v>
      </c>
      <c r="C347" s="4"/>
      <c r="D347" t="s">
        <v>569</v>
      </c>
      <c r="E347">
        <v>-1545</v>
      </c>
      <c r="F347" t="str">
        <f>VLOOKUP(E347,CompDbase!B:L,4,FALSE)</f>
        <v>benzo[k]fluoranthene</v>
      </c>
      <c r="G347" s="95" t="str">
        <f>VLOOKUP(E347,CompDbase!B:M,12,FALSE)</f>
        <v>PAK</v>
      </c>
      <c r="H347" s="95">
        <f>VLOOKUP(E347,CompDbase!B:L,8,FALSE)</f>
        <v>252.15</v>
      </c>
      <c r="I347" s="95">
        <f>VLOOKUP(E347,CompDbase!B:L,11,FALSE)</f>
        <v>229.3</v>
      </c>
      <c r="J347" s="95">
        <f>VLOOKUP(E347,CompDbase!B:L,9,FALSE)</f>
        <v>2.620096279985866E-2</v>
      </c>
      <c r="K347" s="95">
        <f>VLOOKUP(E347,CompDbase!B:L,10,FALSE)</f>
        <v>6.0050000000000008</v>
      </c>
      <c r="L347" s="4" t="s">
        <v>769</v>
      </c>
      <c r="O347" s="4" t="s">
        <v>1985</v>
      </c>
      <c r="P347">
        <v>293</v>
      </c>
      <c r="Q347" s="4" t="s">
        <v>1049</v>
      </c>
      <c r="R347" s="289" t="s">
        <v>1982</v>
      </c>
      <c r="S347">
        <f t="shared" si="260"/>
        <v>5.0000000000000004E-6</v>
      </c>
      <c r="T347" s="95">
        <f t="shared" si="261"/>
        <v>1.9083268192064196E-4</v>
      </c>
      <c r="W347">
        <v>1445439.7707459298</v>
      </c>
      <c r="X347" s="95">
        <f t="shared" si="262"/>
        <v>6.160000000000001</v>
      </c>
      <c r="Z347" s="190"/>
      <c r="AC347" t="s">
        <v>68</v>
      </c>
      <c r="AG347" s="138">
        <f t="shared" si="251"/>
        <v>6.160000000000001</v>
      </c>
      <c r="AH347">
        <f t="shared" si="252"/>
        <v>6.0050000000000008</v>
      </c>
      <c r="AI347">
        <f t="shared" si="252"/>
        <v>6.0050000000000008</v>
      </c>
      <c r="AL347">
        <f t="shared" si="256"/>
        <v>6.0050000000000008</v>
      </c>
      <c r="BW347" s="138"/>
      <c r="BX347">
        <f>LOG(1*$J347)</f>
        <v>-1.5816827494824268</v>
      </c>
      <c r="BY347">
        <f>LOG(1*$J347)</f>
        <v>-1.5816827494824268</v>
      </c>
      <c r="CB347">
        <f>LOG(1*$J347)</f>
        <v>-1.5816827494824268</v>
      </c>
      <c r="DG347" s="138"/>
      <c r="EY347" s="479">
        <f>VLOOKUP(B347,Literatuur!$A:$B,2,FALSE)</f>
        <v>8</v>
      </c>
      <c r="EZ347" t="str">
        <f t="shared" si="241"/>
        <v>benzo[k]fluoranthene</v>
      </c>
      <c r="FA347" t="str">
        <f t="shared" si="242"/>
        <v>PAK</v>
      </c>
      <c r="FB347" t="str">
        <f t="shared" si="243"/>
        <v>LDPE</v>
      </c>
      <c r="FC347" t="str">
        <f t="shared" si="244"/>
        <v>Immersion (shaking)</v>
      </c>
      <c r="FD347">
        <f t="shared" si="245"/>
        <v>293</v>
      </c>
      <c r="FE347" t="str">
        <f t="shared" si="246"/>
        <v>water</v>
      </c>
      <c r="FF347" t="str">
        <f t="shared" si="247"/>
        <v>measured 0.000005</v>
      </c>
      <c r="FG347" s="408">
        <f t="shared" si="240"/>
        <v>1.9083268192064196E-4</v>
      </c>
      <c r="FH347" s="138">
        <f t="shared" si="248"/>
        <v>6.160000000000001</v>
      </c>
      <c r="FI347" s="106">
        <f t="shared" si="228"/>
        <v>5.8969989283315449</v>
      </c>
      <c r="FJ347" s="138" t="str">
        <f t="shared" si="249"/>
        <v/>
      </c>
      <c r="FK347" s="138" t="str">
        <f t="shared" si="250"/>
        <v>**</v>
      </c>
    </row>
    <row r="348" spans="1:167" ht="12.75" hidden="1" customHeight="1" x14ac:dyDescent="0.2">
      <c r="A348">
        <v>313</v>
      </c>
      <c r="B348" s="4" t="s">
        <v>1937</v>
      </c>
      <c r="C348" s="4"/>
      <c r="D348" t="s">
        <v>567</v>
      </c>
      <c r="E348">
        <v>-1543</v>
      </c>
      <c r="F348" t="str">
        <f>VLOOKUP(E348,CompDbase!B:L,4,FALSE)</f>
        <v>chrysene</v>
      </c>
      <c r="G348" s="95" t="str">
        <f>VLOOKUP(E348,CompDbase!B:M,12,FALSE)</f>
        <v>PAK</v>
      </c>
      <c r="H348" s="95">
        <f>VLOOKUP(E348,CompDbase!B:L,8,FALSE)</f>
        <v>228.15</v>
      </c>
      <c r="I348" s="95">
        <f>VLOOKUP(E348,CompDbase!B:L,11,FALSE)</f>
        <v>196.3</v>
      </c>
      <c r="J348" s="95">
        <f>VLOOKUP(E348,CompDbase!B:L,9,FALSE)</f>
        <v>0.13896515350405772</v>
      </c>
      <c r="K348" s="95">
        <f>VLOOKUP(E348,CompDbase!B:L,10,FALSE)</f>
        <v>5.7549999999999999</v>
      </c>
      <c r="L348" s="4" t="s">
        <v>769</v>
      </c>
      <c r="M348" s="423"/>
      <c r="N348" s="423"/>
      <c r="O348" s="4" t="s">
        <v>1985</v>
      </c>
      <c r="P348">
        <v>293</v>
      </c>
      <c r="Q348" s="4" t="s">
        <v>1049</v>
      </c>
      <c r="R348" s="289" t="s">
        <v>1982</v>
      </c>
      <c r="S348">
        <f t="shared" si="260"/>
        <v>5.0000000000000004E-6</v>
      </c>
      <c r="T348" s="95">
        <f t="shared" si="261"/>
        <v>3.5980243060387096E-5</v>
      </c>
      <c r="W348">
        <v>323593.65692962846</v>
      </c>
      <c r="X348" s="95">
        <f t="shared" si="262"/>
        <v>5.5100000000000007</v>
      </c>
      <c r="Z348" s="190"/>
      <c r="AC348" t="s">
        <v>68</v>
      </c>
      <c r="AG348" s="138">
        <f t="shared" si="251"/>
        <v>5.5100000000000007</v>
      </c>
      <c r="AH348">
        <f t="shared" si="252"/>
        <v>5.7549999999999999</v>
      </c>
      <c r="AI348">
        <f t="shared" si="252"/>
        <v>5.7549999999999999</v>
      </c>
      <c r="AL348">
        <f t="shared" si="256"/>
        <v>5.7549999999999999</v>
      </c>
      <c r="BW348" s="138"/>
      <c r="BX348">
        <f>LOG(1*$J348)</f>
        <v>-0.85709408850976543</v>
      </c>
      <c r="BY348">
        <f>LOG(1*$J348)</f>
        <v>-0.85709408850976543</v>
      </c>
      <c r="CB348">
        <f>LOG(1*$J348)</f>
        <v>-0.85709408850976543</v>
      </c>
      <c r="DG348" s="138"/>
      <c r="EY348" s="479">
        <f>VLOOKUP(B348,Literatuur!$A:$B,2,FALSE)</f>
        <v>8</v>
      </c>
      <c r="EZ348" t="str">
        <f t="shared" si="241"/>
        <v>chrysene</v>
      </c>
      <c r="FA348" t="str">
        <f t="shared" si="242"/>
        <v>PAK</v>
      </c>
      <c r="FB348" t="str">
        <f t="shared" si="243"/>
        <v>LDPE</v>
      </c>
      <c r="FC348" t="str">
        <f t="shared" si="244"/>
        <v>Immersion (shaking)</v>
      </c>
      <c r="FD348">
        <f t="shared" si="245"/>
        <v>293</v>
      </c>
      <c r="FE348" t="str">
        <f t="shared" si="246"/>
        <v>water</v>
      </c>
      <c r="FF348" t="str">
        <f t="shared" si="247"/>
        <v>measured 0.000005</v>
      </c>
      <c r="FG348" s="408">
        <f t="shared" si="240"/>
        <v>3.5980243060387096E-5</v>
      </c>
      <c r="FH348" s="138">
        <f t="shared" si="248"/>
        <v>5.5100000000000007</v>
      </c>
      <c r="FI348" s="106">
        <f t="shared" si="228"/>
        <v>5.6231474661804022</v>
      </c>
      <c r="FJ348" s="138" t="str">
        <f t="shared" si="249"/>
        <v/>
      </c>
      <c r="FK348" s="138" t="str">
        <f t="shared" si="250"/>
        <v>**</v>
      </c>
    </row>
    <row r="349" spans="1:167" ht="12.75" hidden="1" customHeight="1" x14ac:dyDescent="0.2">
      <c r="A349">
        <v>314</v>
      </c>
      <c r="B349" s="4" t="s">
        <v>1937</v>
      </c>
      <c r="C349" s="4"/>
      <c r="D349" t="s">
        <v>610</v>
      </c>
      <c r="E349">
        <v>-1575</v>
      </c>
      <c r="F349" t="str">
        <f>VLOOKUP(E349,CompDbase!B:L,4,FALSE)</f>
        <v>d10-fluoranthene</v>
      </c>
      <c r="G349" s="95" t="str">
        <f>VLOOKUP(E349,CompDbase!B:M,12,FALSE)</f>
        <v>PAK</v>
      </c>
      <c r="H349" s="95">
        <f>VLOOKUP(E349,CompDbase!B:L,8,FALSE)</f>
        <v>212</v>
      </c>
      <c r="I349" s="95" t="e">
        <f>VLOOKUP(E349,CompDbase!B:L,11,FALSE)</f>
        <v>#DIV/0!</v>
      </c>
      <c r="J349" s="95" t="e">
        <f>VLOOKUP(E349,CompDbase!B:L,9,FALSE)</f>
        <v>#DIV/0!</v>
      </c>
      <c r="K349" s="95" t="e">
        <f>VLOOKUP(E349,CompDbase!B:L,10,FALSE)</f>
        <v>#DIV/0!</v>
      </c>
      <c r="L349" s="4" t="s">
        <v>769</v>
      </c>
      <c r="O349" s="4" t="s">
        <v>1985</v>
      </c>
      <c r="P349">
        <v>293</v>
      </c>
      <c r="Q349" s="4" t="s">
        <v>1049</v>
      </c>
      <c r="R349" s="289" t="s">
        <v>1982</v>
      </c>
      <c r="S349">
        <f t="shared" si="260"/>
        <v>5.0000000000000004E-6</v>
      </c>
      <c r="T349" s="95" t="e">
        <f t="shared" si="261"/>
        <v>#DIV/0!</v>
      </c>
      <c r="W349">
        <v>43651.583224016598</v>
      </c>
      <c r="X349" s="95">
        <f t="shared" si="262"/>
        <v>4.6399999999999997</v>
      </c>
      <c r="Z349" s="190"/>
      <c r="AC349" t="s">
        <v>68</v>
      </c>
      <c r="AG349" s="138">
        <f t="shared" si="251"/>
        <v>4.6399999999999997</v>
      </c>
      <c r="BW349" s="138"/>
      <c r="DG349" s="138"/>
      <c r="EY349" s="479">
        <f>VLOOKUP(B349,Literatuur!$A:$B,2,FALSE)</f>
        <v>8</v>
      </c>
      <c r="EZ349" t="str">
        <f t="shared" si="241"/>
        <v>d10-fluoranthene</v>
      </c>
      <c r="FA349" t="str">
        <f t="shared" si="242"/>
        <v>PAK</v>
      </c>
      <c r="FB349" t="str">
        <f t="shared" si="243"/>
        <v>LDPE</v>
      </c>
      <c r="FC349" t="str">
        <f t="shared" si="244"/>
        <v>Immersion (shaking)</v>
      </c>
      <c r="FD349">
        <f t="shared" si="245"/>
        <v>293</v>
      </c>
      <c r="FE349" t="str">
        <f t="shared" si="246"/>
        <v>water</v>
      </c>
      <c r="FF349" t="str">
        <f t="shared" si="247"/>
        <v>measured 0.000005</v>
      </c>
      <c r="FG349" s="408" t="str">
        <f t="shared" si="240"/>
        <v/>
      </c>
      <c r="FH349" s="138">
        <f t="shared" si="248"/>
        <v>4.6399999999999997</v>
      </c>
      <c r="FI349" s="106" t="str">
        <f t="shared" si="228"/>
        <v>**</v>
      </c>
      <c r="FJ349" s="138" t="str">
        <f t="shared" si="249"/>
        <v/>
      </c>
      <c r="FK349" s="138" t="str">
        <f t="shared" si="250"/>
        <v>**</v>
      </c>
    </row>
    <row r="350" spans="1:167" ht="12.75" hidden="1" customHeight="1" x14ac:dyDescent="0.2">
      <c r="A350">
        <v>315</v>
      </c>
      <c r="B350" s="4" t="s">
        <v>1937</v>
      </c>
      <c r="C350" s="4"/>
      <c r="D350" t="s">
        <v>609</v>
      </c>
      <c r="E350">
        <v>-1574</v>
      </c>
      <c r="F350" t="str">
        <f>VLOOKUP(E350,CompDbase!B:L,4,FALSE)</f>
        <v>d10-fluorene</v>
      </c>
      <c r="G350" s="95" t="str">
        <f>VLOOKUP(E350,CompDbase!B:M,12,FALSE)</f>
        <v>PAK</v>
      </c>
      <c r="H350" s="95">
        <f>VLOOKUP(E350,CompDbase!B:L,8,FALSE)</f>
        <v>176</v>
      </c>
      <c r="I350" s="95" t="e">
        <f>VLOOKUP(E350,CompDbase!B:L,11,FALSE)</f>
        <v>#DIV/0!</v>
      </c>
      <c r="J350" s="95" t="e">
        <f>VLOOKUP(E350,CompDbase!B:L,9,FALSE)</f>
        <v>#DIV/0!</v>
      </c>
      <c r="K350" s="95" t="e">
        <f>VLOOKUP(E350,CompDbase!B:L,10,FALSE)</f>
        <v>#DIV/0!</v>
      </c>
      <c r="L350" s="4" t="s">
        <v>769</v>
      </c>
      <c r="O350" s="4" t="s">
        <v>1985</v>
      </c>
      <c r="P350">
        <v>293</v>
      </c>
      <c r="Q350" s="4" t="s">
        <v>1049</v>
      </c>
      <c r="R350" s="289" t="s">
        <v>1982</v>
      </c>
      <c r="S350">
        <f t="shared" si="260"/>
        <v>5.0000000000000004E-6</v>
      </c>
      <c r="T350" s="95" t="e">
        <f t="shared" si="261"/>
        <v>#DIV/0!</v>
      </c>
      <c r="W350">
        <v>3630.7805477010188</v>
      </c>
      <c r="X350" s="95">
        <f t="shared" si="262"/>
        <v>3.5600000000000005</v>
      </c>
      <c r="Z350" s="190"/>
      <c r="AC350" t="s">
        <v>68</v>
      </c>
      <c r="AG350" s="138">
        <f t="shared" si="251"/>
        <v>3.5600000000000005</v>
      </c>
      <c r="BW350" s="138"/>
      <c r="DG350" s="138"/>
      <c r="EY350" s="479">
        <f>VLOOKUP(B350,Literatuur!$A:$B,2,FALSE)</f>
        <v>8</v>
      </c>
      <c r="EZ350" t="str">
        <f t="shared" si="241"/>
        <v>d10-fluorene</v>
      </c>
      <c r="FA350" t="str">
        <f t="shared" si="242"/>
        <v>PAK</v>
      </c>
      <c r="FB350" t="str">
        <f t="shared" si="243"/>
        <v>LDPE</v>
      </c>
      <c r="FC350" t="str">
        <f t="shared" si="244"/>
        <v>Immersion (shaking)</v>
      </c>
      <c r="FD350">
        <f t="shared" si="245"/>
        <v>293</v>
      </c>
      <c r="FE350" t="str">
        <f t="shared" si="246"/>
        <v>water</v>
      </c>
      <c r="FF350" t="str">
        <f t="shared" si="247"/>
        <v>measured 0.000005</v>
      </c>
      <c r="FG350" s="408" t="str">
        <f t="shared" si="240"/>
        <v/>
      </c>
      <c r="FH350" s="138">
        <f t="shared" si="248"/>
        <v>3.5600000000000005</v>
      </c>
      <c r="FI350" s="106" t="str">
        <f t="shared" si="228"/>
        <v>**</v>
      </c>
      <c r="FJ350" s="138" t="str">
        <f t="shared" si="249"/>
        <v/>
      </c>
      <c r="FK350" s="138" t="str">
        <f t="shared" si="250"/>
        <v>**</v>
      </c>
    </row>
    <row r="351" spans="1:167" ht="12.75" hidden="1" customHeight="1" x14ac:dyDescent="0.2">
      <c r="A351">
        <v>316</v>
      </c>
      <c r="B351" s="4" t="s">
        <v>1937</v>
      </c>
      <c r="C351" s="4"/>
      <c r="D351" t="s">
        <v>611</v>
      </c>
      <c r="E351">
        <v>-1576</v>
      </c>
      <c r="F351" t="str">
        <f>VLOOKUP(E351,CompDbase!B:L,4,FALSE)</f>
        <v>d12-perylene</v>
      </c>
      <c r="G351" s="95" t="str">
        <f>VLOOKUP(E351,CompDbase!B:M,12,FALSE)</f>
        <v>PAK</v>
      </c>
      <c r="H351" s="95">
        <f>VLOOKUP(E351,CompDbase!B:L,8,FALSE)</f>
        <v>264</v>
      </c>
      <c r="I351" s="95" t="e">
        <f>VLOOKUP(E351,CompDbase!B:L,11,FALSE)</f>
        <v>#DIV/0!</v>
      </c>
      <c r="J351" s="95" t="e">
        <f>VLOOKUP(E351,CompDbase!B:L,9,FALSE)</f>
        <v>#DIV/0!</v>
      </c>
      <c r="K351" s="95" t="e">
        <f>VLOOKUP(E351,CompDbase!B:L,10,FALSE)</f>
        <v>#DIV/0!</v>
      </c>
      <c r="L351" s="4" t="s">
        <v>769</v>
      </c>
      <c r="O351" s="4" t="s">
        <v>1985</v>
      </c>
      <c r="P351">
        <v>293</v>
      </c>
      <c r="Q351" s="4" t="s">
        <v>1049</v>
      </c>
      <c r="R351" s="289" t="s">
        <v>1982</v>
      </c>
      <c r="S351">
        <f t="shared" si="260"/>
        <v>5.0000000000000004E-6</v>
      </c>
      <c r="T351" s="95" t="e">
        <f t="shared" si="261"/>
        <v>#DIV/0!</v>
      </c>
      <c r="W351">
        <v>794328.23472428333</v>
      </c>
      <c r="X351" s="95">
        <f t="shared" si="262"/>
        <v>5.9000000000000012</v>
      </c>
      <c r="Z351" s="190"/>
      <c r="AC351" t="s">
        <v>68</v>
      </c>
      <c r="AG351" s="138">
        <f t="shared" si="251"/>
        <v>5.9000000000000012</v>
      </c>
      <c r="BW351" s="138"/>
      <c r="DG351" s="138"/>
      <c r="EY351" s="479">
        <f>VLOOKUP(B351,Literatuur!$A:$B,2,FALSE)</f>
        <v>8</v>
      </c>
      <c r="EZ351" t="str">
        <f t="shared" si="241"/>
        <v>d12-perylene</v>
      </c>
      <c r="FA351" t="str">
        <f t="shared" si="242"/>
        <v>PAK</v>
      </c>
      <c r="FB351" t="str">
        <f t="shared" si="243"/>
        <v>LDPE</v>
      </c>
      <c r="FC351" t="str">
        <f t="shared" si="244"/>
        <v>Immersion (shaking)</v>
      </c>
      <c r="FD351">
        <f t="shared" si="245"/>
        <v>293</v>
      </c>
      <c r="FE351" t="str">
        <f t="shared" si="246"/>
        <v>water</v>
      </c>
      <c r="FF351" t="str">
        <f t="shared" si="247"/>
        <v>measured 0.000005</v>
      </c>
      <c r="FG351" s="408" t="str">
        <f t="shared" si="240"/>
        <v/>
      </c>
      <c r="FH351" s="138">
        <f t="shared" si="248"/>
        <v>5.9000000000000012</v>
      </c>
      <c r="FI351" s="106" t="str">
        <f t="shared" si="228"/>
        <v>**</v>
      </c>
      <c r="FJ351" s="138" t="str">
        <f t="shared" si="249"/>
        <v/>
      </c>
      <c r="FK351" s="138" t="str">
        <f t="shared" si="250"/>
        <v>**</v>
      </c>
    </row>
    <row r="352" spans="1:167" ht="12.75" hidden="1" customHeight="1" x14ac:dyDescent="0.2">
      <c r="A352">
        <v>317</v>
      </c>
      <c r="B352" s="4" t="s">
        <v>1937</v>
      </c>
      <c r="C352" s="4"/>
      <c r="D352" t="s">
        <v>575</v>
      </c>
      <c r="E352">
        <v>-1551</v>
      </c>
      <c r="F352" t="str">
        <f>VLOOKUP(E352,CompDbase!B:L,4,FALSE)</f>
        <v>dibenz[ah]anthracene</v>
      </c>
      <c r="G352" s="95" t="str">
        <f>VLOOKUP(E352,CompDbase!B:M,12,FALSE)</f>
        <v>PAK</v>
      </c>
      <c r="H352" s="95">
        <f>VLOOKUP(E352,CompDbase!B:L,8,FALSE)</f>
        <v>278</v>
      </c>
      <c r="I352" s="95">
        <f>VLOOKUP(E352,CompDbase!B:L,11,FALSE)</f>
        <v>243.8</v>
      </c>
      <c r="J352" s="95" t="e">
        <f>VLOOKUP(E352,CompDbase!B:L,9,FALSE)</f>
        <v>#DIV/0!</v>
      </c>
      <c r="K352" s="95">
        <f>VLOOKUP(E352,CompDbase!B:L,10,FALSE)</f>
        <v>6.8</v>
      </c>
      <c r="L352" s="4" t="s">
        <v>769</v>
      </c>
      <c r="O352" s="4" t="s">
        <v>1985</v>
      </c>
      <c r="P352">
        <v>293</v>
      </c>
      <c r="Q352" s="4" t="s">
        <v>1049</v>
      </c>
      <c r="R352" s="289" t="s">
        <v>1982</v>
      </c>
      <c r="S352">
        <f t="shared" si="260"/>
        <v>5.0000000000000004E-6</v>
      </c>
      <c r="T352" s="95" t="e">
        <f t="shared" si="261"/>
        <v>#DIV/0!</v>
      </c>
      <c r="W352">
        <v>1995262.31496888</v>
      </c>
      <c r="X352" s="95">
        <f t="shared" si="262"/>
        <v>6.3</v>
      </c>
      <c r="Z352" s="190"/>
      <c r="AC352" t="s">
        <v>68</v>
      </c>
      <c r="AG352" s="138">
        <f t="shared" si="251"/>
        <v>6.3</v>
      </c>
      <c r="AH352">
        <f t="shared" ref="AH352:AI393" si="265">$K352</f>
        <v>6.8</v>
      </c>
      <c r="AI352">
        <f t="shared" si="265"/>
        <v>6.8</v>
      </c>
      <c r="AL352">
        <f t="shared" ref="AL352:AL354" si="266">$K352</f>
        <v>6.8</v>
      </c>
      <c r="BW352" s="138"/>
      <c r="DG352" s="138"/>
      <c r="EY352" s="479">
        <f>VLOOKUP(B352,Literatuur!$A:$B,2,FALSE)</f>
        <v>8</v>
      </c>
      <c r="EZ352" t="str">
        <f t="shared" si="241"/>
        <v>dibenz[ah]anthracene</v>
      </c>
      <c r="FA352" t="str">
        <f t="shared" si="242"/>
        <v>PAK</v>
      </c>
      <c r="FB352" t="str">
        <f t="shared" si="243"/>
        <v>LDPE</v>
      </c>
      <c r="FC352" t="str">
        <f t="shared" si="244"/>
        <v>Immersion (shaking)</v>
      </c>
      <c r="FD352">
        <f t="shared" si="245"/>
        <v>293</v>
      </c>
      <c r="FE352" t="str">
        <f t="shared" si="246"/>
        <v>water</v>
      </c>
      <c r="FF352" t="str">
        <f t="shared" si="247"/>
        <v>measured 0.000005</v>
      </c>
      <c r="FG352" s="408" t="str">
        <f t="shared" si="240"/>
        <v/>
      </c>
      <c r="FH352" s="138">
        <f t="shared" si="248"/>
        <v>6.3</v>
      </c>
      <c r="FI352" s="106">
        <f t="shared" ref="FI352:FI415" si="267">IF(ISNUMBER(AL352),AL352*AL$19+AL$21,IF(ISNUMBER(AM352),AM352*AM$19+AM$21,IF(ISNUMBER(AN352),AN352*AN$19+AN$21,"**")))</f>
        <v>6.7678465779721728</v>
      </c>
      <c r="FJ352" s="138" t="str">
        <f t="shared" si="249"/>
        <v/>
      </c>
      <c r="FK352" s="138" t="str">
        <f t="shared" si="250"/>
        <v>**</v>
      </c>
    </row>
    <row r="353" spans="1:167" ht="12.75" hidden="1" customHeight="1" x14ac:dyDescent="0.2">
      <c r="A353">
        <v>318</v>
      </c>
      <c r="B353" s="4" t="s">
        <v>1937</v>
      </c>
      <c r="C353" s="4"/>
      <c r="D353" t="s">
        <v>564</v>
      </c>
      <c r="E353">
        <v>-1540</v>
      </c>
      <c r="F353" t="str">
        <f>VLOOKUP(E353,CompDbase!B:L,4,FALSE)</f>
        <v>fluoranthene</v>
      </c>
      <c r="G353" s="95" t="str">
        <f>VLOOKUP(E353,CompDbase!B:M,12,FALSE)</f>
        <v>PAK</v>
      </c>
      <c r="H353" s="95">
        <f>VLOOKUP(E353,CompDbase!B:L,8,FALSE)</f>
        <v>202.15</v>
      </c>
      <c r="I353" s="95">
        <f>VLOOKUP(E353,CompDbase!B:L,11,FALSE)</f>
        <v>195.85</v>
      </c>
      <c r="J353" s="95">
        <f>VLOOKUP(E353,CompDbase!B:L,9,FALSE)</f>
        <v>0.83636506257935239</v>
      </c>
      <c r="K353" s="95">
        <f>VLOOKUP(E353,CompDbase!B:L,10,FALSE)</f>
        <v>5.08</v>
      </c>
      <c r="L353" s="4" t="s">
        <v>769</v>
      </c>
      <c r="O353" s="4" t="s">
        <v>1985</v>
      </c>
      <c r="P353">
        <v>293</v>
      </c>
      <c r="Q353" s="4" t="s">
        <v>1049</v>
      </c>
      <c r="R353" s="289" t="s">
        <v>1982</v>
      </c>
      <c r="S353">
        <f t="shared" si="260"/>
        <v>5.0000000000000004E-6</v>
      </c>
      <c r="T353" s="95">
        <f t="shared" si="261"/>
        <v>5.9782506751058985E-6</v>
      </c>
      <c r="W353">
        <v>56234.132519034953</v>
      </c>
      <c r="X353" s="95">
        <f t="shared" si="262"/>
        <v>4.75</v>
      </c>
      <c r="Z353" s="190"/>
      <c r="AC353" t="s">
        <v>68</v>
      </c>
      <c r="AG353" s="138">
        <f t="shared" si="251"/>
        <v>4.75</v>
      </c>
      <c r="AH353">
        <f t="shared" si="265"/>
        <v>5.08</v>
      </c>
      <c r="AI353">
        <f t="shared" si="265"/>
        <v>5.08</v>
      </c>
      <c r="AL353">
        <f t="shared" si="266"/>
        <v>5.08</v>
      </c>
      <c r="BW353" s="138"/>
      <c r="BX353">
        <f>LOG(1*$J353)</f>
        <v>-7.760411722919576E-2</v>
      </c>
      <c r="BY353">
        <f>LOG(1*$J353)</f>
        <v>-7.760411722919576E-2</v>
      </c>
      <c r="CB353">
        <f>LOG(1*$J353)</f>
        <v>-7.760411722919576E-2</v>
      </c>
      <c r="DG353" s="138"/>
      <c r="EY353" s="479">
        <f>VLOOKUP(B353,Literatuur!$A:$B,2,FALSE)</f>
        <v>8</v>
      </c>
      <c r="EZ353" t="str">
        <f t="shared" si="241"/>
        <v>fluoranthene</v>
      </c>
      <c r="FA353" t="str">
        <f t="shared" si="242"/>
        <v>PAK</v>
      </c>
      <c r="FB353" t="str">
        <f t="shared" si="243"/>
        <v>LDPE</v>
      </c>
      <c r="FC353" t="str">
        <f t="shared" si="244"/>
        <v>Immersion (shaking)</v>
      </c>
      <c r="FD353">
        <f t="shared" si="245"/>
        <v>293</v>
      </c>
      <c r="FE353" t="str">
        <f t="shared" si="246"/>
        <v>water</v>
      </c>
      <c r="FF353" t="str">
        <f t="shared" si="247"/>
        <v>measured 0.000005</v>
      </c>
      <c r="FG353" s="408">
        <f t="shared" si="240"/>
        <v>5.9782506751058985E-6</v>
      </c>
      <c r="FH353" s="138">
        <f t="shared" si="248"/>
        <v>4.75</v>
      </c>
      <c r="FI353" s="106">
        <f t="shared" si="267"/>
        <v>4.8837485183723208</v>
      </c>
      <c r="FJ353" s="138" t="str">
        <f t="shared" si="249"/>
        <v/>
      </c>
      <c r="FK353" s="138" t="str">
        <f t="shared" si="250"/>
        <v>**</v>
      </c>
    </row>
    <row r="354" spans="1:167" ht="12.75" hidden="1" customHeight="1" x14ac:dyDescent="0.2">
      <c r="A354">
        <v>319</v>
      </c>
      <c r="B354" s="4" t="s">
        <v>1937</v>
      </c>
      <c r="C354" s="4"/>
      <c r="D354" t="s">
        <v>561</v>
      </c>
      <c r="E354">
        <v>-1537</v>
      </c>
      <c r="F354" t="str">
        <f>VLOOKUP(E354,CompDbase!B:L,4,FALSE)</f>
        <v>fluorene</v>
      </c>
      <c r="G354" s="95" t="str">
        <f>VLOOKUP(E354,CompDbase!B:M,12,FALSE)</f>
        <v>PAK</v>
      </c>
      <c r="H354" s="95">
        <f>VLOOKUP(E354,CompDbase!B:L,8,FALSE)</f>
        <v>166.1</v>
      </c>
      <c r="I354" s="95">
        <f>VLOOKUP(E354,CompDbase!B:L,11,FALSE)</f>
        <v>154.60000000000002</v>
      </c>
      <c r="J354" s="95">
        <f>VLOOKUP(E354,CompDbase!B:L,9,FALSE)</f>
        <v>9.8227031484622565</v>
      </c>
      <c r="K354" s="95">
        <f>VLOOKUP(E354,CompDbase!B:L,10,FALSE)</f>
        <v>4.1399999999999997</v>
      </c>
      <c r="L354" s="4" t="s">
        <v>769</v>
      </c>
      <c r="O354" s="4" t="s">
        <v>1985</v>
      </c>
      <c r="P354">
        <v>293</v>
      </c>
      <c r="Q354" s="4" t="s">
        <v>1049</v>
      </c>
      <c r="R354" s="289" t="s">
        <v>1982</v>
      </c>
      <c r="S354">
        <f t="shared" si="260"/>
        <v>5.0000000000000004E-6</v>
      </c>
      <c r="T354" s="95">
        <f t="shared" si="261"/>
        <v>5.0902485033183051E-7</v>
      </c>
      <c r="W354">
        <v>4677.3514128719844</v>
      </c>
      <c r="X354" s="95">
        <f t="shared" si="262"/>
        <v>3.6700000000000004</v>
      </c>
      <c r="Z354" s="190"/>
      <c r="AC354" t="s">
        <v>68</v>
      </c>
      <c r="AG354" s="138">
        <f t="shared" si="251"/>
        <v>3.6700000000000004</v>
      </c>
      <c r="AH354">
        <f t="shared" si="265"/>
        <v>4.1399999999999997</v>
      </c>
      <c r="AI354">
        <f t="shared" si="265"/>
        <v>4.1399999999999997</v>
      </c>
      <c r="AL354">
        <f t="shared" si="266"/>
        <v>4.1399999999999997</v>
      </c>
      <c r="BW354" s="138"/>
      <c r="BX354">
        <f>LOG(1*$J354)</f>
        <v>0.99223101944809233</v>
      </c>
      <c r="BY354">
        <f>LOG(1*$J354)</f>
        <v>0.99223101944809233</v>
      </c>
      <c r="CB354">
        <f>LOG(1*$J354)</f>
        <v>0.99223101944809233</v>
      </c>
      <c r="DG354" s="138"/>
      <c r="EY354" s="479">
        <f>VLOOKUP(B354,Literatuur!$A:$B,2,FALSE)</f>
        <v>8</v>
      </c>
      <c r="EZ354" t="str">
        <f t="shared" si="241"/>
        <v>fluorene</v>
      </c>
      <c r="FA354" t="str">
        <f t="shared" si="242"/>
        <v>PAK</v>
      </c>
      <c r="FB354" t="str">
        <f t="shared" si="243"/>
        <v>LDPE</v>
      </c>
      <c r="FC354" t="str">
        <f t="shared" si="244"/>
        <v>Immersion (shaking)</v>
      </c>
      <c r="FD354">
        <f t="shared" si="245"/>
        <v>293</v>
      </c>
      <c r="FE354" t="str">
        <f t="shared" si="246"/>
        <v>water</v>
      </c>
      <c r="FF354" t="str">
        <f t="shared" si="247"/>
        <v>measured 0.000005</v>
      </c>
      <c r="FG354" s="408">
        <f t="shared" si="240"/>
        <v>5.0902485033183051E-7</v>
      </c>
      <c r="FH354" s="138">
        <f t="shared" si="248"/>
        <v>3.6700000000000004</v>
      </c>
      <c r="FI354" s="106">
        <f t="shared" si="267"/>
        <v>3.8540670206840293</v>
      </c>
      <c r="FJ354" s="138" t="str">
        <f t="shared" si="249"/>
        <v/>
      </c>
      <c r="FK354" s="138" t="str">
        <f t="shared" si="250"/>
        <v>**</v>
      </c>
    </row>
    <row r="355" spans="1:167" ht="12.75" hidden="1" customHeight="1" x14ac:dyDescent="0.2">
      <c r="A355">
        <v>320</v>
      </c>
      <c r="B355" t="s">
        <v>1231</v>
      </c>
      <c r="D355" s="4" t="s">
        <v>1925</v>
      </c>
      <c r="E355">
        <v>-1811</v>
      </c>
      <c r="F355" t="str">
        <f>VLOOKUP(E355,CompDbase!B:L,4,FALSE)</f>
        <v>gasoline</v>
      </c>
      <c r="G355" s="95" t="str">
        <f>VLOOKUP(E355,CompDbase!B:M,12,FALSE)</f>
        <v>Arom</v>
      </c>
      <c r="H355" s="95" t="e">
        <f>VLOOKUP(E355,CompDbase!B:L,8,FALSE)</f>
        <v>#DIV/0!</v>
      </c>
      <c r="I355" s="95">
        <f>VLOOKUP(E355,CompDbase!B:L,11,FALSE)</f>
        <v>0</v>
      </c>
      <c r="J355" s="95" t="e">
        <f>VLOOKUP(E355,CompDbase!B:L,9,FALSE)</f>
        <v>#DIV/0!</v>
      </c>
      <c r="K355" s="95" t="e">
        <f>VLOOKUP(E355,CompDbase!B:L,10,FALSE)</f>
        <v>#DIV/0!</v>
      </c>
      <c r="L355" s="4" t="s">
        <v>769</v>
      </c>
      <c r="M355" s="423"/>
      <c r="N355" s="423"/>
      <c r="O355" s="4" t="s">
        <v>1044</v>
      </c>
      <c r="P355">
        <f>273+20</f>
        <v>293</v>
      </c>
      <c r="Q355" s="4" t="s">
        <v>1049</v>
      </c>
      <c r="Z355">
        <f>LOG(0.000000000022)</f>
        <v>-10.657577319177793</v>
      </c>
      <c r="AG355" s="138"/>
      <c r="BW355" s="138"/>
      <c r="EY355" s="479">
        <f>VLOOKUP(B355,Literatuur!$A:$B,2,FALSE)</f>
        <v>19</v>
      </c>
      <c r="EZ355" t="str">
        <f t="shared" si="241"/>
        <v>Gasoline</v>
      </c>
      <c r="FA355" t="str">
        <f t="shared" si="242"/>
        <v>Arom</v>
      </c>
      <c r="FB355" t="str">
        <f t="shared" si="243"/>
        <v>LDPE</v>
      </c>
      <c r="FC355" t="str">
        <f t="shared" si="244"/>
        <v>Immersion</v>
      </c>
      <c r="FD355">
        <f t="shared" si="245"/>
        <v>293</v>
      </c>
      <c r="FE355" t="str">
        <f t="shared" si="246"/>
        <v>water</v>
      </c>
      <c r="FF355" t="str">
        <f t="shared" si="247"/>
        <v xml:space="preserve"> </v>
      </c>
      <c r="FG355" s="408" t="str">
        <f t="shared" si="240"/>
        <v/>
      </c>
      <c r="FH355" s="138" t="str">
        <f t="shared" si="248"/>
        <v/>
      </c>
      <c r="FI355" s="106" t="str">
        <f t="shared" si="267"/>
        <v>**</v>
      </c>
      <c r="FJ355" s="138">
        <f t="shared" si="249"/>
        <v>-10.657577319177793</v>
      </c>
      <c r="FK355" s="138" t="str">
        <f t="shared" si="250"/>
        <v>**</v>
      </c>
    </row>
    <row r="356" spans="1:167" s="13" customFormat="1" ht="12.75" hidden="1" customHeight="1" x14ac:dyDescent="0.2">
      <c r="A356">
        <v>321</v>
      </c>
      <c r="B356" s="13" t="s">
        <v>1231</v>
      </c>
      <c r="D356" s="14" t="s">
        <v>1925</v>
      </c>
      <c r="E356" s="13">
        <v>-1811</v>
      </c>
      <c r="F356" s="13" t="str">
        <f>VLOOKUP(E356,CompDbase!B:L,4,FALSE)</f>
        <v>gasoline</v>
      </c>
      <c r="G356" s="95" t="str">
        <f>VLOOKUP(E356,CompDbase!B:M,12,FALSE)</f>
        <v>Arom</v>
      </c>
      <c r="H356" s="182" t="e">
        <f>VLOOKUP(E356,CompDbase!B:L,8,FALSE)</f>
        <v>#DIV/0!</v>
      </c>
      <c r="I356" s="182">
        <f>VLOOKUP(E356,CompDbase!B:L,11,FALSE)</f>
        <v>0</v>
      </c>
      <c r="J356" s="182" t="e">
        <f>VLOOKUP(E356,CompDbase!B:L,9,FALSE)</f>
        <v>#DIV/0!</v>
      </c>
      <c r="K356" s="182" t="e">
        <f>VLOOKUP(E356,CompDbase!B:L,10,FALSE)</f>
        <v>#DIV/0!</v>
      </c>
      <c r="L356" s="14" t="s">
        <v>769</v>
      </c>
      <c r="M356" s="424"/>
      <c r="N356" s="424"/>
      <c r="O356" s="14" t="s">
        <v>1044</v>
      </c>
      <c r="P356" s="13">
        <f>273+20</f>
        <v>293</v>
      </c>
      <c r="Q356" s="14" t="s">
        <v>1049</v>
      </c>
      <c r="R356" s="405"/>
      <c r="Z356" s="13">
        <f>LOG(0.000000000022)</f>
        <v>-10.657577319177793</v>
      </c>
      <c r="AC356" s="13" t="s">
        <v>68</v>
      </c>
      <c r="DF356"/>
      <c r="DG356"/>
      <c r="DP356"/>
      <c r="EY356" s="479">
        <f>VLOOKUP(B356,Literatuur!$A:$B,2,FALSE)</f>
        <v>19</v>
      </c>
      <c r="EZ356" t="str">
        <f t="shared" si="241"/>
        <v>Gasoline</v>
      </c>
      <c r="FA356" t="str">
        <f t="shared" si="242"/>
        <v>Arom</v>
      </c>
      <c r="FB356" t="str">
        <f t="shared" si="243"/>
        <v>LDPE</v>
      </c>
      <c r="FC356" t="str">
        <f t="shared" si="244"/>
        <v>Immersion</v>
      </c>
      <c r="FD356">
        <f t="shared" si="245"/>
        <v>293</v>
      </c>
      <c r="FE356" t="str">
        <f t="shared" si="246"/>
        <v>water</v>
      </c>
      <c r="FF356" t="str">
        <f t="shared" si="247"/>
        <v xml:space="preserve"> </v>
      </c>
      <c r="FG356" s="408" t="str">
        <f t="shared" si="240"/>
        <v/>
      </c>
      <c r="FH356" s="138" t="str">
        <f t="shared" si="248"/>
        <v/>
      </c>
      <c r="FI356" s="106" t="str">
        <f t="shared" si="267"/>
        <v>**</v>
      </c>
      <c r="FJ356" s="138">
        <f t="shared" si="249"/>
        <v>-10.657577319177793</v>
      </c>
      <c r="FK356" s="138" t="str">
        <f t="shared" si="250"/>
        <v>**</v>
      </c>
    </row>
    <row r="357" spans="1:167" ht="12.75" hidden="1" customHeight="1" x14ac:dyDescent="0.2">
      <c r="A357">
        <v>322</v>
      </c>
      <c r="B357" s="4" t="s">
        <v>1937</v>
      </c>
      <c r="C357" s="4"/>
      <c r="D357" t="s">
        <v>573</v>
      </c>
      <c r="E357">
        <v>-1549</v>
      </c>
      <c r="F357" t="str">
        <f>VLOOKUP(E357,CompDbase!B:L,4,FALSE)</f>
        <v>indeno[1,2,3-cd]pyrene</v>
      </c>
      <c r="G357" s="95" t="str">
        <f>VLOOKUP(E357,CompDbase!B:M,12,FALSE)</f>
        <v>PAK</v>
      </c>
      <c r="H357" s="95">
        <f>VLOOKUP(E357,CompDbase!B:L,8,FALSE)</f>
        <v>276</v>
      </c>
      <c r="I357" s="95">
        <f>VLOOKUP(E357,CompDbase!B:L,11,FALSE)</f>
        <v>253.4</v>
      </c>
      <c r="J357" s="95" t="e">
        <f>VLOOKUP(E357,CompDbase!B:L,9,FALSE)</f>
        <v>#DIV/0!</v>
      </c>
      <c r="K357" s="95">
        <f>VLOOKUP(E357,CompDbase!B:L,10,FALSE)</f>
        <v>6.7</v>
      </c>
      <c r="L357" s="4" t="s">
        <v>769</v>
      </c>
      <c r="M357" s="423"/>
      <c r="N357" s="423"/>
      <c r="O357" s="4" t="s">
        <v>1985</v>
      </c>
      <c r="P357">
        <v>293</v>
      </c>
      <c r="Q357" s="4" t="s">
        <v>1049</v>
      </c>
      <c r="R357" s="289" t="s">
        <v>1982</v>
      </c>
      <c r="S357">
        <f>0.000005</f>
        <v>5.0000000000000004E-6</v>
      </c>
      <c r="T357" s="95" t="e">
        <f>S357/J357</f>
        <v>#DIV/0!</v>
      </c>
      <c r="W357">
        <v>3162277.6601683851</v>
      </c>
      <c r="X357" s="95">
        <f>LOG(W357)</f>
        <v>6.5000000000000009</v>
      </c>
      <c r="Z357" s="190"/>
      <c r="AC357" t="s">
        <v>68</v>
      </c>
      <c r="AG357" s="138">
        <f t="shared" si="251"/>
        <v>6.5000000000000009</v>
      </c>
      <c r="AH357">
        <f t="shared" si="265"/>
        <v>6.7</v>
      </c>
      <c r="AI357">
        <f t="shared" si="265"/>
        <v>6.7</v>
      </c>
      <c r="AL357">
        <f t="shared" ref="AL357:AL388" si="268">$K357</f>
        <v>6.7</v>
      </c>
      <c r="BW357" s="138"/>
      <c r="DG357" s="138"/>
      <c r="EY357" s="479">
        <f>VLOOKUP(B357,Literatuur!$A:$B,2,FALSE)</f>
        <v>8</v>
      </c>
      <c r="EZ357" t="str">
        <f t="shared" si="241"/>
        <v>indeno[1,2,3-cd]pyrene</v>
      </c>
      <c r="FA357" t="str">
        <f t="shared" si="242"/>
        <v>PAK</v>
      </c>
      <c r="FB357" t="str">
        <f t="shared" si="243"/>
        <v>LDPE</v>
      </c>
      <c r="FC357" t="str">
        <f t="shared" si="244"/>
        <v>Immersion (shaking)</v>
      </c>
      <c r="FD357">
        <f t="shared" si="245"/>
        <v>293</v>
      </c>
      <c r="FE357" t="str">
        <f t="shared" si="246"/>
        <v>water</v>
      </c>
      <c r="FF357" t="str">
        <f t="shared" si="247"/>
        <v>measured 0.000005</v>
      </c>
      <c r="FG357" s="408" t="str">
        <f t="shared" si="240"/>
        <v/>
      </c>
      <c r="FH357" s="138">
        <f t="shared" si="248"/>
        <v>6.5000000000000009</v>
      </c>
      <c r="FI357" s="106">
        <f t="shared" si="267"/>
        <v>6.6583059931117168</v>
      </c>
      <c r="FJ357" s="138" t="str">
        <f t="shared" si="249"/>
        <v/>
      </c>
      <c r="FK357" s="138" t="str">
        <f t="shared" si="250"/>
        <v>**</v>
      </c>
    </row>
    <row r="358" spans="1:167" ht="12.75" hidden="1" customHeight="1" x14ac:dyDescent="0.2">
      <c r="A358">
        <v>323</v>
      </c>
      <c r="B358" s="4" t="s">
        <v>1937</v>
      </c>
      <c r="C358" s="4"/>
      <c r="D358" t="s">
        <v>559</v>
      </c>
      <c r="E358">
        <v>-1535</v>
      </c>
      <c r="F358" t="str">
        <f>VLOOKUP(E358,CompDbase!B:L,4,FALSE)</f>
        <v>naphthalene</v>
      </c>
      <c r="G358" s="95" t="str">
        <f>VLOOKUP(E358,CompDbase!B:M,12,FALSE)</f>
        <v>PAK</v>
      </c>
      <c r="H358" s="95">
        <f>VLOOKUP(E358,CompDbase!B:L,8,FALSE)</f>
        <v>128</v>
      </c>
      <c r="I358" s="95">
        <f>VLOOKUP(E358,CompDbase!B:L,11,FALSE)</f>
        <v>128.19999999999999</v>
      </c>
      <c r="J358" s="95" t="e">
        <f>VLOOKUP(E358,CompDbase!B:L,9,FALSE)</f>
        <v>#DIV/0!</v>
      </c>
      <c r="K358" s="95">
        <f>VLOOKUP(E358,CompDbase!B:L,10,FALSE)</f>
        <v>3.3</v>
      </c>
      <c r="L358" s="4" t="s">
        <v>769</v>
      </c>
      <c r="M358" s="423"/>
      <c r="N358" s="423"/>
      <c r="O358" s="4" t="s">
        <v>1985</v>
      </c>
      <c r="P358">
        <v>293</v>
      </c>
      <c r="Q358" s="4" t="s">
        <v>1049</v>
      </c>
      <c r="R358" s="289" t="s">
        <v>1982</v>
      </c>
      <c r="S358" s="289">
        <f>0.000005</f>
        <v>5.0000000000000004E-6</v>
      </c>
      <c r="T358" s="95" t="e">
        <f>S358/J358</f>
        <v>#DIV/0!</v>
      </c>
      <c r="W358">
        <v>1698.2436524617447</v>
      </c>
      <c r="X358" s="95">
        <f>LOG(W358)</f>
        <v>3.23</v>
      </c>
      <c r="Z358" s="190"/>
      <c r="AC358" t="s">
        <v>68</v>
      </c>
      <c r="AG358" s="138">
        <f t="shared" si="251"/>
        <v>3.23</v>
      </c>
      <c r="AH358">
        <f t="shared" si="265"/>
        <v>3.3</v>
      </c>
      <c r="AI358">
        <f t="shared" si="265"/>
        <v>3.3</v>
      </c>
      <c r="AL358">
        <f t="shared" si="268"/>
        <v>3.3</v>
      </c>
      <c r="BW358" s="138"/>
      <c r="DG358" s="138"/>
      <c r="EY358" s="479">
        <f>VLOOKUP(B358,Literatuur!$A:$B,2,FALSE)</f>
        <v>8</v>
      </c>
      <c r="EZ358" t="str">
        <f t="shared" si="241"/>
        <v>naphthalene</v>
      </c>
      <c r="FA358" t="str">
        <f t="shared" si="242"/>
        <v>PAK</v>
      </c>
      <c r="FB358" t="str">
        <f t="shared" si="243"/>
        <v>LDPE</v>
      </c>
      <c r="FC358" t="str">
        <f t="shared" si="244"/>
        <v>Immersion (shaking)</v>
      </c>
      <c r="FD358">
        <f t="shared" si="245"/>
        <v>293</v>
      </c>
      <c r="FE358" t="str">
        <f t="shared" si="246"/>
        <v>water</v>
      </c>
      <c r="FF358" t="str">
        <f t="shared" si="247"/>
        <v>measured 0.000005</v>
      </c>
      <c r="FG358" s="408" t="str">
        <f t="shared" si="240"/>
        <v/>
      </c>
      <c r="FH358" s="138">
        <f t="shared" si="248"/>
        <v>3.23</v>
      </c>
      <c r="FI358" s="106">
        <f t="shared" si="267"/>
        <v>2.9339261078561947</v>
      </c>
      <c r="FJ358" s="138" t="str">
        <f t="shared" si="249"/>
        <v/>
      </c>
      <c r="FK358" s="138" t="str">
        <f t="shared" si="250"/>
        <v>**</v>
      </c>
    </row>
    <row r="359" spans="1:167" ht="12.75" hidden="1" customHeight="1" x14ac:dyDescent="0.2">
      <c r="A359">
        <v>324</v>
      </c>
      <c r="B359" s="4" t="s">
        <v>1937</v>
      </c>
      <c r="C359" s="4"/>
      <c r="D359" t="s">
        <v>572</v>
      </c>
      <c r="E359">
        <v>-1548</v>
      </c>
      <c r="F359" t="str">
        <f>VLOOKUP(E359,CompDbase!B:L,4,FALSE)</f>
        <v>perylene</v>
      </c>
      <c r="G359" s="95" t="str">
        <f>VLOOKUP(E359,CompDbase!B:M,12,FALSE)</f>
        <v>PAK</v>
      </c>
      <c r="H359" s="95">
        <f>VLOOKUP(E359,CompDbase!B:L,8,FALSE)</f>
        <v>252.15</v>
      </c>
      <c r="I359" s="95">
        <f>VLOOKUP(E359,CompDbase!B:L,11,FALSE)</f>
        <v>219.45</v>
      </c>
      <c r="J359" s="95">
        <f>VLOOKUP(E359,CompDbase!B:L,9,FALSE)</f>
        <v>2.620096279985866E-2</v>
      </c>
      <c r="K359" s="95">
        <f>VLOOKUP(E359,CompDbase!B:L,10,FALSE)</f>
        <v>6.1749999999999998</v>
      </c>
      <c r="L359" s="4" t="s">
        <v>769</v>
      </c>
      <c r="M359" s="423"/>
      <c r="N359" s="423"/>
      <c r="O359" s="4" t="s">
        <v>1985</v>
      </c>
      <c r="P359">
        <v>293</v>
      </c>
      <c r="Q359" s="4" t="s">
        <v>1049</v>
      </c>
      <c r="R359" s="289" t="s">
        <v>1982</v>
      </c>
      <c r="S359">
        <f>0.000005</f>
        <v>5.0000000000000004E-6</v>
      </c>
      <c r="T359" s="95">
        <f>S359/J359</f>
        <v>1.9083268192064196E-4</v>
      </c>
      <c r="W359">
        <v>831763.77110267128</v>
      </c>
      <c r="X359" s="95">
        <f>LOG(W359)</f>
        <v>5.92</v>
      </c>
      <c r="Z359" s="190"/>
      <c r="AC359" t="s">
        <v>68</v>
      </c>
      <c r="AG359" s="138">
        <f t="shared" si="251"/>
        <v>5.92</v>
      </c>
      <c r="AH359">
        <f t="shared" si="265"/>
        <v>6.1749999999999998</v>
      </c>
      <c r="AI359">
        <f t="shared" si="265"/>
        <v>6.1749999999999998</v>
      </c>
      <c r="AL359">
        <f t="shared" si="268"/>
        <v>6.1749999999999998</v>
      </c>
      <c r="BW359" s="138"/>
      <c r="BX359">
        <f t="shared" ref="BX359:BY388" si="269">LOG(1*$J359)</f>
        <v>-1.5816827494824268</v>
      </c>
      <c r="BY359">
        <f t="shared" si="269"/>
        <v>-1.5816827494824268</v>
      </c>
      <c r="CB359">
        <f t="shared" ref="CB359:CB388" si="270">LOG(1*$J359)</f>
        <v>-1.5816827494824268</v>
      </c>
      <c r="DG359" s="138"/>
      <c r="EY359" s="479">
        <f>VLOOKUP(B359,Literatuur!$A:$B,2,FALSE)</f>
        <v>8</v>
      </c>
      <c r="EZ359" t="str">
        <f t="shared" si="241"/>
        <v>perylene</v>
      </c>
      <c r="FA359" t="str">
        <f t="shared" si="242"/>
        <v>PAK</v>
      </c>
      <c r="FB359" t="str">
        <f t="shared" si="243"/>
        <v>LDPE</v>
      </c>
      <c r="FC359" t="str">
        <f t="shared" si="244"/>
        <v>Immersion (shaking)</v>
      </c>
      <c r="FD359">
        <f t="shared" si="245"/>
        <v>293</v>
      </c>
      <c r="FE359" t="str">
        <f t="shared" si="246"/>
        <v>water</v>
      </c>
      <c r="FF359" t="str">
        <f t="shared" si="247"/>
        <v>measured 0.000005</v>
      </c>
      <c r="FG359" s="408">
        <f t="shared" si="240"/>
        <v>1.9083268192064196E-4</v>
      </c>
      <c r="FH359" s="138">
        <f t="shared" si="248"/>
        <v>5.92</v>
      </c>
      <c r="FI359" s="106">
        <f t="shared" si="267"/>
        <v>6.0832179225943195</v>
      </c>
      <c r="FJ359" s="138" t="str">
        <f t="shared" si="249"/>
        <v/>
      </c>
      <c r="FK359" s="138" t="str">
        <f t="shared" si="250"/>
        <v>**</v>
      </c>
    </row>
    <row r="360" spans="1:167" ht="12.75" hidden="1" customHeight="1" x14ac:dyDescent="0.2">
      <c r="A360">
        <v>325</v>
      </c>
      <c r="B360" s="4" t="s">
        <v>1937</v>
      </c>
      <c r="C360" s="4"/>
      <c r="D360" t="s">
        <v>562</v>
      </c>
      <c r="E360">
        <v>-1538</v>
      </c>
      <c r="F360" t="str">
        <f>VLOOKUP(E360,CompDbase!B:L,4,FALSE)</f>
        <v>phenanthrene</v>
      </c>
      <c r="G360" s="95" t="str">
        <f>VLOOKUP(E360,CompDbase!B:M,12,FALSE)</f>
        <v>PAK</v>
      </c>
      <c r="H360" s="95">
        <f>VLOOKUP(E360,CompDbase!B:L,8,FALSE)</f>
        <v>178.1</v>
      </c>
      <c r="I360" s="95">
        <f>VLOOKUP(E360,CompDbase!B:L,11,FALSE)</f>
        <v>160.35</v>
      </c>
      <c r="J360" s="95">
        <f>VLOOKUP(E360,CompDbase!B:L,9,FALSE)</f>
        <v>4.3501847309898105</v>
      </c>
      <c r="K360" s="95">
        <f>VLOOKUP(E360,CompDbase!B:L,10,FALSE)</f>
        <v>4.4800000000000004</v>
      </c>
      <c r="L360" s="4" t="s">
        <v>769</v>
      </c>
      <c r="O360" s="4" t="s">
        <v>1985</v>
      </c>
      <c r="P360">
        <v>293</v>
      </c>
      <c r="Q360" s="4" t="s">
        <v>1049</v>
      </c>
      <c r="R360" s="289" t="s">
        <v>1982</v>
      </c>
      <c r="S360">
        <f>0.000005</f>
        <v>5.0000000000000004E-6</v>
      </c>
      <c r="T360" s="95">
        <f>S360/J360</f>
        <v>1.1493764769070704E-6</v>
      </c>
      <c r="W360">
        <v>10964.781961431856</v>
      </c>
      <c r="X360" s="95">
        <f>LOG(W360)</f>
        <v>4.04</v>
      </c>
      <c r="Z360" s="190"/>
      <c r="AC360" t="s">
        <v>68</v>
      </c>
      <c r="AG360" s="138">
        <f t="shared" si="251"/>
        <v>4.04</v>
      </c>
      <c r="AH360">
        <f t="shared" si="265"/>
        <v>4.4800000000000004</v>
      </c>
      <c r="AI360">
        <f t="shared" si="265"/>
        <v>4.4800000000000004</v>
      </c>
      <c r="AL360">
        <f t="shared" si="268"/>
        <v>4.4800000000000004</v>
      </c>
      <c r="BW360" s="138"/>
      <c r="BX360">
        <f t="shared" si="269"/>
        <v>0.63850769970085575</v>
      </c>
      <c r="BY360">
        <f t="shared" si="269"/>
        <v>0.63850769970085575</v>
      </c>
      <c r="CB360">
        <f t="shared" si="270"/>
        <v>0.63850769970085575</v>
      </c>
      <c r="DG360" s="138"/>
      <c r="EY360" s="479">
        <f>VLOOKUP(B360,Literatuur!$A:$B,2,FALSE)</f>
        <v>8</v>
      </c>
      <c r="EZ360" t="str">
        <f t="shared" si="241"/>
        <v>phenanthrene</v>
      </c>
      <c r="FA360" t="str">
        <f t="shared" si="242"/>
        <v>PAK</v>
      </c>
      <c r="FB360" t="str">
        <f t="shared" si="243"/>
        <v>LDPE</v>
      </c>
      <c r="FC360" t="str">
        <f t="shared" si="244"/>
        <v>Immersion (shaking)</v>
      </c>
      <c r="FD360">
        <f t="shared" si="245"/>
        <v>293</v>
      </c>
      <c r="FE360" t="str">
        <f t="shared" si="246"/>
        <v>water</v>
      </c>
      <c r="FF360" t="str">
        <f t="shared" si="247"/>
        <v>measured 0.000005</v>
      </c>
      <c r="FG360" s="408">
        <f t="shared" si="240"/>
        <v>1.1493764769070704E-6</v>
      </c>
      <c r="FH360" s="138">
        <f t="shared" si="248"/>
        <v>4.04</v>
      </c>
      <c r="FI360" s="106">
        <f t="shared" si="267"/>
        <v>4.2265050092095819</v>
      </c>
      <c r="FJ360" s="138" t="str">
        <f t="shared" si="249"/>
        <v/>
      </c>
      <c r="FK360" s="138" t="str">
        <f t="shared" si="250"/>
        <v>**</v>
      </c>
    </row>
    <row r="361" spans="1:167" ht="12.75" hidden="1" customHeight="1" x14ac:dyDescent="0.2">
      <c r="A361">
        <v>326</v>
      </c>
      <c r="B361" s="4" t="s">
        <v>1937</v>
      </c>
      <c r="C361" s="4"/>
      <c r="D361" t="s">
        <v>565</v>
      </c>
      <c r="E361">
        <v>-1541</v>
      </c>
      <c r="F361" t="str">
        <f>VLOOKUP(E361,CompDbase!B:L,4,FALSE)</f>
        <v>pyrene</v>
      </c>
      <c r="G361" s="95" t="str">
        <f>VLOOKUP(E361,CompDbase!B:M,12,FALSE)</f>
        <v>PAK</v>
      </c>
      <c r="H361" s="95">
        <f>VLOOKUP(E361,CompDbase!B:L,8,FALSE)</f>
        <v>202.15</v>
      </c>
      <c r="I361" s="95">
        <f>VLOOKUP(E361,CompDbase!B:L,11,FALSE)</f>
        <v>182.10000000000002</v>
      </c>
      <c r="J361" s="95">
        <f>VLOOKUP(E361,CompDbase!B:L,9,FALSE)</f>
        <v>0.83636506257935239</v>
      </c>
      <c r="K361" s="95">
        <f>VLOOKUP(E361,CompDbase!B:L,10,FALSE)</f>
        <v>4.9399999999999995</v>
      </c>
      <c r="L361" s="4" t="s">
        <v>769</v>
      </c>
      <c r="M361" s="423"/>
      <c r="N361" s="423"/>
      <c r="O361" s="4" t="s">
        <v>1985</v>
      </c>
      <c r="P361">
        <v>293</v>
      </c>
      <c r="Q361" s="4" t="s">
        <v>1049</v>
      </c>
      <c r="R361" s="289" t="s">
        <v>1982</v>
      </c>
      <c r="S361">
        <f>0.000005</f>
        <v>5.0000000000000004E-6</v>
      </c>
      <c r="T361" s="95">
        <f>S361/J361</f>
        <v>5.9782506751058985E-6</v>
      </c>
      <c r="W361">
        <v>77624.711662869129</v>
      </c>
      <c r="X361" s="95">
        <f>LOG(W361)</f>
        <v>4.8899999999999997</v>
      </c>
      <c r="Z361" s="190"/>
      <c r="AC361" t="s">
        <v>68</v>
      </c>
      <c r="AG361" s="138">
        <f t="shared" si="251"/>
        <v>4.8899999999999997</v>
      </c>
      <c r="AH361">
        <f t="shared" si="265"/>
        <v>4.9399999999999995</v>
      </c>
      <c r="AI361">
        <f t="shared" si="265"/>
        <v>4.9399999999999995</v>
      </c>
      <c r="AL361">
        <f t="shared" si="268"/>
        <v>4.9399999999999995</v>
      </c>
      <c r="BW361" s="138"/>
      <c r="BX361">
        <f t="shared" si="269"/>
        <v>-7.760411722919576E-2</v>
      </c>
      <c r="BY361">
        <f t="shared" si="269"/>
        <v>-7.760411722919576E-2</v>
      </c>
      <c r="CB361">
        <f t="shared" si="270"/>
        <v>-7.760411722919576E-2</v>
      </c>
      <c r="DG361" s="138"/>
      <c r="EY361" s="479">
        <f>VLOOKUP(B361,Literatuur!$A:$B,2,FALSE)</f>
        <v>8</v>
      </c>
      <c r="EZ361" t="str">
        <f t="shared" si="241"/>
        <v>pyrene</v>
      </c>
      <c r="FA361" t="str">
        <f t="shared" si="242"/>
        <v>PAK</v>
      </c>
      <c r="FB361" t="str">
        <f t="shared" si="243"/>
        <v>LDPE</v>
      </c>
      <c r="FC361" t="str">
        <f t="shared" si="244"/>
        <v>Immersion (shaking)</v>
      </c>
      <c r="FD361">
        <f t="shared" si="245"/>
        <v>293</v>
      </c>
      <c r="FE361" t="str">
        <f t="shared" si="246"/>
        <v>water</v>
      </c>
      <c r="FF361" t="str">
        <f t="shared" si="247"/>
        <v>measured 0.000005</v>
      </c>
      <c r="FG361" s="408">
        <f t="shared" si="240"/>
        <v>5.9782506751058985E-6</v>
      </c>
      <c r="FH361" s="138">
        <f t="shared" si="248"/>
        <v>4.8899999999999997</v>
      </c>
      <c r="FI361" s="106">
        <f t="shared" si="267"/>
        <v>4.7303916995676811</v>
      </c>
      <c r="FJ361" s="138" t="str">
        <f t="shared" si="249"/>
        <v/>
      </c>
      <c r="FK361" s="138" t="str">
        <f t="shared" si="250"/>
        <v>**</v>
      </c>
    </row>
    <row r="362" spans="1:167" ht="12.75" hidden="1" customHeight="1" x14ac:dyDescent="0.2">
      <c r="A362">
        <v>327</v>
      </c>
      <c r="B362" t="s">
        <v>1593</v>
      </c>
      <c r="C362" s="4" t="s">
        <v>1557</v>
      </c>
      <c r="D362" t="s">
        <v>563</v>
      </c>
      <c r="E362" s="33">
        <v>-1539</v>
      </c>
      <c r="F362" t="str">
        <f>VLOOKUP(E362,CompDbase!B:L,4,FALSE)</f>
        <v>anthracene</v>
      </c>
      <c r="G362" s="95" t="str">
        <f>VLOOKUP(E362,CompDbase!B:M,12,FALSE)</f>
        <v>PAK</v>
      </c>
      <c r="H362" s="95">
        <f>VLOOKUP(E362,CompDbase!B:L,8,FALSE)</f>
        <v>178.1</v>
      </c>
      <c r="I362" s="95">
        <f>VLOOKUP(E362,CompDbase!B:L,11,FALSE)</f>
        <v>158.89999999999998</v>
      </c>
      <c r="J362" s="95">
        <f>VLOOKUP(E362,CompDbase!B:L,9,FALSE)</f>
        <v>4.3501847309898105</v>
      </c>
      <c r="K362" s="95">
        <f>VLOOKUP(E362,CompDbase!B:L,10,FALSE)</f>
        <v>4.5250000000000004</v>
      </c>
      <c r="L362" s="4" t="s">
        <v>769</v>
      </c>
      <c r="M362" s="420"/>
      <c r="N362" s="420"/>
      <c r="O362" s="176" t="s">
        <v>1044</v>
      </c>
      <c r="P362" s="4" t="s">
        <v>1987</v>
      </c>
      <c r="Q362" s="4" t="s">
        <v>1049</v>
      </c>
      <c r="S362" s="4"/>
      <c r="T362" s="95"/>
      <c r="W362" s="199">
        <f t="shared" ref="W362:W393" si="271">10^X362</f>
        <v>25118.86431509586</v>
      </c>
      <c r="X362">
        <v>4.4000000000000004</v>
      </c>
      <c r="AC362" t="s">
        <v>68</v>
      </c>
      <c r="AG362" s="138">
        <f t="shared" si="251"/>
        <v>4.4000000000000004</v>
      </c>
      <c r="AH362">
        <f t="shared" si="265"/>
        <v>4.5250000000000004</v>
      </c>
      <c r="AI362">
        <f t="shared" si="265"/>
        <v>4.5250000000000004</v>
      </c>
      <c r="AL362">
        <f t="shared" si="268"/>
        <v>4.5250000000000004</v>
      </c>
      <c r="BW362" s="138"/>
      <c r="BX362">
        <f t="shared" si="269"/>
        <v>0.63850769970085575</v>
      </c>
      <c r="BY362">
        <f t="shared" si="269"/>
        <v>0.63850769970085575</v>
      </c>
      <c r="CB362">
        <f t="shared" si="270"/>
        <v>0.63850769970085575</v>
      </c>
      <c r="DG362" s="138"/>
      <c r="EY362" s="479">
        <f>VLOOKUP(B362,Literatuur!$A:$B,2,FALSE)</f>
        <v>9</v>
      </c>
      <c r="EZ362" t="str">
        <f t="shared" si="241"/>
        <v>anthracene</v>
      </c>
      <c r="FA362" t="str">
        <f t="shared" si="242"/>
        <v>PAK</v>
      </c>
      <c r="FB362" t="str">
        <f t="shared" si="243"/>
        <v>LDPE</v>
      </c>
      <c r="FC362" t="str">
        <f t="shared" si="244"/>
        <v>Immersion</v>
      </c>
      <c r="FD362" t="str">
        <f t="shared" si="245"/>
        <v>room ??</v>
      </c>
      <c r="FE362" t="str">
        <f t="shared" si="246"/>
        <v>water</v>
      </c>
      <c r="FF362" t="str">
        <f t="shared" si="247"/>
        <v xml:space="preserve"> </v>
      </c>
      <c r="FG362" s="408" t="str">
        <f t="shared" si="240"/>
        <v/>
      </c>
      <c r="FH362" s="138">
        <f t="shared" si="248"/>
        <v>4.4000000000000004</v>
      </c>
      <c r="FI362" s="106">
        <f t="shared" si="267"/>
        <v>4.2757982723967878</v>
      </c>
      <c r="FJ362" s="138" t="str">
        <f t="shared" si="249"/>
        <v/>
      </c>
      <c r="FK362" s="138" t="str">
        <f t="shared" si="250"/>
        <v>**</v>
      </c>
    </row>
    <row r="363" spans="1:167" ht="12.75" hidden="1" customHeight="1" x14ac:dyDescent="0.2">
      <c r="A363">
        <v>328</v>
      </c>
      <c r="B363" t="s">
        <v>1593</v>
      </c>
      <c r="C363" s="4" t="s">
        <v>1557</v>
      </c>
      <c r="D363" t="s">
        <v>967</v>
      </c>
      <c r="E363" s="33">
        <v>-1542</v>
      </c>
      <c r="F363" t="str">
        <f>VLOOKUP(E363,CompDbase!B:L,4,FALSE)</f>
        <v>benz[a]anthracene</v>
      </c>
      <c r="G363" s="95" t="str">
        <f>VLOOKUP(E363,CompDbase!B:M,12,FALSE)</f>
        <v>PAK</v>
      </c>
      <c r="H363" s="95">
        <f>VLOOKUP(E363,CompDbase!B:L,8,FALSE)</f>
        <v>228.15</v>
      </c>
      <c r="I363" s="95">
        <f>VLOOKUP(E363,CompDbase!B:L,11,FALSE)</f>
        <v>194.89999999999998</v>
      </c>
      <c r="J363" s="95">
        <f>VLOOKUP(E363,CompDbase!B:L,9,FALSE)</f>
        <v>0.13896515350405772</v>
      </c>
      <c r="K363" s="95">
        <f>VLOOKUP(E363,CompDbase!B:L,10,FALSE)</f>
        <v>5.7799999999999994</v>
      </c>
      <c r="L363" s="4" t="s">
        <v>769</v>
      </c>
      <c r="M363" s="420"/>
      <c r="N363" s="420"/>
      <c r="O363" s="176" t="s">
        <v>1044</v>
      </c>
      <c r="P363" s="4" t="s">
        <v>1987</v>
      </c>
      <c r="Q363" s="4" t="s">
        <v>1049</v>
      </c>
      <c r="S363" s="4"/>
      <c r="T363" s="95"/>
      <c r="W363" s="199">
        <f t="shared" si="271"/>
        <v>398107.17055349716</v>
      </c>
      <c r="X363">
        <v>5.6</v>
      </c>
      <c r="AC363" t="s">
        <v>68</v>
      </c>
      <c r="AG363" s="138">
        <f t="shared" si="251"/>
        <v>5.6</v>
      </c>
      <c r="AH363">
        <f t="shared" si="265"/>
        <v>5.7799999999999994</v>
      </c>
      <c r="AI363">
        <f t="shared" si="265"/>
        <v>5.7799999999999994</v>
      </c>
      <c r="AL363">
        <f t="shared" si="268"/>
        <v>5.7799999999999994</v>
      </c>
      <c r="BW363" s="138"/>
      <c r="BX363">
        <f t="shared" si="269"/>
        <v>-0.85709408850976543</v>
      </c>
      <c r="BY363">
        <f t="shared" si="269"/>
        <v>-0.85709408850976543</v>
      </c>
      <c r="CB363">
        <f t="shared" si="270"/>
        <v>-0.85709408850976543</v>
      </c>
      <c r="DG363" s="138"/>
      <c r="EY363" s="479">
        <f>VLOOKUP(B363,Literatuur!$A:$B,2,FALSE)</f>
        <v>9</v>
      </c>
      <c r="EZ363" t="str">
        <f t="shared" si="241"/>
        <v>benz(a)anthracene</v>
      </c>
      <c r="FA363" t="str">
        <f t="shared" si="242"/>
        <v>PAK</v>
      </c>
      <c r="FB363" t="str">
        <f t="shared" si="243"/>
        <v>LDPE</v>
      </c>
      <c r="FC363" t="str">
        <f t="shared" si="244"/>
        <v>Immersion</v>
      </c>
      <c r="FD363" t="str">
        <f t="shared" si="245"/>
        <v>room ??</v>
      </c>
      <c r="FE363" t="str">
        <f t="shared" si="246"/>
        <v>water</v>
      </c>
      <c r="FF363" t="str">
        <f t="shared" si="247"/>
        <v xml:space="preserve"> </v>
      </c>
      <c r="FG363" s="408" t="str">
        <f t="shared" si="240"/>
        <v/>
      </c>
      <c r="FH363" s="138">
        <f t="shared" si="248"/>
        <v>5.6</v>
      </c>
      <c r="FI363" s="106">
        <f t="shared" si="267"/>
        <v>5.6505326123955157</v>
      </c>
      <c r="FJ363" s="138" t="str">
        <f t="shared" si="249"/>
        <v/>
      </c>
      <c r="FK363" s="138" t="str">
        <f t="shared" si="250"/>
        <v>**</v>
      </c>
    </row>
    <row r="364" spans="1:167" ht="12.75" hidden="1" customHeight="1" x14ac:dyDescent="0.2">
      <c r="A364">
        <v>329</v>
      </c>
      <c r="B364" t="s">
        <v>1593</v>
      </c>
      <c r="C364" s="4" t="s">
        <v>1557</v>
      </c>
      <c r="D364" t="s">
        <v>968</v>
      </c>
      <c r="E364" s="33">
        <v>-1547</v>
      </c>
      <c r="F364" t="str">
        <f>VLOOKUP(E364,CompDbase!B:L,4,FALSE)</f>
        <v>benzo[a]pyrene</v>
      </c>
      <c r="G364" s="95" t="str">
        <f>VLOOKUP(E364,CompDbase!B:M,12,FALSE)</f>
        <v>PAK</v>
      </c>
      <c r="H364" s="95">
        <f>VLOOKUP(E364,CompDbase!B:L,8,FALSE)</f>
        <v>252.15</v>
      </c>
      <c r="I364" s="95">
        <f>VLOOKUP(E364,CompDbase!B:L,11,FALSE)</f>
        <v>218.05</v>
      </c>
      <c r="J364" s="95">
        <f>VLOOKUP(E364,CompDbase!B:L,9,FALSE)</f>
        <v>2.620096279985866E-2</v>
      </c>
      <c r="K364" s="95">
        <f>VLOOKUP(E364,CompDbase!B:L,10,FALSE)</f>
        <v>6.1150000000000002</v>
      </c>
      <c r="L364" s="4" t="s">
        <v>769</v>
      </c>
      <c r="M364" s="420"/>
      <c r="N364" s="420"/>
      <c r="O364" s="176" t="s">
        <v>1044</v>
      </c>
      <c r="P364" s="4" t="s">
        <v>1987</v>
      </c>
      <c r="Q364" s="4" t="s">
        <v>1049</v>
      </c>
      <c r="S364" s="4"/>
      <c r="T364" s="95"/>
      <c r="W364" s="199">
        <f t="shared" si="271"/>
        <v>1584893.1924611153</v>
      </c>
      <c r="X364">
        <v>6.2</v>
      </c>
      <c r="AC364" t="s">
        <v>68</v>
      </c>
      <c r="AG364" s="138">
        <f t="shared" si="251"/>
        <v>6.2</v>
      </c>
      <c r="AH364">
        <f t="shared" si="265"/>
        <v>6.1150000000000002</v>
      </c>
      <c r="AI364">
        <f t="shared" si="265"/>
        <v>6.1150000000000002</v>
      </c>
      <c r="AL364">
        <f t="shared" si="268"/>
        <v>6.1150000000000002</v>
      </c>
      <c r="BW364" s="138"/>
      <c r="BX364">
        <f t="shared" si="269"/>
        <v>-1.5816827494824268</v>
      </c>
      <c r="BY364">
        <f t="shared" si="269"/>
        <v>-1.5816827494824268</v>
      </c>
      <c r="CB364">
        <f t="shared" si="270"/>
        <v>-1.5816827494824268</v>
      </c>
      <c r="DG364" s="138"/>
      <c r="EY364" s="479">
        <f>VLOOKUP(B364,Literatuur!$A:$B,2,FALSE)</f>
        <v>9</v>
      </c>
      <c r="EZ364" t="str">
        <f t="shared" si="241"/>
        <v>benzo(a)pyrene</v>
      </c>
      <c r="FA364" t="str">
        <f t="shared" si="242"/>
        <v>PAK</v>
      </c>
      <c r="FB364" t="str">
        <f t="shared" si="243"/>
        <v>LDPE</v>
      </c>
      <c r="FC364" t="str">
        <f t="shared" si="244"/>
        <v>Immersion</v>
      </c>
      <c r="FD364" t="str">
        <f t="shared" si="245"/>
        <v>room ??</v>
      </c>
      <c r="FE364" t="str">
        <f t="shared" si="246"/>
        <v>water</v>
      </c>
      <c r="FF364" t="str">
        <f t="shared" si="247"/>
        <v xml:space="preserve"> </v>
      </c>
      <c r="FG364" s="408" t="str">
        <f t="shared" si="240"/>
        <v/>
      </c>
      <c r="FH364" s="138">
        <f t="shared" si="248"/>
        <v>6.2</v>
      </c>
      <c r="FI364" s="106">
        <f t="shared" si="267"/>
        <v>6.0174935716780462</v>
      </c>
      <c r="FJ364" s="138" t="str">
        <f t="shared" si="249"/>
        <v/>
      </c>
      <c r="FK364" s="138" t="str">
        <f t="shared" si="250"/>
        <v>**</v>
      </c>
    </row>
    <row r="365" spans="1:167" ht="12.75" hidden="1" customHeight="1" x14ac:dyDescent="0.2">
      <c r="A365">
        <v>330</v>
      </c>
      <c r="B365" t="s">
        <v>1593</v>
      </c>
      <c r="C365" s="4" t="s">
        <v>1557</v>
      </c>
      <c r="D365" t="s">
        <v>969</v>
      </c>
      <c r="E365" s="33">
        <v>-1544</v>
      </c>
      <c r="F365" t="str">
        <f>VLOOKUP(E365,CompDbase!B:L,4,FALSE)</f>
        <v>benzo[b]fluoranthene</v>
      </c>
      <c r="G365" s="95" t="str">
        <f>VLOOKUP(E365,CompDbase!B:M,12,FALSE)</f>
        <v>PAK</v>
      </c>
      <c r="H365" s="95">
        <f>VLOOKUP(E365,CompDbase!B:L,8,FALSE)</f>
        <v>252.15</v>
      </c>
      <c r="I365" s="95">
        <f>VLOOKUP(E365,CompDbase!B:L,11,FALSE)</f>
        <v>231.8</v>
      </c>
      <c r="J365" s="95">
        <f>VLOOKUP(E365,CompDbase!B:L,9,FALSE)</f>
        <v>2.620096279985866E-2</v>
      </c>
      <c r="K365" s="95">
        <f>VLOOKUP(E365,CompDbase!B:L,10,FALSE)</f>
        <v>5.84</v>
      </c>
      <c r="L365" s="4" t="s">
        <v>769</v>
      </c>
      <c r="M365" s="420"/>
      <c r="N365" s="420"/>
      <c r="O365" s="176" t="s">
        <v>1044</v>
      </c>
      <c r="P365" s="4" t="s">
        <v>1987</v>
      </c>
      <c r="Q365" s="4" t="s">
        <v>1049</v>
      </c>
      <c r="S365" s="4"/>
      <c r="T365" s="95"/>
      <c r="W365" s="199">
        <f t="shared" si="271"/>
        <v>1258925.4117941677</v>
      </c>
      <c r="X365">
        <v>6.1</v>
      </c>
      <c r="AC365" t="s">
        <v>68</v>
      </c>
      <c r="AG365" s="138">
        <f t="shared" si="251"/>
        <v>6.1</v>
      </c>
      <c r="AH365">
        <f t="shared" si="265"/>
        <v>5.84</v>
      </c>
      <c r="AI365">
        <f t="shared" si="265"/>
        <v>5.84</v>
      </c>
      <c r="AL365">
        <f t="shared" si="268"/>
        <v>5.84</v>
      </c>
      <c r="BW365" s="138"/>
      <c r="BX365">
        <f t="shared" si="269"/>
        <v>-1.5816827494824268</v>
      </c>
      <c r="BY365">
        <f t="shared" si="269"/>
        <v>-1.5816827494824268</v>
      </c>
      <c r="CB365">
        <f t="shared" si="270"/>
        <v>-1.5816827494824268</v>
      </c>
      <c r="DG365" s="138"/>
      <c r="EY365" s="479">
        <f>VLOOKUP(B365,Literatuur!$A:$B,2,FALSE)</f>
        <v>9</v>
      </c>
      <c r="EZ365" t="str">
        <f t="shared" si="241"/>
        <v>benzo(b)fluoranthene</v>
      </c>
      <c r="FA365" t="str">
        <f t="shared" si="242"/>
        <v>PAK</v>
      </c>
      <c r="FB365" t="str">
        <f t="shared" si="243"/>
        <v>LDPE</v>
      </c>
      <c r="FC365" t="str">
        <f t="shared" si="244"/>
        <v>Immersion</v>
      </c>
      <c r="FD365" t="str">
        <f t="shared" si="245"/>
        <v>room ??</v>
      </c>
      <c r="FE365" t="str">
        <f t="shared" si="246"/>
        <v>water</v>
      </c>
      <c r="FF365" t="str">
        <f t="shared" si="247"/>
        <v xml:space="preserve"> </v>
      </c>
      <c r="FG365" s="408" t="str">
        <f t="shared" si="240"/>
        <v/>
      </c>
      <c r="FH365" s="138">
        <f t="shared" si="248"/>
        <v>6.1</v>
      </c>
      <c r="FI365" s="106">
        <f t="shared" si="267"/>
        <v>5.7162569633117908</v>
      </c>
      <c r="FJ365" s="138" t="str">
        <f t="shared" si="249"/>
        <v/>
      </c>
      <c r="FK365" s="138" t="str">
        <f t="shared" si="250"/>
        <v>**</v>
      </c>
    </row>
    <row r="366" spans="1:167" ht="12.75" hidden="1" customHeight="1" x14ac:dyDescent="0.2">
      <c r="A366">
        <v>331</v>
      </c>
      <c r="B366" t="s">
        <v>1593</v>
      </c>
      <c r="C366" s="4" t="s">
        <v>1557</v>
      </c>
      <c r="D366" t="s">
        <v>971</v>
      </c>
      <c r="E366" s="33">
        <v>-1546</v>
      </c>
      <c r="F366" t="str">
        <f>VLOOKUP(E366,CompDbase!B:L,4,FALSE)</f>
        <v>benzo[e]pyrene</v>
      </c>
      <c r="G366" s="95" t="str">
        <f>VLOOKUP(E366,CompDbase!B:M,12,FALSE)</f>
        <v>PAK</v>
      </c>
      <c r="H366" s="95">
        <f>VLOOKUP(E366,CompDbase!B:L,8,FALSE)</f>
        <v>252.15</v>
      </c>
      <c r="I366" s="95">
        <f>VLOOKUP(E366,CompDbase!B:L,11,FALSE)</f>
        <v>219.45</v>
      </c>
      <c r="J366" s="95">
        <f>VLOOKUP(E366,CompDbase!B:L,9,FALSE)</f>
        <v>2.620096279985866E-2</v>
      </c>
      <c r="K366" s="95">
        <f>VLOOKUP(E366,CompDbase!B:L,10,FALSE)</f>
        <v>6.27</v>
      </c>
      <c r="L366" s="4" t="s">
        <v>769</v>
      </c>
      <c r="M366" s="420"/>
      <c r="N366" s="420"/>
      <c r="O366" s="176" t="s">
        <v>1044</v>
      </c>
      <c r="P366" s="4" t="s">
        <v>1987</v>
      </c>
      <c r="Q366" s="4" t="s">
        <v>1049</v>
      </c>
      <c r="S366" s="4"/>
      <c r="T366" s="95"/>
      <c r="W366" s="199">
        <f t="shared" si="271"/>
        <v>1995262.31496888</v>
      </c>
      <c r="X366">
        <v>6.3</v>
      </c>
      <c r="AC366" t="s">
        <v>68</v>
      </c>
      <c r="AG366" s="138">
        <f t="shared" si="251"/>
        <v>6.3</v>
      </c>
      <c r="AH366">
        <f t="shared" si="265"/>
        <v>6.27</v>
      </c>
      <c r="AI366">
        <f t="shared" si="265"/>
        <v>6.27</v>
      </c>
      <c r="AL366">
        <f t="shared" si="268"/>
        <v>6.27</v>
      </c>
      <c r="BW366" s="138"/>
      <c r="BX366">
        <f t="shared" si="269"/>
        <v>-1.5816827494824268</v>
      </c>
      <c r="BY366">
        <f t="shared" si="269"/>
        <v>-1.5816827494824268</v>
      </c>
      <c r="CB366">
        <f t="shared" si="270"/>
        <v>-1.5816827494824268</v>
      </c>
      <c r="DG366" s="138"/>
      <c r="EY366" s="479">
        <f>VLOOKUP(B366,Literatuur!$A:$B,2,FALSE)</f>
        <v>9</v>
      </c>
      <c r="EZ366" t="str">
        <f t="shared" si="241"/>
        <v>benzo(e)pyrene</v>
      </c>
      <c r="FA366" t="str">
        <f t="shared" si="242"/>
        <v>PAK</v>
      </c>
      <c r="FB366" t="str">
        <f t="shared" si="243"/>
        <v>LDPE</v>
      </c>
      <c r="FC366" t="str">
        <f t="shared" si="244"/>
        <v>Immersion</v>
      </c>
      <c r="FD366" t="str">
        <f t="shared" si="245"/>
        <v>room ??</v>
      </c>
      <c r="FE366" t="str">
        <f t="shared" si="246"/>
        <v>water</v>
      </c>
      <c r="FF366" t="str">
        <f t="shared" si="247"/>
        <v xml:space="preserve"> </v>
      </c>
      <c r="FG366" s="408" t="str">
        <f t="shared" si="240"/>
        <v/>
      </c>
      <c r="FH366" s="138">
        <f t="shared" si="248"/>
        <v>6.3</v>
      </c>
      <c r="FI366" s="106">
        <f t="shared" si="267"/>
        <v>6.1872814782117533</v>
      </c>
      <c r="FJ366" s="138" t="str">
        <f t="shared" si="249"/>
        <v/>
      </c>
      <c r="FK366" s="138" t="str">
        <f t="shared" si="250"/>
        <v>**</v>
      </c>
    </row>
    <row r="367" spans="1:167" ht="12.75" hidden="1" customHeight="1" x14ac:dyDescent="0.2">
      <c r="A367">
        <v>332</v>
      </c>
      <c r="B367" t="s">
        <v>1593</v>
      </c>
      <c r="C367" s="4" t="s">
        <v>1557</v>
      </c>
      <c r="D367" t="s">
        <v>567</v>
      </c>
      <c r="E367" s="33">
        <v>-1543</v>
      </c>
      <c r="F367" t="str">
        <f>VLOOKUP(E367,CompDbase!B:L,4,FALSE)</f>
        <v>chrysene</v>
      </c>
      <c r="G367" s="95" t="str">
        <f>VLOOKUP(E367,CompDbase!B:M,12,FALSE)</f>
        <v>PAK</v>
      </c>
      <c r="H367" s="95">
        <f>VLOOKUP(E367,CompDbase!B:L,8,FALSE)</f>
        <v>228.15</v>
      </c>
      <c r="I367" s="95">
        <f>VLOOKUP(E367,CompDbase!B:L,11,FALSE)</f>
        <v>196.3</v>
      </c>
      <c r="J367" s="95">
        <f>VLOOKUP(E367,CompDbase!B:L,9,FALSE)</f>
        <v>0.13896515350405772</v>
      </c>
      <c r="K367" s="95">
        <f>VLOOKUP(E367,CompDbase!B:L,10,FALSE)</f>
        <v>5.7549999999999999</v>
      </c>
      <c r="L367" s="4" t="s">
        <v>769</v>
      </c>
      <c r="M367" s="420"/>
      <c r="N367" s="420"/>
      <c r="O367" s="176" t="s">
        <v>1044</v>
      </c>
      <c r="P367" s="4" t="s">
        <v>1987</v>
      </c>
      <c r="Q367" s="4" t="s">
        <v>1049</v>
      </c>
      <c r="S367" s="4"/>
      <c r="T367" s="95"/>
      <c r="W367" s="199">
        <f t="shared" si="271"/>
        <v>398107.17055349716</v>
      </c>
      <c r="X367">
        <v>5.6</v>
      </c>
      <c r="AC367" t="s">
        <v>68</v>
      </c>
      <c r="AG367" s="138">
        <f t="shared" si="251"/>
        <v>5.6</v>
      </c>
      <c r="AH367">
        <f t="shared" si="265"/>
        <v>5.7549999999999999</v>
      </c>
      <c r="AI367">
        <f t="shared" si="265"/>
        <v>5.7549999999999999</v>
      </c>
      <c r="AL367">
        <f t="shared" si="268"/>
        <v>5.7549999999999999</v>
      </c>
      <c r="BW367" s="138"/>
      <c r="BX367">
        <f t="shared" si="269"/>
        <v>-0.85709408850976543</v>
      </c>
      <c r="BY367">
        <f t="shared" si="269"/>
        <v>-0.85709408850976543</v>
      </c>
      <c r="CB367">
        <f t="shared" si="270"/>
        <v>-0.85709408850976543</v>
      </c>
      <c r="DG367" s="138"/>
      <c r="EY367" s="479">
        <f>VLOOKUP(B367,Literatuur!$A:$B,2,FALSE)</f>
        <v>9</v>
      </c>
      <c r="EZ367" t="str">
        <f t="shared" si="241"/>
        <v>chrysene</v>
      </c>
      <c r="FA367" t="str">
        <f t="shared" si="242"/>
        <v>PAK</v>
      </c>
      <c r="FB367" t="str">
        <f t="shared" si="243"/>
        <v>LDPE</v>
      </c>
      <c r="FC367" t="str">
        <f t="shared" si="244"/>
        <v>Immersion</v>
      </c>
      <c r="FD367" t="str">
        <f t="shared" si="245"/>
        <v>room ??</v>
      </c>
      <c r="FE367" t="str">
        <f t="shared" si="246"/>
        <v>water</v>
      </c>
      <c r="FF367" t="str">
        <f t="shared" si="247"/>
        <v xml:space="preserve"> </v>
      </c>
      <c r="FG367" s="408" t="str">
        <f t="shared" ref="FG367:FG429" si="272">IF(ISNUMBER(T367),T367,"")</f>
        <v/>
      </c>
      <c r="FH367" s="138">
        <f t="shared" si="248"/>
        <v>5.6</v>
      </c>
      <c r="FI367" s="106">
        <f t="shared" si="267"/>
        <v>5.6231474661804022</v>
      </c>
      <c r="FJ367" s="138" t="str">
        <f t="shared" si="249"/>
        <v/>
      </c>
      <c r="FK367" s="138" t="str">
        <f t="shared" si="250"/>
        <v>**</v>
      </c>
    </row>
    <row r="368" spans="1:167" ht="12.75" hidden="1" customHeight="1" x14ac:dyDescent="0.2">
      <c r="A368">
        <v>333</v>
      </c>
      <c r="B368" t="s">
        <v>1593</v>
      </c>
      <c r="C368" s="4" t="s">
        <v>1557</v>
      </c>
      <c r="D368" t="s">
        <v>564</v>
      </c>
      <c r="E368" s="33">
        <v>-1540</v>
      </c>
      <c r="F368" t="str">
        <f>VLOOKUP(E368,CompDbase!B:L,4,FALSE)</f>
        <v>fluoranthene</v>
      </c>
      <c r="G368" s="95" t="str">
        <f>VLOOKUP(E368,CompDbase!B:M,12,FALSE)</f>
        <v>PAK</v>
      </c>
      <c r="H368" s="95">
        <f>VLOOKUP(E368,CompDbase!B:L,8,FALSE)</f>
        <v>202.15</v>
      </c>
      <c r="I368" s="95">
        <f>VLOOKUP(E368,CompDbase!B:L,11,FALSE)</f>
        <v>195.85</v>
      </c>
      <c r="J368" s="95">
        <f>VLOOKUP(E368,CompDbase!B:L,9,FALSE)</f>
        <v>0.83636506257935239</v>
      </c>
      <c r="K368" s="95">
        <f>VLOOKUP(E368,CompDbase!B:L,10,FALSE)</f>
        <v>5.08</v>
      </c>
      <c r="L368" s="4" t="s">
        <v>769</v>
      </c>
      <c r="M368" s="420"/>
      <c r="N368" s="420"/>
      <c r="O368" s="176" t="s">
        <v>1044</v>
      </c>
      <c r="P368" s="4" t="s">
        <v>1987</v>
      </c>
      <c r="Q368" s="4" t="s">
        <v>1049</v>
      </c>
      <c r="S368" s="4"/>
      <c r="T368" s="95"/>
      <c r="W368" s="199">
        <f t="shared" si="271"/>
        <v>79432.823472428237</v>
      </c>
      <c r="X368">
        <v>4.9000000000000004</v>
      </c>
      <c r="AC368" t="s">
        <v>68</v>
      </c>
      <c r="AG368" s="138">
        <f t="shared" si="251"/>
        <v>4.9000000000000004</v>
      </c>
      <c r="AH368">
        <f t="shared" si="265"/>
        <v>5.08</v>
      </c>
      <c r="AI368">
        <f t="shared" si="265"/>
        <v>5.08</v>
      </c>
      <c r="AL368">
        <f t="shared" si="268"/>
        <v>5.08</v>
      </c>
      <c r="BW368" s="138"/>
      <c r="BX368">
        <f t="shared" si="269"/>
        <v>-7.760411722919576E-2</v>
      </c>
      <c r="BY368">
        <f t="shared" si="269"/>
        <v>-7.760411722919576E-2</v>
      </c>
      <c r="CB368">
        <f t="shared" si="270"/>
        <v>-7.760411722919576E-2</v>
      </c>
      <c r="DG368" s="138"/>
      <c r="EY368" s="479">
        <f>VLOOKUP(B368,Literatuur!$A:$B,2,FALSE)</f>
        <v>9</v>
      </c>
      <c r="EZ368" t="str">
        <f t="shared" ref="EZ368:EZ431" si="273">D368</f>
        <v>fluoranthene</v>
      </c>
      <c r="FA368" t="str">
        <f t="shared" ref="FA368:FA431" si="274">G368</f>
        <v>PAK</v>
      </c>
      <c r="FB368" t="str">
        <f t="shared" ref="FB368:FB431" si="275">L368</f>
        <v>LDPE</v>
      </c>
      <c r="FC368" t="str">
        <f t="shared" ref="FC368:FC431" si="276">CONCATENATE(O368)</f>
        <v>Immersion</v>
      </c>
      <c r="FD368" t="str">
        <f t="shared" ref="FD368:FD431" si="277">P368</f>
        <v>room ??</v>
      </c>
      <c r="FE368" t="str">
        <f t="shared" ref="FE368:FE431" si="278">Q368</f>
        <v>water</v>
      </c>
      <c r="FF368" t="str">
        <f t="shared" ref="FF368:FF431" si="279">CONCATENATE(R368," ",S368)</f>
        <v xml:space="preserve"> </v>
      </c>
      <c r="FG368" s="408" t="str">
        <f t="shared" si="272"/>
        <v/>
      </c>
      <c r="FH368" s="138">
        <f t="shared" ref="FH368:FH431" si="280">IF(ISNUMBER(X368),X368,"")</f>
        <v>4.9000000000000004</v>
      </c>
      <c r="FI368" s="106">
        <f t="shared" si="267"/>
        <v>4.8837485183723208</v>
      </c>
      <c r="FJ368" s="138" t="str">
        <f t="shared" ref="FJ368:FJ431" si="281">IF(ISNUMBER(Z368),Z368,"")</f>
        <v/>
      </c>
      <c r="FK368" s="138" t="str">
        <f t="shared" ref="FK368:FK431" si="282">IF(ISNUMBER(DM368),DM368*DM$19+DM$21,IF(ISNUMBER(DN368),DN368*DN$19+DN$21,IF(ISNUMBER(DO368),DO368*DO$19+DO$21,"**")))</f>
        <v>**</v>
      </c>
    </row>
    <row r="369" spans="1:167" ht="12.75" hidden="1" customHeight="1" x14ac:dyDescent="0.2">
      <c r="A369">
        <v>334</v>
      </c>
      <c r="B369" t="s">
        <v>1593</v>
      </c>
      <c r="C369" s="4" t="s">
        <v>1557</v>
      </c>
      <c r="D369" t="s">
        <v>561</v>
      </c>
      <c r="E369">
        <v>-1537</v>
      </c>
      <c r="F369" t="str">
        <f>VLOOKUP(E369,CompDbase!B:L,4,FALSE)</f>
        <v>fluorene</v>
      </c>
      <c r="G369" s="95" t="str">
        <f>VLOOKUP(E369,CompDbase!B:M,12,FALSE)</f>
        <v>PAK</v>
      </c>
      <c r="H369" s="95">
        <f>VLOOKUP(E369,CompDbase!B:L,8,FALSE)</f>
        <v>166.1</v>
      </c>
      <c r="I369" s="95">
        <f>VLOOKUP(E369,CompDbase!B:L,11,FALSE)</f>
        <v>154.60000000000002</v>
      </c>
      <c r="J369" s="95">
        <f>VLOOKUP(E369,CompDbase!B:L,9,FALSE)</f>
        <v>9.8227031484622565</v>
      </c>
      <c r="K369" s="95">
        <f>VLOOKUP(E369,CompDbase!B:L,10,FALSE)</f>
        <v>4.1399999999999997</v>
      </c>
      <c r="L369" s="4" t="s">
        <v>769</v>
      </c>
      <c r="M369" s="420"/>
      <c r="N369" s="420"/>
      <c r="O369" s="176" t="s">
        <v>1044</v>
      </c>
      <c r="P369" s="4" t="s">
        <v>1987</v>
      </c>
      <c r="Q369" s="4" t="s">
        <v>1049</v>
      </c>
      <c r="S369" s="4"/>
      <c r="T369" s="95"/>
      <c r="W369" s="199">
        <f t="shared" si="271"/>
        <v>6309.5734448019384</v>
      </c>
      <c r="X369">
        <v>3.8</v>
      </c>
      <c r="AC369" t="s">
        <v>68</v>
      </c>
      <c r="AG369" s="138">
        <f t="shared" si="251"/>
        <v>3.8</v>
      </c>
      <c r="AH369">
        <f t="shared" si="265"/>
        <v>4.1399999999999997</v>
      </c>
      <c r="AI369">
        <f t="shared" si="265"/>
        <v>4.1399999999999997</v>
      </c>
      <c r="AL369">
        <f t="shared" si="268"/>
        <v>4.1399999999999997</v>
      </c>
      <c r="BW369" s="138"/>
      <c r="BX369">
        <f t="shared" si="269"/>
        <v>0.99223101944809233</v>
      </c>
      <c r="BY369">
        <f t="shared" si="269"/>
        <v>0.99223101944809233</v>
      </c>
      <c r="CB369">
        <f t="shared" si="270"/>
        <v>0.99223101944809233</v>
      </c>
      <c r="DG369" s="138"/>
      <c r="EY369" s="479">
        <f>VLOOKUP(B369,Literatuur!$A:$B,2,FALSE)</f>
        <v>9</v>
      </c>
      <c r="EZ369" t="str">
        <f t="shared" si="273"/>
        <v>fluorene</v>
      </c>
      <c r="FA369" t="str">
        <f t="shared" si="274"/>
        <v>PAK</v>
      </c>
      <c r="FB369" t="str">
        <f t="shared" si="275"/>
        <v>LDPE</v>
      </c>
      <c r="FC369" t="str">
        <f t="shared" si="276"/>
        <v>Immersion</v>
      </c>
      <c r="FD369" t="str">
        <f t="shared" si="277"/>
        <v>room ??</v>
      </c>
      <c r="FE369" t="str">
        <f t="shared" si="278"/>
        <v>water</v>
      </c>
      <c r="FF369" t="str">
        <f t="shared" si="279"/>
        <v xml:space="preserve"> </v>
      </c>
      <c r="FG369" s="408" t="str">
        <f t="shared" si="272"/>
        <v/>
      </c>
      <c r="FH369" s="138">
        <f t="shared" si="280"/>
        <v>3.8</v>
      </c>
      <c r="FI369" s="106">
        <f t="shared" si="267"/>
        <v>3.8540670206840293</v>
      </c>
      <c r="FJ369" s="138" t="str">
        <f t="shared" si="281"/>
        <v/>
      </c>
      <c r="FK369" s="138" t="str">
        <f t="shared" si="282"/>
        <v>**</v>
      </c>
    </row>
    <row r="370" spans="1:167" ht="12.75" hidden="1" customHeight="1" x14ac:dyDescent="0.2">
      <c r="A370">
        <v>335</v>
      </c>
      <c r="B370" s="4" t="s">
        <v>1593</v>
      </c>
      <c r="C370" s="4" t="s">
        <v>1557</v>
      </c>
      <c r="D370" t="s">
        <v>559</v>
      </c>
      <c r="E370">
        <v>310</v>
      </c>
      <c r="F370" t="str">
        <f>VLOOKUP(E370,CompDbase!B:L,4,FALSE)</f>
        <v>Naphthalene</v>
      </c>
      <c r="G370" s="95" t="str">
        <f>VLOOKUP(E370,CompDbase!B:M,12,FALSE)</f>
        <v>PAK</v>
      </c>
      <c r="H370" s="95">
        <f>VLOOKUP(E370,CompDbase!B:L,8,FALSE)</f>
        <v>128.19</v>
      </c>
      <c r="I370" s="95">
        <f>VLOOKUP(E370,CompDbase!B:L,11,FALSE)</f>
        <v>124.6</v>
      </c>
      <c r="J370" s="95">
        <f>VLOOKUP(E370,CompDbase!B:L,9,FALSE)</f>
        <v>31.8</v>
      </c>
      <c r="K370" s="95">
        <f>VLOOKUP(E370,CompDbase!B:L,10,FALSE)</f>
        <v>3.3</v>
      </c>
      <c r="L370" s="4" t="s">
        <v>769</v>
      </c>
      <c r="M370" s="420"/>
      <c r="N370" s="420"/>
      <c r="O370" s="176" t="s">
        <v>1044</v>
      </c>
      <c r="P370" s="4" t="s">
        <v>1987</v>
      </c>
      <c r="Q370" s="4" t="s">
        <v>1049</v>
      </c>
      <c r="S370" s="4"/>
      <c r="T370" s="289"/>
      <c r="W370" s="199">
        <f t="shared" si="271"/>
        <v>1000</v>
      </c>
      <c r="X370">
        <v>3</v>
      </c>
      <c r="AC370" t="s">
        <v>68</v>
      </c>
      <c r="AG370" s="138">
        <f t="shared" si="251"/>
        <v>3</v>
      </c>
      <c r="AH370">
        <f t="shared" si="265"/>
        <v>3.3</v>
      </c>
      <c r="AI370">
        <f t="shared" si="265"/>
        <v>3.3</v>
      </c>
      <c r="AL370">
        <f t="shared" si="268"/>
        <v>3.3</v>
      </c>
      <c r="BW370" s="138"/>
      <c r="BX370">
        <f t="shared" si="269"/>
        <v>1.5024271199844328</v>
      </c>
      <c r="BY370">
        <f t="shared" si="269"/>
        <v>1.5024271199844328</v>
      </c>
      <c r="CB370">
        <f t="shared" si="270"/>
        <v>1.5024271199844328</v>
      </c>
      <c r="DG370" s="138"/>
      <c r="EY370" s="479">
        <f>VLOOKUP(B370,Literatuur!$A:$B,2,FALSE)</f>
        <v>9</v>
      </c>
      <c r="EZ370" t="str">
        <f t="shared" si="273"/>
        <v>naphthalene</v>
      </c>
      <c r="FA370" t="str">
        <f t="shared" si="274"/>
        <v>PAK</v>
      </c>
      <c r="FB370" t="str">
        <f t="shared" si="275"/>
        <v>LDPE</v>
      </c>
      <c r="FC370" t="str">
        <f t="shared" si="276"/>
        <v>Immersion</v>
      </c>
      <c r="FD370" t="str">
        <f t="shared" si="277"/>
        <v>room ??</v>
      </c>
      <c r="FE370" t="str">
        <f t="shared" si="278"/>
        <v>water</v>
      </c>
      <c r="FF370" t="str">
        <f t="shared" si="279"/>
        <v xml:space="preserve"> </v>
      </c>
      <c r="FG370" s="408" t="str">
        <f t="shared" si="272"/>
        <v/>
      </c>
      <c r="FH370" s="138">
        <f t="shared" si="280"/>
        <v>3</v>
      </c>
      <c r="FI370" s="106">
        <f t="shared" si="267"/>
        <v>2.9339261078561947</v>
      </c>
      <c r="FJ370" s="138" t="str">
        <f t="shared" si="281"/>
        <v/>
      </c>
      <c r="FK370" s="138" t="str">
        <f t="shared" si="282"/>
        <v>**</v>
      </c>
    </row>
    <row r="371" spans="1:167" ht="12.75" hidden="1" customHeight="1" x14ac:dyDescent="0.2">
      <c r="A371">
        <v>336</v>
      </c>
      <c r="B371" t="s">
        <v>1593</v>
      </c>
      <c r="C371" s="4" t="s">
        <v>1557</v>
      </c>
      <c r="D371" t="s">
        <v>562</v>
      </c>
      <c r="E371" s="33">
        <v>-1538</v>
      </c>
      <c r="F371" t="str">
        <f>VLOOKUP(E371,CompDbase!B:L,4,FALSE)</f>
        <v>phenanthrene</v>
      </c>
      <c r="G371" s="95" t="str">
        <f>VLOOKUP(E371,CompDbase!B:M,12,FALSE)</f>
        <v>PAK</v>
      </c>
      <c r="H371" s="95">
        <f>VLOOKUP(E371,CompDbase!B:L,8,FALSE)</f>
        <v>178.1</v>
      </c>
      <c r="I371" s="95">
        <f>VLOOKUP(E371,CompDbase!B:L,11,FALSE)</f>
        <v>160.35</v>
      </c>
      <c r="J371" s="95">
        <f>VLOOKUP(E371,CompDbase!B:L,9,FALSE)</f>
        <v>4.3501847309898105</v>
      </c>
      <c r="K371" s="95">
        <f>VLOOKUP(E371,CompDbase!B:L,10,FALSE)</f>
        <v>4.4800000000000004</v>
      </c>
      <c r="L371" s="4" t="s">
        <v>769</v>
      </c>
      <c r="M371" s="420"/>
      <c r="N371" s="420"/>
      <c r="O371" s="176" t="s">
        <v>1044</v>
      </c>
      <c r="P371" s="4" t="s">
        <v>1987</v>
      </c>
      <c r="Q371" s="4" t="s">
        <v>1049</v>
      </c>
      <c r="S371" s="4"/>
      <c r="T371" s="95"/>
      <c r="W371" s="199">
        <f t="shared" si="271"/>
        <v>12589.254117941671</v>
      </c>
      <c r="X371">
        <v>4.0999999999999996</v>
      </c>
      <c r="AC371" t="s">
        <v>68</v>
      </c>
      <c r="AG371" s="138">
        <f t="shared" ref="AG371:AG393" si="283">X371</f>
        <v>4.0999999999999996</v>
      </c>
      <c r="AH371">
        <f t="shared" si="265"/>
        <v>4.4800000000000004</v>
      </c>
      <c r="AI371">
        <f t="shared" si="265"/>
        <v>4.4800000000000004</v>
      </c>
      <c r="AL371">
        <f t="shared" si="268"/>
        <v>4.4800000000000004</v>
      </c>
      <c r="BW371" s="138"/>
      <c r="BX371">
        <f t="shared" si="269"/>
        <v>0.63850769970085575</v>
      </c>
      <c r="BY371">
        <f t="shared" si="269"/>
        <v>0.63850769970085575</v>
      </c>
      <c r="CB371">
        <f t="shared" si="270"/>
        <v>0.63850769970085575</v>
      </c>
      <c r="DG371" s="138"/>
      <c r="EY371" s="479">
        <f>VLOOKUP(B371,Literatuur!$A:$B,2,FALSE)</f>
        <v>9</v>
      </c>
      <c r="EZ371" t="str">
        <f t="shared" si="273"/>
        <v>phenanthrene</v>
      </c>
      <c r="FA371" t="str">
        <f t="shared" si="274"/>
        <v>PAK</v>
      </c>
      <c r="FB371" t="str">
        <f t="shared" si="275"/>
        <v>LDPE</v>
      </c>
      <c r="FC371" t="str">
        <f t="shared" si="276"/>
        <v>Immersion</v>
      </c>
      <c r="FD371" t="str">
        <f t="shared" si="277"/>
        <v>room ??</v>
      </c>
      <c r="FE371" t="str">
        <f t="shared" si="278"/>
        <v>water</v>
      </c>
      <c r="FF371" t="str">
        <f t="shared" si="279"/>
        <v xml:space="preserve"> </v>
      </c>
      <c r="FG371" s="408" t="str">
        <f t="shared" si="272"/>
        <v/>
      </c>
      <c r="FH371" s="138">
        <f t="shared" si="280"/>
        <v>4.0999999999999996</v>
      </c>
      <c r="FI371" s="106">
        <f t="shared" si="267"/>
        <v>4.2265050092095819</v>
      </c>
      <c r="FJ371" s="138" t="str">
        <f t="shared" si="281"/>
        <v/>
      </c>
      <c r="FK371" s="138" t="str">
        <f t="shared" si="282"/>
        <v>**</v>
      </c>
    </row>
    <row r="372" spans="1:167" ht="12.75" hidden="1" customHeight="1" x14ac:dyDescent="0.2">
      <c r="A372">
        <v>337</v>
      </c>
      <c r="B372" t="s">
        <v>1593</v>
      </c>
      <c r="C372" s="4" t="s">
        <v>1557</v>
      </c>
      <c r="D372" t="s">
        <v>565</v>
      </c>
      <c r="E372" s="33">
        <v>-1541</v>
      </c>
      <c r="F372" t="str">
        <f>VLOOKUP(E372,CompDbase!B:L,4,FALSE)</f>
        <v>pyrene</v>
      </c>
      <c r="G372" s="95" t="str">
        <f>VLOOKUP(E372,CompDbase!B:M,12,FALSE)</f>
        <v>PAK</v>
      </c>
      <c r="H372" s="95">
        <f>VLOOKUP(E372,CompDbase!B:L,8,FALSE)</f>
        <v>202.15</v>
      </c>
      <c r="I372" s="95">
        <f>VLOOKUP(E372,CompDbase!B:L,11,FALSE)</f>
        <v>182.10000000000002</v>
      </c>
      <c r="J372" s="95">
        <f>VLOOKUP(E372,CompDbase!B:L,9,FALSE)</f>
        <v>0.83636506257935239</v>
      </c>
      <c r="K372" s="95">
        <f>VLOOKUP(E372,CompDbase!B:L,10,FALSE)</f>
        <v>4.9399999999999995</v>
      </c>
      <c r="L372" s="4" t="s">
        <v>769</v>
      </c>
      <c r="M372" s="420"/>
      <c r="N372" s="420"/>
      <c r="O372" s="176" t="s">
        <v>1044</v>
      </c>
      <c r="P372" s="4" t="s">
        <v>1987</v>
      </c>
      <c r="Q372" s="4" t="s">
        <v>1049</v>
      </c>
      <c r="S372" s="4"/>
      <c r="T372" s="95"/>
      <c r="W372" s="199">
        <f t="shared" si="271"/>
        <v>100000</v>
      </c>
      <c r="X372">
        <v>5</v>
      </c>
      <c r="AC372" t="s">
        <v>68</v>
      </c>
      <c r="AG372" s="138">
        <f t="shared" si="283"/>
        <v>5</v>
      </c>
      <c r="AH372">
        <f t="shared" si="265"/>
        <v>4.9399999999999995</v>
      </c>
      <c r="AI372">
        <f t="shared" si="265"/>
        <v>4.9399999999999995</v>
      </c>
      <c r="AL372">
        <f t="shared" si="268"/>
        <v>4.9399999999999995</v>
      </c>
      <c r="BW372" s="138"/>
      <c r="BX372">
        <f t="shared" si="269"/>
        <v>-7.760411722919576E-2</v>
      </c>
      <c r="BY372">
        <f t="shared" si="269"/>
        <v>-7.760411722919576E-2</v>
      </c>
      <c r="CB372">
        <f t="shared" si="270"/>
        <v>-7.760411722919576E-2</v>
      </c>
      <c r="DG372" s="138"/>
      <c r="EY372" s="479">
        <f>VLOOKUP(B372,Literatuur!$A:$B,2,FALSE)</f>
        <v>9</v>
      </c>
      <c r="EZ372" t="str">
        <f t="shared" si="273"/>
        <v>pyrene</v>
      </c>
      <c r="FA372" t="str">
        <f t="shared" si="274"/>
        <v>PAK</v>
      </c>
      <c r="FB372" t="str">
        <f t="shared" si="275"/>
        <v>LDPE</v>
      </c>
      <c r="FC372" t="str">
        <f t="shared" si="276"/>
        <v>Immersion</v>
      </c>
      <c r="FD372" t="str">
        <f t="shared" si="277"/>
        <v>room ??</v>
      </c>
      <c r="FE372" t="str">
        <f t="shared" si="278"/>
        <v>water</v>
      </c>
      <c r="FF372" t="str">
        <f t="shared" si="279"/>
        <v xml:space="preserve"> </v>
      </c>
      <c r="FG372" s="408" t="str">
        <f t="shared" si="272"/>
        <v/>
      </c>
      <c r="FH372" s="138">
        <f t="shared" si="280"/>
        <v>5</v>
      </c>
      <c r="FI372" s="106">
        <f t="shared" si="267"/>
        <v>4.7303916995676811</v>
      </c>
      <c r="FJ372" s="138" t="str">
        <f t="shared" si="281"/>
        <v/>
      </c>
      <c r="FK372" s="138" t="str">
        <f t="shared" si="282"/>
        <v>**</v>
      </c>
    </row>
    <row r="373" spans="1:167" ht="12.75" hidden="1" customHeight="1" x14ac:dyDescent="0.2">
      <c r="A373">
        <v>338</v>
      </c>
      <c r="B373" t="s">
        <v>1594</v>
      </c>
      <c r="C373" s="4"/>
      <c r="D373" t="s">
        <v>595</v>
      </c>
      <c r="E373" s="33">
        <v>-1564</v>
      </c>
      <c r="F373" t="str">
        <f>VLOOKUP(E373,CompDbase!B:L,4,FALSE)</f>
        <v>2-methylanthracene</v>
      </c>
      <c r="G373" s="95" t="str">
        <f>VLOOKUP(E373,CompDbase!B:M,12,FALSE)</f>
        <v>PAK</v>
      </c>
      <c r="H373" s="95">
        <f>VLOOKUP(E373,CompDbase!B:L,8,FALSE)</f>
        <v>192.15</v>
      </c>
      <c r="I373" s="95">
        <f>VLOOKUP(E373,CompDbase!B:L,11,FALSE)</f>
        <v>174.8</v>
      </c>
      <c r="J373" s="95">
        <f>VLOOKUP(E373,CompDbase!B:L,9,FALSE)</f>
        <v>1.6610369145756172</v>
      </c>
      <c r="K373" s="95">
        <f>VLOOKUP(E373,CompDbase!B:L,10,FALSE)</f>
        <v>4.8499999999999996</v>
      </c>
      <c r="L373" s="4" t="s">
        <v>769</v>
      </c>
      <c r="M373" s="420"/>
      <c r="N373" s="420"/>
      <c r="O373" s="4" t="s">
        <v>1044</v>
      </c>
      <c r="P373" s="4" t="s">
        <v>1987</v>
      </c>
      <c r="Q373" s="4" t="s">
        <v>1049</v>
      </c>
      <c r="S373" s="4"/>
      <c r="T373" s="95"/>
      <c r="W373" s="199">
        <f t="shared" si="271"/>
        <v>100000</v>
      </c>
      <c r="X373">
        <v>5</v>
      </c>
      <c r="AC373" t="s">
        <v>68</v>
      </c>
      <c r="AG373" s="138">
        <f t="shared" si="283"/>
        <v>5</v>
      </c>
      <c r="AH373">
        <f t="shared" si="265"/>
        <v>4.8499999999999996</v>
      </c>
      <c r="AI373">
        <f t="shared" si="265"/>
        <v>4.8499999999999996</v>
      </c>
      <c r="AL373">
        <f t="shared" si="268"/>
        <v>4.8499999999999996</v>
      </c>
      <c r="BW373" s="138"/>
      <c r="BX373">
        <f t="shared" si="269"/>
        <v>0.22037928423847888</v>
      </c>
      <c r="BY373">
        <f t="shared" si="269"/>
        <v>0.22037928423847888</v>
      </c>
      <c r="CB373">
        <f t="shared" si="270"/>
        <v>0.22037928423847888</v>
      </c>
      <c r="DG373" s="138"/>
      <c r="EY373" s="479">
        <f>VLOOKUP(B373,Literatuur!$A:$B,2,FALSE)</f>
        <v>10</v>
      </c>
      <c r="EZ373" t="str">
        <f t="shared" si="273"/>
        <v>2-methylanthracene</v>
      </c>
      <c r="FA373" t="str">
        <f t="shared" si="274"/>
        <v>PAK</v>
      </c>
      <c r="FB373" t="str">
        <f t="shared" si="275"/>
        <v>LDPE</v>
      </c>
      <c r="FC373" t="str">
        <f t="shared" si="276"/>
        <v>Immersion</v>
      </c>
      <c r="FD373" t="str">
        <f t="shared" si="277"/>
        <v>room ??</v>
      </c>
      <c r="FE373" t="str">
        <f t="shared" si="278"/>
        <v>water</v>
      </c>
      <c r="FF373" t="str">
        <f t="shared" si="279"/>
        <v xml:space="preserve"> </v>
      </c>
      <c r="FG373" s="408" t="str">
        <f t="shared" si="272"/>
        <v/>
      </c>
      <c r="FH373" s="138">
        <f t="shared" si="280"/>
        <v>5</v>
      </c>
      <c r="FI373" s="106">
        <f t="shared" si="267"/>
        <v>4.6318051731932703</v>
      </c>
      <c r="FJ373" s="138" t="str">
        <f t="shared" si="281"/>
        <v/>
      </c>
      <c r="FK373" s="138" t="str">
        <f t="shared" si="282"/>
        <v>**</v>
      </c>
    </row>
    <row r="374" spans="1:167" ht="12.75" hidden="1" customHeight="1" x14ac:dyDescent="0.2">
      <c r="A374">
        <v>339</v>
      </c>
      <c r="B374" t="s">
        <v>1594</v>
      </c>
      <c r="C374" s="4"/>
      <c r="D374" t="s">
        <v>594</v>
      </c>
      <c r="E374" s="33">
        <v>-1552</v>
      </c>
      <c r="F374" t="str">
        <f>VLOOKUP(E374,CompDbase!B:L,4,FALSE)</f>
        <v>2-methylnaphthalene</v>
      </c>
      <c r="G374" s="95" t="str">
        <f>VLOOKUP(E374,CompDbase!B:M,12,FALSE)</f>
        <v>PAK</v>
      </c>
      <c r="H374" s="95">
        <f>VLOOKUP(E374,CompDbase!B:L,8,FALSE)</f>
        <v>167.15</v>
      </c>
      <c r="I374" s="95">
        <f>VLOOKUP(E374,CompDbase!B:L,11,FALSE)</f>
        <v>158.25</v>
      </c>
      <c r="J374" s="95">
        <f>VLOOKUP(E374,CompDbase!B:L,9,FALSE)</f>
        <v>1.6610369145756172</v>
      </c>
      <c r="K374" s="95">
        <f>VLOOKUP(E374,CompDbase!B:L,10,FALSE)</f>
        <v>4.28</v>
      </c>
      <c r="L374" s="4" t="s">
        <v>769</v>
      </c>
      <c r="M374" s="420"/>
      <c r="N374" s="420"/>
      <c r="O374" s="4" t="s">
        <v>1044</v>
      </c>
      <c r="P374" s="4" t="s">
        <v>1987</v>
      </c>
      <c r="Q374" s="4" t="s">
        <v>1049</v>
      </c>
      <c r="S374" s="4"/>
      <c r="T374" s="95"/>
      <c r="W374" s="199">
        <f t="shared" si="271"/>
        <v>50118.723362727294</v>
      </c>
      <c r="X374">
        <v>4.7</v>
      </c>
      <c r="AC374" t="s">
        <v>68</v>
      </c>
      <c r="AG374" s="138">
        <f t="shared" si="283"/>
        <v>4.7</v>
      </c>
      <c r="AH374">
        <f t="shared" si="265"/>
        <v>4.28</v>
      </c>
      <c r="AI374">
        <f t="shared" si="265"/>
        <v>4.28</v>
      </c>
      <c r="AL374">
        <f t="shared" si="268"/>
        <v>4.28</v>
      </c>
      <c r="BW374" s="138"/>
      <c r="BX374">
        <f t="shared" si="269"/>
        <v>0.22037928423847888</v>
      </c>
      <c r="BY374">
        <f t="shared" si="269"/>
        <v>0.22037928423847888</v>
      </c>
      <c r="CB374">
        <f t="shared" si="270"/>
        <v>0.22037928423847888</v>
      </c>
      <c r="DG374" s="138"/>
      <c r="EY374" s="479">
        <f>VLOOKUP(B374,Literatuur!$A:$B,2,FALSE)</f>
        <v>10</v>
      </c>
      <c r="EZ374" t="str">
        <f t="shared" si="273"/>
        <v>2-methylphenanthrene</v>
      </c>
      <c r="FA374" t="str">
        <f t="shared" si="274"/>
        <v>PAK</v>
      </c>
      <c r="FB374" t="str">
        <f t="shared" si="275"/>
        <v>LDPE</v>
      </c>
      <c r="FC374" t="str">
        <f t="shared" si="276"/>
        <v>Immersion</v>
      </c>
      <c r="FD374" t="str">
        <f t="shared" si="277"/>
        <v>room ??</v>
      </c>
      <c r="FE374" t="str">
        <f t="shared" si="278"/>
        <v>water</v>
      </c>
      <c r="FF374" t="str">
        <f t="shared" si="279"/>
        <v xml:space="preserve"> </v>
      </c>
      <c r="FG374" s="408" t="str">
        <f t="shared" si="272"/>
        <v/>
      </c>
      <c r="FH374" s="138">
        <f t="shared" si="280"/>
        <v>4.7</v>
      </c>
      <c r="FI374" s="106">
        <f t="shared" si="267"/>
        <v>4.007423839488669</v>
      </c>
      <c r="FJ374" s="138" t="str">
        <f t="shared" si="281"/>
        <v/>
      </c>
      <c r="FK374" s="138" t="str">
        <f t="shared" si="282"/>
        <v>**</v>
      </c>
    </row>
    <row r="375" spans="1:167" ht="12.75" hidden="1" customHeight="1" x14ac:dyDescent="0.2">
      <c r="A375">
        <v>340</v>
      </c>
      <c r="B375" t="s">
        <v>1594</v>
      </c>
      <c r="C375" s="4"/>
      <c r="D375" t="s">
        <v>599</v>
      </c>
      <c r="E375" s="33">
        <v>-1567</v>
      </c>
      <c r="F375" t="str">
        <f>VLOOKUP(E375,CompDbase!B:L,4,FALSE)</f>
        <v>3,6-dimethylphenanthrene</v>
      </c>
      <c r="G375" s="95" t="str">
        <f>VLOOKUP(E375,CompDbase!B:M,12,FALSE)</f>
        <v>PAK</v>
      </c>
      <c r="H375" s="95">
        <f>VLOOKUP(E375,CompDbase!B:L,8,FALSE)</f>
        <v>206.15</v>
      </c>
      <c r="I375" s="95">
        <f>VLOOKUP(E375,CompDbase!B:L,11,FALSE)</f>
        <v>192.2</v>
      </c>
      <c r="J375" s="95">
        <f>VLOOKUP(E375,CompDbase!B:L,9,FALSE)</f>
        <v>0.6351835291996929</v>
      </c>
      <c r="K375" s="95">
        <f>VLOOKUP(E375,CompDbase!B:L,10,FALSE)</f>
        <v>5.17</v>
      </c>
      <c r="L375" s="4" t="s">
        <v>769</v>
      </c>
      <c r="M375" s="420"/>
      <c r="N375" s="420"/>
      <c r="O375" s="4" t="s">
        <v>1044</v>
      </c>
      <c r="P375" s="4" t="s">
        <v>1987</v>
      </c>
      <c r="Q375" s="4" t="s">
        <v>1049</v>
      </c>
      <c r="S375" s="4"/>
      <c r="T375" s="95"/>
      <c r="W375" s="199">
        <f t="shared" si="271"/>
        <v>158489.31924611164</v>
      </c>
      <c r="X375">
        <v>5.2</v>
      </c>
      <c r="AC375" t="s">
        <v>68</v>
      </c>
      <c r="AG375" s="138">
        <f t="shared" si="283"/>
        <v>5.2</v>
      </c>
      <c r="AH375">
        <f t="shared" si="265"/>
        <v>5.17</v>
      </c>
      <c r="AI375">
        <f t="shared" si="265"/>
        <v>5.17</v>
      </c>
      <c r="AL375">
        <f t="shared" si="268"/>
        <v>5.17</v>
      </c>
      <c r="BW375" s="138"/>
      <c r="BX375">
        <f t="shared" si="269"/>
        <v>-0.19710077202684936</v>
      </c>
      <c r="BY375">
        <f t="shared" si="269"/>
        <v>-0.19710077202684936</v>
      </c>
      <c r="CB375">
        <f t="shared" si="270"/>
        <v>-0.19710077202684936</v>
      </c>
      <c r="DG375" s="138"/>
      <c r="EY375" s="479">
        <f>VLOOKUP(B375,Literatuur!$A:$B,2,FALSE)</f>
        <v>10</v>
      </c>
      <c r="EZ375" t="str">
        <f t="shared" si="273"/>
        <v>3,6-dimethylphenanthrene</v>
      </c>
      <c r="FA375" t="str">
        <f t="shared" si="274"/>
        <v>PAK</v>
      </c>
      <c r="FB375" t="str">
        <f t="shared" si="275"/>
        <v>LDPE</v>
      </c>
      <c r="FC375" t="str">
        <f t="shared" si="276"/>
        <v>Immersion</v>
      </c>
      <c r="FD375" t="str">
        <f t="shared" si="277"/>
        <v>room ??</v>
      </c>
      <c r="FE375" t="str">
        <f t="shared" si="278"/>
        <v>water</v>
      </c>
      <c r="FF375" t="str">
        <f t="shared" si="279"/>
        <v xml:space="preserve"> </v>
      </c>
      <c r="FG375" s="408" t="str">
        <f t="shared" si="272"/>
        <v/>
      </c>
      <c r="FH375" s="138">
        <f t="shared" si="280"/>
        <v>5.2</v>
      </c>
      <c r="FI375" s="106">
        <f t="shared" si="267"/>
        <v>4.9823350447467316</v>
      </c>
      <c r="FJ375" s="138" t="str">
        <f t="shared" si="281"/>
        <v/>
      </c>
      <c r="FK375" s="138" t="str">
        <f t="shared" si="282"/>
        <v>**</v>
      </c>
    </row>
    <row r="376" spans="1:167" ht="12.75" hidden="1" customHeight="1" x14ac:dyDescent="0.2">
      <c r="A376">
        <v>341</v>
      </c>
      <c r="B376" t="s">
        <v>1594</v>
      </c>
      <c r="C376" s="4"/>
      <c r="D376" t="s">
        <v>601</v>
      </c>
      <c r="E376" s="33">
        <v>-1569</v>
      </c>
      <c r="F376" t="str">
        <f>VLOOKUP(E376,CompDbase!B:L,4,FALSE)</f>
        <v>9,10-dimethylanthracene</v>
      </c>
      <c r="G376" s="95" t="str">
        <f>VLOOKUP(E376,CompDbase!B:M,12,FALSE)</f>
        <v>PAK</v>
      </c>
      <c r="H376" s="95">
        <f>VLOOKUP(E376,CompDbase!B:L,8,FALSE)</f>
        <v>206.15</v>
      </c>
      <c r="I376" s="95">
        <f>VLOOKUP(E376,CompDbase!B:L,11,FALSE)</f>
        <v>190.15</v>
      </c>
      <c r="J376" s="95">
        <f>VLOOKUP(E376,CompDbase!B:L,9,FALSE)</f>
        <v>0.6351835291996929</v>
      </c>
      <c r="K376" s="95">
        <f>VLOOKUP(E376,CompDbase!B:L,10,FALSE)</f>
        <v>5.2949999999999999</v>
      </c>
      <c r="L376" s="4" t="s">
        <v>769</v>
      </c>
      <c r="M376" s="426"/>
      <c r="N376" s="426"/>
      <c r="O376" s="4" t="s">
        <v>1044</v>
      </c>
      <c r="P376" s="4" t="s">
        <v>1987</v>
      </c>
      <c r="Q376" s="4" t="s">
        <v>1049</v>
      </c>
      <c r="S376" s="4"/>
      <c r="T376" s="95"/>
      <c r="W376" s="199">
        <f t="shared" si="271"/>
        <v>199526.23149688813</v>
      </c>
      <c r="X376">
        <v>5.3</v>
      </c>
      <c r="AC376" t="s">
        <v>68</v>
      </c>
      <c r="AG376" s="138">
        <f t="shared" si="283"/>
        <v>5.3</v>
      </c>
      <c r="AH376">
        <f t="shared" si="265"/>
        <v>5.2949999999999999</v>
      </c>
      <c r="AI376">
        <f t="shared" si="265"/>
        <v>5.2949999999999999</v>
      </c>
      <c r="AL376">
        <f t="shared" si="268"/>
        <v>5.2949999999999999</v>
      </c>
      <c r="BW376" s="138"/>
      <c r="BX376">
        <f t="shared" si="269"/>
        <v>-0.19710077202684936</v>
      </c>
      <c r="BY376">
        <f t="shared" si="269"/>
        <v>-0.19710077202684936</v>
      </c>
      <c r="CB376">
        <f t="shared" si="270"/>
        <v>-0.19710077202684936</v>
      </c>
      <c r="DG376" s="138"/>
      <c r="EY376" s="479">
        <f>VLOOKUP(B376,Literatuur!$A:$B,2,FALSE)</f>
        <v>10</v>
      </c>
      <c r="EZ376" t="str">
        <f t="shared" si="273"/>
        <v>9,10-dimethylanthracene</v>
      </c>
      <c r="FA376" t="str">
        <f t="shared" si="274"/>
        <v>PAK</v>
      </c>
      <c r="FB376" t="str">
        <f t="shared" si="275"/>
        <v>LDPE</v>
      </c>
      <c r="FC376" t="str">
        <f t="shared" si="276"/>
        <v>Immersion</v>
      </c>
      <c r="FD376" t="str">
        <f t="shared" si="277"/>
        <v>room ??</v>
      </c>
      <c r="FE376" t="str">
        <f t="shared" si="278"/>
        <v>water</v>
      </c>
      <c r="FF376" t="str">
        <f t="shared" si="279"/>
        <v xml:space="preserve"> </v>
      </c>
      <c r="FG376" s="408" t="str">
        <f t="shared" si="272"/>
        <v/>
      </c>
      <c r="FH376" s="138">
        <f t="shared" si="280"/>
        <v>5.3</v>
      </c>
      <c r="FI376" s="106">
        <f t="shared" si="267"/>
        <v>5.1192607758223021</v>
      </c>
      <c r="FJ376" s="138" t="str">
        <f t="shared" si="281"/>
        <v/>
      </c>
      <c r="FK376" s="138" t="str">
        <f t="shared" si="282"/>
        <v>**</v>
      </c>
    </row>
    <row r="377" spans="1:167" ht="12.75" hidden="1" customHeight="1" x14ac:dyDescent="0.2">
      <c r="A377">
        <v>342</v>
      </c>
      <c r="B377" t="s">
        <v>1594</v>
      </c>
      <c r="C377" s="4"/>
      <c r="D377" t="s">
        <v>563</v>
      </c>
      <c r="E377" s="33">
        <v>-1539</v>
      </c>
      <c r="F377" t="str">
        <f>VLOOKUP(E377,CompDbase!B:L,4,FALSE)</f>
        <v>anthracene</v>
      </c>
      <c r="G377" s="95" t="str">
        <f>VLOOKUP(E377,CompDbase!B:M,12,FALSE)</f>
        <v>PAK</v>
      </c>
      <c r="H377" s="95">
        <f>VLOOKUP(E377,CompDbase!B:L,8,FALSE)</f>
        <v>178.1</v>
      </c>
      <c r="I377" s="95">
        <f>VLOOKUP(E377,CompDbase!B:L,11,FALSE)</f>
        <v>158.89999999999998</v>
      </c>
      <c r="J377" s="95">
        <f>VLOOKUP(E377,CompDbase!B:L,9,FALSE)</f>
        <v>4.3501847309898105</v>
      </c>
      <c r="K377" s="95">
        <f>VLOOKUP(E377,CompDbase!B:L,10,FALSE)</f>
        <v>4.5250000000000004</v>
      </c>
      <c r="L377" s="4" t="s">
        <v>769</v>
      </c>
      <c r="M377" s="420"/>
      <c r="N377" s="420"/>
      <c r="O377" s="4" t="s">
        <v>1044</v>
      </c>
      <c r="P377" s="4" t="s">
        <v>1987</v>
      </c>
      <c r="Q377" s="4" t="s">
        <v>1049</v>
      </c>
      <c r="S377" s="4"/>
      <c r="T377" s="95"/>
      <c r="W377" s="199">
        <f t="shared" si="271"/>
        <v>19952.623149688792</v>
      </c>
      <c r="X377">
        <v>4.3</v>
      </c>
      <c r="AC377" t="s">
        <v>68</v>
      </c>
      <c r="AG377" s="138">
        <f t="shared" si="283"/>
        <v>4.3</v>
      </c>
      <c r="AH377">
        <f t="shared" si="265"/>
        <v>4.5250000000000004</v>
      </c>
      <c r="AI377">
        <f t="shared" si="265"/>
        <v>4.5250000000000004</v>
      </c>
      <c r="AL377">
        <f t="shared" si="268"/>
        <v>4.5250000000000004</v>
      </c>
      <c r="BW377" s="138"/>
      <c r="BX377">
        <f t="shared" si="269"/>
        <v>0.63850769970085575</v>
      </c>
      <c r="BY377">
        <f t="shared" si="269"/>
        <v>0.63850769970085575</v>
      </c>
      <c r="CB377">
        <f t="shared" si="270"/>
        <v>0.63850769970085575</v>
      </c>
      <c r="DG377" s="138"/>
      <c r="EY377" s="479">
        <f>VLOOKUP(B377,Literatuur!$A:$B,2,FALSE)</f>
        <v>10</v>
      </c>
      <c r="EZ377" t="str">
        <f t="shared" si="273"/>
        <v>anthracene</v>
      </c>
      <c r="FA377" t="str">
        <f t="shared" si="274"/>
        <v>PAK</v>
      </c>
      <c r="FB377" t="str">
        <f t="shared" si="275"/>
        <v>LDPE</v>
      </c>
      <c r="FC377" t="str">
        <f t="shared" si="276"/>
        <v>Immersion</v>
      </c>
      <c r="FD377" t="str">
        <f t="shared" si="277"/>
        <v>room ??</v>
      </c>
      <c r="FE377" t="str">
        <f t="shared" si="278"/>
        <v>water</v>
      </c>
      <c r="FF377" t="str">
        <f t="shared" si="279"/>
        <v xml:space="preserve"> </v>
      </c>
      <c r="FG377" s="408" t="str">
        <f t="shared" si="272"/>
        <v/>
      </c>
      <c r="FH377" s="138">
        <f t="shared" si="280"/>
        <v>4.3</v>
      </c>
      <c r="FI377" s="106">
        <f t="shared" si="267"/>
        <v>4.2757982723967878</v>
      </c>
      <c r="FJ377" s="138" t="str">
        <f t="shared" si="281"/>
        <v/>
      </c>
      <c r="FK377" s="138" t="str">
        <f t="shared" si="282"/>
        <v>**</v>
      </c>
    </row>
    <row r="378" spans="1:167" ht="12.75" hidden="1" customHeight="1" x14ac:dyDescent="0.2">
      <c r="A378">
        <v>343</v>
      </c>
      <c r="B378" t="s">
        <v>1594</v>
      </c>
      <c r="C378" s="4"/>
      <c r="D378" t="s">
        <v>967</v>
      </c>
      <c r="E378" s="33">
        <v>-1542</v>
      </c>
      <c r="F378" t="str">
        <f>VLOOKUP(E378,CompDbase!B:L,4,FALSE)</f>
        <v>benz[a]anthracene</v>
      </c>
      <c r="G378" s="95" t="str">
        <f>VLOOKUP(E378,CompDbase!B:M,12,FALSE)</f>
        <v>PAK</v>
      </c>
      <c r="H378" s="95">
        <f>VLOOKUP(E378,CompDbase!B:L,8,FALSE)</f>
        <v>228.15</v>
      </c>
      <c r="I378" s="95">
        <f>VLOOKUP(E378,CompDbase!B:L,11,FALSE)</f>
        <v>194.89999999999998</v>
      </c>
      <c r="J378" s="95">
        <f>VLOOKUP(E378,CompDbase!B:L,9,FALSE)</f>
        <v>0.13896515350405772</v>
      </c>
      <c r="K378" s="95">
        <f>VLOOKUP(E378,CompDbase!B:L,10,FALSE)</f>
        <v>5.7799999999999994</v>
      </c>
      <c r="L378" s="4" t="s">
        <v>769</v>
      </c>
      <c r="M378" s="420"/>
      <c r="N378" s="420"/>
      <c r="O378" s="4" t="s">
        <v>1044</v>
      </c>
      <c r="P378" s="4" t="s">
        <v>1987</v>
      </c>
      <c r="Q378" s="4" t="s">
        <v>1049</v>
      </c>
      <c r="S378" s="4"/>
      <c r="T378" s="95"/>
      <c r="W378" s="199">
        <f t="shared" si="271"/>
        <v>316227.7660168382</v>
      </c>
      <c r="X378">
        <v>5.5</v>
      </c>
      <c r="AC378" t="s">
        <v>68</v>
      </c>
      <c r="AG378" s="138">
        <f t="shared" si="283"/>
        <v>5.5</v>
      </c>
      <c r="AH378">
        <f t="shared" si="265"/>
        <v>5.7799999999999994</v>
      </c>
      <c r="AI378">
        <f t="shared" si="265"/>
        <v>5.7799999999999994</v>
      </c>
      <c r="AL378">
        <f t="shared" si="268"/>
        <v>5.7799999999999994</v>
      </c>
      <c r="BW378" s="138"/>
      <c r="BX378">
        <f t="shared" si="269"/>
        <v>-0.85709408850976543</v>
      </c>
      <c r="BY378">
        <f t="shared" si="269"/>
        <v>-0.85709408850976543</v>
      </c>
      <c r="CB378">
        <f t="shared" si="270"/>
        <v>-0.85709408850976543</v>
      </c>
      <c r="DG378" s="138"/>
      <c r="EY378" s="479">
        <f>VLOOKUP(B378,Literatuur!$A:$B,2,FALSE)</f>
        <v>10</v>
      </c>
      <c r="EZ378" t="str">
        <f t="shared" si="273"/>
        <v>benz(a)anthracene</v>
      </c>
      <c r="FA378" t="str">
        <f t="shared" si="274"/>
        <v>PAK</v>
      </c>
      <c r="FB378" t="str">
        <f t="shared" si="275"/>
        <v>LDPE</v>
      </c>
      <c r="FC378" t="str">
        <f t="shared" si="276"/>
        <v>Immersion</v>
      </c>
      <c r="FD378" t="str">
        <f t="shared" si="277"/>
        <v>room ??</v>
      </c>
      <c r="FE378" t="str">
        <f t="shared" si="278"/>
        <v>water</v>
      </c>
      <c r="FF378" t="str">
        <f t="shared" si="279"/>
        <v xml:space="preserve"> </v>
      </c>
      <c r="FG378" s="408" t="str">
        <f t="shared" si="272"/>
        <v/>
      </c>
      <c r="FH378" s="138">
        <f t="shared" si="280"/>
        <v>5.5</v>
      </c>
      <c r="FI378" s="106">
        <f t="shared" si="267"/>
        <v>5.6505326123955157</v>
      </c>
      <c r="FJ378" s="138" t="str">
        <f t="shared" si="281"/>
        <v/>
      </c>
      <c r="FK378" s="138" t="str">
        <f t="shared" si="282"/>
        <v>**</v>
      </c>
    </row>
    <row r="379" spans="1:167" ht="12.75" hidden="1" customHeight="1" x14ac:dyDescent="0.2">
      <c r="A379">
        <v>344</v>
      </c>
      <c r="B379" t="s">
        <v>1594</v>
      </c>
      <c r="C379" s="4"/>
      <c r="D379" t="s">
        <v>968</v>
      </c>
      <c r="E379" s="33">
        <v>-1547</v>
      </c>
      <c r="F379" t="str">
        <f>VLOOKUP(E379,CompDbase!B:L,4,FALSE)</f>
        <v>benzo[a]pyrene</v>
      </c>
      <c r="G379" s="95" t="str">
        <f>VLOOKUP(E379,CompDbase!B:M,12,FALSE)</f>
        <v>PAK</v>
      </c>
      <c r="H379" s="95">
        <f>VLOOKUP(E379,CompDbase!B:L,8,FALSE)</f>
        <v>252.15</v>
      </c>
      <c r="I379" s="95">
        <f>VLOOKUP(E379,CompDbase!B:L,11,FALSE)</f>
        <v>218.05</v>
      </c>
      <c r="J379" s="95">
        <f>VLOOKUP(E379,CompDbase!B:L,9,FALSE)</f>
        <v>2.620096279985866E-2</v>
      </c>
      <c r="K379" s="95">
        <f>VLOOKUP(E379,CompDbase!B:L,10,FALSE)</f>
        <v>6.1150000000000002</v>
      </c>
      <c r="L379" s="4" t="s">
        <v>769</v>
      </c>
      <c r="M379" s="420"/>
      <c r="N379" s="420"/>
      <c r="O379" s="4" t="s">
        <v>1044</v>
      </c>
      <c r="P379" s="4" t="s">
        <v>1987</v>
      </c>
      <c r="Q379" s="4" t="s">
        <v>1049</v>
      </c>
      <c r="S379" s="4"/>
      <c r="T379" s="95"/>
      <c r="W379" s="199">
        <f t="shared" si="271"/>
        <v>2511886.431509587</v>
      </c>
      <c r="X379">
        <v>6.4</v>
      </c>
      <c r="AC379" t="s">
        <v>68</v>
      </c>
      <c r="AG379" s="138">
        <f t="shared" si="283"/>
        <v>6.4</v>
      </c>
      <c r="AH379">
        <f t="shared" si="265"/>
        <v>6.1150000000000002</v>
      </c>
      <c r="AI379">
        <f t="shared" si="265"/>
        <v>6.1150000000000002</v>
      </c>
      <c r="AL379">
        <f t="shared" si="268"/>
        <v>6.1150000000000002</v>
      </c>
      <c r="BW379" s="138"/>
      <c r="BX379">
        <f t="shared" si="269"/>
        <v>-1.5816827494824268</v>
      </c>
      <c r="BY379">
        <f t="shared" si="269"/>
        <v>-1.5816827494824268</v>
      </c>
      <c r="CB379">
        <f t="shared" si="270"/>
        <v>-1.5816827494824268</v>
      </c>
      <c r="DG379" s="138"/>
      <c r="EY379" s="479">
        <f>VLOOKUP(B379,Literatuur!$A:$B,2,FALSE)</f>
        <v>10</v>
      </c>
      <c r="EZ379" t="str">
        <f t="shared" si="273"/>
        <v>benzo(a)pyrene</v>
      </c>
      <c r="FA379" t="str">
        <f t="shared" si="274"/>
        <v>PAK</v>
      </c>
      <c r="FB379" t="str">
        <f t="shared" si="275"/>
        <v>LDPE</v>
      </c>
      <c r="FC379" t="str">
        <f t="shared" si="276"/>
        <v>Immersion</v>
      </c>
      <c r="FD379" t="str">
        <f t="shared" si="277"/>
        <v>room ??</v>
      </c>
      <c r="FE379" t="str">
        <f t="shared" si="278"/>
        <v>water</v>
      </c>
      <c r="FF379" t="str">
        <f t="shared" si="279"/>
        <v xml:space="preserve"> </v>
      </c>
      <c r="FG379" s="408" t="str">
        <f t="shared" si="272"/>
        <v/>
      </c>
      <c r="FH379" s="138">
        <f t="shared" si="280"/>
        <v>6.4</v>
      </c>
      <c r="FI379" s="106">
        <f t="shared" si="267"/>
        <v>6.0174935716780462</v>
      </c>
      <c r="FJ379" s="138" t="str">
        <f t="shared" si="281"/>
        <v/>
      </c>
      <c r="FK379" s="138" t="str">
        <f t="shared" si="282"/>
        <v>**</v>
      </c>
    </row>
    <row r="380" spans="1:167" ht="12.75" hidden="1" customHeight="1" x14ac:dyDescent="0.2">
      <c r="A380">
        <v>345</v>
      </c>
      <c r="B380" t="s">
        <v>1594</v>
      </c>
      <c r="C380" s="4"/>
      <c r="D380" t="s">
        <v>969</v>
      </c>
      <c r="E380" s="33">
        <v>-1544</v>
      </c>
      <c r="F380" t="str">
        <f>VLOOKUP(E380,CompDbase!B:L,4,FALSE)</f>
        <v>benzo[b]fluoranthene</v>
      </c>
      <c r="G380" s="95" t="str">
        <f>VLOOKUP(E380,CompDbase!B:M,12,FALSE)</f>
        <v>PAK</v>
      </c>
      <c r="H380" s="95">
        <f>VLOOKUP(E380,CompDbase!B:L,8,FALSE)</f>
        <v>252.15</v>
      </c>
      <c r="I380" s="95">
        <f>VLOOKUP(E380,CompDbase!B:L,11,FALSE)</f>
        <v>231.8</v>
      </c>
      <c r="J380" s="95">
        <f>VLOOKUP(E380,CompDbase!B:L,9,FALSE)</f>
        <v>2.620096279985866E-2</v>
      </c>
      <c r="K380" s="95">
        <f>VLOOKUP(E380,CompDbase!B:L,10,FALSE)</f>
        <v>5.84</v>
      </c>
      <c r="L380" s="4" t="s">
        <v>769</v>
      </c>
      <c r="M380" s="420"/>
      <c r="N380" s="420"/>
      <c r="O380" s="4" t="s">
        <v>1044</v>
      </c>
      <c r="P380" s="4" t="s">
        <v>1987</v>
      </c>
      <c r="Q380" s="4" t="s">
        <v>1049</v>
      </c>
      <c r="S380" s="4"/>
      <c r="T380" s="95"/>
      <c r="W380" s="199">
        <f t="shared" si="271"/>
        <v>1995262.31496888</v>
      </c>
      <c r="X380">
        <v>6.3</v>
      </c>
      <c r="AC380" t="s">
        <v>68</v>
      </c>
      <c r="AG380" s="138">
        <f t="shared" si="283"/>
        <v>6.3</v>
      </c>
      <c r="AH380">
        <f t="shared" si="265"/>
        <v>5.84</v>
      </c>
      <c r="AI380">
        <f t="shared" si="265"/>
        <v>5.84</v>
      </c>
      <c r="AL380">
        <f t="shared" si="268"/>
        <v>5.84</v>
      </c>
      <c r="BW380" s="138"/>
      <c r="BX380">
        <f t="shared" si="269"/>
        <v>-1.5816827494824268</v>
      </c>
      <c r="BY380">
        <f t="shared" si="269"/>
        <v>-1.5816827494824268</v>
      </c>
      <c r="CB380">
        <f t="shared" si="270"/>
        <v>-1.5816827494824268</v>
      </c>
      <c r="DG380" s="138"/>
      <c r="EY380" s="479">
        <f>VLOOKUP(B380,Literatuur!$A:$B,2,FALSE)</f>
        <v>10</v>
      </c>
      <c r="EZ380" t="str">
        <f t="shared" si="273"/>
        <v>benzo(b)fluoranthene</v>
      </c>
      <c r="FA380" t="str">
        <f t="shared" si="274"/>
        <v>PAK</v>
      </c>
      <c r="FB380" t="str">
        <f t="shared" si="275"/>
        <v>LDPE</v>
      </c>
      <c r="FC380" t="str">
        <f t="shared" si="276"/>
        <v>Immersion</v>
      </c>
      <c r="FD380" t="str">
        <f t="shared" si="277"/>
        <v>room ??</v>
      </c>
      <c r="FE380" t="str">
        <f t="shared" si="278"/>
        <v>water</v>
      </c>
      <c r="FF380" t="str">
        <f t="shared" si="279"/>
        <v xml:space="preserve"> </v>
      </c>
      <c r="FG380" s="408" t="str">
        <f t="shared" si="272"/>
        <v/>
      </c>
      <c r="FH380" s="138">
        <f t="shared" si="280"/>
        <v>6.3</v>
      </c>
      <c r="FI380" s="106">
        <f t="shared" si="267"/>
        <v>5.7162569633117908</v>
      </c>
      <c r="FJ380" s="138" t="str">
        <f t="shared" si="281"/>
        <v/>
      </c>
      <c r="FK380" s="138" t="str">
        <f t="shared" si="282"/>
        <v>**</v>
      </c>
    </row>
    <row r="381" spans="1:167" ht="12.75" hidden="1" customHeight="1" x14ac:dyDescent="0.2">
      <c r="A381">
        <v>346</v>
      </c>
      <c r="B381" t="s">
        <v>1594</v>
      </c>
      <c r="C381" s="4"/>
      <c r="D381" t="s">
        <v>970</v>
      </c>
      <c r="E381" s="33">
        <v>-1545</v>
      </c>
      <c r="F381" t="str">
        <f>VLOOKUP(E381,CompDbase!B:L,4,FALSE)</f>
        <v>benzo[k]fluoranthene</v>
      </c>
      <c r="G381" s="95" t="str">
        <f>VLOOKUP(E381,CompDbase!B:M,12,FALSE)</f>
        <v>PAK</v>
      </c>
      <c r="H381" s="95">
        <f>VLOOKUP(E381,CompDbase!B:L,8,FALSE)</f>
        <v>252.15</v>
      </c>
      <c r="I381" s="95">
        <f>VLOOKUP(E381,CompDbase!B:L,11,FALSE)</f>
        <v>229.3</v>
      </c>
      <c r="J381" s="95">
        <f>VLOOKUP(E381,CompDbase!B:L,9,FALSE)</f>
        <v>2.620096279985866E-2</v>
      </c>
      <c r="K381" s="95">
        <f>VLOOKUP(E381,CompDbase!B:L,10,FALSE)</f>
        <v>6.0050000000000008</v>
      </c>
      <c r="L381" s="4" t="s">
        <v>769</v>
      </c>
      <c r="M381" s="420"/>
      <c r="N381" s="420"/>
      <c r="O381" s="4" t="s">
        <v>1044</v>
      </c>
      <c r="P381" s="4" t="s">
        <v>1987</v>
      </c>
      <c r="Q381" s="4" t="s">
        <v>1049</v>
      </c>
      <c r="S381" s="4"/>
      <c r="T381" s="95"/>
      <c r="W381" s="199">
        <f t="shared" si="271"/>
        <v>1995262.31496888</v>
      </c>
      <c r="X381">
        <v>6.3</v>
      </c>
      <c r="AC381" t="s">
        <v>68</v>
      </c>
      <c r="AG381" s="138">
        <f t="shared" si="283"/>
        <v>6.3</v>
      </c>
      <c r="AH381">
        <f t="shared" si="265"/>
        <v>6.0050000000000008</v>
      </c>
      <c r="AI381">
        <f t="shared" si="265"/>
        <v>6.0050000000000008</v>
      </c>
      <c r="AL381">
        <f t="shared" si="268"/>
        <v>6.0050000000000008</v>
      </c>
      <c r="BW381" s="138"/>
      <c r="BX381">
        <f t="shared" si="269"/>
        <v>-1.5816827494824268</v>
      </c>
      <c r="BY381">
        <f t="shared" si="269"/>
        <v>-1.5816827494824268</v>
      </c>
      <c r="CB381">
        <f t="shared" si="270"/>
        <v>-1.5816827494824268</v>
      </c>
      <c r="DG381" s="138"/>
      <c r="EY381" s="479">
        <f>VLOOKUP(B381,Literatuur!$A:$B,2,FALSE)</f>
        <v>10</v>
      </c>
      <c r="EZ381" t="str">
        <f t="shared" si="273"/>
        <v>benzo(k)fluoranthene</v>
      </c>
      <c r="FA381" t="str">
        <f t="shared" si="274"/>
        <v>PAK</v>
      </c>
      <c r="FB381" t="str">
        <f t="shared" si="275"/>
        <v>LDPE</v>
      </c>
      <c r="FC381" t="str">
        <f t="shared" si="276"/>
        <v>Immersion</v>
      </c>
      <c r="FD381" t="str">
        <f t="shared" si="277"/>
        <v>room ??</v>
      </c>
      <c r="FE381" t="str">
        <f t="shared" si="278"/>
        <v>water</v>
      </c>
      <c r="FF381" t="str">
        <f t="shared" si="279"/>
        <v xml:space="preserve"> </v>
      </c>
      <c r="FG381" s="408" t="str">
        <f t="shared" si="272"/>
        <v/>
      </c>
      <c r="FH381" s="138">
        <f t="shared" si="280"/>
        <v>6.3</v>
      </c>
      <c r="FI381" s="106">
        <f t="shared" si="267"/>
        <v>5.8969989283315449</v>
      </c>
      <c r="FJ381" s="138" t="str">
        <f t="shared" si="281"/>
        <v/>
      </c>
      <c r="FK381" s="138" t="str">
        <f t="shared" si="282"/>
        <v>**</v>
      </c>
    </row>
    <row r="382" spans="1:167" s="9" customFormat="1" ht="12.75" hidden="1" customHeight="1" x14ac:dyDescent="0.2">
      <c r="A382">
        <v>347</v>
      </c>
      <c r="B382" s="9" t="s">
        <v>1594</v>
      </c>
      <c r="C382" s="10"/>
      <c r="D382" s="8" t="s">
        <v>567</v>
      </c>
      <c r="E382" s="91">
        <v>-1543</v>
      </c>
      <c r="F382" s="9" t="str">
        <f>VLOOKUP(E382,CompDbase!B:L,4,FALSE)</f>
        <v>chrysene</v>
      </c>
      <c r="G382" s="181" t="str">
        <f>VLOOKUP(E382,CompDbase!B:M,12,FALSE)</f>
        <v>PAK</v>
      </c>
      <c r="H382" s="181">
        <f>VLOOKUP(E382,CompDbase!B:L,8,FALSE)</f>
        <v>228.15</v>
      </c>
      <c r="I382" s="181">
        <f>VLOOKUP(E382,CompDbase!B:L,11,FALSE)</f>
        <v>196.3</v>
      </c>
      <c r="J382" s="181">
        <f>VLOOKUP(E382,CompDbase!B:L,9,FALSE)</f>
        <v>0.13896515350405772</v>
      </c>
      <c r="K382" s="181">
        <f>VLOOKUP(E382,CompDbase!B:L,10,FALSE)</f>
        <v>5.7549999999999999</v>
      </c>
      <c r="L382" s="10" t="s">
        <v>769</v>
      </c>
      <c r="M382" s="422"/>
      <c r="N382" s="422"/>
      <c r="O382" s="10" t="s">
        <v>1044</v>
      </c>
      <c r="P382" s="10" t="s">
        <v>1987</v>
      </c>
      <c r="Q382" s="10" t="s">
        <v>1049</v>
      </c>
      <c r="R382" s="289"/>
      <c r="S382" s="10"/>
      <c r="T382" s="95"/>
      <c r="W382" s="207">
        <f t="shared" si="271"/>
        <v>316227.7660168382</v>
      </c>
      <c r="X382" s="9">
        <v>5.5</v>
      </c>
      <c r="AC382" s="9" t="s">
        <v>68</v>
      </c>
      <c r="AF382"/>
      <c r="AG382" s="138">
        <f t="shared" si="283"/>
        <v>5.5</v>
      </c>
      <c r="AH382">
        <f t="shared" si="265"/>
        <v>5.7549999999999999</v>
      </c>
      <c r="AI382">
        <f t="shared" si="265"/>
        <v>5.7549999999999999</v>
      </c>
      <c r="AL382">
        <f t="shared" si="268"/>
        <v>5.7549999999999999</v>
      </c>
      <c r="AM382"/>
      <c r="AN382"/>
      <c r="AO382"/>
      <c r="BW382" s="138"/>
      <c r="BX382">
        <f t="shared" si="269"/>
        <v>-0.85709408850976543</v>
      </c>
      <c r="BY382">
        <f t="shared" si="269"/>
        <v>-0.85709408850976543</v>
      </c>
      <c r="CB382">
        <f t="shared" si="270"/>
        <v>-0.85709408850976543</v>
      </c>
      <c r="CC382"/>
      <c r="CD382"/>
      <c r="CE382"/>
      <c r="DF382"/>
      <c r="DG382" s="138"/>
      <c r="DH382"/>
      <c r="DI382"/>
      <c r="DL382"/>
      <c r="DM382"/>
      <c r="DN382"/>
      <c r="DO382"/>
      <c r="DP382"/>
      <c r="EY382" s="479">
        <f>VLOOKUP(B382,Literatuur!$A:$B,2,FALSE)</f>
        <v>10</v>
      </c>
      <c r="EZ382" t="str">
        <f t="shared" si="273"/>
        <v>chrysene</v>
      </c>
      <c r="FA382" t="str">
        <f t="shared" si="274"/>
        <v>PAK</v>
      </c>
      <c r="FB382" t="str">
        <f t="shared" si="275"/>
        <v>LDPE</v>
      </c>
      <c r="FC382" t="str">
        <f t="shared" si="276"/>
        <v>Immersion</v>
      </c>
      <c r="FD382" t="str">
        <f t="shared" si="277"/>
        <v>room ??</v>
      </c>
      <c r="FE382" t="str">
        <f t="shared" si="278"/>
        <v>water</v>
      </c>
      <c r="FF382" t="str">
        <f t="shared" si="279"/>
        <v xml:space="preserve"> </v>
      </c>
      <c r="FG382" s="408" t="str">
        <f t="shared" si="272"/>
        <v/>
      </c>
      <c r="FH382" s="138">
        <f t="shared" si="280"/>
        <v>5.5</v>
      </c>
      <c r="FI382" s="106">
        <f t="shared" si="267"/>
        <v>5.6231474661804022</v>
      </c>
      <c r="FJ382" s="138" t="str">
        <f t="shared" si="281"/>
        <v/>
      </c>
      <c r="FK382" s="138" t="str">
        <f t="shared" si="282"/>
        <v>**</v>
      </c>
    </row>
    <row r="383" spans="1:167" ht="12.75" hidden="1" customHeight="1" x14ac:dyDescent="0.2">
      <c r="A383">
        <v>348</v>
      </c>
      <c r="B383" t="s">
        <v>1594</v>
      </c>
      <c r="C383" s="4"/>
      <c r="D383" s="17" t="s">
        <v>564</v>
      </c>
      <c r="E383" s="33">
        <v>-1540</v>
      </c>
      <c r="F383" t="str">
        <f>VLOOKUP(E383,CompDbase!B:L,4,FALSE)</f>
        <v>fluoranthene</v>
      </c>
      <c r="G383" s="95" t="str">
        <f>VLOOKUP(E383,CompDbase!B:M,12,FALSE)</f>
        <v>PAK</v>
      </c>
      <c r="H383" s="95">
        <f>VLOOKUP(E383,CompDbase!B:L,8,FALSE)</f>
        <v>202.15</v>
      </c>
      <c r="I383" s="95">
        <f>VLOOKUP(E383,CompDbase!B:L,11,FALSE)</f>
        <v>195.85</v>
      </c>
      <c r="J383" s="95">
        <f>VLOOKUP(E383,CompDbase!B:L,9,FALSE)</f>
        <v>0.83636506257935239</v>
      </c>
      <c r="K383" s="95">
        <f>VLOOKUP(E383,CompDbase!B:L,10,FALSE)</f>
        <v>5.08</v>
      </c>
      <c r="L383" s="4" t="s">
        <v>769</v>
      </c>
      <c r="M383" s="420"/>
      <c r="N383" s="420"/>
      <c r="O383" s="4" t="s">
        <v>1044</v>
      </c>
      <c r="P383" s="4" t="s">
        <v>1987</v>
      </c>
      <c r="Q383" s="4" t="s">
        <v>1049</v>
      </c>
      <c r="S383" s="4"/>
      <c r="T383" s="95"/>
      <c r="W383" s="199">
        <f t="shared" si="271"/>
        <v>79432.823472428237</v>
      </c>
      <c r="X383">
        <v>4.9000000000000004</v>
      </c>
      <c r="AC383" t="s">
        <v>68</v>
      </c>
      <c r="AG383" s="138">
        <f t="shared" si="283"/>
        <v>4.9000000000000004</v>
      </c>
      <c r="AH383">
        <f t="shared" si="265"/>
        <v>5.08</v>
      </c>
      <c r="AI383">
        <f t="shared" si="265"/>
        <v>5.08</v>
      </c>
      <c r="AL383">
        <f t="shared" si="268"/>
        <v>5.08</v>
      </c>
      <c r="BW383" s="138"/>
      <c r="BX383">
        <f t="shared" si="269"/>
        <v>-7.760411722919576E-2</v>
      </c>
      <c r="BY383">
        <f t="shared" si="269"/>
        <v>-7.760411722919576E-2</v>
      </c>
      <c r="CB383">
        <f t="shared" si="270"/>
        <v>-7.760411722919576E-2</v>
      </c>
      <c r="DG383" s="138"/>
      <c r="EY383" s="479">
        <f>VLOOKUP(B383,Literatuur!$A:$B,2,FALSE)</f>
        <v>10</v>
      </c>
      <c r="EZ383" t="str">
        <f t="shared" si="273"/>
        <v>fluoranthene</v>
      </c>
      <c r="FA383" t="str">
        <f t="shared" si="274"/>
        <v>PAK</v>
      </c>
      <c r="FB383" t="str">
        <f t="shared" si="275"/>
        <v>LDPE</v>
      </c>
      <c r="FC383" t="str">
        <f t="shared" si="276"/>
        <v>Immersion</v>
      </c>
      <c r="FD383" t="str">
        <f t="shared" si="277"/>
        <v>room ??</v>
      </c>
      <c r="FE383" t="str">
        <f t="shared" si="278"/>
        <v>water</v>
      </c>
      <c r="FF383" t="str">
        <f t="shared" si="279"/>
        <v xml:space="preserve"> </v>
      </c>
      <c r="FG383" s="408" t="str">
        <f t="shared" si="272"/>
        <v/>
      </c>
      <c r="FH383" s="138">
        <f t="shared" si="280"/>
        <v>4.9000000000000004</v>
      </c>
      <c r="FI383" s="106">
        <f t="shared" si="267"/>
        <v>4.8837485183723208</v>
      </c>
      <c r="FJ383" s="138" t="str">
        <f t="shared" si="281"/>
        <v/>
      </c>
      <c r="FK383" s="138" t="str">
        <f t="shared" si="282"/>
        <v>**</v>
      </c>
    </row>
    <row r="384" spans="1:167" ht="12.75" hidden="1" customHeight="1" x14ac:dyDescent="0.2">
      <c r="A384">
        <v>349</v>
      </c>
      <c r="B384" s="4" t="s">
        <v>1594</v>
      </c>
      <c r="C384" s="4"/>
      <c r="D384" s="17" t="s">
        <v>562</v>
      </c>
      <c r="E384" s="33">
        <v>-1538</v>
      </c>
      <c r="F384" t="str">
        <f>VLOOKUP(E384,CompDbase!B:L,4,FALSE)</f>
        <v>phenanthrene</v>
      </c>
      <c r="G384" s="95" t="str">
        <f>VLOOKUP(E384,CompDbase!B:M,12,FALSE)</f>
        <v>PAK</v>
      </c>
      <c r="H384" s="95">
        <f>VLOOKUP(E384,CompDbase!B:L,8,FALSE)</f>
        <v>178.1</v>
      </c>
      <c r="I384" s="95">
        <f>VLOOKUP(E384,CompDbase!B:L,11,FALSE)</f>
        <v>160.35</v>
      </c>
      <c r="J384" s="95">
        <f>VLOOKUP(E384,CompDbase!B:L,9,FALSE)</f>
        <v>4.3501847309898105</v>
      </c>
      <c r="K384" s="95">
        <f>VLOOKUP(E384,CompDbase!B:L,10,FALSE)</f>
        <v>4.4800000000000004</v>
      </c>
      <c r="L384" s="4" t="s">
        <v>769</v>
      </c>
      <c r="M384" s="420"/>
      <c r="N384" s="420"/>
      <c r="O384" s="4" t="s">
        <v>1044</v>
      </c>
      <c r="P384" s="4" t="s">
        <v>1987</v>
      </c>
      <c r="Q384" s="4" t="s">
        <v>1049</v>
      </c>
      <c r="S384" s="4"/>
      <c r="T384" s="95"/>
      <c r="W384" s="199">
        <f t="shared" si="271"/>
        <v>19952.623149688792</v>
      </c>
      <c r="X384">
        <v>4.3</v>
      </c>
      <c r="AC384" t="s">
        <v>68</v>
      </c>
      <c r="AG384" s="138">
        <f t="shared" si="283"/>
        <v>4.3</v>
      </c>
      <c r="AH384">
        <f t="shared" si="265"/>
        <v>4.4800000000000004</v>
      </c>
      <c r="AI384">
        <f t="shared" si="265"/>
        <v>4.4800000000000004</v>
      </c>
      <c r="AL384">
        <f t="shared" si="268"/>
        <v>4.4800000000000004</v>
      </c>
      <c r="BW384" s="138"/>
      <c r="BX384">
        <f t="shared" si="269"/>
        <v>0.63850769970085575</v>
      </c>
      <c r="BY384">
        <f t="shared" si="269"/>
        <v>0.63850769970085575</v>
      </c>
      <c r="CB384">
        <f t="shared" si="270"/>
        <v>0.63850769970085575</v>
      </c>
      <c r="DG384" s="138"/>
      <c r="EY384" s="479">
        <f>VLOOKUP(B384,Literatuur!$A:$B,2,FALSE)</f>
        <v>10</v>
      </c>
      <c r="EZ384" t="str">
        <f t="shared" si="273"/>
        <v>phenanthrene</v>
      </c>
      <c r="FA384" t="str">
        <f t="shared" si="274"/>
        <v>PAK</v>
      </c>
      <c r="FB384" t="str">
        <f t="shared" si="275"/>
        <v>LDPE</v>
      </c>
      <c r="FC384" t="str">
        <f t="shared" si="276"/>
        <v>Immersion</v>
      </c>
      <c r="FD384" t="str">
        <f t="shared" si="277"/>
        <v>room ??</v>
      </c>
      <c r="FE384" t="str">
        <f t="shared" si="278"/>
        <v>water</v>
      </c>
      <c r="FF384" t="str">
        <f t="shared" si="279"/>
        <v xml:space="preserve"> </v>
      </c>
      <c r="FG384" s="408" t="str">
        <f t="shared" si="272"/>
        <v/>
      </c>
      <c r="FH384" s="138">
        <f t="shared" si="280"/>
        <v>4.3</v>
      </c>
      <c r="FI384" s="106">
        <f t="shared" si="267"/>
        <v>4.2265050092095819</v>
      </c>
      <c r="FJ384" s="138" t="str">
        <f t="shared" si="281"/>
        <v/>
      </c>
      <c r="FK384" s="138" t="str">
        <f t="shared" si="282"/>
        <v>**</v>
      </c>
    </row>
    <row r="385" spans="1:167" ht="12.75" hidden="1" customHeight="1" x14ac:dyDescent="0.2">
      <c r="A385">
        <v>350</v>
      </c>
      <c r="B385" t="s">
        <v>1594</v>
      </c>
      <c r="C385" s="4"/>
      <c r="D385" s="17" t="s">
        <v>565</v>
      </c>
      <c r="E385" s="33">
        <v>-1541</v>
      </c>
      <c r="F385" t="str">
        <f>VLOOKUP(E385,CompDbase!B:L,4,FALSE)</f>
        <v>pyrene</v>
      </c>
      <c r="G385" s="95" t="str">
        <f>VLOOKUP(E385,CompDbase!B:M,12,FALSE)</f>
        <v>PAK</v>
      </c>
      <c r="H385" s="95">
        <f>VLOOKUP(E385,CompDbase!B:L,8,FALSE)</f>
        <v>202.15</v>
      </c>
      <c r="I385" s="95">
        <f>VLOOKUP(E385,CompDbase!B:L,11,FALSE)</f>
        <v>182.10000000000002</v>
      </c>
      <c r="J385" s="95">
        <f>VLOOKUP(E385,CompDbase!B:L,9,FALSE)</f>
        <v>0.83636506257935239</v>
      </c>
      <c r="K385" s="95">
        <f>VLOOKUP(E385,CompDbase!B:L,10,FALSE)</f>
        <v>4.9399999999999995</v>
      </c>
      <c r="L385" s="4" t="s">
        <v>769</v>
      </c>
      <c r="M385" s="420"/>
      <c r="N385" s="420"/>
      <c r="O385" s="4" t="s">
        <v>1044</v>
      </c>
      <c r="P385" s="4" t="s">
        <v>1987</v>
      </c>
      <c r="Q385" s="4" t="s">
        <v>1049</v>
      </c>
      <c r="S385" s="4"/>
      <c r="T385" s="95"/>
      <c r="W385" s="199">
        <f t="shared" si="271"/>
        <v>50118.723362727294</v>
      </c>
      <c r="X385">
        <v>4.7</v>
      </c>
      <c r="AC385" t="s">
        <v>68</v>
      </c>
      <c r="AG385" s="138">
        <f t="shared" si="283"/>
        <v>4.7</v>
      </c>
      <c r="AH385">
        <f t="shared" si="265"/>
        <v>4.9399999999999995</v>
      </c>
      <c r="AI385">
        <f t="shared" si="265"/>
        <v>4.9399999999999995</v>
      </c>
      <c r="AL385">
        <f t="shared" si="268"/>
        <v>4.9399999999999995</v>
      </c>
      <c r="BW385" s="138"/>
      <c r="BX385">
        <f t="shared" si="269"/>
        <v>-7.760411722919576E-2</v>
      </c>
      <c r="BY385">
        <f t="shared" si="269"/>
        <v>-7.760411722919576E-2</v>
      </c>
      <c r="CB385">
        <f t="shared" si="270"/>
        <v>-7.760411722919576E-2</v>
      </c>
      <c r="DG385" s="138"/>
      <c r="EY385" s="479">
        <f>VLOOKUP(B385,Literatuur!$A:$B,2,FALSE)</f>
        <v>10</v>
      </c>
      <c r="EZ385" t="str">
        <f t="shared" si="273"/>
        <v>pyrene</v>
      </c>
      <c r="FA385" t="str">
        <f t="shared" si="274"/>
        <v>PAK</v>
      </c>
      <c r="FB385" t="str">
        <f t="shared" si="275"/>
        <v>LDPE</v>
      </c>
      <c r="FC385" t="str">
        <f t="shared" si="276"/>
        <v>Immersion</v>
      </c>
      <c r="FD385" t="str">
        <f t="shared" si="277"/>
        <v>room ??</v>
      </c>
      <c r="FE385" t="str">
        <f t="shared" si="278"/>
        <v>water</v>
      </c>
      <c r="FF385" t="str">
        <f t="shared" si="279"/>
        <v xml:space="preserve"> </v>
      </c>
      <c r="FG385" s="408" t="str">
        <f t="shared" si="272"/>
        <v/>
      </c>
      <c r="FH385" s="138">
        <f t="shared" si="280"/>
        <v>4.7</v>
      </c>
      <c r="FI385" s="106">
        <f t="shared" si="267"/>
        <v>4.7303916995676811</v>
      </c>
      <c r="FJ385" s="138" t="str">
        <f t="shared" si="281"/>
        <v/>
      </c>
      <c r="FK385" s="138" t="str">
        <f t="shared" si="282"/>
        <v>**</v>
      </c>
    </row>
    <row r="386" spans="1:167" ht="12.75" hidden="1" customHeight="1" x14ac:dyDescent="0.2">
      <c r="A386">
        <v>351</v>
      </c>
      <c r="B386" t="s">
        <v>1597</v>
      </c>
      <c r="C386" s="4"/>
      <c r="D386" s="17" t="s">
        <v>563</v>
      </c>
      <c r="E386" s="33">
        <v>-1539</v>
      </c>
      <c r="F386" t="str">
        <f>VLOOKUP(E386,CompDbase!B:L,4,FALSE)</f>
        <v>anthracene</v>
      </c>
      <c r="G386" s="95" t="str">
        <f>VLOOKUP(E386,CompDbase!B:M,12,FALSE)</f>
        <v>PAK</v>
      </c>
      <c r="H386" s="95">
        <f>VLOOKUP(E386,CompDbase!B:L,8,FALSE)</f>
        <v>178.1</v>
      </c>
      <c r="I386" s="95">
        <f>VLOOKUP(E386,CompDbase!B:L,11,FALSE)</f>
        <v>158.89999999999998</v>
      </c>
      <c r="J386" s="95">
        <f>VLOOKUP(E386,CompDbase!B:L,9,FALSE)</f>
        <v>4.3501847309898105</v>
      </c>
      <c r="K386" s="95">
        <f>VLOOKUP(E386,CompDbase!B:L,10,FALSE)</f>
        <v>4.5250000000000004</v>
      </c>
      <c r="L386" s="4" t="s">
        <v>769</v>
      </c>
      <c r="M386" s="420"/>
      <c r="N386" s="420"/>
      <c r="O386" s="4" t="s">
        <v>1986</v>
      </c>
      <c r="P386" s="4" t="s">
        <v>1980</v>
      </c>
      <c r="Q386" s="4" t="s">
        <v>1049</v>
      </c>
      <c r="S386" s="4"/>
      <c r="T386" s="95"/>
      <c r="W386" s="199">
        <f t="shared" si="271"/>
        <v>18197.008586099837</v>
      </c>
      <c r="X386" s="4">
        <v>4.26</v>
      </c>
      <c r="Z386" s="289">
        <v>-12.73</v>
      </c>
      <c r="AC386" t="s">
        <v>68</v>
      </c>
      <c r="AG386" s="138">
        <f t="shared" si="283"/>
        <v>4.26</v>
      </c>
      <c r="AH386">
        <f t="shared" si="265"/>
        <v>4.5250000000000004</v>
      </c>
      <c r="AI386">
        <f t="shared" si="265"/>
        <v>4.5250000000000004</v>
      </c>
      <c r="AL386">
        <f t="shared" si="268"/>
        <v>4.5250000000000004</v>
      </c>
      <c r="BW386" s="138"/>
      <c r="BX386">
        <f t="shared" si="269"/>
        <v>0.63850769970085575</v>
      </c>
      <c r="BY386">
        <f t="shared" si="269"/>
        <v>0.63850769970085575</v>
      </c>
      <c r="CB386">
        <f t="shared" si="270"/>
        <v>0.63850769970085575</v>
      </c>
      <c r="DG386">
        <f t="shared" ref="DG386:DG388" si="284">Z386</f>
        <v>-12.73</v>
      </c>
      <c r="DH386">
        <f t="shared" ref="DH386:DI388" si="285">$H386</f>
        <v>178.1</v>
      </c>
      <c r="DI386">
        <f t="shared" si="285"/>
        <v>178.1</v>
      </c>
      <c r="EY386" s="479">
        <f>VLOOKUP(B386,Literatuur!$A:$B,2,FALSE)</f>
        <v>11</v>
      </c>
      <c r="EZ386" t="str">
        <f t="shared" si="273"/>
        <v>anthracene</v>
      </c>
      <c r="FA386" t="str">
        <f t="shared" si="274"/>
        <v>PAK</v>
      </c>
      <c r="FB386" t="str">
        <f t="shared" si="275"/>
        <v>LDPE</v>
      </c>
      <c r="FC386" t="str">
        <f t="shared" si="276"/>
        <v>Immersion (spinning)</v>
      </c>
      <c r="FD386" t="str">
        <f t="shared" si="277"/>
        <v>room</v>
      </c>
      <c r="FE386" t="str">
        <f t="shared" si="278"/>
        <v>water</v>
      </c>
      <c r="FF386" t="str">
        <f t="shared" si="279"/>
        <v xml:space="preserve"> </v>
      </c>
      <c r="FG386" s="408" t="str">
        <f t="shared" si="272"/>
        <v/>
      </c>
      <c r="FH386" s="138">
        <f t="shared" si="280"/>
        <v>4.26</v>
      </c>
      <c r="FI386" s="106">
        <f t="shared" si="267"/>
        <v>4.2757982723967878</v>
      </c>
      <c r="FJ386" s="138">
        <f t="shared" si="281"/>
        <v>-12.73</v>
      </c>
      <c r="FK386" s="138" t="str">
        <f t="shared" si="282"/>
        <v>**</v>
      </c>
    </row>
    <row r="387" spans="1:167" ht="12.75" hidden="1" customHeight="1" x14ac:dyDescent="0.2">
      <c r="A387">
        <v>352</v>
      </c>
      <c r="B387" t="s">
        <v>1597</v>
      </c>
      <c r="C387" s="4"/>
      <c r="D387" s="17" t="s">
        <v>562</v>
      </c>
      <c r="E387" s="33">
        <v>-1538</v>
      </c>
      <c r="F387" t="str">
        <f>VLOOKUP(E387,CompDbase!B:L,4,FALSE)</f>
        <v>phenanthrene</v>
      </c>
      <c r="G387" s="95" t="str">
        <f>VLOOKUP(E387,CompDbase!B:M,12,FALSE)</f>
        <v>PAK</v>
      </c>
      <c r="H387" s="95">
        <f>VLOOKUP(E387,CompDbase!B:L,8,FALSE)</f>
        <v>178.1</v>
      </c>
      <c r="I387" s="95">
        <f>VLOOKUP(E387,CompDbase!B:L,11,FALSE)</f>
        <v>160.35</v>
      </c>
      <c r="J387" s="95">
        <f>VLOOKUP(E387,CompDbase!B:L,9,FALSE)</f>
        <v>4.3501847309898105</v>
      </c>
      <c r="K387" s="95">
        <f>VLOOKUP(E387,CompDbase!B:L,10,FALSE)</f>
        <v>4.4800000000000004</v>
      </c>
      <c r="L387" s="4" t="s">
        <v>769</v>
      </c>
      <c r="M387" s="420"/>
      <c r="N387" s="420"/>
      <c r="O387" s="4" t="s">
        <v>1986</v>
      </c>
      <c r="P387" s="4" t="s">
        <v>1980</v>
      </c>
      <c r="Q387" s="4" t="s">
        <v>1049</v>
      </c>
      <c r="S387" s="4"/>
      <c r="T387" s="95"/>
      <c r="W387" s="199">
        <f t="shared" si="271"/>
        <v>13489.628825916556</v>
      </c>
      <c r="X387" s="4">
        <v>4.13</v>
      </c>
      <c r="Z387" s="289">
        <v>-12.73</v>
      </c>
      <c r="AC387" t="s">
        <v>68</v>
      </c>
      <c r="AG387" s="138">
        <f t="shared" si="283"/>
        <v>4.13</v>
      </c>
      <c r="AH387">
        <f t="shared" si="265"/>
        <v>4.4800000000000004</v>
      </c>
      <c r="AI387">
        <f t="shared" si="265"/>
        <v>4.4800000000000004</v>
      </c>
      <c r="AL387">
        <f t="shared" si="268"/>
        <v>4.4800000000000004</v>
      </c>
      <c r="BW387" s="138"/>
      <c r="BX387">
        <f t="shared" si="269"/>
        <v>0.63850769970085575</v>
      </c>
      <c r="BY387">
        <f t="shared" si="269"/>
        <v>0.63850769970085575</v>
      </c>
      <c r="CB387">
        <f t="shared" si="270"/>
        <v>0.63850769970085575</v>
      </c>
      <c r="DG387">
        <f t="shared" si="284"/>
        <v>-12.73</v>
      </c>
      <c r="DH387">
        <f t="shared" si="285"/>
        <v>178.1</v>
      </c>
      <c r="DI387">
        <f t="shared" si="285"/>
        <v>178.1</v>
      </c>
      <c r="EY387" s="479">
        <f>VLOOKUP(B387,Literatuur!$A:$B,2,FALSE)</f>
        <v>11</v>
      </c>
      <c r="EZ387" t="str">
        <f t="shared" si="273"/>
        <v>phenanthrene</v>
      </c>
      <c r="FA387" t="str">
        <f t="shared" si="274"/>
        <v>PAK</v>
      </c>
      <c r="FB387" t="str">
        <f t="shared" si="275"/>
        <v>LDPE</v>
      </c>
      <c r="FC387" t="str">
        <f t="shared" si="276"/>
        <v>Immersion (spinning)</v>
      </c>
      <c r="FD387" t="str">
        <f t="shared" si="277"/>
        <v>room</v>
      </c>
      <c r="FE387" t="str">
        <f t="shared" si="278"/>
        <v>water</v>
      </c>
      <c r="FF387" t="str">
        <f t="shared" si="279"/>
        <v xml:space="preserve"> </v>
      </c>
      <c r="FG387" s="408" t="str">
        <f t="shared" si="272"/>
        <v/>
      </c>
      <c r="FH387" s="138">
        <f t="shared" si="280"/>
        <v>4.13</v>
      </c>
      <c r="FI387" s="106">
        <f t="shared" si="267"/>
        <v>4.2265050092095819</v>
      </c>
      <c r="FJ387" s="138">
        <f t="shared" si="281"/>
        <v>-12.73</v>
      </c>
      <c r="FK387" s="138" t="str">
        <f t="shared" si="282"/>
        <v>**</v>
      </c>
    </row>
    <row r="388" spans="1:167" ht="12.75" hidden="1" customHeight="1" x14ac:dyDescent="0.2">
      <c r="A388">
        <v>353</v>
      </c>
      <c r="B388" t="s">
        <v>1597</v>
      </c>
      <c r="C388" s="4"/>
      <c r="D388" s="17" t="s">
        <v>565</v>
      </c>
      <c r="E388" s="33">
        <v>-1541</v>
      </c>
      <c r="F388" t="str">
        <f>VLOOKUP(E388,CompDbase!B:L,4,FALSE)</f>
        <v>pyrene</v>
      </c>
      <c r="G388" s="95" t="str">
        <f>VLOOKUP(E388,CompDbase!B:M,12,FALSE)</f>
        <v>PAK</v>
      </c>
      <c r="H388" s="95">
        <f>VLOOKUP(E388,CompDbase!B:L,8,FALSE)</f>
        <v>202.15</v>
      </c>
      <c r="I388" s="95">
        <f>VLOOKUP(E388,CompDbase!B:L,11,FALSE)</f>
        <v>182.10000000000002</v>
      </c>
      <c r="J388" s="95">
        <f>VLOOKUP(E388,CompDbase!B:L,9,FALSE)</f>
        <v>0.83636506257935239</v>
      </c>
      <c r="K388" s="95">
        <f>VLOOKUP(E388,CompDbase!B:L,10,FALSE)</f>
        <v>4.9399999999999995</v>
      </c>
      <c r="L388" s="4" t="s">
        <v>769</v>
      </c>
      <c r="M388" s="420"/>
      <c r="N388" s="420"/>
      <c r="O388" s="4" t="s">
        <v>1986</v>
      </c>
      <c r="P388" s="4" t="s">
        <v>1980</v>
      </c>
      <c r="Q388" s="4" t="s">
        <v>1049</v>
      </c>
      <c r="S388" s="4"/>
      <c r="T388" s="95"/>
      <c r="W388" s="199">
        <f t="shared" si="271"/>
        <v>91201.083935591028</v>
      </c>
      <c r="X388" s="4">
        <v>4.96</v>
      </c>
      <c r="Z388" s="289">
        <v>-13.4</v>
      </c>
      <c r="AC388" t="s">
        <v>68</v>
      </c>
      <c r="AG388" s="138">
        <f t="shared" si="283"/>
        <v>4.96</v>
      </c>
      <c r="AH388">
        <f t="shared" si="265"/>
        <v>4.9399999999999995</v>
      </c>
      <c r="AI388">
        <f t="shared" si="265"/>
        <v>4.9399999999999995</v>
      </c>
      <c r="AL388">
        <f t="shared" si="268"/>
        <v>4.9399999999999995</v>
      </c>
      <c r="BW388" s="138"/>
      <c r="BX388">
        <f t="shared" si="269"/>
        <v>-7.760411722919576E-2</v>
      </c>
      <c r="BY388">
        <f t="shared" si="269"/>
        <v>-7.760411722919576E-2</v>
      </c>
      <c r="CB388">
        <f t="shared" si="270"/>
        <v>-7.760411722919576E-2</v>
      </c>
      <c r="DG388">
        <f t="shared" si="284"/>
        <v>-13.4</v>
      </c>
      <c r="DH388">
        <f t="shared" si="285"/>
        <v>202.15</v>
      </c>
      <c r="DI388">
        <f t="shared" si="285"/>
        <v>202.15</v>
      </c>
      <c r="EY388" s="479">
        <f>VLOOKUP(B388,Literatuur!$A:$B,2,FALSE)</f>
        <v>11</v>
      </c>
      <c r="EZ388" t="str">
        <f t="shared" si="273"/>
        <v>pyrene</v>
      </c>
      <c r="FA388" t="str">
        <f t="shared" si="274"/>
        <v>PAK</v>
      </c>
      <c r="FB388" t="str">
        <f t="shared" si="275"/>
        <v>LDPE</v>
      </c>
      <c r="FC388" t="str">
        <f t="shared" si="276"/>
        <v>Immersion (spinning)</v>
      </c>
      <c r="FD388" t="str">
        <f t="shared" si="277"/>
        <v>room</v>
      </c>
      <c r="FE388" t="str">
        <f t="shared" si="278"/>
        <v>water</v>
      </c>
      <c r="FF388" t="str">
        <f t="shared" si="279"/>
        <v xml:space="preserve"> </v>
      </c>
      <c r="FG388" s="408" t="str">
        <f t="shared" si="272"/>
        <v/>
      </c>
      <c r="FH388" s="138">
        <f t="shared" si="280"/>
        <v>4.96</v>
      </c>
      <c r="FI388" s="106">
        <f t="shared" si="267"/>
        <v>4.7303916995676811</v>
      </c>
      <c r="FJ388" s="138">
        <f t="shared" si="281"/>
        <v>-13.4</v>
      </c>
      <c r="FK388" s="138" t="str">
        <f t="shared" si="282"/>
        <v>**</v>
      </c>
    </row>
    <row r="389" spans="1:167" s="13" customFormat="1" ht="12.75" hidden="1" customHeight="1" x14ac:dyDescent="0.2">
      <c r="A389">
        <v>354</v>
      </c>
      <c r="B389" s="13" t="s">
        <v>1596</v>
      </c>
      <c r="C389" s="14" t="s">
        <v>1557</v>
      </c>
      <c r="D389" s="12" t="s">
        <v>563</v>
      </c>
      <c r="E389" s="92">
        <v>-1539</v>
      </c>
      <c r="F389" s="13" t="str">
        <f>VLOOKUP(E389,CompDbase!B:L,4,FALSE)</f>
        <v>anthracene</v>
      </c>
      <c r="G389" s="182" t="str">
        <f>VLOOKUP(E389,CompDbase!B:M,12,FALSE)</f>
        <v>PAK</v>
      </c>
      <c r="H389" s="182">
        <f>VLOOKUP(E389,CompDbase!B:L,8,FALSE)</f>
        <v>178.1</v>
      </c>
      <c r="I389" s="182">
        <f>VLOOKUP(E389,CompDbase!B:L,11,FALSE)</f>
        <v>158.89999999999998</v>
      </c>
      <c r="J389" s="182">
        <f>VLOOKUP(E389,CompDbase!B:L,9,FALSE)</f>
        <v>4.3501847309898105</v>
      </c>
      <c r="K389" s="182">
        <f>VLOOKUP(E389,CompDbase!B:L,10,FALSE)</f>
        <v>4.5250000000000004</v>
      </c>
      <c r="L389" s="14" t="s">
        <v>769</v>
      </c>
      <c r="M389" s="421"/>
      <c r="N389" s="421"/>
      <c r="P389" s="14" t="s">
        <v>1987</v>
      </c>
      <c r="Q389" s="14" t="s">
        <v>1049</v>
      </c>
      <c r="R389" s="289"/>
      <c r="S389" s="14"/>
      <c r="T389" s="95"/>
      <c r="W389" s="200">
        <f t="shared" si="271"/>
        <v>39810.717055349742</v>
      </c>
      <c r="X389" s="13">
        <v>4.5999999999999996</v>
      </c>
      <c r="AC389" s="13" t="s">
        <v>68</v>
      </c>
      <c r="AF389"/>
      <c r="AG389" s="138">
        <f t="shared" si="283"/>
        <v>4.5999999999999996</v>
      </c>
      <c r="AH389">
        <f t="shared" si="265"/>
        <v>4.5250000000000004</v>
      </c>
      <c r="AI389"/>
      <c r="BW389" s="138"/>
      <c r="BX389">
        <f>LOG(1*$J389)</f>
        <v>0.63850769970085575</v>
      </c>
      <c r="BY389"/>
      <c r="DF389"/>
      <c r="DG389" s="138"/>
      <c r="DH389"/>
      <c r="DI389"/>
      <c r="DP389"/>
      <c r="EY389" s="479">
        <f>VLOOKUP(B389,Literatuur!$A:$B,2,FALSE)</f>
        <v>20</v>
      </c>
      <c r="EZ389" t="str">
        <f t="shared" si="273"/>
        <v>anthracene</v>
      </c>
      <c r="FA389" t="str">
        <f t="shared" si="274"/>
        <v>PAK</v>
      </c>
      <c r="FB389" t="str">
        <f t="shared" si="275"/>
        <v>LDPE</v>
      </c>
      <c r="FC389" t="str">
        <f t="shared" si="276"/>
        <v/>
      </c>
      <c r="FD389" t="str">
        <f t="shared" si="277"/>
        <v>room ??</v>
      </c>
      <c r="FE389" t="str">
        <f t="shared" si="278"/>
        <v>water</v>
      </c>
      <c r="FF389" t="str">
        <f t="shared" si="279"/>
        <v xml:space="preserve"> </v>
      </c>
      <c r="FG389" s="408" t="str">
        <f t="shared" si="272"/>
        <v/>
      </c>
      <c r="FH389" s="138">
        <f t="shared" si="280"/>
        <v>4.5999999999999996</v>
      </c>
      <c r="FI389" s="106" t="str">
        <f t="shared" si="267"/>
        <v>**</v>
      </c>
      <c r="FJ389" s="138" t="str">
        <f t="shared" si="281"/>
        <v/>
      </c>
      <c r="FK389" s="138" t="str">
        <f t="shared" si="282"/>
        <v>**</v>
      </c>
    </row>
    <row r="390" spans="1:167" s="9" customFormat="1" ht="12.75" hidden="1" customHeight="1" x14ac:dyDescent="0.2">
      <c r="A390">
        <v>355</v>
      </c>
      <c r="B390" s="9" t="s">
        <v>1596</v>
      </c>
      <c r="C390" s="10" t="s">
        <v>1557</v>
      </c>
      <c r="D390" s="8" t="s">
        <v>567</v>
      </c>
      <c r="E390" s="91">
        <v>-1543</v>
      </c>
      <c r="F390" s="9" t="str">
        <f>VLOOKUP(E390,CompDbase!B:L,4,FALSE)</f>
        <v>chrysene</v>
      </c>
      <c r="G390" s="181" t="str">
        <f>VLOOKUP(E390,CompDbase!B:M,12,FALSE)</f>
        <v>PAK</v>
      </c>
      <c r="H390" s="181">
        <f>VLOOKUP(E390,CompDbase!B:L,8,FALSE)</f>
        <v>228.15</v>
      </c>
      <c r="I390" s="181">
        <f>VLOOKUP(E390,CompDbase!B:L,11,FALSE)</f>
        <v>196.3</v>
      </c>
      <c r="J390" s="181">
        <f>VLOOKUP(E390,CompDbase!B:L,9,FALSE)</f>
        <v>0.13896515350405772</v>
      </c>
      <c r="K390" s="181">
        <f>VLOOKUP(E390,CompDbase!B:L,10,FALSE)</f>
        <v>5.7549999999999999</v>
      </c>
      <c r="L390" s="10" t="s">
        <v>769</v>
      </c>
      <c r="M390" s="422"/>
      <c r="N390" s="422"/>
      <c r="P390" s="10" t="s">
        <v>1987</v>
      </c>
      <c r="Q390" s="10" t="s">
        <v>1049</v>
      </c>
      <c r="R390" s="289"/>
      <c r="S390" s="10"/>
      <c r="T390" s="95"/>
      <c r="W390" s="207">
        <f t="shared" si="271"/>
        <v>316227.7660168382</v>
      </c>
      <c r="X390" s="9">
        <v>5.5</v>
      </c>
      <c r="AC390" s="9" t="s">
        <v>68</v>
      </c>
      <c r="AF390"/>
      <c r="AG390" s="138">
        <f t="shared" si="283"/>
        <v>5.5</v>
      </c>
      <c r="AH390">
        <f t="shared" si="265"/>
        <v>5.7549999999999999</v>
      </c>
      <c r="BW390" s="138"/>
      <c r="BX390">
        <f>LOG(1*$J390)</f>
        <v>-0.85709408850976543</v>
      </c>
      <c r="DF390"/>
      <c r="DG390" s="138"/>
      <c r="DH390"/>
      <c r="DP390"/>
      <c r="EY390" s="479">
        <f>VLOOKUP(B390,Literatuur!$A:$B,2,FALSE)</f>
        <v>20</v>
      </c>
      <c r="EZ390" t="str">
        <f t="shared" si="273"/>
        <v>chrysene</v>
      </c>
      <c r="FA390" t="str">
        <f t="shared" si="274"/>
        <v>PAK</v>
      </c>
      <c r="FB390" t="str">
        <f t="shared" si="275"/>
        <v>LDPE</v>
      </c>
      <c r="FC390" t="str">
        <f t="shared" si="276"/>
        <v/>
      </c>
      <c r="FD390" t="str">
        <f t="shared" si="277"/>
        <v>room ??</v>
      </c>
      <c r="FE390" t="str">
        <f t="shared" si="278"/>
        <v>water</v>
      </c>
      <c r="FF390" t="str">
        <f t="shared" si="279"/>
        <v xml:space="preserve"> </v>
      </c>
      <c r="FG390" s="408" t="str">
        <f t="shared" si="272"/>
        <v/>
      </c>
      <c r="FH390" s="138">
        <f t="shared" si="280"/>
        <v>5.5</v>
      </c>
      <c r="FI390" s="106" t="str">
        <f t="shared" si="267"/>
        <v>**</v>
      </c>
      <c r="FJ390" s="138" t="str">
        <f t="shared" si="281"/>
        <v/>
      </c>
      <c r="FK390" s="138" t="str">
        <f t="shared" si="282"/>
        <v>**</v>
      </c>
    </row>
    <row r="391" spans="1:167" ht="12.75" hidden="1" customHeight="1" x14ac:dyDescent="0.2">
      <c r="A391">
        <v>356</v>
      </c>
      <c r="B391" t="s">
        <v>1596</v>
      </c>
      <c r="C391" s="4" t="s">
        <v>1557</v>
      </c>
      <c r="D391" s="17" t="s">
        <v>564</v>
      </c>
      <c r="E391" s="33">
        <v>-1540</v>
      </c>
      <c r="F391" t="str">
        <f>VLOOKUP(E391,CompDbase!B:L,4,FALSE)</f>
        <v>fluoranthene</v>
      </c>
      <c r="G391" s="95" t="str">
        <f>VLOOKUP(E391,CompDbase!B:M,12,FALSE)</f>
        <v>PAK</v>
      </c>
      <c r="H391" s="95">
        <f>VLOOKUP(E391,CompDbase!B:L,8,FALSE)</f>
        <v>202.15</v>
      </c>
      <c r="I391" s="95">
        <f>VLOOKUP(E391,CompDbase!B:L,11,FALSE)</f>
        <v>195.85</v>
      </c>
      <c r="J391" s="95">
        <f>VLOOKUP(E391,CompDbase!B:L,9,FALSE)</f>
        <v>0.83636506257935239</v>
      </c>
      <c r="K391" s="95">
        <f>VLOOKUP(E391,CompDbase!B:L,10,FALSE)</f>
        <v>5.08</v>
      </c>
      <c r="L391" s="4" t="s">
        <v>769</v>
      </c>
      <c r="M391" s="420"/>
      <c r="N391" s="420"/>
      <c r="P391" s="4" t="s">
        <v>1987</v>
      </c>
      <c r="Q391" s="4" t="s">
        <v>1049</v>
      </c>
      <c r="S391" s="4"/>
      <c r="T391" s="95"/>
      <c r="W391" s="199">
        <f t="shared" si="271"/>
        <v>63095.734448019342</v>
      </c>
      <c r="X391">
        <v>4.8</v>
      </c>
      <c r="AC391" t="s">
        <v>68</v>
      </c>
      <c r="AG391" s="138">
        <f t="shared" si="283"/>
        <v>4.8</v>
      </c>
      <c r="AH391">
        <f t="shared" si="265"/>
        <v>5.08</v>
      </c>
      <c r="BW391" s="138"/>
      <c r="BX391">
        <f>LOG(1*$J391)</f>
        <v>-7.760411722919576E-2</v>
      </c>
      <c r="DG391" s="138"/>
      <c r="EY391" s="479">
        <f>VLOOKUP(B391,Literatuur!$A:$B,2,FALSE)</f>
        <v>20</v>
      </c>
      <c r="EZ391" t="str">
        <f t="shared" si="273"/>
        <v>fluoranthene</v>
      </c>
      <c r="FA391" t="str">
        <f t="shared" si="274"/>
        <v>PAK</v>
      </c>
      <c r="FB391" t="str">
        <f t="shared" si="275"/>
        <v>LDPE</v>
      </c>
      <c r="FC391" t="str">
        <f t="shared" si="276"/>
        <v/>
      </c>
      <c r="FD391" t="str">
        <f t="shared" si="277"/>
        <v>room ??</v>
      </c>
      <c r="FE391" t="str">
        <f t="shared" si="278"/>
        <v>water</v>
      </c>
      <c r="FF391" t="str">
        <f t="shared" si="279"/>
        <v xml:space="preserve"> </v>
      </c>
      <c r="FG391" s="408" t="str">
        <f t="shared" si="272"/>
        <v/>
      </c>
      <c r="FH391" s="138">
        <f t="shared" si="280"/>
        <v>4.8</v>
      </c>
      <c r="FI391" s="106" t="str">
        <f t="shared" si="267"/>
        <v>**</v>
      </c>
      <c r="FJ391" s="138" t="str">
        <f t="shared" si="281"/>
        <v/>
      </c>
      <c r="FK391" s="138" t="str">
        <f t="shared" si="282"/>
        <v>**</v>
      </c>
    </row>
    <row r="392" spans="1:167" ht="12.75" hidden="1" customHeight="1" x14ac:dyDescent="0.2">
      <c r="A392">
        <v>357</v>
      </c>
      <c r="B392" t="s">
        <v>1596</v>
      </c>
      <c r="C392" s="4" t="s">
        <v>1557</v>
      </c>
      <c r="D392" s="17" t="s">
        <v>561</v>
      </c>
      <c r="E392">
        <v>-1537</v>
      </c>
      <c r="F392" t="str">
        <f>VLOOKUP(E392,CompDbase!B:L,4,FALSE)</f>
        <v>fluorene</v>
      </c>
      <c r="G392" s="95" t="str">
        <f>VLOOKUP(E392,CompDbase!B:M,12,FALSE)</f>
        <v>PAK</v>
      </c>
      <c r="H392" s="95">
        <f>VLOOKUP(E392,CompDbase!B:L,8,FALSE)</f>
        <v>166.1</v>
      </c>
      <c r="I392" s="95">
        <f>VLOOKUP(E392,CompDbase!B:L,11,FALSE)</f>
        <v>154.60000000000002</v>
      </c>
      <c r="J392" s="95">
        <f>VLOOKUP(E392,CompDbase!B:L,9,FALSE)</f>
        <v>9.8227031484622565</v>
      </c>
      <c r="K392" s="95">
        <f>VLOOKUP(E392,CompDbase!B:L,10,FALSE)</f>
        <v>4.1399999999999997</v>
      </c>
      <c r="L392" s="4" t="s">
        <v>769</v>
      </c>
      <c r="M392" s="420"/>
      <c r="N392" s="420"/>
      <c r="P392" s="4" t="s">
        <v>1987</v>
      </c>
      <c r="Q392" s="4" t="s">
        <v>1049</v>
      </c>
      <c r="S392" s="4"/>
      <c r="T392" s="95"/>
      <c r="W392" s="199">
        <f t="shared" si="271"/>
        <v>2511.8864315095811</v>
      </c>
      <c r="X392">
        <v>3.4</v>
      </c>
      <c r="AC392" t="s">
        <v>68</v>
      </c>
      <c r="AG392" s="138">
        <f t="shared" si="283"/>
        <v>3.4</v>
      </c>
      <c r="AH392">
        <f t="shared" si="265"/>
        <v>4.1399999999999997</v>
      </c>
      <c r="BW392" s="138"/>
      <c r="BX392">
        <f>LOG(1*$J392)</f>
        <v>0.99223101944809233</v>
      </c>
      <c r="DG392" s="138"/>
      <c r="EY392" s="479">
        <f>VLOOKUP(B392,Literatuur!$A:$B,2,FALSE)</f>
        <v>20</v>
      </c>
      <c r="EZ392" t="str">
        <f t="shared" si="273"/>
        <v>fluorene</v>
      </c>
      <c r="FA392" t="str">
        <f t="shared" si="274"/>
        <v>PAK</v>
      </c>
      <c r="FB392" t="str">
        <f t="shared" si="275"/>
        <v>LDPE</v>
      </c>
      <c r="FC392" t="str">
        <f t="shared" si="276"/>
        <v/>
      </c>
      <c r="FD392" t="str">
        <f t="shared" si="277"/>
        <v>room ??</v>
      </c>
      <c r="FE392" t="str">
        <f t="shared" si="278"/>
        <v>water</v>
      </c>
      <c r="FF392" t="str">
        <f t="shared" si="279"/>
        <v xml:space="preserve"> </v>
      </c>
      <c r="FG392" s="408" t="str">
        <f t="shared" si="272"/>
        <v/>
      </c>
      <c r="FH392" s="138">
        <f t="shared" si="280"/>
        <v>3.4</v>
      </c>
      <c r="FI392" s="106" t="str">
        <f t="shared" si="267"/>
        <v>**</v>
      </c>
      <c r="FJ392" s="138" t="str">
        <f t="shared" si="281"/>
        <v/>
      </c>
      <c r="FK392" s="138" t="str">
        <f t="shared" si="282"/>
        <v>**</v>
      </c>
    </row>
    <row r="393" spans="1:167" ht="12.75" hidden="1" customHeight="1" x14ac:dyDescent="0.2">
      <c r="A393">
        <v>358</v>
      </c>
      <c r="B393" t="s">
        <v>1596</v>
      </c>
      <c r="C393" s="4" t="s">
        <v>1557</v>
      </c>
      <c r="D393" s="17" t="s">
        <v>572</v>
      </c>
      <c r="E393" s="33">
        <v>-1548</v>
      </c>
      <c r="F393" t="str">
        <f>VLOOKUP(E393,CompDbase!B:L,4,FALSE)</f>
        <v>perylene</v>
      </c>
      <c r="G393" s="95" t="str">
        <f>VLOOKUP(E393,CompDbase!B:M,12,FALSE)</f>
        <v>PAK</v>
      </c>
      <c r="H393" s="95">
        <f>VLOOKUP(E393,CompDbase!B:L,8,FALSE)</f>
        <v>252.15</v>
      </c>
      <c r="I393" s="95">
        <f>VLOOKUP(E393,CompDbase!B:L,11,FALSE)</f>
        <v>219.45</v>
      </c>
      <c r="J393" s="95">
        <f>VLOOKUP(E393,CompDbase!B:L,9,FALSE)</f>
        <v>2.620096279985866E-2</v>
      </c>
      <c r="K393" s="95">
        <f>VLOOKUP(E393,CompDbase!B:L,10,FALSE)</f>
        <v>6.1749999999999998</v>
      </c>
      <c r="L393" s="4" t="s">
        <v>769</v>
      </c>
      <c r="M393" s="420"/>
      <c r="N393" s="420"/>
      <c r="P393" s="4" t="s">
        <v>1987</v>
      </c>
      <c r="Q393" s="4" t="s">
        <v>1049</v>
      </c>
      <c r="S393" s="4"/>
      <c r="T393" s="95"/>
      <c r="W393" s="199">
        <f t="shared" si="271"/>
        <v>794328.23472428333</v>
      </c>
      <c r="X393">
        <v>5.9</v>
      </c>
      <c r="AC393" t="s">
        <v>68</v>
      </c>
      <c r="AG393" s="138">
        <f t="shared" si="283"/>
        <v>5.9</v>
      </c>
      <c r="AH393">
        <f t="shared" si="265"/>
        <v>6.1749999999999998</v>
      </c>
      <c r="BW393" s="138"/>
      <c r="BX393">
        <f>LOG(1*$J393)</f>
        <v>-1.5816827494824268</v>
      </c>
      <c r="DG393" s="138"/>
      <c r="EY393" s="479">
        <f>VLOOKUP(B393,Literatuur!$A:$B,2,FALSE)</f>
        <v>20</v>
      </c>
      <c r="EZ393" t="str">
        <f t="shared" si="273"/>
        <v>perylene</v>
      </c>
      <c r="FA393" t="str">
        <f t="shared" si="274"/>
        <v>PAK</v>
      </c>
      <c r="FB393" t="str">
        <f t="shared" si="275"/>
        <v>LDPE</v>
      </c>
      <c r="FC393" t="str">
        <f t="shared" si="276"/>
        <v/>
      </c>
      <c r="FD393" t="str">
        <f t="shared" si="277"/>
        <v>room ??</v>
      </c>
      <c r="FE393" t="str">
        <f t="shared" si="278"/>
        <v>water</v>
      </c>
      <c r="FF393" t="str">
        <f t="shared" si="279"/>
        <v xml:space="preserve"> </v>
      </c>
      <c r="FG393" s="408" t="str">
        <f t="shared" si="272"/>
        <v/>
      </c>
      <c r="FH393" s="138">
        <f t="shared" si="280"/>
        <v>5.9</v>
      </c>
      <c r="FI393" s="106" t="str">
        <f t="shared" si="267"/>
        <v>**</v>
      </c>
      <c r="FJ393" s="138" t="str">
        <f t="shared" si="281"/>
        <v/>
      </c>
      <c r="FK393" s="138" t="str">
        <f t="shared" si="282"/>
        <v>**</v>
      </c>
    </row>
    <row r="394" spans="1:167" ht="12.75" hidden="1" customHeight="1" x14ac:dyDescent="0.2">
      <c r="A394">
        <v>359</v>
      </c>
      <c r="B394" t="s">
        <v>1681</v>
      </c>
      <c r="C394" s="4"/>
      <c r="D394" s="17" t="s">
        <v>571</v>
      </c>
      <c r="E394">
        <v>-1547</v>
      </c>
      <c r="F394" t="str">
        <f>VLOOKUP(E394,CompDbase!B:L,4,FALSE)</f>
        <v>benzo[a]pyrene</v>
      </c>
      <c r="G394" s="95" t="str">
        <f>VLOOKUP(E394,CompDbase!B:M,12,FALSE)</f>
        <v>PAK</v>
      </c>
      <c r="H394" s="95">
        <f>VLOOKUP(E394,CompDbase!B:L,8,FALSE)</f>
        <v>252.15</v>
      </c>
      <c r="I394" s="95">
        <f>VLOOKUP(E394,CompDbase!B:L,11,FALSE)</f>
        <v>218.05</v>
      </c>
      <c r="J394" s="95">
        <f>VLOOKUP(E394,CompDbase!B:L,9,FALSE)</f>
        <v>2.620096279985866E-2</v>
      </c>
      <c r="K394" s="95">
        <f>VLOOKUP(E394,CompDbase!B:L,10,FALSE)</f>
        <v>6.1150000000000002</v>
      </c>
      <c r="L394" s="4" t="s">
        <v>769</v>
      </c>
      <c r="M394" s="420"/>
      <c r="N394" s="420"/>
      <c r="O394" s="4" t="s">
        <v>1986</v>
      </c>
      <c r="P394" s="4" t="s">
        <v>1980</v>
      </c>
      <c r="Q394" s="4" t="s">
        <v>1049</v>
      </c>
      <c r="S394" s="4"/>
      <c r="T394" s="95"/>
      <c r="W394" s="199"/>
      <c r="Z394" s="112">
        <v>-15.16</v>
      </c>
      <c r="AC394" t="s">
        <v>68</v>
      </c>
      <c r="AG394" s="138"/>
      <c r="BW394" s="138"/>
      <c r="DG394">
        <f t="shared" ref="DG394:DG412" si="286">Z394</f>
        <v>-15.16</v>
      </c>
      <c r="DH394">
        <f t="shared" ref="DH394:DI412" si="287">$H394</f>
        <v>252.15</v>
      </c>
      <c r="DI394">
        <f t="shared" si="287"/>
        <v>252.15</v>
      </c>
      <c r="EY394" s="479" t="e">
        <f>VLOOKUP(B394,Literatuur!$A:$B,2,FALSE)</f>
        <v>#N/A</v>
      </c>
      <c r="EZ394" t="str">
        <f t="shared" si="273"/>
        <v>benzo[a]pyrene</v>
      </c>
      <c r="FA394" t="str">
        <f t="shared" si="274"/>
        <v>PAK</v>
      </c>
      <c r="FB394" t="str">
        <f t="shared" si="275"/>
        <v>LDPE</v>
      </c>
      <c r="FC394" t="str">
        <f t="shared" si="276"/>
        <v>Immersion (spinning)</v>
      </c>
      <c r="FD394" t="str">
        <f t="shared" si="277"/>
        <v>room</v>
      </c>
      <c r="FE394" t="str">
        <f t="shared" si="278"/>
        <v>water</v>
      </c>
      <c r="FF394" t="str">
        <f t="shared" si="279"/>
        <v xml:space="preserve"> </v>
      </c>
      <c r="FG394" s="408" t="str">
        <f t="shared" si="272"/>
        <v/>
      </c>
      <c r="FH394" s="138" t="str">
        <f t="shared" si="280"/>
        <v/>
      </c>
      <c r="FI394" s="106" t="str">
        <f t="shared" si="267"/>
        <v>**</v>
      </c>
      <c r="FJ394" s="138">
        <f t="shared" si="281"/>
        <v>-15.16</v>
      </c>
      <c r="FK394" s="138" t="str">
        <f t="shared" si="282"/>
        <v>**</v>
      </c>
    </row>
    <row r="395" spans="1:167" ht="12.75" hidden="1" customHeight="1" x14ac:dyDescent="0.2">
      <c r="A395">
        <v>360</v>
      </c>
      <c r="B395" t="s">
        <v>1681</v>
      </c>
      <c r="C395" s="4"/>
      <c r="D395" s="17" t="s">
        <v>1684</v>
      </c>
      <c r="E395">
        <v>-1792</v>
      </c>
      <c r="F395" t="str">
        <f>VLOOKUP(E395,CompDbase!B:L,4,FALSE)</f>
        <v>dibenzo(a,h)anthracene</v>
      </c>
      <c r="G395" s="95" t="str">
        <f>VLOOKUP(E395,CompDbase!B:M,12,FALSE)</f>
        <v>PAK</v>
      </c>
      <c r="H395" s="95">
        <f>VLOOKUP(E395,CompDbase!B:L,8,FALSE)</f>
        <v>278.3</v>
      </c>
      <c r="I395" s="95">
        <f>VLOOKUP(E395,CompDbase!B:L,11,FALSE)</f>
        <v>244.2</v>
      </c>
      <c r="J395" s="95" t="e">
        <f>VLOOKUP(E395,CompDbase!B:L,9,FALSE)</f>
        <v>#DIV/0!</v>
      </c>
      <c r="K395" s="95" t="e">
        <f>VLOOKUP(E395,CompDbase!B:L,10,FALSE)</f>
        <v>#DIV/0!</v>
      </c>
      <c r="L395" s="4" t="s">
        <v>769</v>
      </c>
      <c r="M395" s="420"/>
      <c r="N395" s="420"/>
      <c r="O395" s="4" t="s">
        <v>1986</v>
      </c>
      <c r="P395" s="4" t="s">
        <v>1980</v>
      </c>
      <c r="Q395" s="4" t="s">
        <v>1049</v>
      </c>
      <c r="S395" s="4"/>
      <c r="T395" s="95"/>
      <c r="W395" s="199"/>
      <c r="Z395" s="138">
        <v>-15.5</v>
      </c>
      <c r="AC395" t="s">
        <v>68</v>
      </c>
      <c r="AG395" s="138"/>
      <c r="BW395" s="138"/>
      <c r="DG395">
        <f t="shared" si="286"/>
        <v>-15.5</v>
      </c>
      <c r="DH395">
        <f t="shared" si="287"/>
        <v>278.3</v>
      </c>
      <c r="DI395">
        <f t="shared" si="287"/>
        <v>278.3</v>
      </c>
      <c r="EY395" s="479" t="e">
        <f>VLOOKUP(B395,Literatuur!$A:$B,2,FALSE)</f>
        <v>#N/A</v>
      </c>
      <c r="EZ395" t="str">
        <f t="shared" si="273"/>
        <v>dibenzo(a,h)anthracene</v>
      </c>
      <c r="FA395" t="str">
        <f t="shared" si="274"/>
        <v>PAK</v>
      </c>
      <c r="FB395" t="str">
        <f t="shared" si="275"/>
        <v>LDPE</v>
      </c>
      <c r="FC395" t="str">
        <f t="shared" si="276"/>
        <v>Immersion (spinning)</v>
      </c>
      <c r="FD395" t="str">
        <f t="shared" si="277"/>
        <v>room</v>
      </c>
      <c r="FE395" t="str">
        <f t="shared" si="278"/>
        <v>water</v>
      </c>
      <c r="FF395" t="str">
        <f t="shared" si="279"/>
        <v xml:space="preserve"> </v>
      </c>
      <c r="FG395" s="408" t="str">
        <f t="shared" si="272"/>
        <v/>
      </c>
      <c r="FH395" s="138" t="str">
        <f t="shared" si="280"/>
        <v/>
      </c>
      <c r="FI395" s="106" t="str">
        <f t="shared" si="267"/>
        <v>**</v>
      </c>
      <c r="FJ395" s="138">
        <f t="shared" si="281"/>
        <v>-15.5</v>
      </c>
      <c r="FK395" s="138" t="str">
        <f t="shared" si="282"/>
        <v>**</v>
      </c>
    </row>
    <row r="396" spans="1:167" ht="12.75" hidden="1" customHeight="1" x14ac:dyDescent="0.2">
      <c r="A396">
        <v>361</v>
      </c>
      <c r="B396" t="s">
        <v>1681</v>
      </c>
      <c r="C396" s="4"/>
      <c r="D396" s="17" t="s">
        <v>564</v>
      </c>
      <c r="E396">
        <v>-1540</v>
      </c>
      <c r="F396" t="str">
        <f>VLOOKUP(E396,CompDbase!B:L,4,FALSE)</f>
        <v>fluoranthene</v>
      </c>
      <c r="G396" s="95" t="str">
        <f>VLOOKUP(E396,CompDbase!B:M,12,FALSE)</f>
        <v>PAK</v>
      </c>
      <c r="H396" s="95">
        <f>VLOOKUP(E396,CompDbase!B:L,8,FALSE)</f>
        <v>202.15</v>
      </c>
      <c r="I396" s="95">
        <f>VLOOKUP(E396,CompDbase!B:L,11,FALSE)</f>
        <v>195.85</v>
      </c>
      <c r="J396" s="95">
        <f>VLOOKUP(E396,CompDbase!B:L,9,FALSE)</f>
        <v>0.83636506257935239</v>
      </c>
      <c r="K396" s="95">
        <f>VLOOKUP(E396,CompDbase!B:L,10,FALSE)</f>
        <v>5.08</v>
      </c>
      <c r="L396" s="4" t="s">
        <v>769</v>
      </c>
      <c r="M396" s="420"/>
      <c r="N396" s="420"/>
      <c r="O396" s="4" t="s">
        <v>1986</v>
      </c>
      <c r="P396" s="4" t="s">
        <v>1980</v>
      </c>
      <c r="Q396" s="4" t="s">
        <v>1049</v>
      </c>
      <c r="S396" s="4"/>
      <c r="T396" s="95"/>
      <c r="W396" s="199"/>
      <c r="Z396" s="138">
        <v>-12.51</v>
      </c>
      <c r="AC396" t="s">
        <v>68</v>
      </c>
      <c r="AG396" s="138"/>
      <c r="BW396" s="138"/>
      <c r="DG396">
        <f t="shared" si="286"/>
        <v>-12.51</v>
      </c>
      <c r="DH396">
        <f t="shared" si="287"/>
        <v>202.15</v>
      </c>
      <c r="DI396">
        <f t="shared" si="287"/>
        <v>202.15</v>
      </c>
      <c r="EY396" s="479" t="e">
        <f>VLOOKUP(B396,Literatuur!$A:$B,2,FALSE)</f>
        <v>#N/A</v>
      </c>
      <c r="EZ396" t="str">
        <f t="shared" si="273"/>
        <v>fluoranthene</v>
      </c>
      <c r="FA396" t="str">
        <f t="shared" si="274"/>
        <v>PAK</v>
      </c>
      <c r="FB396" t="str">
        <f t="shared" si="275"/>
        <v>LDPE</v>
      </c>
      <c r="FC396" t="str">
        <f t="shared" si="276"/>
        <v>Immersion (spinning)</v>
      </c>
      <c r="FD396" t="str">
        <f t="shared" si="277"/>
        <v>room</v>
      </c>
      <c r="FE396" t="str">
        <f t="shared" si="278"/>
        <v>water</v>
      </c>
      <c r="FF396" t="str">
        <f t="shared" si="279"/>
        <v xml:space="preserve"> </v>
      </c>
      <c r="FG396" s="408" t="str">
        <f t="shared" si="272"/>
        <v/>
      </c>
      <c r="FH396" s="138" t="str">
        <f t="shared" si="280"/>
        <v/>
      </c>
      <c r="FI396" s="106" t="str">
        <f t="shared" si="267"/>
        <v>**</v>
      </c>
      <c r="FJ396" s="138">
        <f t="shared" si="281"/>
        <v>-12.51</v>
      </c>
      <c r="FK396" s="138" t="str">
        <f t="shared" si="282"/>
        <v>**</v>
      </c>
    </row>
    <row r="397" spans="1:167" s="13" customFormat="1" ht="12.75" hidden="1" customHeight="1" x14ac:dyDescent="0.2">
      <c r="A397">
        <v>362</v>
      </c>
      <c r="B397" s="13" t="s">
        <v>1681</v>
      </c>
      <c r="C397" s="14"/>
      <c r="D397" s="12" t="s">
        <v>559</v>
      </c>
      <c r="E397" s="13">
        <v>-1535</v>
      </c>
      <c r="F397" s="13" t="str">
        <f>VLOOKUP(E397,CompDbase!B:L,4,FALSE)</f>
        <v>naphthalene</v>
      </c>
      <c r="G397" s="182" t="str">
        <f>VLOOKUP(E397,CompDbase!B:M,12,FALSE)</f>
        <v>PAK</v>
      </c>
      <c r="H397" s="182">
        <f>VLOOKUP(E397,CompDbase!B:L,8,FALSE)</f>
        <v>128</v>
      </c>
      <c r="I397" s="182">
        <f>VLOOKUP(E397,CompDbase!B:L,11,FALSE)</f>
        <v>128.19999999999999</v>
      </c>
      <c r="J397" s="182" t="e">
        <f>VLOOKUP(E397,CompDbase!B:L,9,FALSE)</f>
        <v>#DIV/0!</v>
      </c>
      <c r="K397" s="182">
        <f>VLOOKUP(E397,CompDbase!B:L,10,FALSE)</f>
        <v>3.3</v>
      </c>
      <c r="L397" s="14" t="s">
        <v>769</v>
      </c>
      <c r="M397" s="421"/>
      <c r="N397" s="421"/>
      <c r="O397" s="14" t="s">
        <v>1986</v>
      </c>
      <c r="P397" s="14" t="s">
        <v>1980</v>
      </c>
      <c r="Q397" s="14" t="s">
        <v>1049</v>
      </c>
      <c r="R397" s="289"/>
      <c r="S397" s="14"/>
      <c r="T397" s="95"/>
      <c r="W397" s="200"/>
      <c r="Z397" s="113">
        <v>-11.76</v>
      </c>
      <c r="AC397" s="13" t="s">
        <v>68</v>
      </c>
      <c r="AF397"/>
      <c r="AG397" s="138"/>
      <c r="AH397"/>
      <c r="BW397" s="138"/>
      <c r="BX397"/>
      <c r="DF397"/>
      <c r="DG397">
        <f t="shared" si="286"/>
        <v>-11.76</v>
      </c>
      <c r="DH397">
        <f t="shared" si="287"/>
        <v>128</v>
      </c>
      <c r="DI397">
        <f t="shared" si="287"/>
        <v>128</v>
      </c>
      <c r="DP397"/>
      <c r="EY397" s="479" t="e">
        <f>VLOOKUP(B397,Literatuur!$A:$B,2,FALSE)</f>
        <v>#N/A</v>
      </c>
      <c r="EZ397" t="str">
        <f t="shared" si="273"/>
        <v>naphthalene</v>
      </c>
      <c r="FA397" t="str">
        <f t="shared" si="274"/>
        <v>PAK</v>
      </c>
      <c r="FB397" t="str">
        <f t="shared" si="275"/>
        <v>LDPE</v>
      </c>
      <c r="FC397" t="str">
        <f t="shared" si="276"/>
        <v>Immersion (spinning)</v>
      </c>
      <c r="FD397" t="str">
        <f t="shared" si="277"/>
        <v>room</v>
      </c>
      <c r="FE397" t="str">
        <f t="shared" si="278"/>
        <v>water</v>
      </c>
      <c r="FF397" t="str">
        <f t="shared" si="279"/>
        <v xml:space="preserve"> </v>
      </c>
      <c r="FG397" s="408" t="str">
        <f t="shared" si="272"/>
        <v/>
      </c>
      <c r="FH397" s="138" t="str">
        <f t="shared" si="280"/>
        <v/>
      </c>
      <c r="FI397" s="106" t="str">
        <f t="shared" si="267"/>
        <v>**</v>
      </c>
      <c r="FJ397" s="138">
        <f t="shared" si="281"/>
        <v>-11.76</v>
      </c>
      <c r="FK397" s="138" t="str">
        <f t="shared" si="282"/>
        <v>**</v>
      </c>
    </row>
    <row r="398" spans="1:167" ht="12.75" hidden="1" customHeight="1" x14ac:dyDescent="0.2">
      <c r="A398">
        <v>363</v>
      </c>
      <c r="B398" t="s">
        <v>1680</v>
      </c>
      <c r="C398" s="4"/>
      <c r="D398" s="17" t="s">
        <v>560</v>
      </c>
      <c r="E398">
        <v>-1536</v>
      </c>
      <c r="F398" t="str">
        <f>VLOOKUP(E398,CompDbase!B:L,4,FALSE)</f>
        <v>acenaphthene</v>
      </c>
      <c r="G398" s="95" t="str">
        <f>VLOOKUP(E398,CompDbase!B:M,12,FALSE)</f>
        <v>PAK</v>
      </c>
      <c r="H398" s="95">
        <f>VLOOKUP(E398,CompDbase!B:L,8,FALSE)</f>
        <v>154.1</v>
      </c>
      <c r="I398" s="95">
        <f>VLOOKUP(E398,CompDbase!B:L,11,FALSE)</f>
        <v>141.80000000000001</v>
      </c>
      <c r="J398" s="95">
        <f>VLOOKUP(E398,CompDbase!B:L,9,FALSE)</f>
        <v>22.064006344594798</v>
      </c>
      <c r="K398" s="95">
        <f>VLOOKUP(E398,CompDbase!B:L,10,FALSE)</f>
        <v>3.96</v>
      </c>
      <c r="L398" s="4" t="s">
        <v>769</v>
      </c>
      <c r="M398" s="426">
        <v>910000</v>
      </c>
      <c r="N398" s="426"/>
      <c r="O398" s="4" t="s">
        <v>1740</v>
      </c>
      <c r="P398" s="4" t="s">
        <v>1980</v>
      </c>
      <c r="Q398" s="4" t="s">
        <v>1049</v>
      </c>
      <c r="S398" s="4"/>
      <c r="T398" s="95"/>
      <c r="W398" s="199"/>
      <c r="Z398" s="4">
        <v>-12.26</v>
      </c>
      <c r="AC398" t="s">
        <v>68</v>
      </c>
      <c r="AG398" s="138"/>
      <c r="BW398" s="138"/>
      <c r="DG398">
        <f t="shared" si="286"/>
        <v>-12.26</v>
      </c>
      <c r="DH398">
        <f t="shared" si="287"/>
        <v>154.1</v>
      </c>
      <c r="DL398">
        <f t="shared" ref="DL398:DM412" si="288">$H398</f>
        <v>154.1</v>
      </c>
      <c r="DM398">
        <f t="shared" si="288"/>
        <v>154.1</v>
      </c>
      <c r="DP398">
        <f>$DM$19*DM398+$DM$21</f>
        <v>-12.419543878375366</v>
      </c>
      <c r="DQ398">
        <f>DG398-DP398</f>
        <v>0.15954387837536643</v>
      </c>
      <c r="DR398">
        <f t="shared" ref="DR398:DR412" si="289">DQ398^2</f>
        <v>2.5454249127053716E-2</v>
      </c>
      <c r="EY398" s="479">
        <f>VLOOKUP(B398,Literatuur!$A:$B,2,FALSE)</f>
        <v>23</v>
      </c>
      <c r="EZ398" t="str">
        <f t="shared" si="273"/>
        <v>acenaphthene</v>
      </c>
      <c r="FA398" t="str">
        <f t="shared" si="274"/>
        <v>PAK</v>
      </c>
      <c r="FB398" t="str">
        <f t="shared" si="275"/>
        <v>LDPE</v>
      </c>
      <c r="FC398" t="str">
        <f t="shared" si="276"/>
        <v>Filmstacking</v>
      </c>
      <c r="FD398" t="str">
        <f t="shared" si="277"/>
        <v>room</v>
      </c>
      <c r="FE398" t="str">
        <f t="shared" si="278"/>
        <v>water</v>
      </c>
      <c r="FF398" t="str">
        <f t="shared" si="279"/>
        <v xml:space="preserve"> </v>
      </c>
      <c r="FG398" s="408" t="str">
        <f t="shared" si="272"/>
        <v/>
      </c>
      <c r="FH398" s="138" t="str">
        <f t="shared" si="280"/>
        <v/>
      </c>
      <c r="FI398" s="106" t="str">
        <f t="shared" si="267"/>
        <v>**</v>
      </c>
      <c r="FJ398" s="138">
        <f t="shared" si="281"/>
        <v>-12.26</v>
      </c>
      <c r="FK398" s="138">
        <f t="shared" si="282"/>
        <v>-12.419543878375366</v>
      </c>
    </row>
    <row r="399" spans="1:167" ht="12.75" hidden="1" customHeight="1" x14ac:dyDescent="0.2">
      <c r="A399">
        <v>364</v>
      </c>
      <c r="B399" t="s">
        <v>1680</v>
      </c>
      <c r="C399" s="4"/>
      <c r="D399" s="6" t="s">
        <v>966</v>
      </c>
      <c r="E399" s="33">
        <v>-1696</v>
      </c>
      <c r="F399" t="str">
        <f>VLOOKUP(E399,CompDbase!B:L,4,FALSE)</f>
        <v>acenaphthylene</v>
      </c>
      <c r="G399" s="95" t="str">
        <f>VLOOKUP(E399,CompDbase!B:M,12,FALSE)</f>
        <v>PAK</v>
      </c>
      <c r="H399" s="95">
        <f>VLOOKUP(E399,CompDbase!B:L,8,FALSE)</f>
        <v>152.19999999999999</v>
      </c>
      <c r="I399" s="95">
        <f>VLOOKUP(E399,CompDbase!B:L,11,FALSE)</f>
        <v>223.1</v>
      </c>
      <c r="J399" s="95" t="e">
        <f>VLOOKUP(E399,CompDbase!B:L,9,FALSE)</f>
        <v>#DIV/0!</v>
      </c>
      <c r="K399" s="95">
        <f>VLOOKUP(E399,CompDbase!B:L,10,FALSE)</f>
        <v>3.9</v>
      </c>
      <c r="L399" s="4" t="s">
        <v>769</v>
      </c>
      <c r="M399" s="426">
        <v>910000</v>
      </c>
      <c r="N399" s="426"/>
      <c r="O399" s="4" t="s">
        <v>1740</v>
      </c>
      <c r="P399" s="4" t="s">
        <v>1980</v>
      </c>
      <c r="Q399" s="4" t="s">
        <v>1049</v>
      </c>
      <c r="S399" s="4"/>
      <c r="T399" s="95"/>
      <c r="W399" s="199"/>
      <c r="Z399" s="4">
        <v>-12.36</v>
      </c>
      <c r="AC399" t="s">
        <v>68</v>
      </c>
      <c r="AG399" s="138"/>
      <c r="BW399" s="138"/>
      <c r="DG399">
        <f t="shared" si="286"/>
        <v>-12.36</v>
      </c>
      <c r="DH399">
        <f t="shared" si="287"/>
        <v>152.19999999999999</v>
      </c>
      <c r="DL399">
        <f t="shared" si="288"/>
        <v>152.19999999999999</v>
      </c>
      <c r="DM399">
        <f t="shared" si="288"/>
        <v>152.19999999999999</v>
      </c>
      <c r="DP399">
        <f>$DM$19*DM399+$DM$21</f>
        <v>-12.398198795786373</v>
      </c>
      <c r="DQ399">
        <f>DG399-DP399</f>
        <v>3.8198795786373196E-2</v>
      </c>
      <c r="DR399">
        <f t="shared" si="289"/>
        <v>1.4591479995290427E-3</v>
      </c>
      <c r="EY399" s="479">
        <f>VLOOKUP(B399,Literatuur!$A:$B,2,FALSE)</f>
        <v>23</v>
      </c>
      <c r="EZ399" t="str">
        <f t="shared" si="273"/>
        <v>acenaphthylene</v>
      </c>
      <c r="FA399" t="str">
        <f t="shared" si="274"/>
        <v>PAK</v>
      </c>
      <c r="FB399" t="str">
        <f t="shared" si="275"/>
        <v>LDPE</v>
      </c>
      <c r="FC399" t="str">
        <f t="shared" si="276"/>
        <v>Filmstacking</v>
      </c>
      <c r="FD399" t="str">
        <f t="shared" si="277"/>
        <v>room</v>
      </c>
      <c r="FE399" t="str">
        <f t="shared" si="278"/>
        <v>water</v>
      </c>
      <c r="FF399" t="str">
        <f t="shared" si="279"/>
        <v xml:space="preserve"> </v>
      </c>
      <c r="FG399" s="408" t="str">
        <f t="shared" si="272"/>
        <v/>
      </c>
      <c r="FH399" s="138" t="str">
        <f t="shared" si="280"/>
        <v/>
      </c>
      <c r="FI399" s="106" t="str">
        <f t="shared" si="267"/>
        <v>**</v>
      </c>
      <c r="FJ399" s="138">
        <f t="shared" si="281"/>
        <v>-12.36</v>
      </c>
      <c r="FK399" s="138">
        <f t="shared" si="282"/>
        <v>-12.398198795786373</v>
      </c>
    </row>
    <row r="400" spans="1:167" ht="12.75" hidden="1" customHeight="1" x14ac:dyDescent="0.2">
      <c r="A400">
        <v>365</v>
      </c>
      <c r="B400" t="s">
        <v>1680</v>
      </c>
      <c r="C400" s="4"/>
      <c r="D400" s="17" t="s">
        <v>563</v>
      </c>
      <c r="E400">
        <v>-1539</v>
      </c>
      <c r="F400" t="str">
        <f>VLOOKUP(E400,CompDbase!B:L,4,FALSE)</f>
        <v>anthracene</v>
      </c>
      <c r="G400" s="95" t="str">
        <f>VLOOKUP(E400,CompDbase!B:M,12,FALSE)</f>
        <v>PAK</v>
      </c>
      <c r="H400" s="95">
        <f>VLOOKUP(E400,CompDbase!B:L,8,FALSE)</f>
        <v>178.1</v>
      </c>
      <c r="I400" s="95">
        <f>VLOOKUP(E400,CompDbase!B:L,11,FALSE)</f>
        <v>158.89999999999998</v>
      </c>
      <c r="J400" s="95">
        <f>VLOOKUP(E400,CompDbase!B:L,9,FALSE)</f>
        <v>4.3501847309898105</v>
      </c>
      <c r="K400" s="95">
        <f>VLOOKUP(E400,CompDbase!B:L,10,FALSE)</f>
        <v>4.5250000000000004</v>
      </c>
      <c r="L400" s="4" t="s">
        <v>769</v>
      </c>
      <c r="M400" s="426">
        <v>910000</v>
      </c>
      <c r="N400" s="426"/>
      <c r="O400" s="4" t="s">
        <v>1740</v>
      </c>
      <c r="P400" s="4" t="s">
        <v>1980</v>
      </c>
      <c r="Q400" s="4" t="s">
        <v>1049</v>
      </c>
      <c r="S400" s="4"/>
      <c r="T400" s="95"/>
      <c r="W400" s="199"/>
      <c r="Z400" s="4">
        <v>-12.36</v>
      </c>
      <c r="AC400" t="s">
        <v>68</v>
      </c>
      <c r="AG400" s="138"/>
      <c r="BW400" s="138"/>
      <c r="DG400">
        <f t="shared" si="286"/>
        <v>-12.36</v>
      </c>
      <c r="DH400">
        <f t="shared" si="287"/>
        <v>178.1</v>
      </c>
      <c r="DL400">
        <f t="shared" si="288"/>
        <v>178.1</v>
      </c>
      <c r="DM400">
        <f t="shared" si="288"/>
        <v>178.1</v>
      </c>
      <c r="DP400">
        <f>$DM$19*DM400+$DM$21</f>
        <v>-12.689165974236335</v>
      </c>
      <c r="DQ400">
        <f t="shared" ref="DQ400:DQ412" si="290">DG400-DP400</f>
        <v>0.32916597423633576</v>
      </c>
      <c r="DR400">
        <f t="shared" si="289"/>
        <v>0.10835023859495606</v>
      </c>
      <c r="EY400" s="479">
        <f>VLOOKUP(B400,Literatuur!$A:$B,2,FALSE)</f>
        <v>23</v>
      </c>
      <c r="EZ400" t="str">
        <f t="shared" si="273"/>
        <v>anthracene</v>
      </c>
      <c r="FA400" t="str">
        <f t="shared" si="274"/>
        <v>PAK</v>
      </c>
      <c r="FB400" t="str">
        <f t="shared" si="275"/>
        <v>LDPE</v>
      </c>
      <c r="FC400" t="str">
        <f t="shared" si="276"/>
        <v>Filmstacking</v>
      </c>
      <c r="FD400" t="str">
        <f t="shared" si="277"/>
        <v>room</v>
      </c>
      <c r="FE400" t="str">
        <f t="shared" si="278"/>
        <v>water</v>
      </c>
      <c r="FF400" t="str">
        <f t="shared" si="279"/>
        <v xml:space="preserve"> </v>
      </c>
      <c r="FG400" s="408" t="str">
        <f t="shared" si="272"/>
        <v/>
      </c>
      <c r="FH400" s="138" t="str">
        <f t="shared" si="280"/>
        <v/>
      </c>
      <c r="FI400" s="106" t="str">
        <f t="shared" si="267"/>
        <v>**</v>
      </c>
      <c r="FJ400" s="138">
        <f t="shared" si="281"/>
        <v>-12.36</v>
      </c>
      <c r="FK400" s="138">
        <f t="shared" si="282"/>
        <v>-12.689165974236335</v>
      </c>
    </row>
    <row r="401" spans="1:167" ht="12.75" hidden="1" customHeight="1" x14ac:dyDescent="0.2">
      <c r="A401">
        <v>366</v>
      </c>
      <c r="B401" t="s">
        <v>1680</v>
      </c>
      <c r="C401" s="4"/>
      <c r="D401" s="17" t="s">
        <v>967</v>
      </c>
      <c r="E401">
        <v>-1542</v>
      </c>
      <c r="F401" t="str">
        <f>VLOOKUP(E401,CompDbase!B:L,4,FALSE)</f>
        <v>benz[a]anthracene</v>
      </c>
      <c r="G401" s="95" t="str">
        <f>VLOOKUP(E401,CompDbase!B:M,12,FALSE)</f>
        <v>PAK</v>
      </c>
      <c r="H401" s="95">
        <f>VLOOKUP(E401,CompDbase!B:L,8,FALSE)</f>
        <v>228.15</v>
      </c>
      <c r="I401" s="95">
        <f>VLOOKUP(E401,CompDbase!B:L,11,FALSE)</f>
        <v>194.89999999999998</v>
      </c>
      <c r="J401" s="95">
        <f>VLOOKUP(E401,CompDbase!B:L,9,FALSE)</f>
        <v>0.13896515350405772</v>
      </c>
      <c r="K401" s="95">
        <f>VLOOKUP(E401,CompDbase!B:L,10,FALSE)</f>
        <v>5.7799999999999994</v>
      </c>
      <c r="L401" s="4" t="s">
        <v>769</v>
      </c>
      <c r="M401" s="426">
        <v>910000</v>
      </c>
      <c r="N401" s="426"/>
      <c r="O401" s="4" t="s">
        <v>1740</v>
      </c>
      <c r="P401" s="4" t="s">
        <v>1980</v>
      </c>
      <c r="Q401" s="4" t="s">
        <v>1049</v>
      </c>
      <c r="S401" s="4"/>
      <c r="T401" s="95"/>
      <c r="W401" s="199"/>
      <c r="Z401" s="4">
        <v>-13.28</v>
      </c>
      <c r="AC401" t="s">
        <v>68</v>
      </c>
      <c r="AG401" s="138"/>
      <c r="BW401" s="138"/>
      <c r="DG401">
        <f t="shared" si="286"/>
        <v>-13.28</v>
      </c>
      <c r="DH401">
        <f t="shared" si="287"/>
        <v>228.15</v>
      </c>
      <c r="DL401">
        <f t="shared" si="288"/>
        <v>228.15</v>
      </c>
      <c r="DM401">
        <f t="shared" si="288"/>
        <v>228.15</v>
      </c>
      <c r="DP401">
        <f>$DM$19*DM401+$DM$21</f>
        <v>-13.251440386646403</v>
      </c>
      <c r="DQ401">
        <f t="shared" si="290"/>
        <v>-2.8559613353596802E-2</v>
      </c>
      <c r="DR401">
        <f t="shared" si="289"/>
        <v>8.156515149069448E-4</v>
      </c>
      <c r="EY401" s="479">
        <f>VLOOKUP(B401,Literatuur!$A:$B,2,FALSE)</f>
        <v>23</v>
      </c>
      <c r="EZ401" t="str">
        <f t="shared" si="273"/>
        <v>benz(a)anthracene</v>
      </c>
      <c r="FA401" t="str">
        <f t="shared" si="274"/>
        <v>PAK</v>
      </c>
      <c r="FB401" t="str">
        <f t="shared" si="275"/>
        <v>LDPE</v>
      </c>
      <c r="FC401" t="str">
        <f t="shared" si="276"/>
        <v>Filmstacking</v>
      </c>
      <c r="FD401" t="str">
        <f t="shared" si="277"/>
        <v>room</v>
      </c>
      <c r="FE401" t="str">
        <f t="shared" si="278"/>
        <v>water</v>
      </c>
      <c r="FF401" t="str">
        <f t="shared" si="279"/>
        <v xml:space="preserve"> </v>
      </c>
      <c r="FG401" s="408" t="str">
        <f t="shared" si="272"/>
        <v/>
      </c>
      <c r="FH401" s="138" t="str">
        <f t="shared" si="280"/>
        <v/>
      </c>
      <c r="FI401" s="106" t="str">
        <f t="shared" si="267"/>
        <v>**</v>
      </c>
      <c r="FJ401" s="138">
        <f t="shared" si="281"/>
        <v>-13.28</v>
      </c>
      <c r="FK401" s="138">
        <f t="shared" si="282"/>
        <v>-13.251440386646403</v>
      </c>
    </row>
    <row r="402" spans="1:167" ht="12.75" hidden="1" customHeight="1" x14ac:dyDescent="0.2">
      <c r="A402">
        <v>367</v>
      </c>
      <c r="B402" t="s">
        <v>1680</v>
      </c>
      <c r="C402" s="4"/>
      <c r="D402" s="17" t="s">
        <v>1682</v>
      </c>
      <c r="E402">
        <v>-1547</v>
      </c>
      <c r="F402" t="str">
        <f>VLOOKUP(E402,CompDbase!B:L,4,FALSE)</f>
        <v>benzo[a]pyrene</v>
      </c>
      <c r="G402" s="95" t="str">
        <f>VLOOKUP(E402,CompDbase!B:M,12,FALSE)</f>
        <v>PAK</v>
      </c>
      <c r="H402" s="95">
        <f>VLOOKUP(E402,CompDbase!B:L,8,FALSE)</f>
        <v>252.15</v>
      </c>
      <c r="I402" s="95">
        <f>VLOOKUP(E402,CompDbase!B:L,11,FALSE)</f>
        <v>218.05</v>
      </c>
      <c r="J402" s="95">
        <f>VLOOKUP(E402,CompDbase!B:L,9,FALSE)</f>
        <v>2.620096279985866E-2</v>
      </c>
      <c r="K402" s="95">
        <f>VLOOKUP(E402,CompDbase!B:L,10,FALSE)</f>
        <v>6.1150000000000002</v>
      </c>
      <c r="L402" s="4" t="s">
        <v>769</v>
      </c>
      <c r="M402" s="426">
        <v>910000</v>
      </c>
      <c r="N402" s="426"/>
      <c r="O402" s="4" t="s">
        <v>1740</v>
      </c>
      <c r="P402" s="4" t="s">
        <v>1980</v>
      </c>
      <c r="Q402" s="4" t="s">
        <v>1049</v>
      </c>
      <c r="S402" s="4"/>
      <c r="T402" s="95"/>
      <c r="W402" s="199"/>
      <c r="Z402" s="4">
        <v>-13.72</v>
      </c>
      <c r="AC402" t="s">
        <v>68</v>
      </c>
      <c r="AG402" s="138"/>
      <c r="BW402" s="138"/>
      <c r="DG402">
        <f t="shared" si="286"/>
        <v>-13.72</v>
      </c>
      <c r="DH402">
        <f t="shared" si="287"/>
        <v>252.15</v>
      </c>
      <c r="DL402">
        <f t="shared" si="288"/>
        <v>252.15</v>
      </c>
      <c r="DM402">
        <f t="shared" si="288"/>
        <v>252.15</v>
      </c>
      <c r="DP402">
        <f>$DM$19*DM402+$DM$21</f>
        <v>-13.521062482507373</v>
      </c>
      <c r="DQ402">
        <f t="shared" si="290"/>
        <v>-0.19893751749262734</v>
      </c>
      <c r="DR402">
        <f t="shared" si="289"/>
        <v>3.957613586612941E-2</v>
      </c>
      <c r="EY402" s="479">
        <f>VLOOKUP(B402,Literatuur!$A:$B,2,FALSE)</f>
        <v>23</v>
      </c>
      <c r="EZ402" t="str">
        <f t="shared" si="273"/>
        <v>benzo(a)perylene</v>
      </c>
      <c r="FA402" t="str">
        <f t="shared" si="274"/>
        <v>PAK</v>
      </c>
      <c r="FB402" t="str">
        <f t="shared" si="275"/>
        <v>LDPE</v>
      </c>
      <c r="FC402" t="str">
        <f t="shared" si="276"/>
        <v>Filmstacking</v>
      </c>
      <c r="FD402" t="str">
        <f t="shared" si="277"/>
        <v>room</v>
      </c>
      <c r="FE402" t="str">
        <f t="shared" si="278"/>
        <v>water</v>
      </c>
      <c r="FF402" t="str">
        <f t="shared" si="279"/>
        <v xml:space="preserve"> </v>
      </c>
      <c r="FG402" s="408" t="str">
        <f t="shared" si="272"/>
        <v/>
      </c>
      <c r="FH402" s="138" t="str">
        <f t="shared" si="280"/>
        <v/>
      </c>
      <c r="FI402" s="106" t="str">
        <f t="shared" si="267"/>
        <v>**</v>
      </c>
      <c r="FJ402" s="138">
        <f t="shared" si="281"/>
        <v>-13.72</v>
      </c>
      <c r="FK402" s="138">
        <f t="shared" si="282"/>
        <v>-13.521062482507373</v>
      </c>
    </row>
    <row r="403" spans="1:167" ht="12.75" hidden="1" customHeight="1" x14ac:dyDescent="0.2">
      <c r="A403">
        <v>368</v>
      </c>
      <c r="B403" t="s">
        <v>1680</v>
      </c>
      <c r="C403" s="4"/>
      <c r="D403" s="17" t="s">
        <v>969</v>
      </c>
      <c r="E403">
        <v>-1544</v>
      </c>
      <c r="F403" t="str">
        <f>VLOOKUP(E403,CompDbase!B:L,4,FALSE)</f>
        <v>benzo[b]fluoranthene</v>
      </c>
      <c r="G403" s="95" t="str">
        <f>VLOOKUP(E403,CompDbase!B:M,12,FALSE)</f>
        <v>PAK</v>
      </c>
      <c r="H403" s="95">
        <f>VLOOKUP(E403,CompDbase!B:L,8,FALSE)</f>
        <v>252.15</v>
      </c>
      <c r="I403" s="95">
        <f>VLOOKUP(E403,CompDbase!B:L,11,FALSE)</f>
        <v>231.8</v>
      </c>
      <c r="J403" s="95">
        <f>VLOOKUP(E403,CompDbase!B:L,9,FALSE)</f>
        <v>2.620096279985866E-2</v>
      </c>
      <c r="K403" s="95">
        <f>VLOOKUP(E403,CompDbase!B:L,10,FALSE)</f>
        <v>5.84</v>
      </c>
      <c r="L403" s="4" t="s">
        <v>769</v>
      </c>
      <c r="M403" s="426">
        <v>910000</v>
      </c>
      <c r="N403" s="426"/>
      <c r="O403" s="4" t="s">
        <v>1740</v>
      </c>
      <c r="P403" s="4" t="s">
        <v>1980</v>
      </c>
      <c r="Q403" s="4" t="s">
        <v>1049</v>
      </c>
      <c r="S403" s="4"/>
      <c r="T403" s="95"/>
      <c r="W403" s="199"/>
      <c r="Z403" s="4">
        <v>-13.7</v>
      </c>
      <c r="AC403" t="s">
        <v>68</v>
      </c>
      <c r="AG403" s="138"/>
      <c r="BW403" s="138"/>
      <c r="DG403">
        <f t="shared" si="286"/>
        <v>-13.7</v>
      </c>
      <c r="DH403">
        <f t="shared" si="287"/>
        <v>252.15</v>
      </c>
      <c r="DL403">
        <f t="shared" si="288"/>
        <v>252.15</v>
      </c>
      <c r="DM403">
        <f t="shared" si="288"/>
        <v>252.15</v>
      </c>
      <c r="DP403">
        <f t="shared" ref="DP403:DP412" si="291">$DM$19*DM403+$DM$21</f>
        <v>-13.521062482507373</v>
      </c>
      <c r="DQ403">
        <f t="shared" si="290"/>
        <v>-0.17893751749262599</v>
      </c>
      <c r="DR403">
        <f t="shared" si="289"/>
        <v>3.201863516642383E-2</v>
      </c>
      <c r="EY403" s="479">
        <f>VLOOKUP(B403,Literatuur!$A:$B,2,FALSE)</f>
        <v>23</v>
      </c>
      <c r="EZ403" t="str">
        <f t="shared" si="273"/>
        <v>benzo(b)fluoranthene</v>
      </c>
      <c r="FA403" t="str">
        <f t="shared" si="274"/>
        <v>PAK</v>
      </c>
      <c r="FB403" t="str">
        <f t="shared" si="275"/>
        <v>LDPE</v>
      </c>
      <c r="FC403" t="str">
        <f t="shared" si="276"/>
        <v>Filmstacking</v>
      </c>
      <c r="FD403" t="str">
        <f t="shared" si="277"/>
        <v>room</v>
      </c>
      <c r="FE403" t="str">
        <f t="shared" si="278"/>
        <v>water</v>
      </c>
      <c r="FF403" t="str">
        <f t="shared" si="279"/>
        <v xml:space="preserve"> </v>
      </c>
      <c r="FG403" s="408" t="str">
        <f t="shared" si="272"/>
        <v/>
      </c>
      <c r="FH403" s="138" t="str">
        <f t="shared" si="280"/>
        <v/>
      </c>
      <c r="FI403" s="106" t="str">
        <f t="shared" si="267"/>
        <v>**</v>
      </c>
      <c r="FJ403" s="138">
        <f t="shared" si="281"/>
        <v>-13.7</v>
      </c>
      <c r="FK403" s="138">
        <f t="shared" si="282"/>
        <v>-13.521062482507373</v>
      </c>
    </row>
    <row r="404" spans="1:167" ht="13.5" hidden="1" customHeight="1" x14ac:dyDescent="0.2">
      <c r="A404">
        <v>369</v>
      </c>
      <c r="B404" t="s">
        <v>1680</v>
      </c>
      <c r="C404" s="4"/>
      <c r="D404" s="17" t="s">
        <v>1683</v>
      </c>
      <c r="E404">
        <v>-1791</v>
      </c>
      <c r="F404" t="str">
        <f>VLOOKUP(E404,CompDbase!B:L,4,FALSE)</f>
        <v>benzo(g,h,i)perylene</v>
      </c>
      <c r="G404" s="95" t="str">
        <f>VLOOKUP(E404,CompDbase!B:M,12,FALSE)</f>
        <v>PAK</v>
      </c>
      <c r="H404" s="95">
        <f>VLOOKUP(E404,CompDbase!B:L,8,FALSE)</f>
        <v>276.3</v>
      </c>
      <c r="I404" s="95">
        <f>VLOOKUP(E404,CompDbase!B:L,11,FALSE)</f>
        <v>241.3</v>
      </c>
      <c r="J404" s="95" t="e">
        <f>VLOOKUP(E404,CompDbase!B:L,9,FALSE)</f>
        <v>#DIV/0!</v>
      </c>
      <c r="K404" s="95" t="e">
        <f>VLOOKUP(E404,CompDbase!B:L,10,FALSE)</f>
        <v>#DIV/0!</v>
      </c>
      <c r="L404" s="4" t="s">
        <v>769</v>
      </c>
      <c r="M404" s="426">
        <v>910000</v>
      </c>
      <c r="N404" s="426"/>
      <c r="O404" s="4" t="s">
        <v>1740</v>
      </c>
      <c r="P404" s="4" t="s">
        <v>1980</v>
      </c>
      <c r="Q404" s="4" t="s">
        <v>1049</v>
      </c>
      <c r="S404" s="4"/>
      <c r="T404" s="95"/>
      <c r="W404" s="199"/>
      <c r="Z404" s="4">
        <v>-13.75</v>
      </c>
      <c r="AC404" t="s">
        <v>68</v>
      </c>
      <c r="AG404" s="138"/>
      <c r="BW404" s="138"/>
      <c r="DG404">
        <f t="shared" si="286"/>
        <v>-13.75</v>
      </c>
      <c r="DH404">
        <f t="shared" si="287"/>
        <v>276.3</v>
      </c>
      <c r="DL404">
        <f t="shared" si="288"/>
        <v>276.3</v>
      </c>
      <c r="DM404">
        <f t="shared" si="288"/>
        <v>276.3</v>
      </c>
      <c r="DP404">
        <f t="shared" si="291"/>
        <v>-13.792369716467475</v>
      </c>
      <c r="DQ404">
        <f t="shared" si="290"/>
        <v>4.2369716467474561E-2</v>
      </c>
      <c r="DR404">
        <f t="shared" si="289"/>
        <v>1.795192873534185E-3</v>
      </c>
      <c r="EY404" s="479">
        <f>VLOOKUP(B404,Literatuur!$A:$B,2,FALSE)</f>
        <v>23</v>
      </c>
      <c r="EZ404" t="str">
        <f t="shared" si="273"/>
        <v>benzo(g,h,i)perylene</v>
      </c>
      <c r="FA404" t="str">
        <f t="shared" si="274"/>
        <v>PAK</v>
      </c>
      <c r="FB404" t="str">
        <f t="shared" si="275"/>
        <v>LDPE</v>
      </c>
      <c r="FC404" t="str">
        <f t="shared" si="276"/>
        <v>Filmstacking</v>
      </c>
      <c r="FD404" t="str">
        <f t="shared" si="277"/>
        <v>room</v>
      </c>
      <c r="FE404" t="str">
        <f t="shared" si="278"/>
        <v>water</v>
      </c>
      <c r="FF404" t="str">
        <f t="shared" si="279"/>
        <v xml:space="preserve"> </v>
      </c>
      <c r="FG404" s="408" t="str">
        <f t="shared" si="272"/>
        <v/>
      </c>
      <c r="FH404" s="138" t="str">
        <f t="shared" si="280"/>
        <v/>
      </c>
      <c r="FI404" s="106" t="str">
        <f t="shared" si="267"/>
        <v>**</v>
      </c>
      <c r="FJ404" s="138">
        <f t="shared" si="281"/>
        <v>-13.75</v>
      </c>
      <c r="FK404" s="138">
        <f t="shared" si="282"/>
        <v>-13.792369716467475</v>
      </c>
    </row>
    <row r="405" spans="1:167" ht="13.5" hidden="1" customHeight="1" x14ac:dyDescent="0.2">
      <c r="A405">
        <v>370</v>
      </c>
      <c r="B405" t="s">
        <v>1680</v>
      </c>
      <c r="C405" s="4"/>
      <c r="D405" s="17" t="s">
        <v>567</v>
      </c>
      <c r="E405">
        <v>-1543</v>
      </c>
      <c r="F405" t="str">
        <f>VLOOKUP(E405,CompDbase!B:L,4,FALSE)</f>
        <v>chrysene</v>
      </c>
      <c r="G405" s="95" t="str">
        <f>VLOOKUP(E405,CompDbase!B:M,12,FALSE)</f>
        <v>PAK</v>
      </c>
      <c r="H405" s="95">
        <f>VLOOKUP(E405,CompDbase!B:L,8,FALSE)</f>
        <v>228.15</v>
      </c>
      <c r="I405" s="95">
        <f>VLOOKUP(E405,CompDbase!B:L,11,FALSE)</f>
        <v>196.3</v>
      </c>
      <c r="J405" s="95">
        <f>VLOOKUP(E405,CompDbase!B:L,9,FALSE)</f>
        <v>0.13896515350405772</v>
      </c>
      <c r="K405" s="95">
        <f>VLOOKUP(E405,CompDbase!B:L,10,FALSE)</f>
        <v>5.7549999999999999</v>
      </c>
      <c r="L405" s="4" t="s">
        <v>769</v>
      </c>
      <c r="M405" s="426">
        <v>910000</v>
      </c>
      <c r="N405" s="426"/>
      <c r="O405" s="4" t="s">
        <v>1740</v>
      </c>
      <c r="P405" s="4" t="s">
        <v>1980</v>
      </c>
      <c r="Q405" s="4" t="s">
        <v>1049</v>
      </c>
      <c r="S405" s="4"/>
      <c r="T405" s="95"/>
      <c r="W405" s="199"/>
      <c r="Z405" s="4">
        <v>-13.28</v>
      </c>
      <c r="AC405" t="s">
        <v>68</v>
      </c>
      <c r="AG405" s="138"/>
      <c r="BW405" s="138"/>
      <c r="DG405">
        <f t="shared" si="286"/>
        <v>-13.28</v>
      </c>
      <c r="DH405">
        <f t="shared" si="287"/>
        <v>228.15</v>
      </c>
      <c r="DL405">
        <f t="shared" si="288"/>
        <v>228.15</v>
      </c>
      <c r="DM405">
        <f t="shared" si="288"/>
        <v>228.15</v>
      </c>
      <c r="DP405">
        <f t="shared" si="291"/>
        <v>-13.251440386646403</v>
      </c>
      <c r="DQ405">
        <f t="shared" si="290"/>
        <v>-2.8559613353596802E-2</v>
      </c>
      <c r="DR405">
        <f t="shared" si="289"/>
        <v>8.156515149069448E-4</v>
      </c>
      <c r="EY405" s="479">
        <f>VLOOKUP(B405,Literatuur!$A:$B,2,FALSE)</f>
        <v>23</v>
      </c>
      <c r="EZ405" t="str">
        <f t="shared" si="273"/>
        <v>chrysene</v>
      </c>
      <c r="FA405" t="str">
        <f t="shared" si="274"/>
        <v>PAK</v>
      </c>
      <c r="FB405" t="str">
        <f t="shared" si="275"/>
        <v>LDPE</v>
      </c>
      <c r="FC405" t="str">
        <f t="shared" si="276"/>
        <v>Filmstacking</v>
      </c>
      <c r="FD405" t="str">
        <f t="shared" si="277"/>
        <v>room</v>
      </c>
      <c r="FE405" t="str">
        <f t="shared" si="278"/>
        <v>water</v>
      </c>
      <c r="FF405" t="str">
        <f t="shared" si="279"/>
        <v xml:space="preserve"> </v>
      </c>
      <c r="FG405" s="408" t="str">
        <f t="shared" si="272"/>
        <v/>
      </c>
      <c r="FH405" s="138" t="str">
        <f t="shared" si="280"/>
        <v/>
      </c>
      <c r="FI405" s="106" t="str">
        <f t="shared" si="267"/>
        <v>**</v>
      </c>
      <c r="FJ405" s="138">
        <f t="shared" si="281"/>
        <v>-13.28</v>
      </c>
      <c r="FK405" s="138">
        <f t="shared" si="282"/>
        <v>-13.251440386646403</v>
      </c>
    </row>
    <row r="406" spans="1:167" ht="13.5" hidden="1" customHeight="1" x14ac:dyDescent="0.2">
      <c r="A406">
        <v>371</v>
      </c>
      <c r="B406" t="s">
        <v>1680</v>
      </c>
      <c r="C406" s="4"/>
      <c r="D406" s="17" t="s">
        <v>1684</v>
      </c>
      <c r="E406">
        <v>-1792</v>
      </c>
      <c r="F406" t="str">
        <f>VLOOKUP(E406,CompDbase!B:L,4,FALSE)</f>
        <v>dibenzo(a,h)anthracene</v>
      </c>
      <c r="G406" s="95" t="str">
        <f>VLOOKUP(E406,CompDbase!B:M,12,FALSE)</f>
        <v>PAK</v>
      </c>
      <c r="H406" s="95">
        <f>VLOOKUP(E406,CompDbase!B:L,8,FALSE)</f>
        <v>278.3</v>
      </c>
      <c r="I406" s="95">
        <f>VLOOKUP(E406,CompDbase!B:L,11,FALSE)</f>
        <v>244.2</v>
      </c>
      <c r="J406" s="95" t="e">
        <f>VLOOKUP(E406,CompDbase!B:L,9,FALSE)</f>
        <v>#DIV/0!</v>
      </c>
      <c r="K406" s="95" t="e">
        <f>VLOOKUP(E406,CompDbase!B:L,10,FALSE)</f>
        <v>#DIV/0!</v>
      </c>
      <c r="L406" s="4" t="s">
        <v>769</v>
      </c>
      <c r="M406" s="426">
        <v>910000</v>
      </c>
      <c r="N406" s="426"/>
      <c r="O406" s="4" t="s">
        <v>1740</v>
      </c>
      <c r="P406" s="4" t="s">
        <v>1980</v>
      </c>
      <c r="Q406" s="4" t="s">
        <v>1049</v>
      </c>
      <c r="S406" s="4"/>
      <c r="T406" s="95"/>
      <c r="W406" s="199"/>
      <c r="Z406" s="4">
        <v>-13.69</v>
      </c>
      <c r="AC406" t="s">
        <v>68</v>
      </c>
      <c r="AG406" s="138"/>
      <c r="BW406" s="138"/>
      <c r="DG406">
        <f t="shared" si="286"/>
        <v>-13.69</v>
      </c>
      <c r="DH406">
        <f t="shared" si="287"/>
        <v>278.3</v>
      </c>
      <c r="DL406">
        <f t="shared" si="288"/>
        <v>278.3</v>
      </c>
      <c r="DM406">
        <f t="shared" si="288"/>
        <v>278.3</v>
      </c>
      <c r="DP406">
        <f t="shared" si="291"/>
        <v>-13.814838224455888</v>
      </c>
      <c r="DQ406">
        <f t="shared" si="290"/>
        <v>0.12483822445588899</v>
      </c>
      <c r="DR406">
        <f t="shared" si="289"/>
        <v>1.558458228529892E-2</v>
      </c>
      <c r="EY406" s="479">
        <f>VLOOKUP(B406,Literatuur!$A:$B,2,FALSE)</f>
        <v>23</v>
      </c>
      <c r="EZ406" t="str">
        <f t="shared" si="273"/>
        <v>dibenzo(a,h)anthracene</v>
      </c>
      <c r="FA406" t="str">
        <f t="shared" si="274"/>
        <v>PAK</v>
      </c>
      <c r="FB406" t="str">
        <f t="shared" si="275"/>
        <v>LDPE</v>
      </c>
      <c r="FC406" t="str">
        <f t="shared" si="276"/>
        <v>Filmstacking</v>
      </c>
      <c r="FD406" t="str">
        <f t="shared" si="277"/>
        <v>room</v>
      </c>
      <c r="FE406" t="str">
        <f t="shared" si="278"/>
        <v>water</v>
      </c>
      <c r="FF406" t="str">
        <f t="shared" si="279"/>
        <v xml:space="preserve"> </v>
      </c>
      <c r="FG406" s="408" t="str">
        <f t="shared" si="272"/>
        <v/>
      </c>
      <c r="FH406" s="138" t="str">
        <f t="shared" si="280"/>
        <v/>
      </c>
      <c r="FI406" s="106" t="str">
        <f t="shared" si="267"/>
        <v>**</v>
      </c>
      <c r="FJ406" s="138">
        <f t="shared" si="281"/>
        <v>-13.69</v>
      </c>
      <c r="FK406" s="138">
        <f t="shared" si="282"/>
        <v>-13.814838224455888</v>
      </c>
    </row>
    <row r="407" spans="1:167" s="9" customFormat="1" ht="12.75" hidden="1" customHeight="1" x14ac:dyDescent="0.2">
      <c r="A407">
        <v>372</v>
      </c>
      <c r="B407" s="9" t="s">
        <v>1680</v>
      </c>
      <c r="C407" s="10"/>
      <c r="D407" s="8" t="s">
        <v>564</v>
      </c>
      <c r="E407" s="9">
        <v>-1540</v>
      </c>
      <c r="F407" s="9" t="str">
        <f>VLOOKUP(E407,CompDbase!B:L,4,FALSE)</f>
        <v>fluoranthene</v>
      </c>
      <c r="G407" s="181" t="str">
        <f>VLOOKUP(E407,CompDbase!B:M,12,FALSE)</f>
        <v>PAK</v>
      </c>
      <c r="H407" s="181">
        <f>VLOOKUP(E407,CompDbase!B:L,8,FALSE)</f>
        <v>202.15</v>
      </c>
      <c r="I407" s="181">
        <f>VLOOKUP(E407,CompDbase!B:L,11,FALSE)</f>
        <v>195.85</v>
      </c>
      <c r="J407" s="181">
        <f>VLOOKUP(E407,CompDbase!B:L,9,FALSE)</f>
        <v>0.83636506257935239</v>
      </c>
      <c r="K407" s="181">
        <f>VLOOKUP(E407,CompDbase!B:L,10,FALSE)</f>
        <v>5.08</v>
      </c>
      <c r="L407" s="10" t="s">
        <v>769</v>
      </c>
      <c r="M407" s="427">
        <v>910000</v>
      </c>
      <c r="N407" s="426"/>
      <c r="O407" s="4" t="s">
        <v>1740</v>
      </c>
      <c r="P407" s="10" t="s">
        <v>1980</v>
      </c>
      <c r="Q407" s="10" t="s">
        <v>1049</v>
      </c>
      <c r="R407" s="289"/>
      <c r="S407" s="10"/>
      <c r="T407" s="95"/>
      <c r="W407" s="207"/>
      <c r="Z407" s="10">
        <v>-12.7</v>
      </c>
      <c r="AC407" s="9" t="s">
        <v>68</v>
      </c>
      <c r="AF407"/>
      <c r="AG407" s="138"/>
      <c r="AH407"/>
      <c r="BW407" s="138"/>
      <c r="BX407"/>
      <c r="DF407"/>
      <c r="DG407">
        <f t="shared" si="286"/>
        <v>-12.7</v>
      </c>
      <c r="DH407">
        <f t="shared" si="287"/>
        <v>202.15</v>
      </c>
      <c r="DL407">
        <f t="shared" si="288"/>
        <v>202.15</v>
      </c>
      <c r="DM407">
        <f t="shared" si="288"/>
        <v>202.15</v>
      </c>
      <c r="DP407">
        <f t="shared" si="291"/>
        <v>-12.959349782797018</v>
      </c>
      <c r="DQ407">
        <f t="shared" si="290"/>
        <v>0.25934978279701859</v>
      </c>
      <c r="DR407">
        <f t="shared" si="289"/>
        <v>6.7262309836860726E-2</v>
      </c>
      <c r="EY407" s="479">
        <f>VLOOKUP(B407,Literatuur!$A:$B,2,FALSE)</f>
        <v>23</v>
      </c>
      <c r="EZ407" t="str">
        <f t="shared" si="273"/>
        <v>fluoranthene</v>
      </c>
      <c r="FA407" t="str">
        <f t="shared" si="274"/>
        <v>PAK</v>
      </c>
      <c r="FB407" t="str">
        <f t="shared" si="275"/>
        <v>LDPE</v>
      </c>
      <c r="FC407" t="str">
        <f t="shared" si="276"/>
        <v>Filmstacking</v>
      </c>
      <c r="FD407" t="str">
        <f t="shared" si="277"/>
        <v>room</v>
      </c>
      <c r="FE407" t="str">
        <f t="shared" si="278"/>
        <v>water</v>
      </c>
      <c r="FF407" t="str">
        <f t="shared" si="279"/>
        <v xml:space="preserve"> </v>
      </c>
      <c r="FG407" s="408" t="str">
        <f t="shared" si="272"/>
        <v/>
      </c>
      <c r="FH407" s="138" t="str">
        <f t="shared" si="280"/>
        <v/>
      </c>
      <c r="FI407" s="106" t="str">
        <f t="shared" si="267"/>
        <v>**</v>
      </c>
      <c r="FJ407" s="138">
        <f t="shared" si="281"/>
        <v>-12.7</v>
      </c>
      <c r="FK407" s="138">
        <f t="shared" si="282"/>
        <v>-12.959349782797018</v>
      </c>
    </row>
    <row r="408" spans="1:167" ht="12.75" hidden="1" customHeight="1" x14ac:dyDescent="0.2">
      <c r="A408">
        <v>373</v>
      </c>
      <c r="B408" t="s">
        <v>1680</v>
      </c>
      <c r="C408" s="4"/>
      <c r="D408" s="17" t="s">
        <v>561</v>
      </c>
      <c r="E408">
        <v>-1537</v>
      </c>
      <c r="F408" t="str">
        <f>VLOOKUP(E408,CompDbase!B:L,4,FALSE)</f>
        <v>fluorene</v>
      </c>
      <c r="G408" s="95" t="str">
        <f>VLOOKUP(E408,CompDbase!B:M,12,FALSE)</f>
        <v>PAK</v>
      </c>
      <c r="H408" s="95">
        <f>VLOOKUP(E408,CompDbase!B:L,8,FALSE)</f>
        <v>166.1</v>
      </c>
      <c r="I408" s="95">
        <f>VLOOKUP(E408,CompDbase!B:L,11,FALSE)</f>
        <v>154.60000000000002</v>
      </c>
      <c r="J408" s="95">
        <f>VLOOKUP(E408,CompDbase!B:L,9,FALSE)</f>
        <v>9.8227031484622565</v>
      </c>
      <c r="K408" s="95">
        <f>VLOOKUP(E408,CompDbase!B:L,10,FALSE)</f>
        <v>4.1399999999999997</v>
      </c>
      <c r="L408" s="4" t="s">
        <v>769</v>
      </c>
      <c r="M408" s="426">
        <v>910000</v>
      </c>
      <c r="N408" s="426"/>
      <c r="O408" s="4" t="s">
        <v>1740</v>
      </c>
      <c r="P408" s="4" t="s">
        <v>1980</v>
      </c>
      <c r="Q408" s="4" t="s">
        <v>1049</v>
      </c>
      <c r="S408" s="4"/>
      <c r="T408" s="95"/>
      <c r="W408" s="199"/>
      <c r="Z408" s="4">
        <v>-12.29</v>
      </c>
      <c r="AC408" t="s">
        <v>68</v>
      </c>
      <c r="AG408" s="138"/>
      <c r="BW408" s="138"/>
      <c r="DG408">
        <f t="shared" si="286"/>
        <v>-12.29</v>
      </c>
      <c r="DH408">
        <f t="shared" si="287"/>
        <v>166.1</v>
      </c>
      <c r="DL408">
        <f t="shared" si="288"/>
        <v>166.1</v>
      </c>
      <c r="DM408">
        <f t="shared" si="288"/>
        <v>166.1</v>
      </c>
      <c r="DP408">
        <f t="shared" si="291"/>
        <v>-12.554354926305852</v>
      </c>
      <c r="DQ408">
        <f t="shared" si="290"/>
        <v>0.26435492630585244</v>
      </c>
      <c r="DR408">
        <f t="shared" si="289"/>
        <v>6.9883527062172671E-2</v>
      </c>
      <c r="EY408" s="479">
        <f>VLOOKUP(B408,Literatuur!$A:$B,2,FALSE)</f>
        <v>23</v>
      </c>
      <c r="EZ408" t="str">
        <f t="shared" si="273"/>
        <v>fluorene</v>
      </c>
      <c r="FA408" t="str">
        <f t="shared" si="274"/>
        <v>PAK</v>
      </c>
      <c r="FB408" t="str">
        <f t="shared" si="275"/>
        <v>LDPE</v>
      </c>
      <c r="FC408" t="str">
        <f t="shared" si="276"/>
        <v>Filmstacking</v>
      </c>
      <c r="FD408" t="str">
        <f t="shared" si="277"/>
        <v>room</v>
      </c>
      <c r="FE408" t="str">
        <f t="shared" si="278"/>
        <v>water</v>
      </c>
      <c r="FF408" t="str">
        <f t="shared" si="279"/>
        <v xml:space="preserve"> </v>
      </c>
      <c r="FG408" s="408" t="str">
        <f t="shared" si="272"/>
        <v/>
      </c>
      <c r="FH408" s="138" t="str">
        <f t="shared" si="280"/>
        <v/>
      </c>
      <c r="FI408" s="106" t="str">
        <f t="shared" si="267"/>
        <v>**</v>
      </c>
      <c r="FJ408" s="138">
        <f t="shared" si="281"/>
        <v>-12.29</v>
      </c>
      <c r="FK408" s="138">
        <f t="shared" si="282"/>
        <v>-12.554354926305852</v>
      </c>
    </row>
    <row r="409" spans="1:167" ht="12.75" hidden="1" customHeight="1" x14ac:dyDescent="0.2">
      <c r="A409">
        <v>374</v>
      </c>
      <c r="B409" t="s">
        <v>1680</v>
      </c>
      <c r="C409" s="4"/>
      <c r="D409" s="17" t="s">
        <v>562</v>
      </c>
      <c r="E409">
        <v>-1538</v>
      </c>
      <c r="F409" t="str">
        <f>VLOOKUP(E409,CompDbase!B:L,4,FALSE)</f>
        <v>phenanthrene</v>
      </c>
      <c r="G409" s="95" t="str">
        <f>VLOOKUP(E409,CompDbase!B:M,12,FALSE)</f>
        <v>PAK</v>
      </c>
      <c r="H409" s="95">
        <f>VLOOKUP(E409,CompDbase!B:L,8,FALSE)</f>
        <v>178.1</v>
      </c>
      <c r="I409" s="95">
        <f>VLOOKUP(E409,CompDbase!B:L,11,FALSE)</f>
        <v>160.35</v>
      </c>
      <c r="J409" s="95">
        <f>VLOOKUP(E409,CompDbase!B:L,9,FALSE)</f>
        <v>4.3501847309898105</v>
      </c>
      <c r="K409" s="95">
        <f>VLOOKUP(E409,CompDbase!B:L,10,FALSE)</f>
        <v>4.4800000000000004</v>
      </c>
      <c r="L409" s="4" t="s">
        <v>769</v>
      </c>
      <c r="M409" s="426">
        <v>910000</v>
      </c>
      <c r="N409" s="426"/>
      <c r="O409" s="4" t="s">
        <v>1740</v>
      </c>
      <c r="P409" s="4" t="s">
        <v>1980</v>
      </c>
      <c r="Q409" s="4" t="s">
        <v>1049</v>
      </c>
      <c r="S409" s="4"/>
      <c r="T409" s="95"/>
      <c r="W409" s="199"/>
      <c r="Z409" s="4">
        <v>-12.45</v>
      </c>
      <c r="AC409" t="s">
        <v>68</v>
      </c>
      <c r="AG409" s="138"/>
      <c r="BW409" s="138"/>
      <c r="DG409">
        <f t="shared" si="286"/>
        <v>-12.45</v>
      </c>
      <c r="DH409">
        <f t="shared" si="287"/>
        <v>178.1</v>
      </c>
      <c r="DL409">
        <f t="shared" si="288"/>
        <v>178.1</v>
      </c>
      <c r="DM409">
        <f t="shared" si="288"/>
        <v>178.1</v>
      </c>
      <c r="DP409">
        <f t="shared" si="291"/>
        <v>-12.689165974236335</v>
      </c>
      <c r="DQ409">
        <f t="shared" si="290"/>
        <v>0.2391659742363359</v>
      </c>
      <c r="DR409">
        <f t="shared" si="289"/>
        <v>5.7200363232415688E-2</v>
      </c>
      <c r="EY409" s="479">
        <f>VLOOKUP(B409,Literatuur!$A:$B,2,FALSE)</f>
        <v>23</v>
      </c>
      <c r="EZ409" t="str">
        <f t="shared" si="273"/>
        <v>phenanthrene</v>
      </c>
      <c r="FA409" t="str">
        <f t="shared" si="274"/>
        <v>PAK</v>
      </c>
      <c r="FB409" t="str">
        <f t="shared" si="275"/>
        <v>LDPE</v>
      </c>
      <c r="FC409" t="str">
        <f t="shared" si="276"/>
        <v>Filmstacking</v>
      </c>
      <c r="FD409" t="str">
        <f t="shared" si="277"/>
        <v>room</v>
      </c>
      <c r="FE409" t="str">
        <f t="shared" si="278"/>
        <v>water</v>
      </c>
      <c r="FF409" t="str">
        <f t="shared" si="279"/>
        <v xml:space="preserve"> </v>
      </c>
      <c r="FG409" s="408" t="str">
        <f t="shared" si="272"/>
        <v/>
      </c>
      <c r="FH409" s="138" t="str">
        <f t="shared" si="280"/>
        <v/>
      </c>
      <c r="FI409" s="106" t="str">
        <f t="shared" si="267"/>
        <v>**</v>
      </c>
      <c r="FJ409" s="138">
        <f t="shared" si="281"/>
        <v>-12.45</v>
      </c>
      <c r="FK409" s="138">
        <f t="shared" si="282"/>
        <v>-12.689165974236335</v>
      </c>
    </row>
    <row r="410" spans="1:167" ht="12.75" hidden="1" customHeight="1" x14ac:dyDescent="0.2">
      <c r="A410">
        <v>375</v>
      </c>
      <c r="B410" t="s">
        <v>956</v>
      </c>
      <c r="C410" s="4" t="s">
        <v>1557</v>
      </c>
      <c r="D410" s="17" t="s">
        <v>1682</v>
      </c>
      <c r="E410">
        <v>-1547</v>
      </c>
      <c r="F410" t="str">
        <f>VLOOKUP(E410,CompDbase!B:L,4,FALSE)</f>
        <v>benzo[a]pyrene</v>
      </c>
      <c r="G410" s="95" t="str">
        <f>VLOOKUP(E410,CompDbase!B:M,12,FALSE)</f>
        <v>PAK</v>
      </c>
      <c r="H410" s="95">
        <f>VLOOKUP(E410,CompDbase!B:L,8,FALSE)</f>
        <v>252.15</v>
      </c>
      <c r="I410" s="95">
        <f>VLOOKUP(E410,CompDbase!B:L,11,FALSE)</f>
        <v>218.05</v>
      </c>
      <c r="J410" s="95">
        <f>VLOOKUP(E410,CompDbase!B:L,9,FALSE)</f>
        <v>2.620096279985866E-2</v>
      </c>
      <c r="K410" s="95">
        <f>VLOOKUP(E410,CompDbase!B:L,10,FALSE)</f>
        <v>6.1150000000000002</v>
      </c>
      <c r="L410" s="4" t="s">
        <v>769</v>
      </c>
      <c r="M410" s="420"/>
      <c r="N410" s="420"/>
      <c r="O410" s="4" t="s">
        <v>1740</v>
      </c>
      <c r="P410" s="4" t="s">
        <v>1987</v>
      </c>
      <c r="Q410" s="4" t="s">
        <v>1049</v>
      </c>
      <c r="S410" s="4"/>
      <c r="T410" s="95"/>
      <c r="W410" s="199"/>
      <c r="Z410">
        <v>-13.6</v>
      </c>
      <c r="AC410" t="s">
        <v>68</v>
      </c>
      <c r="DG410">
        <f t="shared" si="286"/>
        <v>-13.6</v>
      </c>
      <c r="DH410">
        <f t="shared" si="287"/>
        <v>252.15</v>
      </c>
      <c r="DL410">
        <f t="shared" si="288"/>
        <v>252.15</v>
      </c>
      <c r="DM410">
        <f t="shared" si="288"/>
        <v>252.15</v>
      </c>
      <c r="DP410">
        <f t="shared" si="291"/>
        <v>-13.521062482507373</v>
      </c>
      <c r="DQ410">
        <f t="shared" si="290"/>
        <v>-7.8937517492626341E-2</v>
      </c>
      <c r="DR410">
        <f t="shared" si="289"/>
        <v>6.2311316678986895E-3</v>
      </c>
      <c r="EY410" s="479">
        <f>VLOOKUP(B410,Literatuur!$A:$B,2,FALSE)</f>
        <v>28</v>
      </c>
      <c r="EZ410" t="str">
        <f t="shared" si="273"/>
        <v>benzo(a)perylene</v>
      </c>
      <c r="FA410" t="str">
        <f t="shared" si="274"/>
        <v>PAK</v>
      </c>
      <c r="FB410" t="str">
        <f t="shared" si="275"/>
        <v>LDPE</v>
      </c>
      <c r="FC410" t="str">
        <f t="shared" si="276"/>
        <v>Filmstacking</v>
      </c>
      <c r="FD410" t="str">
        <f t="shared" si="277"/>
        <v>room ??</v>
      </c>
      <c r="FE410" t="str">
        <f t="shared" si="278"/>
        <v>water</v>
      </c>
      <c r="FF410" t="str">
        <f t="shared" si="279"/>
        <v xml:space="preserve"> </v>
      </c>
      <c r="FG410" s="408" t="str">
        <f t="shared" si="272"/>
        <v/>
      </c>
      <c r="FH410" s="138" t="str">
        <f t="shared" si="280"/>
        <v/>
      </c>
      <c r="FI410" s="106" t="str">
        <f t="shared" si="267"/>
        <v>**</v>
      </c>
      <c r="FJ410" s="138">
        <f t="shared" si="281"/>
        <v>-13.6</v>
      </c>
      <c r="FK410" s="138">
        <f t="shared" si="282"/>
        <v>-13.521062482507373</v>
      </c>
    </row>
    <row r="411" spans="1:167" ht="12.75" hidden="1" customHeight="1" x14ac:dyDescent="0.2">
      <c r="A411">
        <v>376</v>
      </c>
      <c r="B411" t="s">
        <v>956</v>
      </c>
      <c r="C411" s="4" t="s">
        <v>1557</v>
      </c>
      <c r="D411" s="17" t="s">
        <v>564</v>
      </c>
      <c r="E411">
        <v>-1540</v>
      </c>
      <c r="F411" t="str">
        <f>VLOOKUP(E411,CompDbase!B:L,4,FALSE)</f>
        <v>fluoranthene</v>
      </c>
      <c r="G411" s="95" t="str">
        <f>VLOOKUP(E411,CompDbase!B:M,12,FALSE)</f>
        <v>PAK</v>
      </c>
      <c r="H411" s="95">
        <f>VLOOKUP(E411,CompDbase!B:L,8,FALSE)</f>
        <v>202.15</v>
      </c>
      <c r="I411" s="95">
        <f>VLOOKUP(E411,CompDbase!B:L,11,FALSE)</f>
        <v>195.85</v>
      </c>
      <c r="J411" s="95">
        <f>VLOOKUP(E411,CompDbase!B:L,9,FALSE)</f>
        <v>0.83636506257935239</v>
      </c>
      <c r="K411" s="95">
        <f>VLOOKUP(E411,CompDbase!B:L,10,FALSE)</f>
        <v>5.08</v>
      </c>
      <c r="L411" s="4" t="s">
        <v>769</v>
      </c>
      <c r="M411" s="420"/>
      <c r="N411" s="420"/>
      <c r="O411" s="4" t="s">
        <v>1740</v>
      </c>
      <c r="P411" s="4" t="s">
        <v>1987</v>
      </c>
      <c r="Q411" s="4" t="s">
        <v>1049</v>
      </c>
      <c r="S411" s="4"/>
      <c r="T411" s="95"/>
      <c r="W411" s="199"/>
      <c r="Z411">
        <v>-13.15</v>
      </c>
      <c r="AC411" t="s">
        <v>68</v>
      </c>
      <c r="DG411">
        <f t="shared" si="286"/>
        <v>-13.15</v>
      </c>
      <c r="DH411">
        <f t="shared" si="287"/>
        <v>202.15</v>
      </c>
      <c r="DL411">
        <f t="shared" si="288"/>
        <v>202.15</v>
      </c>
      <c r="DM411">
        <f t="shared" si="288"/>
        <v>202.15</v>
      </c>
      <c r="DP411">
        <f t="shared" si="291"/>
        <v>-12.959349782797018</v>
      </c>
      <c r="DQ411">
        <f t="shared" si="290"/>
        <v>-0.19065021720298247</v>
      </c>
      <c r="DR411">
        <f t="shared" si="289"/>
        <v>3.6347505319544393E-2</v>
      </c>
      <c r="EY411" s="479">
        <f>VLOOKUP(B411,Literatuur!$A:$B,2,FALSE)</f>
        <v>28</v>
      </c>
      <c r="EZ411" t="str">
        <f t="shared" si="273"/>
        <v>fluoranthene</v>
      </c>
      <c r="FA411" t="str">
        <f t="shared" si="274"/>
        <v>PAK</v>
      </c>
      <c r="FB411" t="str">
        <f t="shared" si="275"/>
        <v>LDPE</v>
      </c>
      <c r="FC411" t="str">
        <f t="shared" si="276"/>
        <v>Filmstacking</v>
      </c>
      <c r="FD411" t="str">
        <f t="shared" si="277"/>
        <v>room ??</v>
      </c>
      <c r="FE411" t="str">
        <f t="shared" si="278"/>
        <v>water</v>
      </c>
      <c r="FF411" t="str">
        <f t="shared" si="279"/>
        <v xml:space="preserve"> </v>
      </c>
      <c r="FG411" s="408" t="str">
        <f t="shared" si="272"/>
        <v/>
      </c>
      <c r="FH411" s="138" t="str">
        <f t="shared" si="280"/>
        <v/>
      </c>
      <c r="FI411" s="106" t="str">
        <f t="shared" si="267"/>
        <v>**</v>
      </c>
      <c r="FJ411" s="138">
        <f t="shared" si="281"/>
        <v>-13.15</v>
      </c>
      <c r="FK411" s="138">
        <f t="shared" si="282"/>
        <v>-12.959349782797018</v>
      </c>
    </row>
    <row r="412" spans="1:167" ht="12.75" hidden="1" customHeight="1" x14ac:dyDescent="0.2">
      <c r="A412">
        <v>377</v>
      </c>
      <c r="B412" t="s">
        <v>956</v>
      </c>
      <c r="C412" s="4" t="s">
        <v>1557</v>
      </c>
      <c r="D412" s="17" t="s">
        <v>565</v>
      </c>
      <c r="E412">
        <v>-1541</v>
      </c>
      <c r="F412" t="str">
        <f>VLOOKUP(E412,CompDbase!B:L,4,FALSE)</f>
        <v>pyrene</v>
      </c>
      <c r="G412" s="95" t="str">
        <f>VLOOKUP(E412,CompDbase!B:M,12,FALSE)</f>
        <v>PAK</v>
      </c>
      <c r="H412" s="95">
        <f>VLOOKUP(E412,CompDbase!B:L,8,FALSE)</f>
        <v>202.15</v>
      </c>
      <c r="I412" s="95">
        <f>VLOOKUP(E412,CompDbase!B:L,11,FALSE)</f>
        <v>182.10000000000002</v>
      </c>
      <c r="J412" s="95">
        <f>VLOOKUP(E412,CompDbase!B:L,9,FALSE)</f>
        <v>0.83636506257935239</v>
      </c>
      <c r="K412" s="95">
        <f>VLOOKUP(E412,CompDbase!B:L,10,FALSE)</f>
        <v>4.9399999999999995</v>
      </c>
      <c r="L412" s="4" t="s">
        <v>769</v>
      </c>
      <c r="M412" s="420"/>
      <c r="N412" s="420"/>
      <c r="O412" s="4" t="s">
        <v>1740</v>
      </c>
      <c r="P412" s="4" t="s">
        <v>1987</v>
      </c>
      <c r="Q412" s="4" t="s">
        <v>1049</v>
      </c>
      <c r="S412" s="4"/>
      <c r="T412" s="95"/>
      <c r="W412" s="199"/>
      <c r="Z412">
        <v>-13.26</v>
      </c>
      <c r="AC412" t="s">
        <v>68</v>
      </c>
      <c r="DG412">
        <f t="shared" si="286"/>
        <v>-13.26</v>
      </c>
      <c r="DH412">
        <f t="shared" si="287"/>
        <v>202.15</v>
      </c>
      <c r="DL412">
        <f t="shared" si="288"/>
        <v>202.15</v>
      </c>
      <c r="DM412">
        <f t="shared" si="288"/>
        <v>202.15</v>
      </c>
      <c r="DP412">
        <f t="shared" si="291"/>
        <v>-12.959349782797018</v>
      </c>
      <c r="DQ412">
        <f t="shared" si="290"/>
        <v>-0.30065021720298191</v>
      </c>
      <c r="DR412">
        <f t="shared" si="289"/>
        <v>9.0390553104200203E-2</v>
      </c>
      <c r="EY412" s="479">
        <f>VLOOKUP(B412,Literatuur!$A:$B,2,FALSE)</f>
        <v>28</v>
      </c>
      <c r="EZ412" t="str">
        <f t="shared" si="273"/>
        <v>pyrene</v>
      </c>
      <c r="FA412" t="str">
        <f t="shared" si="274"/>
        <v>PAK</v>
      </c>
      <c r="FB412" t="str">
        <f t="shared" si="275"/>
        <v>LDPE</v>
      </c>
      <c r="FC412" t="str">
        <f t="shared" si="276"/>
        <v>Filmstacking</v>
      </c>
      <c r="FD412" t="str">
        <f t="shared" si="277"/>
        <v>room ??</v>
      </c>
      <c r="FE412" t="str">
        <f t="shared" si="278"/>
        <v>water</v>
      </c>
      <c r="FF412" t="str">
        <f t="shared" si="279"/>
        <v xml:space="preserve"> </v>
      </c>
      <c r="FG412" s="408" t="str">
        <f t="shared" si="272"/>
        <v/>
      </c>
      <c r="FH412" s="138" t="str">
        <f t="shared" si="280"/>
        <v/>
      </c>
      <c r="FI412" s="106" t="str">
        <f t="shared" si="267"/>
        <v>**</v>
      </c>
      <c r="FJ412" s="138">
        <f t="shared" si="281"/>
        <v>-13.26</v>
      </c>
      <c r="FK412" s="138">
        <f t="shared" si="282"/>
        <v>-12.959349782797018</v>
      </c>
    </row>
    <row r="413" spans="1:167" ht="13.5" hidden="1" customHeight="1" x14ac:dyDescent="0.2">
      <c r="A413">
        <v>378</v>
      </c>
      <c r="B413" t="s">
        <v>1595</v>
      </c>
      <c r="C413" s="4"/>
      <c r="D413" s="17" t="s">
        <v>560</v>
      </c>
      <c r="E413" s="33">
        <v>-1536</v>
      </c>
      <c r="F413" t="str">
        <f>VLOOKUP(E413,CompDbase!B:L,4,FALSE)</f>
        <v>acenaphthene</v>
      </c>
      <c r="G413" s="95" t="str">
        <f>VLOOKUP(E413,CompDbase!B:M,12,FALSE)</f>
        <v>PAK</v>
      </c>
      <c r="H413" s="95">
        <f>VLOOKUP(E413,CompDbase!B:L,8,FALSE)</f>
        <v>154.1</v>
      </c>
      <c r="I413" s="95">
        <f>VLOOKUP(E413,CompDbase!B:L,11,FALSE)</f>
        <v>141.80000000000001</v>
      </c>
      <c r="J413" s="95">
        <f>VLOOKUP(E413,CompDbase!B:L,9,FALSE)</f>
        <v>22.064006344594798</v>
      </c>
      <c r="K413" s="95">
        <f>VLOOKUP(E413,CompDbase!B:L,10,FALSE)</f>
        <v>3.96</v>
      </c>
      <c r="L413" s="4" t="s">
        <v>769</v>
      </c>
      <c r="M413" s="426">
        <v>900000</v>
      </c>
      <c r="N413" s="426"/>
      <c r="O413" s="4" t="s">
        <v>1985</v>
      </c>
      <c r="P413">
        <f t="shared" ref="P413:P424" si="292">273+20</f>
        <v>293</v>
      </c>
      <c r="Q413" s="4" t="s">
        <v>1049</v>
      </c>
      <c r="S413" s="4"/>
      <c r="T413" s="95"/>
      <c r="W413" s="199">
        <f t="shared" ref="W413:W424" si="293">10^X413</f>
        <v>3981.0717055349769</v>
      </c>
      <c r="X413">
        <v>3.6</v>
      </c>
      <c r="AC413" t="s">
        <v>68</v>
      </c>
      <c r="AG413" s="138">
        <f t="shared" ref="AG413:AG476" si="294">X413</f>
        <v>3.6</v>
      </c>
      <c r="AH413">
        <f t="shared" ref="AH413:AI476" si="295">$K413</f>
        <v>3.96</v>
      </c>
      <c r="AI413">
        <f t="shared" si="295"/>
        <v>3.96</v>
      </c>
      <c r="AL413">
        <f t="shared" ref="AL413:AL424" si="296">$K413</f>
        <v>3.96</v>
      </c>
      <c r="BW413" s="138"/>
      <c r="BX413">
        <f>LOG(1*$J413)</f>
        <v>1.3436843737149378</v>
      </c>
      <c r="BY413">
        <f>LOG(1*$J413)</f>
        <v>1.3436843737149378</v>
      </c>
      <c r="CB413">
        <f>LOG(1*$J413)</f>
        <v>1.3436843737149378</v>
      </c>
      <c r="DG413" s="138"/>
      <c r="EY413" s="479">
        <f>VLOOKUP(B413,Literatuur!$A:$B,2,FALSE)</f>
        <v>29</v>
      </c>
      <c r="EZ413" t="str">
        <f t="shared" si="273"/>
        <v>acenaphthene</v>
      </c>
      <c r="FA413" t="str">
        <f t="shared" si="274"/>
        <v>PAK</v>
      </c>
      <c r="FB413" t="str">
        <f t="shared" si="275"/>
        <v>LDPE</v>
      </c>
      <c r="FC413" t="str">
        <f t="shared" si="276"/>
        <v>Immersion (shaking)</v>
      </c>
      <c r="FD413">
        <f t="shared" si="277"/>
        <v>293</v>
      </c>
      <c r="FE413" t="str">
        <f t="shared" si="278"/>
        <v>water</v>
      </c>
      <c r="FF413" t="str">
        <f t="shared" si="279"/>
        <v xml:space="preserve"> </v>
      </c>
      <c r="FG413" s="408" t="str">
        <f t="shared" si="272"/>
        <v/>
      </c>
      <c r="FH413" s="138">
        <f t="shared" si="280"/>
        <v>3.6</v>
      </c>
      <c r="FI413" s="106">
        <f t="shared" si="267"/>
        <v>3.6568939679352077</v>
      </c>
      <c r="FJ413" s="138" t="str">
        <f t="shared" si="281"/>
        <v/>
      </c>
      <c r="FK413" s="138" t="str">
        <f t="shared" si="282"/>
        <v>**</v>
      </c>
    </row>
    <row r="414" spans="1:167" ht="13.5" hidden="1" customHeight="1" x14ac:dyDescent="0.2">
      <c r="A414">
        <v>379</v>
      </c>
      <c r="B414" t="s">
        <v>1595</v>
      </c>
      <c r="C414" s="4"/>
      <c r="D414" s="17" t="s">
        <v>966</v>
      </c>
      <c r="E414">
        <v>-1696</v>
      </c>
      <c r="F414" t="str">
        <f>VLOOKUP(E414,CompDbase!B:L,4,FALSE)</f>
        <v>acenaphthylene</v>
      </c>
      <c r="G414" s="95" t="str">
        <f>VLOOKUP(E414,CompDbase!B:M,12,FALSE)</f>
        <v>PAK</v>
      </c>
      <c r="H414" s="95">
        <f>VLOOKUP(E414,CompDbase!B:L,8,FALSE)</f>
        <v>152.19999999999999</v>
      </c>
      <c r="I414" s="95">
        <f>VLOOKUP(E414,CompDbase!B:L,11,FALSE)</f>
        <v>223.1</v>
      </c>
      <c r="J414" s="95" t="e">
        <f>VLOOKUP(E414,CompDbase!B:L,9,FALSE)</f>
        <v>#DIV/0!</v>
      </c>
      <c r="K414" s="95">
        <f>VLOOKUP(E414,CompDbase!B:L,10,FALSE)</f>
        <v>3.9</v>
      </c>
      <c r="L414" s="4" t="s">
        <v>769</v>
      </c>
      <c r="M414" s="426">
        <v>900000</v>
      </c>
      <c r="N414" s="426"/>
      <c r="O414" s="4" t="s">
        <v>1985</v>
      </c>
      <c r="P414">
        <f t="shared" si="292"/>
        <v>293</v>
      </c>
      <c r="Q414" s="4" t="s">
        <v>1049</v>
      </c>
      <c r="S414" s="4"/>
      <c r="T414" s="95"/>
      <c r="W414" s="199">
        <f t="shared" si="293"/>
        <v>1584.8931924611156</v>
      </c>
      <c r="X414">
        <v>3.2</v>
      </c>
      <c r="AC414" t="s">
        <v>68</v>
      </c>
      <c r="AG414" s="138">
        <f t="shared" si="294"/>
        <v>3.2</v>
      </c>
      <c r="AH414">
        <f t="shared" si="295"/>
        <v>3.9</v>
      </c>
      <c r="AI414">
        <f t="shared" si="295"/>
        <v>3.9</v>
      </c>
      <c r="AL414">
        <f t="shared" si="296"/>
        <v>3.9</v>
      </c>
      <c r="BW414" s="138"/>
      <c r="DG414" s="138"/>
      <c r="EY414" s="479">
        <f>VLOOKUP(B414,Literatuur!$A:$B,2,FALSE)</f>
        <v>29</v>
      </c>
      <c r="EZ414" t="str">
        <f t="shared" si="273"/>
        <v>acenaphthylene</v>
      </c>
      <c r="FA414" t="str">
        <f t="shared" si="274"/>
        <v>PAK</v>
      </c>
      <c r="FB414" t="str">
        <f t="shared" si="275"/>
        <v>LDPE</v>
      </c>
      <c r="FC414" t="str">
        <f t="shared" si="276"/>
        <v>Immersion (shaking)</v>
      </c>
      <c r="FD414">
        <f t="shared" si="277"/>
        <v>293</v>
      </c>
      <c r="FE414" t="str">
        <f t="shared" si="278"/>
        <v>water</v>
      </c>
      <c r="FF414" t="str">
        <f t="shared" si="279"/>
        <v xml:space="preserve"> </v>
      </c>
      <c r="FG414" s="408" t="str">
        <f t="shared" si="272"/>
        <v/>
      </c>
      <c r="FH414" s="138">
        <f t="shared" si="280"/>
        <v>3.2</v>
      </c>
      <c r="FI414" s="106">
        <f t="shared" si="267"/>
        <v>3.5911696170189336</v>
      </c>
      <c r="FJ414" s="138" t="str">
        <f t="shared" si="281"/>
        <v/>
      </c>
      <c r="FK414" s="138" t="str">
        <f t="shared" si="282"/>
        <v>**</v>
      </c>
    </row>
    <row r="415" spans="1:167" s="13" customFormat="1" ht="13.5" hidden="1" customHeight="1" x14ac:dyDescent="0.2">
      <c r="A415">
        <v>380</v>
      </c>
      <c r="B415" s="13" t="s">
        <v>1595</v>
      </c>
      <c r="C415" s="14"/>
      <c r="D415" s="12" t="s">
        <v>563</v>
      </c>
      <c r="E415" s="92">
        <v>-1539</v>
      </c>
      <c r="F415" s="13" t="str">
        <f>VLOOKUP(E415,CompDbase!B:L,4,FALSE)</f>
        <v>anthracene</v>
      </c>
      <c r="G415" s="182" t="str">
        <f>VLOOKUP(E415,CompDbase!B:M,12,FALSE)</f>
        <v>PAK</v>
      </c>
      <c r="H415" s="182">
        <f>VLOOKUP(E415,CompDbase!B:L,8,FALSE)</f>
        <v>178.1</v>
      </c>
      <c r="I415" s="182">
        <f>VLOOKUP(E415,CompDbase!B:L,11,FALSE)</f>
        <v>158.89999999999998</v>
      </c>
      <c r="J415" s="182">
        <f>VLOOKUP(E415,CompDbase!B:L,9,FALSE)</f>
        <v>4.3501847309898105</v>
      </c>
      <c r="K415" s="182">
        <f>VLOOKUP(E415,CompDbase!B:L,10,FALSE)</f>
        <v>4.5250000000000004</v>
      </c>
      <c r="L415" s="14" t="s">
        <v>769</v>
      </c>
      <c r="M415" s="428">
        <v>900000</v>
      </c>
      <c r="N415" s="426"/>
      <c r="O415" s="4" t="s">
        <v>1985</v>
      </c>
      <c r="P415" s="13">
        <f t="shared" si="292"/>
        <v>293</v>
      </c>
      <c r="Q415" s="14" t="s">
        <v>1049</v>
      </c>
      <c r="R415" s="289"/>
      <c r="S415" s="14"/>
      <c r="T415" s="95"/>
      <c r="W415" s="200">
        <f t="shared" si="293"/>
        <v>19952.623149688792</v>
      </c>
      <c r="X415" s="13">
        <v>4.3</v>
      </c>
      <c r="AC415" s="13" t="s">
        <v>68</v>
      </c>
      <c r="AG415" s="138">
        <f t="shared" si="294"/>
        <v>4.3</v>
      </c>
      <c r="AH415">
        <f t="shared" si="295"/>
        <v>4.5250000000000004</v>
      </c>
      <c r="AI415">
        <f t="shared" si="295"/>
        <v>4.5250000000000004</v>
      </c>
      <c r="AL415">
        <f t="shared" si="296"/>
        <v>4.5250000000000004</v>
      </c>
      <c r="AM415"/>
      <c r="AN415"/>
      <c r="AO415"/>
      <c r="BW415" s="138"/>
      <c r="BX415">
        <f t="shared" ref="BX415:BY424" si="297">LOG(1*$J415)</f>
        <v>0.63850769970085575</v>
      </c>
      <c r="BY415">
        <f t="shared" si="297"/>
        <v>0.63850769970085575</v>
      </c>
      <c r="CB415">
        <f t="shared" ref="CB415:CB424" si="298">LOG(1*$J415)</f>
        <v>0.63850769970085575</v>
      </c>
      <c r="CC415"/>
      <c r="CD415"/>
      <c r="CE415"/>
      <c r="DF415"/>
      <c r="DG415" s="138"/>
      <c r="DH415"/>
      <c r="DI415"/>
      <c r="DL415"/>
      <c r="DM415"/>
      <c r="DN415"/>
      <c r="DO415"/>
      <c r="DP415"/>
      <c r="EY415" s="479">
        <f>VLOOKUP(B415,Literatuur!$A:$B,2,FALSE)</f>
        <v>29</v>
      </c>
      <c r="EZ415" t="str">
        <f t="shared" si="273"/>
        <v>anthracene</v>
      </c>
      <c r="FA415" t="str">
        <f t="shared" si="274"/>
        <v>PAK</v>
      </c>
      <c r="FB415" t="str">
        <f t="shared" si="275"/>
        <v>LDPE</v>
      </c>
      <c r="FC415" t="str">
        <f t="shared" si="276"/>
        <v>Immersion (shaking)</v>
      </c>
      <c r="FD415">
        <f t="shared" si="277"/>
        <v>293</v>
      </c>
      <c r="FE415" t="str">
        <f t="shared" si="278"/>
        <v>water</v>
      </c>
      <c r="FF415" t="str">
        <f t="shared" si="279"/>
        <v xml:space="preserve"> </v>
      </c>
      <c r="FG415" s="408" t="str">
        <f t="shared" si="272"/>
        <v/>
      </c>
      <c r="FH415" s="138">
        <f t="shared" si="280"/>
        <v>4.3</v>
      </c>
      <c r="FI415" s="106">
        <f t="shared" si="267"/>
        <v>4.2757982723967878</v>
      </c>
      <c r="FJ415" s="138" t="str">
        <f t="shared" si="281"/>
        <v/>
      </c>
      <c r="FK415" s="138" t="str">
        <f t="shared" si="282"/>
        <v>**</v>
      </c>
    </row>
    <row r="416" spans="1:167" ht="12.75" hidden="1" customHeight="1" x14ac:dyDescent="0.2">
      <c r="A416">
        <v>381</v>
      </c>
      <c r="B416" t="s">
        <v>1595</v>
      </c>
      <c r="C416" s="4"/>
      <c r="D416" t="s">
        <v>967</v>
      </c>
      <c r="E416" s="33">
        <v>-1542</v>
      </c>
      <c r="F416" t="str">
        <f>VLOOKUP(E416,CompDbase!B:L,4,FALSE)</f>
        <v>benz[a]anthracene</v>
      </c>
      <c r="G416" s="95" t="str">
        <f>VLOOKUP(E416,CompDbase!B:M,12,FALSE)</f>
        <v>PAK</v>
      </c>
      <c r="H416" s="95">
        <f>VLOOKUP(E416,CompDbase!B:L,8,FALSE)</f>
        <v>228.15</v>
      </c>
      <c r="I416" s="95">
        <f>VLOOKUP(E416,CompDbase!B:L,11,FALSE)</f>
        <v>194.89999999999998</v>
      </c>
      <c r="J416" s="95">
        <f>VLOOKUP(E416,CompDbase!B:L,9,FALSE)</f>
        <v>0.13896515350405772</v>
      </c>
      <c r="K416" s="95">
        <f>VLOOKUP(E416,CompDbase!B:L,10,FALSE)</f>
        <v>5.7799999999999994</v>
      </c>
      <c r="L416" s="4" t="s">
        <v>769</v>
      </c>
      <c r="M416" s="426">
        <v>900000</v>
      </c>
      <c r="N416" s="426"/>
      <c r="O416" s="4" t="s">
        <v>1985</v>
      </c>
      <c r="P416">
        <f t="shared" si="292"/>
        <v>293</v>
      </c>
      <c r="Q416" s="4" t="s">
        <v>1049</v>
      </c>
      <c r="S416" s="4"/>
      <c r="T416" s="181"/>
      <c r="W416" s="199">
        <f t="shared" si="293"/>
        <v>501187.23362727347</v>
      </c>
      <c r="X416">
        <v>5.7</v>
      </c>
      <c r="AC416" t="s">
        <v>68</v>
      </c>
      <c r="AG416" s="138">
        <f t="shared" si="294"/>
        <v>5.7</v>
      </c>
      <c r="AH416">
        <f t="shared" si="295"/>
        <v>5.7799999999999994</v>
      </c>
      <c r="AI416">
        <f t="shared" si="295"/>
        <v>5.7799999999999994</v>
      </c>
      <c r="AL416">
        <f t="shared" si="296"/>
        <v>5.7799999999999994</v>
      </c>
      <c r="BW416" s="138"/>
      <c r="BX416">
        <f t="shared" si="297"/>
        <v>-0.85709408850976543</v>
      </c>
      <c r="BY416">
        <f t="shared" si="297"/>
        <v>-0.85709408850976543</v>
      </c>
      <c r="CB416">
        <f t="shared" si="298"/>
        <v>-0.85709408850976543</v>
      </c>
      <c r="DG416" s="138"/>
      <c r="EY416" s="479">
        <f>VLOOKUP(B416,Literatuur!$A:$B,2,FALSE)</f>
        <v>29</v>
      </c>
      <c r="EZ416" t="str">
        <f t="shared" si="273"/>
        <v>benz(a)anthracene</v>
      </c>
      <c r="FA416" t="str">
        <f t="shared" si="274"/>
        <v>PAK</v>
      </c>
      <c r="FB416" t="str">
        <f t="shared" si="275"/>
        <v>LDPE</v>
      </c>
      <c r="FC416" t="str">
        <f t="shared" si="276"/>
        <v>Immersion (shaking)</v>
      </c>
      <c r="FD416">
        <f t="shared" si="277"/>
        <v>293</v>
      </c>
      <c r="FE416" t="str">
        <f t="shared" si="278"/>
        <v>water</v>
      </c>
      <c r="FF416" t="str">
        <f t="shared" si="279"/>
        <v xml:space="preserve"> </v>
      </c>
      <c r="FG416" s="408" t="str">
        <f t="shared" si="272"/>
        <v/>
      </c>
      <c r="FH416" s="138">
        <f t="shared" si="280"/>
        <v>5.7</v>
      </c>
      <c r="FI416" s="106">
        <f t="shared" ref="FI416:FI479" si="299">IF(ISNUMBER(AL416),AL416*AL$19+AL$21,IF(ISNUMBER(AM416),AM416*AM$19+AM$21,IF(ISNUMBER(AN416),AN416*AN$19+AN$21,"**")))</f>
        <v>5.6505326123955157</v>
      </c>
      <c r="FJ416" s="138" t="str">
        <f t="shared" si="281"/>
        <v/>
      </c>
      <c r="FK416" s="138" t="str">
        <f t="shared" si="282"/>
        <v>**</v>
      </c>
    </row>
    <row r="417" spans="1:167" ht="12.75" hidden="1" customHeight="1" x14ac:dyDescent="0.2">
      <c r="A417">
        <v>382</v>
      </c>
      <c r="B417" t="s">
        <v>1595</v>
      </c>
      <c r="C417" s="4"/>
      <c r="D417" t="s">
        <v>968</v>
      </c>
      <c r="E417" s="33">
        <v>-1547</v>
      </c>
      <c r="F417" t="str">
        <f>VLOOKUP(E417,CompDbase!B:L,4,FALSE)</f>
        <v>benzo[a]pyrene</v>
      </c>
      <c r="G417" s="95" t="str">
        <f>VLOOKUP(E417,CompDbase!B:M,12,FALSE)</f>
        <v>PAK</v>
      </c>
      <c r="H417" s="95">
        <f>VLOOKUP(E417,CompDbase!B:L,8,FALSE)</f>
        <v>252.15</v>
      </c>
      <c r="I417" s="95">
        <f>VLOOKUP(E417,CompDbase!B:L,11,FALSE)</f>
        <v>218.05</v>
      </c>
      <c r="J417" s="95">
        <f>VLOOKUP(E417,CompDbase!B:L,9,FALSE)</f>
        <v>2.620096279985866E-2</v>
      </c>
      <c r="K417" s="95">
        <f>VLOOKUP(E417,CompDbase!B:L,10,FALSE)</f>
        <v>6.1150000000000002</v>
      </c>
      <c r="L417" s="4" t="s">
        <v>769</v>
      </c>
      <c r="M417" s="426">
        <v>900000</v>
      </c>
      <c r="N417" s="426"/>
      <c r="O417" s="4" t="s">
        <v>1985</v>
      </c>
      <c r="P417">
        <f t="shared" si="292"/>
        <v>293</v>
      </c>
      <c r="Q417" s="4" t="s">
        <v>1049</v>
      </c>
      <c r="S417" s="4"/>
      <c r="T417" s="95"/>
      <c r="W417" s="199">
        <f t="shared" si="293"/>
        <v>6309573.4448019378</v>
      </c>
      <c r="X417">
        <v>6.8</v>
      </c>
      <c r="AC417" t="s">
        <v>68</v>
      </c>
      <c r="AG417" s="138">
        <f t="shared" si="294"/>
        <v>6.8</v>
      </c>
      <c r="AH417">
        <f t="shared" si="295"/>
        <v>6.1150000000000002</v>
      </c>
      <c r="AI417">
        <f t="shared" si="295"/>
        <v>6.1150000000000002</v>
      </c>
      <c r="AL417">
        <f t="shared" si="296"/>
        <v>6.1150000000000002</v>
      </c>
      <c r="BW417" s="138"/>
      <c r="BX417">
        <f t="shared" si="297"/>
        <v>-1.5816827494824268</v>
      </c>
      <c r="BY417">
        <f t="shared" si="297"/>
        <v>-1.5816827494824268</v>
      </c>
      <c r="CB417">
        <f t="shared" si="298"/>
        <v>-1.5816827494824268</v>
      </c>
      <c r="DG417" s="138"/>
      <c r="EY417" s="479">
        <f>VLOOKUP(B417,Literatuur!$A:$B,2,FALSE)</f>
        <v>29</v>
      </c>
      <c r="EZ417" t="str">
        <f t="shared" si="273"/>
        <v>benzo(a)pyrene</v>
      </c>
      <c r="FA417" t="str">
        <f t="shared" si="274"/>
        <v>PAK</v>
      </c>
      <c r="FB417" t="str">
        <f t="shared" si="275"/>
        <v>LDPE</v>
      </c>
      <c r="FC417" t="str">
        <f t="shared" si="276"/>
        <v>Immersion (shaking)</v>
      </c>
      <c r="FD417">
        <f t="shared" si="277"/>
        <v>293</v>
      </c>
      <c r="FE417" t="str">
        <f t="shared" si="278"/>
        <v>water</v>
      </c>
      <c r="FF417" t="str">
        <f t="shared" si="279"/>
        <v xml:space="preserve"> </v>
      </c>
      <c r="FG417" s="408" t="str">
        <f t="shared" si="272"/>
        <v/>
      </c>
      <c r="FH417" s="138">
        <f t="shared" si="280"/>
        <v>6.8</v>
      </c>
      <c r="FI417" s="106">
        <f t="shared" si="299"/>
        <v>6.0174935716780462</v>
      </c>
      <c r="FJ417" s="138" t="str">
        <f t="shared" si="281"/>
        <v/>
      </c>
      <c r="FK417" s="138" t="str">
        <f t="shared" si="282"/>
        <v>**</v>
      </c>
    </row>
    <row r="418" spans="1:167" ht="12.75" hidden="1" customHeight="1" x14ac:dyDescent="0.2">
      <c r="A418">
        <v>383</v>
      </c>
      <c r="B418" t="s">
        <v>1595</v>
      </c>
      <c r="C418" s="4"/>
      <c r="D418" t="s">
        <v>969</v>
      </c>
      <c r="E418" s="33">
        <v>-1544</v>
      </c>
      <c r="F418" t="str">
        <f>VLOOKUP(E418,CompDbase!B:L,4,FALSE)</f>
        <v>benzo[b]fluoranthene</v>
      </c>
      <c r="G418" s="95" t="str">
        <f>VLOOKUP(E418,CompDbase!B:M,12,FALSE)</f>
        <v>PAK</v>
      </c>
      <c r="H418" s="95">
        <f>VLOOKUP(E418,CompDbase!B:L,8,FALSE)</f>
        <v>252.15</v>
      </c>
      <c r="I418" s="95">
        <f>VLOOKUP(E418,CompDbase!B:L,11,FALSE)</f>
        <v>231.8</v>
      </c>
      <c r="J418" s="95">
        <f>VLOOKUP(E418,CompDbase!B:L,9,FALSE)</f>
        <v>2.620096279985866E-2</v>
      </c>
      <c r="K418" s="95">
        <f>VLOOKUP(E418,CompDbase!B:L,10,FALSE)</f>
        <v>5.84</v>
      </c>
      <c r="L418" s="4" t="s">
        <v>769</v>
      </c>
      <c r="M418" s="426">
        <v>900000</v>
      </c>
      <c r="N418" s="426"/>
      <c r="O418" s="4" t="s">
        <v>1985</v>
      </c>
      <c r="P418">
        <f t="shared" si="292"/>
        <v>293</v>
      </c>
      <c r="Q418" s="4" t="s">
        <v>1049</v>
      </c>
      <c r="S418" s="4"/>
      <c r="T418" s="95"/>
      <c r="W418" s="199">
        <f t="shared" si="293"/>
        <v>5011872.3362727314</v>
      </c>
      <c r="X418">
        <v>6.7</v>
      </c>
      <c r="AC418" t="s">
        <v>68</v>
      </c>
      <c r="AG418" s="138">
        <f t="shared" si="294"/>
        <v>6.7</v>
      </c>
      <c r="AH418">
        <f t="shared" si="295"/>
        <v>5.84</v>
      </c>
      <c r="AI418">
        <f t="shared" si="295"/>
        <v>5.84</v>
      </c>
      <c r="AL418">
        <f t="shared" si="296"/>
        <v>5.84</v>
      </c>
      <c r="BW418" s="138"/>
      <c r="BX418">
        <f t="shared" si="297"/>
        <v>-1.5816827494824268</v>
      </c>
      <c r="BY418">
        <f t="shared" si="297"/>
        <v>-1.5816827494824268</v>
      </c>
      <c r="CB418">
        <f t="shared" si="298"/>
        <v>-1.5816827494824268</v>
      </c>
      <c r="DG418" s="138"/>
      <c r="EY418" s="479">
        <f>VLOOKUP(B418,Literatuur!$A:$B,2,FALSE)</f>
        <v>29</v>
      </c>
      <c r="EZ418" t="str">
        <f t="shared" si="273"/>
        <v>benzo(b)fluoranthene</v>
      </c>
      <c r="FA418" t="str">
        <f t="shared" si="274"/>
        <v>PAK</v>
      </c>
      <c r="FB418" t="str">
        <f t="shared" si="275"/>
        <v>LDPE</v>
      </c>
      <c r="FC418" t="str">
        <f t="shared" si="276"/>
        <v>Immersion (shaking)</v>
      </c>
      <c r="FD418">
        <f t="shared" si="277"/>
        <v>293</v>
      </c>
      <c r="FE418" t="str">
        <f t="shared" si="278"/>
        <v>water</v>
      </c>
      <c r="FF418" t="str">
        <f t="shared" si="279"/>
        <v xml:space="preserve"> </v>
      </c>
      <c r="FG418" s="408" t="str">
        <f t="shared" si="272"/>
        <v/>
      </c>
      <c r="FH418" s="138">
        <f t="shared" si="280"/>
        <v>6.7</v>
      </c>
      <c r="FI418" s="106">
        <f t="shared" si="299"/>
        <v>5.7162569633117908</v>
      </c>
      <c r="FJ418" s="138" t="str">
        <f t="shared" si="281"/>
        <v/>
      </c>
      <c r="FK418" s="138" t="str">
        <f t="shared" si="282"/>
        <v>**</v>
      </c>
    </row>
    <row r="419" spans="1:167" ht="12.75" hidden="1" customHeight="1" x14ac:dyDescent="0.2">
      <c r="A419">
        <v>384</v>
      </c>
      <c r="B419" t="s">
        <v>1595</v>
      </c>
      <c r="C419" s="4"/>
      <c r="D419" t="s">
        <v>567</v>
      </c>
      <c r="E419" s="33">
        <v>-1543</v>
      </c>
      <c r="F419" t="str">
        <f>VLOOKUP(E419,CompDbase!B:L,4,FALSE)</f>
        <v>chrysene</v>
      </c>
      <c r="G419" s="95" t="str">
        <f>VLOOKUP(E419,CompDbase!B:M,12,FALSE)</f>
        <v>PAK</v>
      </c>
      <c r="H419" s="95">
        <f>VLOOKUP(E419,CompDbase!B:L,8,FALSE)</f>
        <v>228.15</v>
      </c>
      <c r="I419" s="95">
        <f>VLOOKUP(E419,CompDbase!B:L,11,FALSE)</f>
        <v>196.3</v>
      </c>
      <c r="J419" s="95">
        <f>VLOOKUP(E419,CompDbase!B:L,9,FALSE)</f>
        <v>0.13896515350405772</v>
      </c>
      <c r="K419" s="95">
        <f>VLOOKUP(E419,CompDbase!B:L,10,FALSE)</f>
        <v>5.7549999999999999</v>
      </c>
      <c r="L419" s="4" t="s">
        <v>769</v>
      </c>
      <c r="M419" s="426">
        <v>900000</v>
      </c>
      <c r="N419" s="426"/>
      <c r="O419" s="4" t="s">
        <v>1985</v>
      </c>
      <c r="P419">
        <f t="shared" si="292"/>
        <v>293</v>
      </c>
      <c r="Q419" s="4" t="s">
        <v>1049</v>
      </c>
      <c r="S419" s="4"/>
      <c r="T419" s="95"/>
      <c r="W419" s="199">
        <f t="shared" si="293"/>
        <v>630957.34448019415</v>
      </c>
      <c r="X419">
        <v>5.8</v>
      </c>
      <c r="AC419" t="s">
        <v>68</v>
      </c>
      <c r="AG419" s="138">
        <f t="shared" si="294"/>
        <v>5.8</v>
      </c>
      <c r="AH419">
        <f t="shared" si="295"/>
        <v>5.7549999999999999</v>
      </c>
      <c r="AI419">
        <f t="shared" si="295"/>
        <v>5.7549999999999999</v>
      </c>
      <c r="AL419">
        <f t="shared" si="296"/>
        <v>5.7549999999999999</v>
      </c>
      <c r="BW419" s="138"/>
      <c r="BX419">
        <f t="shared" si="297"/>
        <v>-0.85709408850976543</v>
      </c>
      <c r="BY419">
        <f t="shared" si="297"/>
        <v>-0.85709408850976543</v>
      </c>
      <c r="CB419">
        <f t="shared" si="298"/>
        <v>-0.85709408850976543</v>
      </c>
      <c r="DG419" s="138"/>
      <c r="EY419" s="479">
        <f>VLOOKUP(B419,Literatuur!$A:$B,2,FALSE)</f>
        <v>29</v>
      </c>
      <c r="EZ419" t="str">
        <f t="shared" si="273"/>
        <v>chrysene</v>
      </c>
      <c r="FA419" t="str">
        <f t="shared" si="274"/>
        <v>PAK</v>
      </c>
      <c r="FB419" t="str">
        <f t="shared" si="275"/>
        <v>LDPE</v>
      </c>
      <c r="FC419" t="str">
        <f t="shared" si="276"/>
        <v>Immersion (shaking)</v>
      </c>
      <c r="FD419">
        <f t="shared" si="277"/>
        <v>293</v>
      </c>
      <c r="FE419" t="str">
        <f t="shared" si="278"/>
        <v>water</v>
      </c>
      <c r="FF419" t="str">
        <f t="shared" si="279"/>
        <v xml:space="preserve"> </v>
      </c>
      <c r="FG419" s="408" t="str">
        <f t="shared" si="272"/>
        <v/>
      </c>
      <c r="FH419" s="138">
        <f t="shared" si="280"/>
        <v>5.8</v>
      </c>
      <c r="FI419" s="106">
        <f t="shared" si="299"/>
        <v>5.6231474661804022</v>
      </c>
      <c r="FJ419" s="138" t="str">
        <f t="shared" si="281"/>
        <v/>
      </c>
      <c r="FK419" s="138" t="str">
        <f t="shared" si="282"/>
        <v>**</v>
      </c>
    </row>
    <row r="420" spans="1:167" ht="12.75" hidden="1" customHeight="1" x14ac:dyDescent="0.2">
      <c r="A420">
        <v>385</v>
      </c>
      <c r="B420" t="s">
        <v>1595</v>
      </c>
      <c r="C420" s="4"/>
      <c r="D420" t="s">
        <v>564</v>
      </c>
      <c r="E420" s="33">
        <v>-1540</v>
      </c>
      <c r="F420" t="str">
        <f>VLOOKUP(E420,CompDbase!B:L,4,FALSE)</f>
        <v>fluoranthene</v>
      </c>
      <c r="G420" s="95" t="str">
        <f>VLOOKUP(E420,CompDbase!B:M,12,FALSE)</f>
        <v>PAK</v>
      </c>
      <c r="H420" s="95">
        <f>VLOOKUP(E420,CompDbase!B:L,8,FALSE)</f>
        <v>202.15</v>
      </c>
      <c r="I420" s="95">
        <f>VLOOKUP(E420,CompDbase!B:L,11,FALSE)</f>
        <v>195.85</v>
      </c>
      <c r="J420" s="95">
        <f>VLOOKUP(E420,CompDbase!B:L,9,FALSE)</f>
        <v>0.83636506257935239</v>
      </c>
      <c r="K420" s="95">
        <f>VLOOKUP(E420,CompDbase!B:L,10,FALSE)</f>
        <v>5.08</v>
      </c>
      <c r="L420" s="4" t="s">
        <v>769</v>
      </c>
      <c r="M420" s="426">
        <v>900000</v>
      </c>
      <c r="N420" s="426"/>
      <c r="O420" s="4" t="s">
        <v>1985</v>
      </c>
      <c r="P420">
        <f t="shared" si="292"/>
        <v>293</v>
      </c>
      <c r="Q420" s="4" t="s">
        <v>1049</v>
      </c>
      <c r="S420" s="4"/>
      <c r="T420" s="95"/>
      <c r="W420" s="199">
        <f t="shared" si="293"/>
        <v>79432.823472428237</v>
      </c>
      <c r="X420">
        <v>4.9000000000000004</v>
      </c>
      <c r="AC420" t="s">
        <v>68</v>
      </c>
      <c r="AG420" s="138">
        <f t="shared" si="294"/>
        <v>4.9000000000000004</v>
      </c>
      <c r="AH420">
        <f t="shared" si="295"/>
        <v>5.08</v>
      </c>
      <c r="AI420">
        <f t="shared" si="295"/>
        <v>5.08</v>
      </c>
      <c r="AL420">
        <f t="shared" si="296"/>
        <v>5.08</v>
      </c>
      <c r="BW420" s="138"/>
      <c r="BX420">
        <f t="shared" si="297"/>
        <v>-7.760411722919576E-2</v>
      </c>
      <c r="BY420">
        <f t="shared" si="297"/>
        <v>-7.760411722919576E-2</v>
      </c>
      <c r="CB420">
        <f t="shared" si="298"/>
        <v>-7.760411722919576E-2</v>
      </c>
      <c r="DG420" s="138"/>
      <c r="EY420" s="479">
        <f>VLOOKUP(B420,Literatuur!$A:$B,2,FALSE)</f>
        <v>29</v>
      </c>
      <c r="EZ420" t="str">
        <f t="shared" si="273"/>
        <v>fluoranthene</v>
      </c>
      <c r="FA420" t="str">
        <f t="shared" si="274"/>
        <v>PAK</v>
      </c>
      <c r="FB420" t="str">
        <f t="shared" si="275"/>
        <v>LDPE</v>
      </c>
      <c r="FC420" t="str">
        <f t="shared" si="276"/>
        <v>Immersion (shaking)</v>
      </c>
      <c r="FD420">
        <f t="shared" si="277"/>
        <v>293</v>
      </c>
      <c r="FE420" t="str">
        <f t="shared" si="278"/>
        <v>water</v>
      </c>
      <c r="FF420" t="str">
        <f t="shared" si="279"/>
        <v xml:space="preserve"> </v>
      </c>
      <c r="FG420" s="408" t="str">
        <f t="shared" si="272"/>
        <v/>
      </c>
      <c r="FH420" s="138">
        <f t="shared" si="280"/>
        <v>4.9000000000000004</v>
      </c>
      <c r="FI420" s="106">
        <f t="shared" si="299"/>
        <v>4.8837485183723208</v>
      </c>
      <c r="FJ420" s="138" t="str">
        <f t="shared" si="281"/>
        <v/>
      </c>
      <c r="FK420" s="138" t="str">
        <f t="shared" si="282"/>
        <v>**</v>
      </c>
    </row>
    <row r="421" spans="1:167" ht="12.75" hidden="1" customHeight="1" x14ac:dyDescent="0.2">
      <c r="A421">
        <v>386</v>
      </c>
      <c r="B421" t="s">
        <v>1595</v>
      </c>
      <c r="C421" s="4"/>
      <c r="D421" t="s">
        <v>561</v>
      </c>
      <c r="E421">
        <v>-1537</v>
      </c>
      <c r="F421" t="str">
        <f>VLOOKUP(E421,CompDbase!B:L,4,FALSE)</f>
        <v>fluorene</v>
      </c>
      <c r="G421" s="95" t="str">
        <f>VLOOKUP(E421,CompDbase!B:M,12,FALSE)</f>
        <v>PAK</v>
      </c>
      <c r="H421" s="95">
        <f>VLOOKUP(E421,CompDbase!B:L,8,FALSE)</f>
        <v>166.1</v>
      </c>
      <c r="I421" s="95">
        <f>VLOOKUP(E421,CompDbase!B:L,11,FALSE)</f>
        <v>154.60000000000002</v>
      </c>
      <c r="J421" s="95">
        <f>VLOOKUP(E421,CompDbase!B:L,9,FALSE)</f>
        <v>9.8227031484622565</v>
      </c>
      <c r="K421" s="95">
        <f>VLOOKUP(E421,CompDbase!B:L,10,FALSE)</f>
        <v>4.1399999999999997</v>
      </c>
      <c r="L421" s="4" t="s">
        <v>769</v>
      </c>
      <c r="M421" s="426">
        <v>900000</v>
      </c>
      <c r="N421" s="426"/>
      <c r="O421" s="4" t="s">
        <v>1985</v>
      </c>
      <c r="P421">
        <f t="shared" si="292"/>
        <v>293</v>
      </c>
      <c r="Q421" s="4" t="s">
        <v>1049</v>
      </c>
      <c r="S421" s="4"/>
      <c r="T421" s="95"/>
      <c r="W421" s="199">
        <f t="shared" si="293"/>
        <v>6309.5734448019384</v>
      </c>
      <c r="X421">
        <v>3.8</v>
      </c>
      <c r="AC421" t="s">
        <v>68</v>
      </c>
      <c r="AG421" s="138">
        <f t="shared" si="294"/>
        <v>3.8</v>
      </c>
      <c r="AH421">
        <f t="shared" si="295"/>
        <v>4.1399999999999997</v>
      </c>
      <c r="AI421">
        <f t="shared" si="295"/>
        <v>4.1399999999999997</v>
      </c>
      <c r="AL421">
        <f t="shared" si="296"/>
        <v>4.1399999999999997</v>
      </c>
      <c r="BW421" s="138"/>
      <c r="BX421">
        <f t="shared" si="297"/>
        <v>0.99223101944809233</v>
      </c>
      <c r="BY421">
        <f t="shared" si="297"/>
        <v>0.99223101944809233</v>
      </c>
      <c r="CB421">
        <f t="shared" si="298"/>
        <v>0.99223101944809233</v>
      </c>
      <c r="DG421" s="138"/>
      <c r="EY421" s="479">
        <f>VLOOKUP(B421,Literatuur!$A:$B,2,FALSE)</f>
        <v>29</v>
      </c>
      <c r="EZ421" t="str">
        <f t="shared" si="273"/>
        <v>fluorene</v>
      </c>
      <c r="FA421" t="str">
        <f t="shared" si="274"/>
        <v>PAK</v>
      </c>
      <c r="FB421" t="str">
        <f t="shared" si="275"/>
        <v>LDPE</v>
      </c>
      <c r="FC421" t="str">
        <f t="shared" si="276"/>
        <v>Immersion (shaking)</v>
      </c>
      <c r="FD421">
        <f t="shared" si="277"/>
        <v>293</v>
      </c>
      <c r="FE421" t="str">
        <f t="shared" si="278"/>
        <v>water</v>
      </c>
      <c r="FF421" t="str">
        <f t="shared" si="279"/>
        <v xml:space="preserve"> </v>
      </c>
      <c r="FG421" s="408" t="str">
        <f t="shared" si="272"/>
        <v/>
      </c>
      <c r="FH421" s="138">
        <f t="shared" si="280"/>
        <v>3.8</v>
      </c>
      <c r="FI421" s="106">
        <f t="shared" si="299"/>
        <v>3.8540670206840293</v>
      </c>
      <c r="FJ421" s="138" t="str">
        <f t="shared" si="281"/>
        <v/>
      </c>
      <c r="FK421" s="138" t="str">
        <f t="shared" si="282"/>
        <v>**</v>
      </c>
    </row>
    <row r="422" spans="1:167" ht="12.75" hidden="1" customHeight="1" x14ac:dyDescent="0.2">
      <c r="A422">
        <v>387</v>
      </c>
      <c r="B422" s="4" t="s">
        <v>1595</v>
      </c>
      <c r="C422" s="4"/>
      <c r="D422" t="s">
        <v>559</v>
      </c>
      <c r="E422">
        <v>310</v>
      </c>
      <c r="F422" t="str">
        <f>VLOOKUP(E422,CompDbase!B:L,4,FALSE)</f>
        <v>Naphthalene</v>
      </c>
      <c r="G422" s="95" t="str">
        <f>VLOOKUP(E422,CompDbase!B:M,12,FALSE)</f>
        <v>PAK</v>
      </c>
      <c r="H422" s="95">
        <f>VLOOKUP(E422,CompDbase!B:L,8,FALSE)</f>
        <v>128.19</v>
      </c>
      <c r="I422" s="95">
        <f>VLOOKUP(E422,CompDbase!B:L,11,FALSE)</f>
        <v>124.6</v>
      </c>
      <c r="J422" s="95">
        <f>VLOOKUP(E422,CompDbase!B:L,9,FALSE)</f>
        <v>31.8</v>
      </c>
      <c r="K422" s="95">
        <f>VLOOKUP(E422,CompDbase!B:L,10,FALSE)</f>
        <v>3.3</v>
      </c>
      <c r="L422" s="4" t="s">
        <v>769</v>
      </c>
      <c r="M422" s="426">
        <v>900000</v>
      </c>
      <c r="N422" s="426"/>
      <c r="O422" s="4" t="s">
        <v>1985</v>
      </c>
      <c r="P422">
        <f t="shared" si="292"/>
        <v>293</v>
      </c>
      <c r="Q422" s="4" t="s">
        <v>1049</v>
      </c>
      <c r="S422" s="4"/>
      <c r="T422" s="95"/>
      <c r="W422" s="199">
        <f t="shared" si="293"/>
        <v>630.95734448019323</v>
      </c>
      <c r="X422">
        <v>2.8</v>
      </c>
      <c r="AC422" t="s">
        <v>68</v>
      </c>
      <c r="AG422" s="138">
        <f t="shared" si="294"/>
        <v>2.8</v>
      </c>
      <c r="AH422">
        <f t="shared" si="295"/>
        <v>3.3</v>
      </c>
      <c r="AI422">
        <f t="shared" si="295"/>
        <v>3.3</v>
      </c>
      <c r="AL422">
        <f t="shared" si="296"/>
        <v>3.3</v>
      </c>
      <c r="BW422" s="138"/>
      <c r="BX422">
        <f t="shared" si="297"/>
        <v>1.5024271199844328</v>
      </c>
      <c r="BY422">
        <f t="shared" si="297"/>
        <v>1.5024271199844328</v>
      </c>
      <c r="CB422">
        <f t="shared" si="298"/>
        <v>1.5024271199844328</v>
      </c>
      <c r="DG422" s="138"/>
      <c r="EY422" s="479">
        <f>VLOOKUP(B422,Literatuur!$A:$B,2,FALSE)</f>
        <v>29</v>
      </c>
      <c r="EZ422" t="str">
        <f t="shared" si="273"/>
        <v>naphthalene</v>
      </c>
      <c r="FA422" t="str">
        <f t="shared" si="274"/>
        <v>PAK</v>
      </c>
      <c r="FB422" t="str">
        <f t="shared" si="275"/>
        <v>LDPE</v>
      </c>
      <c r="FC422" t="str">
        <f t="shared" si="276"/>
        <v>Immersion (shaking)</v>
      </c>
      <c r="FD422">
        <f t="shared" si="277"/>
        <v>293</v>
      </c>
      <c r="FE422" t="str">
        <f t="shared" si="278"/>
        <v>water</v>
      </c>
      <c r="FF422" t="str">
        <f t="shared" si="279"/>
        <v xml:space="preserve"> </v>
      </c>
      <c r="FG422" s="408" t="str">
        <f t="shared" si="272"/>
        <v/>
      </c>
      <c r="FH422" s="138">
        <f t="shared" si="280"/>
        <v>2.8</v>
      </c>
      <c r="FI422" s="106">
        <f t="shared" si="299"/>
        <v>2.9339261078561947</v>
      </c>
      <c r="FJ422" s="138" t="str">
        <f t="shared" si="281"/>
        <v/>
      </c>
      <c r="FK422" s="138" t="str">
        <f t="shared" si="282"/>
        <v>**</v>
      </c>
    </row>
    <row r="423" spans="1:167" ht="12.75" hidden="1" customHeight="1" x14ac:dyDescent="0.2">
      <c r="A423">
        <v>388</v>
      </c>
      <c r="B423" t="s">
        <v>1595</v>
      </c>
      <c r="C423" s="4"/>
      <c r="D423" t="s">
        <v>562</v>
      </c>
      <c r="E423" s="33">
        <v>-1538</v>
      </c>
      <c r="F423" t="str">
        <f>VLOOKUP(E423,CompDbase!B:L,4,FALSE)</f>
        <v>phenanthrene</v>
      </c>
      <c r="G423" s="95" t="str">
        <f>VLOOKUP(E423,CompDbase!B:M,12,FALSE)</f>
        <v>PAK</v>
      </c>
      <c r="H423" s="95">
        <f>VLOOKUP(E423,CompDbase!B:L,8,FALSE)</f>
        <v>178.1</v>
      </c>
      <c r="I423" s="95">
        <f>VLOOKUP(E423,CompDbase!B:L,11,FALSE)</f>
        <v>160.35</v>
      </c>
      <c r="J423" s="95">
        <f>VLOOKUP(E423,CompDbase!B:L,9,FALSE)</f>
        <v>4.3501847309898105</v>
      </c>
      <c r="K423" s="95">
        <f>VLOOKUP(E423,CompDbase!B:L,10,FALSE)</f>
        <v>4.4800000000000004</v>
      </c>
      <c r="L423" s="4" t="s">
        <v>769</v>
      </c>
      <c r="M423" s="426">
        <v>900000</v>
      </c>
      <c r="N423" s="426"/>
      <c r="O423" s="4" t="s">
        <v>1985</v>
      </c>
      <c r="P423">
        <f t="shared" si="292"/>
        <v>293</v>
      </c>
      <c r="Q423" s="4" t="s">
        <v>1049</v>
      </c>
      <c r="S423" s="4"/>
      <c r="T423" s="95"/>
      <c r="W423" s="199">
        <f t="shared" si="293"/>
        <v>15848.931924611146</v>
      </c>
      <c r="X423">
        <v>4.2</v>
      </c>
      <c r="AC423" t="s">
        <v>68</v>
      </c>
      <c r="AG423" s="138">
        <f t="shared" si="294"/>
        <v>4.2</v>
      </c>
      <c r="AH423">
        <f t="shared" si="295"/>
        <v>4.4800000000000004</v>
      </c>
      <c r="AI423">
        <f t="shared" si="295"/>
        <v>4.4800000000000004</v>
      </c>
      <c r="AL423">
        <f t="shared" si="296"/>
        <v>4.4800000000000004</v>
      </c>
      <c r="BW423" s="138"/>
      <c r="BX423">
        <f t="shared" si="297"/>
        <v>0.63850769970085575</v>
      </c>
      <c r="BY423">
        <f t="shared" si="297"/>
        <v>0.63850769970085575</v>
      </c>
      <c r="CB423">
        <f t="shared" si="298"/>
        <v>0.63850769970085575</v>
      </c>
      <c r="DG423" s="138"/>
      <c r="EY423" s="479">
        <f>VLOOKUP(B423,Literatuur!$A:$B,2,FALSE)</f>
        <v>29</v>
      </c>
      <c r="EZ423" t="str">
        <f t="shared" si="273"/>
        <v>phenanthrene</v>
      </c>
      <c r="FA423" t="str">
        <f t="shared" si="274"/>
        <v>PAK</v>
      </c>
      <c r="FB423" t="str">
        <f t="shared" si="275"/>
        <v>LDPE</v>
      </c>
      <c r="FC423" t="str">
        <f t="shared" si="276"/>
        <v>Immersion (shaking)</v>
      </c>
      <c r="FD423">
        <f t="shared" si="277"/>
        <v>293</v>
      </c>
      <c r="FE423" t="str">
        <f t="shared" si="278"/>
        <v>water</v>
      </c>
      <c r="FF423" t="str">
        <f t="shared" si="279"/>
        <v xml:space="preserve"> </v>
      </c>
      <c r="FG423" s="408" t="str">
        <f t="shared" si="272"/>
        <v/>
      </c>
      <c r="FH423" s="138">
        <f t="shared" si="280"/>
        <v>4.2</v>
      </c>
      <c r="FI423" s="106">
        <f t="shared" si="299"/>
        <v>4.2265050092095819</v>
      </c>
      <c r="FJ423" s="138" t="str">
        <f t="shared" si="281"/>
        <v/>
      </c>
      <c r="FK423" s="138" t="str">
        <f t="shared" si="282"/>
        <v>**</v>
      </c>
    </row>
    <row r="424" spans="1:167" ht="12.75" hidden="1" customHeight="1" x14ac:dyDescent="0.2">
      <c r="A424">
        <v>389</v>
      </c>
      <c r="B424" t="s">
        <v>1595</v>
      </c>
      <c r="C424" s="4"/>
      <c r="D424" t="s">
        <v>565</v>
      </c>
      <c r="E424" s="33">
        <v>-1541</v>
      </c>
      <c r="F424" t="str">
        <f>VLOOKUP(E424,CompDbase!B:L,4,FALSE)</f>
        <v>pyrene</v>
      </c>
      <c r="G424" s="95" t="str">
        <f>VLOOKUP(E424,CompDbase!B:M,12,FALSE)</f>
        <v>PAK</v>
      </c>
      <c r="H424" s="95">
        <f>VLOOKUP(E424,CompDbase!B:L,8,FALSE)</f>
        <v>202.15</v>
      </c>
      <c r="I424" s="95">
        <f>VLOOKUP(E424,CompDbase!B:L,11,FALSE)</f>
        <v>182.10000000000002</v>
      </c>
      <c r="J424" s="95">
        <f>VLOOKUP(E424,CompDbase!B:L,9,FALSE)</f>
        <v>0.83636506257935239</v>
      </c>
      <c r="K424" s="95">
        <f>VLOOKUP(E424,CompDbase!B:L,10,FALSE)</f>
        <v>4.9399999999999995</v>
      </c>
      <c r="L424" s="4" t="s">
        <v>769</v>
      </c>
      <c r="M424" s="426">
        <v>900000</v>
      </c>
      <c r="N424" s="426"/>
      <c r="O424" s="4" t="s">
        <v>1985</v>
      </c>
      <c r="P424">
        <f t="shared" si="292"/>
        <v>293</v>
      </c>
      <c r="Q424" s="4" t="s">
        <v>1049</v>
      </c>
      <c r="S424" s="4"/>
      <c r="T424" s="95"/>
      <c r="W424" s="199">
        <f t="shared" si="293"/>
        <v>125892.54117941685</v>
      </c>
      <c r="X424">
        <v>5.0999999999999996</v>
      </c>
      <c r="AC424" t="s">
        <v>68</v>
      </c>
      <c r="AG424" s="138">
        <f t="shared" si="294"/>
        <v>5.0999999999999996</v>
      </c>
      <c r="AH424">
        <f t="shared" si="295"/>
        <v>4.9399999999999995</v>
      </c>
      <c r="AI424">
        <f t="shared" si="295"/>
        <v>4.9399999999999995</v>
      </c>
      <c r="AL424">
        <f t="shared" si="296"/>
        <v>4.9399999999999995</v>
      </c>
      <c r="BW424" s="138"/>
      <c r="BX424">
        <f t="shared" si="297"/>
        <v>-7.760411722919576E-2</v>
      </c>
      <c r="BY424">
        <f t="shared" si="297"/>
        <v>-7.760411722919576E-2</v>
      </c>
      <c r="CB424">
        <f t="shared" si="298"/>
        <v>-7.760411722919576E-2</v>
      </c>
      <c r="DG424" s="138"/>
      <c r="EY424" s="479">
        <f>VLOOKUP(B424,Literatuur!$A:$B,2,FALSE)</f>
        <v>29</v>
      </c>
      <c r="EZ424" t="str">
        <f t="shared" si="273"/>
        <v>pyrene</v>
      </c>
      <c r="FA424" t="str">
        <f t="shared" si="274"/>
        <v>PAK</v>
      </c>
      <c r="FB424" t="str">
        <f t="shared" si="275"/>
        <v>LDPE</v>
      </c>
      <c r="FC424" t="str">
        <f t="shared" si="276"/>
        <v>Immersion (shaking)</v>
      </c>
      <c r="FD424">
        <f t="shared" si="277"/>
        <v>293</v>
      </c>
      <c r="FE424" t="str">
        <f t="shared" si="278"/>
        <v>water</v>
      </c>
      <c r="FF424" t="str">
        <f t="shared" si="279"/>
        <v xml:space="preserve"> </v>
      </c>
      <c r="FG424" s="408" t="str">
        <f t="shared" si="272"/>
        <v/>
      </c>
      <c r="FH424" s="138">
        <f t="shared" si="280"/>
        <v>5.0999999999999996</v>
      </c>
      <c r="FI424" s="106">
        <f t="shared" si="299"/>
        <v>4.7303916995676811</v>
      </c>
      <c r="FJ424" s="138" t="str">
        <f t="shared" si="281"/>
        <v/>
      </c>
      <c r="FK424" s="138" t="str">
        <f t="shared" si="282"/>
        <v>**</v>
      </c>
    </row>
    <row r="425" spans="1:167" ht="12.75" hidden="1" customHeight="1" x14ac:dyDescent="0.2">
      <c r="A425">
        <v>390</v>
      </c>
      <c r="B425" s="4" t="s">
        <v>430</v>
      </c>
      <c r="C425" s="4"/>
      <c r="D425" t="s">
        <v>369</v>
      </c>
      <c r="E425">
        <v>-1416</v>
      </c>
      <c r="F425" t="str">
        <f>VLOOKUP(E425,CompDbase!B:L,4,FALSE)</f>
        <v>Biphenyl</v>
      </c>
      <c r="G425" s="95" t="str">
        <f>VLOOKUP(E425,CompDbase!B:M,12,FALSE)</f>
        <v>PAK</v>
      </c>
      <c r="H425" s="95">
        <f>VLOOKUP(E425,CompDbase!B:L,8,FALSE)</f>
        <v>154.21</v>
      </c>
      <c r="I425" s="95" t="e">
        <f>VLOOKUP(E425,CompDbase!B:L,11,FALSE)</f>
        <v>#DIV/0!</v>
      </c>
      <c r="J425" s="95">
        <f>VLOOKUP(E425,CompDbase!B:L,9,FALSE)</f>
        <v>6.4766666666666666</v>
      </c>
      <c r="K425" s="95">
        <f>VLOOKUP(E425,CompDbase!B:L,10,FALSE)</f>
        <v>4.0449999999999999</v>
      </c>
      <c r="L425" s="4" t="s">
        <v>769</v>
      </c>
      <c r="O425" s="4" t="s">
        <v>1082</v>
      </c>
      <c r="P425">
        <v>293</v>
      </c>
      <c r="Q425" s="4" t="s">
        <v>1049</v>
      </c>
      <c r="R425" s="289" t="s">
        <v>1982</v>
      </c>
      <c r="S425" s="33">
        <v>1.1000000000000001E-3</v>
      </c>
      <c r="T425" s="95">
        <f>S425/J425</f>
        <v>1.6984045290787444E-4</v>
      </c>
      <c r="W425">
        <v>24</v>
      </c>
      <c r="X425" s="288">
        <f>LOG(W425)</f>
        <v>1.3802112417116059</v>
      </c>
      <c r="Y425">
        <v>2.3148148148148146E-13</v>
      </c>
      <c r="Z425" s="95">
        <f>LOG(Y425)</f>
        <v>-12.635483746814913</v>
      </c>
      <c r="AA425" s="95">
        <f>W425*Y425</f>
        <v>5.5555555555555547E-12</v>
      </c>
      <c r="AB425" s="288">
        <f>LOG(AA425)</f>
        <v>-11.255272505103306</v>
      </c>
      <c r="AC425" s="95" t="s">
        <v>68</v>
      </c>
      <c r="AD425" s="95"/>
      <c r="AG425" s="138">
        <f t="shared" si="294"/>
        <v>1.3802112417116059</v>
      </c>
      <c r="AH425">
        <f t="shared" si="295"/>
        <v>4.0449999999999999</v>
      </c>
      <c r="AK425">
        <f t="shared" ref="AK425" si="300">$K425</f>
        <v>4.0449999999999999</v>
      </c>
      <c r="BW425" s="138"/>
      <c r="BX425">
        <f t="shared" ref="BX425:BX430" si="301">LOG(1*$J425)</f>
        <v>0.81135154588012004</v>
      </c>
      <c r="CA425">
        <f>LOG(1*$J425)</f>
        <v>0.81135154588012004</v>
      </c>
      <c r="DG425">
        <f>Z425</f>
        <v>-12.635483746814913</v>
      </c>
      <c r="DH425">
        <f>$H425</f>
        <v>154.21</v>
      </c>
      <c r="DK425">
        <f t="shared" ref="DK425" si="302">$H425</f>
        <v>154.21</v>
      </c>
      <c r="DM425">
        <f t="shared" ref="DM425" si="303">$H425</f>
        <v>154.21</v>
      </c>
      <c r="DP425">
        <f>$DM$19*DM425+$DM$21</f>
        <v>-12.420779646314729</v>
      </c>
      <c r="DQ425">
        <f t="shared" ref="DQ425" si="304">DG425-DP425</f>
        <v>-0.21470410050018351</v>
      </c>
      <c r="DR425">
        <f>DQ425^2</f>
        <v>4.6097850771592903E-2</v>
      </c>
      <c r="EY425" s="479">
        <f>VLOOKUP(B425,Literatuur!$A:$B,2,FALSE)</f>
        <v>37</v>
      </c>
      <c r="EZ425" t="str">
        <f t="shared" si="273"/>
        <v>Bifenly</v>
      </c>
      <c r="FA425" t="str">
        <f t="shared" si="274"/>
        <v>PAK</v>
      </c>
      <c r="FB425" t="str">
        <f t="shared" si="275"/>
        <v>LDPE</v>
      </c>
      <c r="FC425" t="str">
        <f t="shared" si="276"/>
        <v>Permeation</v>
      </c>
      <c r="FD425">
        <f t="shared" si="277"/>
        <v>293</v>
      </c>
      <c r="FE425" t="str">
        <f t="shared" si="278"/>
        <v>water</v>
      </c>
      <c r="FF425" t="str">
        <f t="shared" si="279"/>
        <v>measured 0.0011</v>
      </c>
      <c r="FG425" s="408">
        <f t="shared" si="272"/>
        <v>1.6984045290787444E-4</v>
      </c>
      <c r="FH425" s="138">
        <f t="shared" si="280"/>
        <v>1.3802112417116059</v>
      </c>
      <c r="FI425" s="106" t="str">
        <f t="shared" si="299"/>
        <v>**</v>
      </c>
      <c r="FJ425" s="138">
        <f t="shared" si="281"/>
        <v>-12.635483746814913</v>
      </c>
      <c r="FK425" s="138">
        <f t="shared" si="282"/>
        <v>-12.420779646314729</v>
      </c>
    </row>
    <row r="426" spans="1:167" ht="12.75" hidden="1" customHeight="1" x14ac:dyDescent="0.2">
      <c r="A426">
        <v>391</v>
      </c>
      <c r="B426" t="s">
        <v>1547</v>
      </c>
      <c r="C426" s="4"/>
      <c r="D426" s="4" t="s">
        <v>1009</v>
      </c>
      <c r="E426" s="4">
        <v>-1734</v>
      </c>
      <c r="F426" t="str">
        <f>VLOOKUP(E426,CompDbase!B:L,4,FALSE)</f>
        <v>PCB 143</v>
      </c>
      <c r="G426" s="95" t="str">
        <f>VLOOKUP(E426,CompDbase!B:M,12,FALSE)</f>
        <v>PCB</v>
      </c>
      <c r="H426" s="95">
        <f>VLOOKUP(E426,CompDbase!B:L,8,FALSE)</f>
        <v>360.9</v>
      </c>
      <c r="I426" s="95" t="e">
        <f>VLOOKUP(E426,CompDbase!B:L,11,FALSE)</f>
        <v>#DIV/0!</v>
      </c>
      <c r="J426" s="95">
        <f>VLOOKUP(E426,CompDbase!B:L,9,FALSE)</f>
        <v>2.2771250562290155E-2</v>
      </c>
      <c r="K426" s="95">
        <f>VLOOKUP(E426,CompDbase!B:L,10,FALSE)</f>
        <v>6.65</v>
      </c>
      <c r="L426" s="4" t="s">
        <v>769</v>
      </c>
      <c r="M426" s="420"/>
      <c r="N426" s="420"/>
      <c r="O426" s="4" t="s">
        <v>1986</v>
      </c>
      <c r="P426">
        <f>273+24</f>
        <v>297</v>
      </c>
      <c r="Q426" s="4" t="s">
        <v>1049</v>
      </c>
      <c r="R426" s="289" t="s">
        <v>1983</v>
      </c>
      <c r="S426" s="4"/>
      <c r="T426" s="95">
        <v>1</v>
      </c>
      <c r="W426" s="199">
        <f>10^X426</f>
        <v>6309573.4448019378</v>
      </c>
      <c r="X426">
        <v>6.8</v>
      </c>
      <c r="Z426" s="190"/>
      <c r="AC426" t="s">
        <v>68</v>
      </c>
      <c r="AG426" s="138">
        <f t="shared" si="294"/>
        <v>6.8</v>
      </c>
      <c r="AH426">
        <f t="shared" si="295"/>
        <v>6.65</v>
      </c>
      <c r="AI426">
        <f t="shared" si="295"/>
        <v>6.65</v>
      </c>
      <c r="AM426">
        <f t="shared" ref="AM426:AM489" si="305">$K426</f>
        <v>6.65</v>
      </c>
      <c r="AP426">
        <f t="shared" ref="AP426:AP488" si="306">$K426</f>
        <v>6.65</v>
      </c>
      <c r="BW426" s="138"/>
      <c r="BX426">
        <f t="shared" si="301"/>
        <v>-1.6426131179404933</v>
      </c>
      <c r="BY426">
        <f>LOG(1*$J426)</f>
        <v>-1.6426131179404933</v>
      </c>
      <c r="CC426">
        <f>LOG(1*$J426)</f>
        <v>-1.6426131179404933</v>
      </c>
      <c r="CF426">
        <f>LOG(1*$J426)</f>
        <v>-1.6426131179404933</v>
      </c>
      <c r="DG426" s="138"/>
      <c r="EY426" s="479">
        <f>VLOOKUP(B426,Literatuur!$A:$B,2,FALSE)</f>
        <v>2</v>
      </c>
      <c r="EZ426" t="str">
        <f t="shared" si="273"/>
        <v>PCB 143</v>
      </c>
      <c r="FA426" t="str">
        <f t="shared" si="274"/>
        <v>PCB</v>
      </c>
      <c r="FB426" t="str">
        <f t="shared" si="275"/>
        <v>LDPE</v>
      </c>
      <c r="FC426" t="str">
        <f t="shared" si="276"/>
        <v>Immersion (spinning)</v>
      </c>
      <c r="FD426">
        <f t="shared" si="277"/>
        <v>297</v>
      </c>
      <c r="FE426" t="str">
        <f t="shared" si="278"/>
        <v>water</v>
      </c>
      <c r="FF426" t="str">
        <f t="shared" si="279"/>
        <v xml:space="preserve">saturated ?? </v>
      </c>
      <c r="FG426" s="408">
        <f t="shared" si="272"/>
        <v>1</v>
      </c>
      <c r="FH426" s="138">
        <f t="shared" si="280"/>
        <v>6.8</v>
      </c>
      <c r="FI426" s="106">
        <f t="shared" si="299"/>
        <v>6.3702330244118661</v>
      </c>
      <c r="FJ426" s="138" t="str">
        <f t="shared" si="281"/>
        <v/>
      </c>
      <c r="FK426" s="138" t="str">
        <f t="shared" si="282"/>
        <v>**</v>
      </c>
    </row>
    <row r="427" spans="1:167" ht="12.75" hidden="1" customHeight="1" x14ac:dyDescent="0.2">
      <c r="A427">
        <v>392</v>
      </c>
      <c r="B427" t="s">
        <v>1547</v>
      </c>
      <c r="C427" s="4"/>
      <c r="D427" s="4" t="s">
        <v>982</v>
      </c>
      <c r="E427" s="4">
        <v>-1587</v>
      </c>
      <c r="F427" t="str">
        <f>VLOOKUP(E427,CompDbase!B:L,4,FALSE)</f>
        <v>PCB #29</v>
      </c>
      <c r="G427" s="95" t="str">
        <f>VLOOKUP(E427,CompDbase!B:M,12,FALSE)</f>
        <v>PCB</v>
      </c>
      <c r="H427" s="95">
        <f>VLOOKUP(E427,CompDbase!B:L,8,FALSE)</f>
        <v>257.5</v>
      </c>
      <c r="I427" s="95">
        <f>VLOOKUP(E427,CompDbase!B:L,11,FALSE)</f>
        <v>187.5</v>
      </c>
      <c r="J427" s="95">
        <f>VLOOKUP(E427,CompDbase!B:L,9,FALSE)</f>
        <v>0.32417329353699781</v>
      </c>
      <c r="K427" s="95">
        <f>VLOOKUP(E427,CompDbase!B:L,10,FALSE)</f>
        <v>5.6333333333333329</v>
      </c>
      <c r="L427" s="4" t="s">
        <v>769</v>
      </c>
      <c r="M427" s="420"/>
      <c r="N427" s="420"/>
      <c r="O427" s="4" t="s">
        <v>1986</v>
      </c>
      <c r="P427">
        <f>273+24</f>
        <v>297</v>
      </c>
      <c r="Q427" s="4" t="s">
        <v>1049</v>
      </c>
      <c r="R427" s="289" t="s">
        <v>1983</v>
      </c>
      <c r="S427" s="4"/>
      <c r="T427" s="95">
        <v>1</v>
      </c>
      <c r="W427" s="199">
        <f>10^X427</f>
        <v>125892.54117941685</v>
      </c>
      <c r="X427">
        <v>5.0999999999999996</v>
      </c>
      <c r="AC427" t="s">
        <v>68</v>
      </c>
      <c r="AG427" s="138">
        <f t="shared" si="294"/>
        <v>5.0999999999999996</v>
      </c>
      <c r="AH427">
        <f t="shared" si="295"/>
        <v>5.6333333333333329</v>
      </c>
      <c r="AI427">
        <f t="shared" si="295"/>
        <v>5.6333333333333329</v>
      </c>
      <c r="AM427">
        <f t="shared" si="305"/>
        <v>5.6333333333333329</v>
      </c>
      <c r="AP427">
        <f t="shared" si="306"/>
        <v>5.6333333333333329</v>
      </c>
      <c r="BW427" s="138"/>
      <c r="BX427">
        <f t="shared" si="301"/>
        <v>-0.48922276662279052</v>
      </c>
      <c r="BY427">
        <f>LOG(1*$J427)</f>
        <v>-0.48922276662279052</v>
      </c>
      <c r="CC427">
        <f>LOG(1*$J427)</f>
        <v>-0.48922276662279052</v>
      </c>
      <c r="CF427">
        <f>LOG(1*$J427)</f>
        <v>-0.48922276662279052</v>
      </c>
      <c r="DG427" s="138"/>
      <c r="EY427" s="479">
        <f>VLOOKUP(B427,Literatuur!$A:$B,2,FALSE)</f>
        <v>2</v>
      </c>
      <c r="EZ427" t="str">
        <f t="shared" si="273"/>
        <v>PCB 29</v>
      </c>
      <c r="FA427" t="str">
        <f t="shared" si="274"/>
        <v>PCB</v>
      </c>
      <c r="FB427" t="str">
        <f t="shared" si="275"/>
        <v>LDPE</v>
      </c>
      <c r="FC427" t="str">
        <f t="shared" si="276"/>
        <v>Immersion (spinning)</v>
      </c>
      <c r="FD427">
        <f t="shared" si="277"/>
        <v>297</v>
      </c>
      <c r="FE427" t="str">
        <f t="shared" si="278"/>
        <v>water</v>
      </c>
      <c r="FF427" t="str">
        <f t="shared" si="279"/>
        <v xml:space="preserve">saturated ?? </v>
      </c>
      <c r="FG427" s="408">
        <f t="shared" si="272"/>
        <v>1</v>
      </c>
      <c r="FH427" s="138">
        <f t="shared" si="280"/>
        <v>5.0999999999999996</v>
      </c>
      <c r="FI427" s="106">
        <f t="shared" si="299"/>
        <v>5.293942109115342</v>
      </c>
      <c r="FJ427" s="138" t="str">
        <f t="shared" si="281"/>
        <v/>
      </c>
      <c r="FK427" s="138" t="str">
        <f t="shared" si="282"/>
        <v>**</v>
      </c>
    </row>
    <row r="428" spans="1:167" ht="12.75" hidden="1" customHeight="1" x14ac:dyDescent="0.2">
      <c r="A428">
        <v>393</v>
      </c>
      <c r="B428" t="s">
        <v>1547</v>
      </c>
      <c r="C428" s="4"/>
      <c r="D428" s="4" t="s">
        <v>989</v>
      </c>
      <c r="E428" s="4">
        <v>-1714</v>
      </c>
      <c r="F428" t="str">
        <f>VLOOKUP(E428,CompDbase!B:L,4,FALSE)</f>
        <v>PCB 52</v>
      </c>
      <c r="G428" s="95" t="str">
        <f>VLOOKUP(E428,CompDbase!B:M,12,FALSE)</f>
        <v>PCB</v>
      </c>
      <c r="H428" s="95">
        <f>VLOOKUP(E428,CompDbase!B:L,8,FALSE)</f>
        <v>292</v>
      </c>
      <c r="I428" s="95" t="e">
        <f>VLOOKUP(E428,CompDbase!B:L,11,FALSE)</f>
        <v>#DIV/0!</v>
      </c>
      <c r="J428" s="95">
        <f>VLOOKUP(E428,CompDbase!B:L,9,FALSE)</f>
        <v>0.11624729380162115</v>
      </c>
      <c r="K428" s="95">
        <f>VLOOKUP(E428,CompDbase!B:L,10,FALSE)</f>
        <v>5.85</v>
      </c>
      <c r="L428" s="4" t="s">
        <v>769</v>
      </c>
      <c r="M428" s="420"/>
      <c r="N428" s="420"/>
      <c r="O428" s="4" t="s">
        <v>1986</v>
      </c>
      <c r="P428">
        <f>273+23</f>
        <v>296</v>
      </c>
      <c r="Q428" s="4" t="s">
        <v>1049</v>
      </c>
      <c r="R428" s="289" t="s">
        <v>1983</v>
      </c>
      <c r="S428" s="4"/>
      <c r="T428" s="95">
        <v>1</v>
      </c>
      <c r="W428" s="199">
        <f>10^X428</f>
        <v>251188.64315095844</v>
      </c>
      <c r="X428">
        <v>5.4</v>
      </c>
      <c r="AC428" t="s">
        <v>68</v>
      </c>
      <c r="AG428" s="138">
        <f t="shared" si="294"/>
        <v>5.4</v>
      </c>
      <c r="AH428">
        <f t="shared" si="295"/>
        <v>5.85</v>
      </c>
      <c r="AI428">
        <f t="shared" si="295"/>
        <v>5.85</v>
      </c>
      <c r="AM428">
        <f t="shared" si="305"/>
        <v>5.85</v>
      </c>
      <c r="AP428">
        <f t="shared" si="306"/>
        <v>5.85</v>
      </c>
      <c r="BW428" s="138"/>
      <c r="BX428">
        <f t="shared" si="301"/>
        <v>-0.93461714855158184</v>
      </c>
      <c r="BY428">
        <f>LOG(1*$J428)</f>
        <v>-0.93461714855158184</v>
      </c>
      <c r="CC428">
        <f>LOG(1*$J428)</f>
        <v>-0.93461714855158184</v>
      </c>
      <c r="CF428">
        <f>LOG(1*$J428)</f>
        <v>-0.93461714855158184</v>
      </c>
      <c r="DG428" s="138"/>
      <c r="EY428" s="479">
        <f>VLOOKUP(B428,Literatuur!$A:$B,2,FALSE)</f>
        <v>2</v>
      </c>
      <c r="EZ428" t="str">
        <f t="shared" si="273"/>
        <v>PCB 52</v>
      </c>
      <c r="FA428" t="str">
        <f t="shared" si="274"/>
        <v>PCB</v>
      </c>
      <c r="FB428" t="str">
        <f t="shared" si="275"/>
        <v>LDPE</v>
      </c>
      <c r="FC428" t="str">
        <f t="shared" si="276"/>
        <v>Immersion (spinning)</v>
      </c>
      <c r="FD428">
        <f t="shared" si="277"/>
        <v>296</v>
      </c>
      <c r="FE428" t="str">
        <f t="shared" si="278"/>
        <v>water</v>
      </c>
      <c r="FF428" t="str">
        <f t="shared" si="279"/>
        <v xml:space="preserve">saturated ?? </v>
      </c>
      <c r="FG428" s="408">
        <f t="shared" si="272"/>
        <v>1</v>
      </c>
      <c r="FH428" s="138">
        <f t="shared" si="280"/>
        <v>5.4</v>
      </c>
      <c r="FI428" s="106">
        <f t="shared" si="299"/>
        <v>5.5233155828670606</v>
      </c>
      <c r="FJ428" s="138" t="str">
        <f t="shared" si="281"/>
        <v/>
      </c>
      <c r="FK428" s="138" t="str">
        <f t="shared" si="282"/>
        <v>**</v>
      </c>
    </row>
    <row r="429" spans="1:167" ht="12.75" hidden="1" customHeight="1" x14ac:dyDescent="0.2">
      <c r="A429">
        <v>394</v>
      </c>
      <c r="B429" t="s">
        <v>1547</v>
      </c>
      <c r="C429" s="4"/>
      <c r="D429" s="4" t="s">
        <v>993</v>
      </c>
      <c r="E429" s="4">
        <v>-1602</v>
      </c>
      <c r="F429" t="str">
        <f>VLOOKUP(E429,CompDbase!B:L,4,FALSE)</f>
        <v>PCB #69</v>
      </c>
      <c r="G429" s="95" t="str">
        <f>VLOOKUP(E429,CompDbase!B:M,12,FALSE)</f>
        <v>PCB</v>
      </c>
      <c r="H429" s="95">
        <f>VLOOKUP(E429,CompDbase!B:L,8,FALSE)</f>
        <v>292</v>
      </c>
      <c r="I429" s="95">
        <f>VLOOKUP(E429,CompDbase!B:L,11,FALSE)</f>
        <v>199.2</v>
      </c>
      <c r="J429" s="95">
        <f>VLOOKUP(E429,CompDbase!B:L,9,FALSE)</f>
        <v>9.2338507676916648E-2</v>
      </c>
      <c r="K429" s="95">
        <f>VLOOKUP(E429,CompDbase!B:L,10,FALSE)</f>
        <v>6.0466666666666669</v>
      </c>
      <c r="L429" s="4" t="s">
        <v>769</v>
      </c>
      <c r="M429" s="420"/>
      <c r="N429" s="420"/>
      <c r="O429" s="4" t="s">
        <v>1986</v>
      </c>
      <c r="P429">
        <f>273+24</f>
        <v>297</v>
      </c>
      <c r="Q429" s="4" t="s">
        <v>1049</v>
      </c>
      <c r="R429" s="289" t="s">
        <v>1983</v>
      </c>
      <c r="S429" s="4"/>
      <c r="T429" s="95">
        <v>1</v>
      </c>
      <c r="W429" s="199">
        <f>10^X429</f>
        <v>398107.17055349716</v>
      </c>
      <c r="X429">
        <v>5.6</v>
      </c>
      <c r="AC429" t="s">
        <v>68</v>
      </c>
      <c r="AG429" s="138">
        <f t="shared" si="294"/>
        <v>5.6</v>
      </c>
      <c r="AH429">
        <f t="shared" si="295"/>
        <v>6.0466666666666669</v>
      </c>
      <c r="AI429">
        <f t="shared" si="295"/>
        <v>6.0466666666666669</v>
      </c>
      <c r="AM429">
        <f t="shared" si="305"/>
        <v>6.0466666666666669</v>
      </c>
      <c r="AP429">
        <f t="shared" si="306"/>
        <v>6.0466666666666669</v>
      </c>
      <c r="BW429" s="138"/>
      <c r="BX429">
        <f t="shared" si="301"/>
        <v>-1.0346171485515818</v>
      </c>
      <c r="BY429">
        <f>LOG(1*$J429)</f>
        <v>-1.0346171485515818</v>
      </c>
      <c r="CC429">
        <f>LOG(1*$J429)</f>
        <v>-1.0346171485515818</v>
      </c>
      <c r="CF429">
        <f>LOG(1*$J429)</f>
        <v>-1.0346171485515818</v>
      </c>
      <c r="DG429" s="138"/>
      <c r="EY429" s="479">
        <f>VLOOKUP(B429,Literatuur!$A:$B,2,FALSE)</f>
        <v>2</v>
      </c>
      <c r="EZ429" t="str">
        <f t="shared" si="273"/>
        <v>PCB 69</v>
      </c>
      <c r="FA429" t="str">
        <f t="shared" si="274"/>
        <v>PCB</v>
      </c>
      <c r="FB429" t="str">
        <f t="shared" si="275"/>
        <v>LDPE</v>
      </c>
      <c r="FC429" t="str">
        <f t="shared" si="276"/>
        <v>Immersion (spinning)</v>
      </c>
      <c r="FD429">
        <f t="shared" si="277"/>
        <v>297</v>
      </c>
      <c r="FE429" t="str">
        <f t="shared" si="278"/>
        <v>water</v>
      </c>
      <c r="FF429" t="str">
        <f t="shared" si="279"/>
        <v xml:space="preserve">saturated ?? </v>
      </c>
      <c r="FG429" s="408">
        <f t="shared" si="272"/>
        <v>1</v>
      </c>
      <c r="FH429" s="138">
        <f t="shared" si="280"/>
        <v>5.6</v>
      </c>
      <c r="FI429" s="106">
        <f t="shared" si="299"/>
        <v>5.7315161205801592</v>
      </c>
      <c r="FJ429" s="138" t="str">
        <f t="shared" si="281"/>
        <v/>
      </c>
      <c r="FK429" s="138" t="str">
        <f t="shared" si="282"/>
        <v>**</v>
      </c>
    </row>
    <row r="430" spans="1:167" ht="12.75" hidden="1" customHeight="1" x14ac:dyDescent="0.2">
      <c r="A430">
        <v>395</v>
      </c>
      <c r="B430" t="s">
        <v>1547</v>
      </c>
      <c r="C430" s="4"/>
      <c r="D430" s="4" t="s">
        <v>997</v>
      </c>
      <c r="E430" s="4">
        <v>-1613</v>
      </c>
      <c r="F430" t="str">
        <f>VLOOKUP(E430,CompDbase!B:L,4,FALSE)</f>
        <v>PCB #97</v>
      </c>
      <c r="G430" s="95" t="str">
        <f>VLOOKUP(E430,CompDbase!B:M,12,FALSE)</f>
        <v>PCB</v>
      </c>
      <c r="H430" s="95">
        <f>VLOOKUP(E430,CompDbase!B:L,8,FALSE)</f>
        <v>326.39999999999998</v>
      </c>
      <c r="I430" s="95">
        <f>VLOOKUP(E430,CompDbase!B:L,11,FALSE)</f>
        <v>211.45</v>
      </c>
      <c r="J430" s="95">
        <f>VLOOKUP(E430,CompDbase!B:L,9,FALSE)</f>
        <v>5.1730913801930692E-2</v>
      </c>
      <c r="K430" s="95">
        <f>VLOOKUP(E430,CompDbase!B:L,10,FALSE)</f>
        <v>6.3299999999999992</v>
      </c>
      <c r="L430" s="4" t="s">
        <v>769</v>
      </c>
      <c r="M430" s="420"/>
      <c r="N430" s="420"/>
      <c r="O430" s="4" t="s">
        <v>1986</v>
      </c>
      <c r="P430">
        <f>273+24</f>
        <v>297</v>
      </c>
      <c r="Q430" s="4" t="s">
        <v>1049</v>
      </c>
      <c r="R430" s="289" t="s">
        <v>1983</v>
      </c>
      <c r="S430" s="4"/>
      <c r="T430" s="95">
        <v>1</v>
      </c>
      <c r="W430" s="199">
        <f>10^X430</f>
        <v>1995262.31496888</v>
      </c>
      <c r="X430">
        <v>6.3</v>
      </c>
      <c r="AC430" t="s">
        <v>68</v>
      </c>
      <c r="AG430" s="138">
        <f t="shared" si="294"/>
        <v>6.3</v>
      </c>
      <c r="AH430">
        <f t="shared" si="295"/>
        <v>6.3299999999999992</v>
      </c>
      <c r="AI430">
        <f t="shared" si="295"/>
        <v>6.3299999999999992</v>
      </c>
      <c r="AM430">
        <f t="shared" si="305"/>
        <v>6.3299999999999992</v>
      </c>
      <c r="AP430">
        <f t="shared" si="306"/>
        <v>6.3299999999999992</v>
      </c>
      <c r="BW430" s="138"/>
      <c r="BX430">
        <f t="shared" si="301"/>
        <v>-1.2862498499181769</v>
      </c>
      <c r="BY430">
        <f>LOG(1*$J430)</f>
        <v>-1.2862498499181769</v>
      </c>
      <c r="CC430">
        <f>LOG(1*$J430)</f>
        <v>-1.2862498499181769</v>
      </c>
      <c r="CF430">
        <f>LOG(1*$J430)</f>
        <v>-1.2862498499181769</v>
      </c>
      <c r="DG430" s="138"/>
      <c r="EY430" s="479">
        <f>VLOOKUP(B430,Literatuur!$A:$B,2,FALSE)</f>
        <v>2</v>
      </c>
      <c r="EZ430" t="str">
        <f t="shared" si="273"/>
        <v>PCB 97</v>
      </c>
      <c r="FA430" t="str">
        <f t="shared" si="274"/>
        <v>PCB</v>
      </c>
      <c r="FB430" t="str">
        <f t="shared" si="275"/>
        <v>LDPE</v>
      </c>
      <c r="FC430" t="str">
        <f t="shared" si="276"/>
        <v>Immersion (spinning)</v>
      </c>
      <c r="FD430">
        <f t="shared" si="277"/>
        <v>297</v>
      </c>
      <c r="FE430" t="str">
        <f t="shared" si="278"/>
        <v>water</v>
      </c>
      <c r="FF430" t="str">
        <f t="shared" si="279"/>
        <v xml:space="preserve">saturated ?? </v>
      </c>
      <c r="FG430" s="408">
        <f>IF(ISNUMBER(T430),T430,"")</f>
        <v>1</v>
      </c>
      <c r="FH430" s="138">
        <f t="shared" si="280"/>
        <v>6.3</v>
      </c>
      <c r="FI430" s="106">
        <f t="shared" si="299"/>
        <v>6.031466047793943</v>
      </c>
      <c r="FJ430" s="138" t="str">
        <f t="shared" si="281"/>
        <v/>
      </c>
      <c r="FK430" s="138" t="str">
        <f t="shared" si="282"/>
        <v>**</v>
      </c>
    </row>
    <row r="431" spans="1:167" ht="12.75" hidden="1" customHeight="1" x14ac:dyDescent="0.2">
      <c r="A431">
        <v>396</v>
      </c>
      <c r="B431" s="4" t="s">
        <v>1937</v>
      </c>
      <c r="C431" s="4"/>
      <c r="D431" s="4" t="s">
        <v>1774</v>
      </c>
      <c r="E431">
        <v>-1577</v>
      </c>
      <c r="F431" t="str">
        <f>VLOOKUP(E431,CompDbase!B:L,4,FALSE)</f>
        <v>PCB #1</v>
      </c>
      <c r="G431" s="95" t="str">
        <f>VLOOKUP(E431,CompDbase!B:M,12,FALSE)</f>
        <v>PCB</v>
      </c>
      <c r="H431" s="95" t="e">
        <f>VLOOKUP(E431,CompDbase!B:L,8,FALSE)</f>
        <v>#DIV/0!</v>
      </c>
      <c r="I431" s="95">
        <f>VLOOKUP(E431,CompDbase!B:L,11,FALSE)</f>
        <v>163.19999999999999</v>
      </c>
      <c r="J431" s="95" t="e">
        <f>VLOOKUP(E431,CompDbase!B:L,9,FALSE)</f>
        <v>#DIV/0!</v>
      </c>
      <c r="K431" s="95">
        <f>VLOOKUP(E431,CompDbase!B:L,10,FALSE)</f>
        <v>4.46</v>
      </c>
      <c r="L431" s="4" t="s">
        <v>769</v>
      </c>
      <c r="O431" s="4" t="s">
        <v>1985</v>
      </c>
      <c r="P431">
        <v>293</v>
      </c>
      <c r="Q431" s="4" t="s">
        <v>1049</v>
      </c>
      <c r="R431" s="289" t="s">
        <v>1982</v>
      </c>
      <c r="S431">
        <f t="shared" ref="S431:S462" si="307">0.000005</f>
        <v>5.0000000000000004E-6</v>
      </c>
      <c r="T431" s="95" t="e">
        <f t="shared" ref="T431:T462" si="308">S431/J431</f>
        <v>#DIV/0!</v>
      </c>
      <c r="W431">
        <v>7413.1024130091773</v>
      </c>
      <c r="X431" s="95">
        <f t="shared" ref="X431:X462" si="309">LOG(W431)</f>
        <v>3.87</v>
      </c>
      <c r="Z431" s="190"/>
      <c r="AC431" t="s">
        <v>68</v>
      </c>
      <c r="AG431" s="138">
        <f t="shared" si="294"/>
        <v>3.87</v>
      </c>
      <c r="AH431">
        <f t="shared" si="295"/>
        <v>4.46</v>
      </c>
      <c r="AI431">
        <f t="shared" si="295"/>
        <v>4.46</v>
      </c>
      <c r="AM431">
        <f t="shared" si="305"/>
        <v>4.46</v>
      </c>
      <c r="BW431" s="138"/>
      <c r="DG431" s="138"/>
      <c r="EY431" s="479">
        <f>VLOOKUP(B431,Literatuur!$A:$B,2,FALSE)</f>
        <v>8</v>
      </c>
      <c r="EZ431" t="str">
        <f t="shared" si="273"/>
        <v xml:space="preserve">PCB </v>
      </c>
      <c r="FA431" t="str">
        <f t="shared" si="274"/>
        <v>PCB</v>
      </c>
      <c r="FB431" t="str">
        <f t="shared" si="275"/>
        <v>LDPE</v>
      </c>
      <c r="FC431" t="str">
        <f t="shared" si="276"/>
        <v>Immersion (shaking)</v>
      </c>
      <c r="FD431">
        <f t="shared" si="277"/>
        <v>293</v>
      </c>
      <c r="FE431" t="str">
        <f t="shared" si="278"/>
        <v>water</v>
      </c>
      <c r="FF431" t="str">
        <f t="shared" si="279"/>
        <v>measured 0.000005</v>
      </c>
      <c r="FG431" s="408" t="str">
        <f t="shared" ref="FG431:FG494" si="310">IF(ISNUMBER(T431),T431,"")</f>
        <v/>
      </c>
      <c r="FH431" s="138">
        <f t="shared" si="280"/>
        <v>3.87</v>
      </c>
      <c r="FI431" s="106">
        <f t="shared" si="299"/>
        <v>4.0517965281829618</v>
      </c>
      <c r="FJ431" s="138" t="str">
        <f t="shared" si="281"/>
        <v/>
      </c>
      <c r="FK431" s="138" t="str">
        <f t="shared" si="282"/>
        <v>**</v>
      </c>
    </row>
    <row r="432" spans="1:167" ht="12.75" hidden="1" customHeight="1" x14ac:dyDescent="0.2">
      <c r="A432">
        <v>397</v>
      </c>
      <c r="B432" s="4" t="s">
        <v>1937</v>
      </c>
      <c r="C432" s="4"/>
      <c r="D432" t="s">
        <v>1122</v>
      </c>
      <c r="E432">
        <v>-1615</v>
      </c>
      <c r="F432" t="str">
        <f>VLOOKUP(E432,CompDbase!B:L,4,FALSE)</f>
        <v>PCB #100</v>
      </c>
      <c r="G432" s="95" t="str">
        <f>VLOOKUP(E432,CompDbase!B:M,12,FALSE)</f>
        <v>PCB</v>
      </c>
      <c r="H432" s="95" t="e">
        <f>VLOOKUP(E432,CompDbase!B:L,8,FALSE)</f>
        <v>#DIV/0!</v>
      </c>
      <c r="I432" s="95">
        <f>VLOOKUP(E432,CompDbase!B:L,11,FALSE)</f>
        <v>212.1</v>
      </c>
      <c r="J432" s="95" t="e">
        <f>VLOOKUP(E432,CompDbase!B:L,9,FALSE)</f>
        <v>#DIV/0!</v>
      </c>
      <c r="K432" s="95">
        <f>VLOOKUP(E432,CompDbase!B:L,10,FALSE)</f>
        <v>6.23</v>
      </c>
      <c r="L432" s="4" t="s">
        <v>769</v>
      </c>
      <c r="M432" s="423"/>
      <c r="N432" s="423"/>
      <c r="O432" s="4" t="s">
        <v>1985</v>
      </c>
      <c r="P432">
        <v>293</v>
      </c>
      <c r="Q432" s="4" t="s">
        <v>1049</v>
      </c>
      <c r="R432" s="289" t="s">
        <v>1982</v>
      </c>
      <c r="S432">
        <f t="shared" si="307"/>
        <v>5.0000000000000004E-6</v>
      </c>
      <c r="T432" s="95" t="e">
        <f t="shared" si="308"/>
        <v>#DIV/0!</v>
      </c>
      <c r="W432">
        <v>741310.24130091805</v>
      </c>
      <c r="X432" s="95">
        <f t="shared" si="309"/>
        <v>5.87</v>
      </c>
      <c r="Z432" s="190"/>
      <c r="AC432" t="s">
        <v>68</v>
      </c>
      <c r="AG432" s="138">
        <f t="shared" si="294"/>
        <v>5.87</v>
      </c>
      <c r="AH432">
        <f t="shared" si="295"/>
        <v>6.23</v>
      </c>
      <c r="AI432">
        <f t="shared" si="295"/>
        <v>6.23</v>
      </c>
      <c r="AM432">
        <f t="shared" si="305"/>
        <v>6.23</v>
      </c>
      <c r="BW432" s="138"/>
      <c r="DG432" s="138"/>
      <c r="EY432" s="479">
        <f>VLOOKUP(B432,Literatuur!$A:$B,2,FALSE)</f>
        <v>8</v>
      </c>
      <c r="EZ432" t="str">
        <f t="shared" ref="EZ432:EZ495" si="311">D432</f>
        <v>PCB #100</v>
      </c>
      <c r="FA432" t="str">
        <f t="shared" ref="FA432:FA495" si="312">G432</f>
        <v>PCB</v>
      </c>
      <c r="FB432" t="str">
        <f t="shared" ref="FB432:FB495" si="313">L432</f>
        <v>LDPE</v>
      </c>
      <c r="FC432" t="str">
        <f t="shared" ref="FC432:FC495" si="314">CONCATENATE(O432)</f>
        <v>Immersion (shaking)</v>
      </c>
      <c r="FD432">
        <f t="shared" ref="FD432:FD495" si="315">P432</f>
        <v>293</v>
      </c>
      <c r="FE432" t="str">
        <f t="shared" ref="FE432:FE495" si="316">Q432</f>
        <v>water</v>
      </c>
      <c r="FF432" t="str">
        <f t="shared" ref="FF432:FF495" si="317">CONCATENATE(R432," ",S432)</f>
        <v>measured 0.000005</v>
      </c>
      <c r="FG432" s="408" t="str">
        <f t="shared" si="310"/>
        <v/>
      </c>
      <c r="FH432" s="138">
        <f t="shared" ref="FH432:FH495" si="318">IF(ISNUMBER(X432),X432,"")</f>
        <v>5.87</v>
      </c>
      <c r="FI432" s="106">
        <f t="shared" si="299"/>
        <v>5.9256013676008434</v>
      </c>
      <c r="FJ432" s="138" t="str">
        <f t="shared" ref="FJ432:FJ495" si="319">IF(ISNUMBER(Z432),Z432,"")</f>
        <v/>
      </c>
      <c r="FK432" s="138" t="str">
        <f t="shared" ref="FK432:FK495" si="320">IF(ISNUMBER(DM432),DM432*DM$19+DM$21,IF(ISNUMBER(DN432),DN432*DN$19+DN$21,IF(ISNUMBER(DO432),DO432*DO$19+DO$21,"**")))</f>
        <v>**</v>
      </c>
    </row>
    <row r="433" spans="1:167" ht="12.75" hidden="1" customHeight="1" x14ac:dyDescent="0.2">
      <c r="A433">
        <v>398</v>
      </c>
      <c r="B433" s="4" t="s">
        <v>1937</v>
      </c>
      <c r="C433" s="4"/>
      <c r="D433" t="s">
        <v>1123</v>
      </c>
      <c r="E433">
        <v>-1616</v>
      </c>
      <c r="F433" t="str">
        <f>VLOOKUP(E433,CompDbase!B:L,4,FALSE)</f>
        <v>PCB #101</v>
      </c>
      <c r="G433" s="95" t="str">
        <f>VLOOKUP(E433,CompDbase!B:M,12,FALSE)</f>
        <v>PCB</v>
      </c>
      <c r="H433" s="95">
        <f>VLOOKUP(E433,CompDbase!B:L,8,FALSE)</f>
        <v>326.39999999999998</v>
      </c>
      <c r="I433" s="95">
        <f>VLOOKUP(E433,CompDbase!B:L,11,FALSE)</f>
        <v>212.15</v>
      </c>
      <c r="J433" s="95">
        <f>VLOOKUP(E433,CompDbase!B:L,9,FALSE)</f>
        <v>3.2640000000000002E-2</v>
      </c>
      <c r="K433" s="95">
        <f>VLOOKUP(E433,CompDbase!B:L,10,FALSE)</f>
        <v>6.3933333333333335</v>
      </c>
      <c r="L433" s="4" t="s">
        <v>769</v>
      </c>
      <c r="O433" s="4" t="s">
        <v>1985</v>
      </c>
      <c r="P433">
        <v>293</v>
      </c>
      <c r="Q433" s="4" t="s">
        <v>1049</v>
      </c>
      <c r="R433" s="289" t="s">
        <v>1982</v>
      </c>
      <c r="S433">
        <f t="shared" si="307"/>
        <v>5.0000000000000004E-6</v>
      </c>
      <c r="T433" s="95">
        <f t="shared" si="308"/>
        <v>1.5318627450980392E-4</v>
      </c>
      <c r="W433">
        <v>1548816.6189124861</v>
      </c>
      <c r="X433" s="95">
        <f t="shared" si="309"/>
        <v>6.1900000000000013</v>
      </c>
      <c r="Z433" s="190"/>
      <c r="AC433" t="s">
        <v>68</v>
      </c>
      <c r="AG433" s="138">
        <f t="shared" si="294"/>
        <v>6.1900000000000013</v>
      </c>
      <c r="AH433">
        <f t="shared" si="295"/>
        <v>6.3933333333333335</v>
      </c>
      <c r="AI433">
        <f t="shared" si="295"/>
        <v>6.3933333333333335</v>
      </c>
      <c r="AM433">
        <f t="shared" si="305"/>
        <v>6.3933333333333335</v>
      </c>
      <c r="AP433">
        <f t="shared" si="306"/>
        <v>6.3933333333333335</v>
      </c>
      <c r="BW433" s="138"/>
      <c r="BX433">
        <f>LOG(1*$J433)</f>
        <v>-1.4862498499181764</v>
      </c>
      <c r="BY433">
        <f>LOG(1*$J433)</f>
        <v>-1.4862498499181764</v>
      </c>
      <c r="CC433">
        <f>LOG(1*$J433)</f>
        <v>-1.4862498499181764</v>
      </c>
      <c r="DG433" s="138"/>
      <c r="EY433" s="479">
        <f>VLOOKUP(B433,Literatuur!$A:$B,2,FALSE)</f>
        <v>8</v>
      </c>
      <c r="EZ433" t="str">
        <f t="shared" si="311"/>
        <v>PCB #101</v>
      </c>
      <c r="FA433" t="str">
        <f t="shared" si="312"/>
        <v>PCB</v>
      </c>
      <c r="FB433" t="str">
        <f t="shared" si="313"/>
        <v>LDPE</v>
      </c>
      <c r="FC433" t="str">
        <f t="shared" si="314"/>
        <v>Immersion (shaking)</v>
      </c>
      <c r="FD433">
        <f t="shared" si="315"/>
        <v>293</v>
      </c>
      <c r="FE433" t="str">
        <f t="shared" si="316"/>
        <v>water</v>
      </c>
      <c r="FF433" t="str">
        <f t="shared" si="317"/>
        <v>measured 0.000005</v>
      </c>
      <c r="FG433" s="408">
        <f t="shared" si="310"/>
        <v>1.5318627450980392E-4</v>
      </c>
      <c r="FH433" s="138">
        <f t="shared" si="318"/>
        <v>6.1900000000000013</v>
      </c>
      <c r="FI433" s="106">
        <f t="shared" si="299"/>
        <v>6.0985136785829077</v>
      </c>
      <c r="FJ433" s="138" t="str">
        <f t="shared" si="319"/>
        <v/>
      </c>
      <c r="FK433" s="138" t="str">
        <f t="shared" si="320"/>
        <v>**</v>
      </c>
    </row>
    <row r="434" spans="1:167" ht="12.75" hidden="1" customHeight="1" x14ac:dyDescent="0.2">
      <c r="A434">
        <v>399</v>
      </c>
      <c r="B434" s="4" t="s">
        <v>1937</v>
      </c>
      <c r="C434" s="4"/>
      <c r="D434" t="s">
        <v>1124</v>
      </c>
      <c r="E434">
        <v>-1617</v>
      </c>
      <c r="F434" t="str">
        <f>VLOOKUP(E434,CompDbase!B:L,4,FALSE)</f>
        <v>PCB #103</v>
      </c>
      <c r="G434" s="95" t="str">
        <f>VLOOKUP(E434,CompDbase!B:M,12,FALSE)</f>
        <v>PCB</v>
      </c>
      <c r="H434" s="95" t="e">
        <f>VLOOKUP(E434,CompDbase!B:L,8,FALSE)</f>
        <v>#DIV/0!</v>
      </c>
      <c r="I434" s="95">
        <f>VLOOKUP(E434,CompDbase!B:L,11,FALSE)</f>
        <v>212</v>
      </c>
      <c r="J434" s="95" t="e">
        <f>VLOOKUP(E434,CompDbase!B:L,9,FALSE)</f>
        <v>#DIV/0!</v>
      </c>
      <c r="K434" s="95">
        <f>VLOOKUP(E434,CompDbase!B:L,10,FALSE)</f>
        <v>6.22</v>
      </c>
      <c r="L434" s="4" t="s">
        <v>769</v>
      </c>
      <c r="O434" s="4" t="s">
        <v>1985</v>
      </c>
      <c r="P434">
        <v>293</v>
      </c>
      <c r="Q434" s="4" t="s">
        <v>1049</v>
      </c>
      <c r="R434" s="289" t="s">
        <v>1982</v>
      </c>
      <c r="S434">
        <f t="shared" si="307"/>
        <v>5.0000000000000004E-6</v>
      </c>
      <c r="T434" s="95" t="e">
        <f t="shared" si="308"/>
        <v>#DIV/0!</v>
      </c>
      <c r="W434">
        <v>1949844.5997580495</v>
      </c>
      <c r="X434" s="95">
        <f t="shared" si="309"/>
        <v>6.2900000000000009</v>
      </c>
      <c r="Z434" s="190"/>
      <c r="AC434" t="s">
        <v>68</v>
      </c>
      <c r="AG434" s="138">
        <f t="shared" si="294"/>
        <v>6.2900000000000009</v>
      </c>
      <c r="AH434">
        <f t="shared" si="295"/>
        <v>6.22</v>
      </c>
      <c r="AI434">
        <f t="shared" si="295"/>
        <v>6.22</v>
      </c>
      <c r="AM434">
        <f t="shared" si="305"/>
        <v>6.22</v>
      </c>
      <c r="BW434" s="138"/>
      <c r="DG434" s="138"/>
      <c r="EY434" s="479">
        <f>VLOOKUP(B434,Literatuur!$A:$B,2,FALSE)</f>
        <v>8</v>
      </c>
      <c r="EZ434" t="str">
        <f t="shared" si="311"/>
        <v>PCB #103</v>
      </c>
      <c r="FA434" t="str">
        <f t="shared" si="312"/>
        <v>PCB</v>
      </c>
      <c r="FB434" t="str">
        <f t="shared" si="313"/>
        <v>LDPE</v>
      </c>
      <c r="FC434" t="str">
        <f t="shared" si="314"/>
        <v>Immersion (shaking)</v>
      </c>
      <c r="FD434">
        <f t="shared" si="315"/>
        <v>293</v>
      </c>
      <c r="FE434" t="str">
        <f t="shared" si="316"/>
        <v>water</v>
      </c>
      <c r="FF434" t="str">
        <f t="shared" si="317"/>
        <v>measured 0.000005</v>
      </c>
      <c r="FG434" s="408" t="str">
        <f t="shared" si="310"/>
        <v/>
      </c>
      <c r="FH434" s="138">
        <f t="shared" si="318"/>
        <v>6.2900000000000009</v>
      </c>
      <c r="FI434" s="106">
        <f t="shared" si="299"/>
        <v>5.915014899581533</v>
      </c>
      <c r="FJ434" s="138" t="str">
        <f t="shared" si="319"/>
        <v/>
      </c>
      <c r="FK434" s="138" t="str">
        <f t="shared" si="320"/>
        <v>**</v>
      </c>
    </row>
    <row r="435" spans="1:167" ht="12.75" hidden="1" customHeight="1" x14ac:dyDescent="0.2">
      <c r="A435">
        <v>400</v>
      </c>
      <c r="B435" s="4" t="s">
        <v>1937</v>
      </c>
      <c r="C435" s="4"/>
      <c r="D435" t="s">
        <v>1125</v>
      </c>
      <c r="E435">
        <v>-1618</v>
      </c>
      <c r="F435" t="str">
        <f>VLOOKUP(E435,CompDbase!B:L,4,FALSE)</f>
        <v>PCB #105</v>
      </c>
      <c r="G435" s="95" t="str">
        <f>VLOOKUP(E435,CompDbase!B:M,12,FALSE)</f>
        <v>PCB</v>
      </c>
      <c r="H435" s="95">
        <f>VLOOKUP(E435,CompDbase!B:L,8,FALSE)</f>
        <v>326.39999999999998</v>
      </c>
      <c r="I435" s="95">
        <f>VLOOKUP(E435,CompDbase!B:L,11,FALSE)</f>
        <v>209.9</v>
      </c>
      <c r="J435" s="95">
        <f>VLOOKUP(E435,CompDbase!B:L,9,FALSE)</f>
        <v>2.5926873581400549E-2</v>
      </c>
      <c r="K435" s="95">
        <f>VLOOKUP(E435,CompDbase!B:L,10,FALSE)</f>
        <v>6.7166666666666659</v>
      </c>
      <c r="L435" s="4" t="s">
        <v>769</v>
      </c>
      <c r="O435" s="4" t="s">
        <v>1985</v>
      </c>
      <c r="P435">
        <v>293</v>
      </c>
      <c r="Q435" s="4" t="s">
        <v>1049</v>
      </c>
      <c r="R435" s="289" t="s">
        <v>1982</v>
      </c>
      <c r="S435">
        <f t="shared" si="307"/>
        <v>5.0000000000000004E-6</v>
      </c>
      <c r="T435" s="95">
        <f t="shared" si="308"/>
        <v>1.9285009371846926E-4</v>
      </c>
      <c r="W435">
        <v>2754228.7033381732</v>
      </c>
      <c r="X435" s="95">
        <f t="shared" si="309"/>
        <v>6.4400000000000013</v>
      </c>
      <c r="Z435" s="190"/>
      <c r="AC435" t="s">
        <v>68</v>
      </c>
      <c r="AG435" s="138">
        <f t="shared" si="294"/>
        <v>6.4400000000000013</v>
      </c>
      <c r="AH435">
        <f t="shared" si="295"/>
        <v>6.7166666666666659</v>
      </c>
      <c r="AI435">
        <f t="shared" si="295"/>
        <v>6.7166666666666659</v>
      </c>
      <c r="AM435">
        <f t="shared" si="305"/>
        <v>6.7166666666666659</v>
      </c>
      <c r="AP435">
        <f t="shared" si="306"/>
        <v>6.7166666666666659</v>
      </c>
      <c r="BW435" s="138"/>
      <c r="BX435">
        <f>LOG(1*$J435)</f>
        <v>-1.5862498499181765</v>
      </c>
      <c r="BY435">
        <f>LOG(1*$J435)</f>
        <v>-1.5862498499181765</v>
      </c>
      <c r="CC435">
        <f>LOG(1*$J435)</f>
        <v>-1.5862498499181765</v>
      </c>
      <c r="DG435" s="138"/>
      <c r="EY435" s="479">
        <f>VLOOKUP(B435,Literatuur!$A:$B,2,FALSE)</f>
        <v>8</v>
      </c>
      <c r="EZ435" t="str">
        <f t="shared" si="311"/>
        <v>PCB #105</v>
      </c>
      <c r="FA435" t="str">
        <f t="shared" si="312"/>
        <v>PCB</v>
      </c>
      <c r="FB435" t="str">
        <f t="shared" si="313"/>
        <v>LDPE</v>
      </c>
      <c r="FC435" t="str">
        <f t="shared" si="314"/>
        <v>Immersion (shaking)</v>
      </c>
      <c r="FD435">
        <f t="shared" si="315"/>
        <v>293</v>
      </c>
      <c r="FE435" t="str">
        <f t="shared" si="316"/>
        <v>water</v>
      </c>
      <c r="FF435" t="str">
        <f t="shared" si="317"/>
        <v>measured 0.000005</v>
      </c>
      <c r="FG435" s="408">
        <f t="shared" si="310"/>
        <v>1.9285009371846926E-4</v>
      </c>
      <c r="FH435" s="138">
        <f t="shared" si="318"/>
        <v>6.4400000000000013</v>
      </c>
      <c r="FI435" s="106">
        <f t="shared" si="299"/>
        <v>6.4408094778739322</v>
      </c>
      <c r="FJ435" s="138" t="str">
        <f t="shared" si="319"/>
        <v/>
      </c>
      <c r="FK435" s="138" t="str">
        <f t="shared" si="320"/>
        <v>**</v>
      </c>
    </row>
    <row r="436" spans="1:167" ht="12.75" hidden="1" customHeight="1" x14ac:dyDescent="0.2">
      <c r="A436">
        <v>401</v>
      </c>
      <c r="B436" s="4" t="s">
        <v>1937</v>
      </c>
      <c r="C436" s="4"/>
      <c r="D436" t="s">
        <v>1126</v>
      </c>
      <c r="E436">
        <v>-1619</v>
      </c>
      <c r="F436" t="str">
        <f>VLOOKUP(E436,CompDbase!B:L,4,FALSE)</f>
        <v>PCB #107</v>
      </c>
      <c r="G436" s="95" t="str">
        <f>VLOOKUP(E436,CompDbase!B:M,12,FALSE)</f>
        <v>PCB</v>
      </c>
      <c r="H436" s="95" t="e">
        <f>VLOOKUP(E436,CompDbase!B:L,8,FALSE)</f>
        <v>#DIV/0!</v>
      </c>
      <c r="I436" s="95">
        <f>VLOOKUP(E436,CompDbase!B:L,11,FALSE)</f>
        <v>210.5</v>
      </c>
      <c r="J436" s="95" t="e">
        <f>VLOOKUP(E436,CompDbase!B:L,9,FALSE)</f>
        <v>#DIV/0!</v>
      </c>
      <c r="K436" s="95">
        <f>VLOOKUP(E436,CompDbase!B:L,10,FALSE)</f>
        <v>6.71</v>
      </c>
      <c r="L436" s="4" t="s">
        <v>769</v>
      </c>
      <c r="O436" s="4" t="s">
        <v>1985</v>
      </c>
      <c r="P436">
        <v>293</v>
      </c>
      <c r="Q436" s="4" t="s">
        <v>1049</v>
      </c>
      <c r="R436" s="289" t="s">
        <v>1982</v>
      </c>
      <c r="S436">
        <f t="shared" si="307"/>
        <v>5.0000000000000004E-6</v>
      </c>
      <c r="T436" s="95" t="e">
        <f t="shared" si="308"/>
        <v>#DIV/0!</v>
      </c>
      <c r="W436">
        <v>1318256.7385564097</v>
      </c>
      <c r="X436" s="95">
        <f t="shared" si="309"/>
        <v>6.120000000000001</v>
      </c>
      <c r="Z436" s="190"/>
      <c r="AC436" t="s">
        <v>68</v>
      </c>
      <c r="AG436" s="138">
        <f t="shared" si="294"/>
        <v>6.120000000000001</v>
      </c>
      <c r="AH436">
        <f t="shared" si="295"/>
        <v>6.71</v>
      </c>
      <c r="AI436">
        <f t="shared" si="295"/>
        <v>6.71</v>
      </c>
      <c r="AM436">
        <f t="shared" si="305"/>
        <v>6.71</v>
      </c>
      <c r="BW436" s="138"/>
      <c r="DG436" s="138"/>
      <c r="EY436" s="479">
        <f>VLOOKUP(B436,Literatuur!$A:$B,2,FALSE)</f>
        <v>8</v>
      </c>
      <c r="EZ436" t="str">
        <f t="shared" si="311"/>
        <v>PCB #107</v>
      </c>
      <c r="FA436" t="str">
        <f t="shared" si="312"/>
        <v>PCB</v>
      </c>
      <c r="FB436" t="str">
        <f t="shared" si="313"/>
        <v>LDPE</v>
      </c>
      <c r="FC436" t="str">
        <f t="shared" si="314"/>
        <v>Immersion (shaking)</v>
      </c>
      <c r="FD436">
        <f t="shared" si="315"/>
        <v>293</v>
      </c>
      <c r="FE436" t="str">
        <f t="shared" si="316"/>
        <v>water</v>
      </c>
      <c r="FF436" t="str">
        <f t="shared" si="317"/>
        <v>measured 0.000005</v>
      </c>
      <c r="FG436" s="408" t="str">
        <f t="shared" si="310"/>
        <v/>
      </c>
      <c r="FH436" s="138">
        <f t="shared" si="318"/>
        <v>6.120000000000001</v>
      </c>
      <c r="FI436" s="106">
        <f t="shared" si="299"/>
        <v>6.4337518325277259</v>
      </c>
      <c r="FJ436" s="138" t="str">
        <f t="shared" si="319"/>
        <v/>
      </c>
      <c r="FK436" s="138" t="str">
        <f t="shared" si="320"/>
        <v>**</v>
      </c>
    </row>
    <row r="437" spans="1:167" ht="12.75" hidden="1" customHeight="1" x14ac:dyDescent="0.2">
      <c r="A437">
        <v>402</v>
      </c>
      <c r="B437" s="4" t="s">
        <v>1937</v>
      </c>
      <c r="C437" s="4"/>
      <c r="D437" t="s">
        <v>1127</v>
      </c>
      <c r="E437">
        <v>-1620</v>
      </c>
      <c r="F437" t="str">
        <f>VLOOKUP(E437,CompDbase!B:L,4,FALSE)</f>
        <v>PCB #110</v>
      </c>
      <c r="G437" s="95" t="str">
        <f>VLOOKUP(E437,CompDbase!B:M,12,FALSE)</f>
        <v>PCB</v>
      </c>
      <c r="H437" s="95">
        <f>VLOOKUP(E437,CompDbase!B:L,8,FALSE)</f>
        <v>326.39999999999998</v>
      </c>
      <c r="I437" s="95">
        <f>VLOOKUP(E437,CompDbase!B:L,11,FALSE)</f>
        <v>209.7</v>
      </c>
      <c r="J437" s="95">
        <f>VLOOKUP(E437,CompDbase!B:L,9,FALSE)</f>
        <v>3.2640000000000002E-2</v>
      </c>
      <c r="K437" s="95">
        <f>VLOOKUP(E437,CompDbase!B:L,10,FALSE)</f>
        <v>6.5266666666666664</v>
      </c>
      <c r="L437" s="4" t="s">
        <v>769</v>
      </c>
      <c r="M437" s="423"/>
      <c r="N437" s="423"/>
      <c r="O437" s="4" t="s">
        <v>1985</v>
      </c>
      <c r="P437">
        <v>293</v>
      </c>
      <c r="Q437" s="4" t="s">
        <v>1049</v>
      </c>
      <c r="R437" s="289" t="s">
        <v>1982</v>
      </c>
      <c r="S437">
        <f t="shared" si="307"/>
        <v>5.0000000000000004E-6</v>
      </c>
      <c r="T437" s="95">
        <f t="shared" si="308"/>
        <v>1.5318627450980392E-4</v>
      </c>
      <c r="W437">
        <v>1174897.5549395324</v>
      </c>
      <c r="X437" s="95">
        <f t="shared" si="309"/>
        <v>6.0700000000000012</v>
      </c>
      <c r="Z437" s="190"/>
      <c r="AC437" t="s">
        <v>68</v>
      </c>
      <c r="AG437" s="138">
        <f t="shared" si="294"/>
        <v>6.0700000000000012</v>
      </c>
      <c r="AH437">
        <f t="shared" si="295"/>
        <v>6.5266666666666664</v>
      </c>
      <c r="AI437">
        <f t="shared" si="295"/>
        <v>6.5266666666666664</v>
      </c>
      <c r="AM437">
        <f t="shared" si="305"/>
        <v>6.5266666666666664</v>
      </c>
      <c r="AP437">
        <f t="shared" si="306"/>
        <v>6.5266666666666664</v>
      </c>
      <c r="BW437" s="138"/>
      <c r="BX437">
        <f>LOG(1*$J437)</f>
        <v>-1.4862498499181764</v>
      </c>
      <c r="BY437">
        <f>LOG(1*$J437)</f>
        <v>-1.4862498499181764</v>
      </c>
      <c r="CC437">
        <f>LOG(1*$J437)</f>
        <v>-1.4862498499181764</v>
      </c>
      <c r="DG437" s="138"/>
      <c r="EY437" s="479">
        <f>VLOOKUP(B437,Literatuur!$A:$B,2,FALSE)</f>
        <v>8</v>
      </c>
      <c r="EZ437" t="str">
        <f t="shared" si="311"/>
        <v>PCB #110</v>
      </c>
      <c r="FA437" t="str">
        <f t="shared" si="312"/>
        <v>PCB</v>
      </c>
      <c r="FB437" t="str">
        <f t="shared" si="313"/>
        <v>LDPE</v>
      </c>
      <c r="FC437" t="str">
        <f t="shared" si="314"/>
        <v>Immersion (shaking)</v>
      </c>
      <c r="FD437">
        <f t="shared" si="315"/>
        <v>293</v>
      </c>
      <c r="FE437" t="str">
        <f t="shared" si="316"/>
        <v>water</v>
      </c>
      <c r="FF437" t="str">
        <f t="shared" si="317"/>
        <v>measured 0.000005</v>
      </c>
      <c r="FG437" s="408">
        <f t="shared" si="310"/>
        <v>1.5318627450980392E-4</v>
      </c>
      <c r="FH437" s="138">
        <f t="shared" si="318"/>
        <v>6.0700000000000012</v>
      </c>
      <c r="FI437" s="106">
        <f t="shared" si="299"/>
        <v>6.2396665855070417</v>
      </c>
      <c r="FJ437" s="138" t="str">
        <f t="shared" si="319"/>
        <v/>
      </c>
      <c r="FK437" s="138" t="str">
        <f t="shared" si="320"/>
        <v>**</v>
      </c>
    </row>
    <row r="438" spans="1:167" ht="12.75" hidden="1" customHeight="1" x14ac:dyDescent="0.2">
      <c r="A438">
        <v>403</v>
      </c>
      <c r="B438" s="4" t="s">
        <v>1937</v>
      </c>
      <c r="C438" s="4"/>
      <c r="D438" t="s">
        <v>1128</v>
      </c>
      <c r="E438">
        <v>-1621</v>
      </c>
      <c r="F438" t="str">
        <f>VLOOKUP(E438,CompDbase!B:L,4,FALSE)</f>
        <v>PCB #118</v>
      </c>
      <c r="G438" s="95" t="str">
        <f>VLOOKUP(E438,CompDbase!B:M,12,FALSE)</f>
        <v>PCB</v>
      </c>
      <c r="H438" s="95">
        <f>VLOOKUP(E438,CompDbase!B:L,8,FALSE)</f>
        <v>326.39999999999998</v>
      </c>
      <c r="I438" s="95">
        <f>VLOOKUP(E438,CompDbase!B:L,11,FALSE)</f>
        <v>210.25</v>
      </c>
      <c r="J438" s="95">
        <f>VLOOKUP(E438,CompDbase!B:L,9,FALSE)</f>
        <v>2.5926873581400549E-2</v>
      </c>
      <c r="K438" s="95">
        <f>VLOOKUP(E438,CompDbase!B:L,10,FALSE)</f>
        <v>6.7133333333333338</v>
      </c>
      <c r="L438" s="4" t="s">
        <v>769</v>
      </c>
      <c r="O438" s="4" t="s">
        <v>1985</v>
      </c>
      <c r="P438">
        <v>293</v>
      </c>
      <c r="Q438" s="4" t="s">
        <v>1049</v>
      </c>
      <c r="R438" s="289" t="s">
        <v>1982</v>
      </c>
      <c r="S438">
        <f t="shared" si="307"/>
        <v>5.0000000000000004E-6</v>
      </c>
      <c r="T438" s="95">
        <f t="shared" si="308"/>
        <v>1.9285009371846926E-4</v>
      </c>
      <c r="W438">
        <v>2630267.9918953842</v>
      </c>
      <c r="X438" s="95">
        <f t="shared" si="309"/>
        <v>6.42</v>
      </c>
      <c r="Z438" s="190"/>
      <c r="AC438" t="s">
        <v>68</v>
      </c>
      <c r="AG438" s="138">
        <f t="shared" si="294"/>
        <v>6.42</v>
      </c>
      <c r="AH438">
        <f t="shared" si="295"/>
        <v>6.7133333333333338</v>
      </c>
      <c r="AI438">
        <f t="shared" si="295"/>
        <v>6.7133333333333338</v>
      </c>
      <c r="AM438">
        <f t="shared" si="305"/>
        <v>6.7133333333333338</v>
      </c>
      <c r="AP438">
        <f t="shared" si="306"/>
        <v>6.7133333333333338</v>
      </c>
      <c r="BW438" s="138"/>
      <c r="BX438">
        <f>LOG(1*$J438)</f>
        <v>-1.5862498499181765</v>
      </c>
      <c r="BY438">
        <f>LOG(1*$J438)</f>
        <v>-1.5862498499181765</v>
      </c>
      <c r="CC438">
        <f>LOG(1*$J438)</f>
        <v>-1.5862498499181765</v>
      </c>
      <c r="DG438" s="138"/>
      <c r="EY438" s="479">
        <f>VLOOKUP(B438,Literatuur!$A:$B,2,FALSE)</f>
        <v>8</v>
      </c>
      <c r="EZ438" t="str">
        <f t="shared" si="311"/>
        <v>PCB #118</v>
      </c>
      <c r="FA438" t="str">
        <f t="shared" si="312"/>
        <v>PCB</v>
      </c>
      <c r="FB438" t="str">
        <f t="shared" si="313"/>
        <v>LDPE</v>
      </c>
      <c r="FC438" t="str">
        <f t="shared" si="314"/>
        <v>Immersion (shaking)</v>
      </c>
      <c r="FD438">
        <f t="shared" si="315"/>
        <v>293</v>
      </c>
      <c r="FE438" t="str">
        <f t="shared" si="316"/>
        <v>water</v>
      </c>
      <c r="FF438" t="str">
        <f t="shared" si="317"/>
        <v>measured 0.000005</v>
      </c>
      <c r="FG438" s="408">
        <f t="shared" si="310"/>
        <v>1.9285009371846926E-4</v>
      </c>
      <c r="FH438" s="138">
        <f t="shared" si="318"/>
        <v>6.42</v>
      </c>
      <c r="FI438" s="106">
        <f t="shared" si="299"/>
        <v>6.4372806552008299</v>
      </c>
      <c r="FJ438" s="138" t="str">
        <f t="shared" si="319"/>
        <v/>
      </c>
      <c r="FK438" s="138" t="str">
        <f t="shared" si="320"/>
        <v>**</v>
      </c>
    </row>
    <row r="439" spans="1:167" ht="12.75" hidden="1" customHeight="1" x14ac:dyDescent="0.2">
      <c r="A439">
        <v>404</v>
      </c>
      <c r="B439" s="4" t="s">
        <v>1937</v>
      </c>
      <c r="C439" s="4"/>
      <c r="D439" t="s">
        <v>1129</v>
      </c>
      <c r="E439">
        <v>-1622</v>
      </c>
      <c r="F439" t="str">
        <f>VLOOKUP(E439,CompDbase!B:L,4,FALSE)</f>
        <v>PCB #119</v>
      </c>
      <c r="G439" s="95" t="str">
        <f>VLOOKUP(E439,CompDbase!B:M,12,FALSE)</f>
        <v>PCB</v>
      </c>
      <c r="H439" s="95" t="e">
        <f>VLOOKUP(E439,CompDbase!B:L,8,FALSE)</f>
        <v>#DIV/0!</v>
      </c>
      <c r="I439" s="95">
        <f>VLOOKUP(E439,CompDbase!B:L,11,FALSE)</f>
        <v>210.75</v>
      </c>
      <c r="J439" s="95" t="e">
        <f>VLOOKUP(E439,CompDbase!B:L,9,FALSE)</f>
        <v>#DIV/0!</v>
      </c>
      <c r="K439" s="95">
        <f>VLOOKUP(E439,CompDbase!B:L,10,FALSE)</f>
        <v>6.58</v>
      </c>
      <c r="L439" s="4" t="s">
        <v>769</v>
      </c>
      <c r="M439" s="423"/>
      <c r="N439" s="423"/>
      <c r="O439" s="4" t="s">
        <v>1985</v>
      </c>
      <c r="P439">
        <v>293</v>
      </c>
      <c r="Q439" s="4" t="s">
        <v>1049</v>
      </c>
      <c r="R439" s="289" t="s">
        <v>1982</v>
      </c>
      <c r="S439">
        <f t="shared" si="307"/>
        <v>5.0000000000000004E-6</v>
      </c>
      <c r="T439" s="95" t="e">
        <f t="shared" si="308"/>
        <v>#DIV/0!</v>
      </c>
      <c r="W439">
        <v>851138.03820237669</v>
      </c>
      <c r="X439" s="95">
        <f t="shared" si="309"/>
        <v>5.93</v>
      </c>
      <c r="Z439" s="190"/>
      <c r="AC439" t="s">
        <v>68</v>
      </c>
      <c r="AG439" s="138">
        <f t="shared" si="294"/>
        <v>5.93</v>
      </c>
      <c r="AH439">
        <f t="shared" si="295"/>
        <v>6.58</v>
      </c>
      <c r="AI439">
        <f t="shared" si="295"/>
        <v>6.58</v>
      </c>
      <c r="AM439">
        <f t="shared" si="305"/>
        <v>6.58</v>
      </c>
      <c r="BW439" s="138"/>
      <c r="DG439" s="138"/>
      <c r="EY439" s="479">
        <f>VLOOKUP(B439,Literatuur!$A:$B,2,FALSE)</f>
        <v>8</v>
      </c>
      <c r="EZ439" t="str">
        <f t="shared" si="311"/>
        <v>PCB #119</v>
      </c>
      <c r="FA439" t="str">
        <f t="shared" si="312"/>
        <v>PCB</v>
      </c>
      <c r="FB439" t="str">
        <f t="shared" si="313"/>
        <v>LDPE</v>
      </c>
      <c r="FC439" t="str">
        <f t="shared" si="314"/>
        <v>Immersion (shaking)</v>
      </c>
      <c r="FD439">
        <f t="shared" si="315"/>
        <v>293</v>
      </c>
      <c r="FE439" t="str">
        <f t="shared" si="316"/>
        <v>water</v>
      </c>
      <c r="FF439" t="str">
        <f t="shared" si="317"/>
        <v>measured 0.000005</v>
      </c>
      <c r="FG439" s="408" t="str">
        <f t="shared" si="310"/>
        <v/>
      </c>
      <c r="FH439" s="138">
        <f t="shared" si="318"/>
        <v>5.93</v>
      </c>
      <c r="FI439" s="106">
        <f t="shared" si="299"/>
        <v>6.2961277482766951</v>
      </c>
      <c r="FJ439" s="138" t="str">
        <f t="shared" si="319"/>
        <v/>
      </c>
      <c r="FK439" s="138" t="str">
        <f t="shared" si="320"/>
        <v>**</v>
      </c>
    </row>
    <row r="440" spans="1:167" ht="12.75" hidden="1" customHeight="1" x14ac:dyDescent="0.2">
      <c r="A440">
        <v>405</v>
      </c>
      <c r="B440" s="4" t="s">
        <v>1937</v>
      </c>
      <c r="C440" s="4"/>
      <c r="D440" t="s">
        <v>1130</v>
      </c>
      <c r="E440">
        <v>-1623</v>
      </c>
      <c r="F440" t="str">
        <f>VLOOKUP(E440,CompDbase!B:L,4,FALSE)</f>
        <v>PCB #128</v>
      </c>
      <c r="G440" s="95" t="str">
        <f>VLOOKUP(E440,CompDbase!B:M,12,FALSE)</f>
        <v>PCB</v>
      </c>
      <c r="H440" s="95">
        <f>VLOOKUP(E440,CompDbase!B:L,8,FALSE)</f>
        <v>360.9</v>
      </c>
      <c r="I440" s="95">
        <f>VLOOKUP(E440,CompDbase!B:L,11,FALSE)</f>
        <v>222.6</v>
      </c>
      <c r="J440" s="95">
        <f>VLOOKUP(E440,CompDbase!B:L,9,FALSE)</f>
        <v>1.808784726160826E-2</v>
      </c>
      <c r="K440" s="95">
        <f>VLOOKUP(E440,CompDbase!B:L,10,FALSE)</f>
        <v>6.746666666666667</v>
      </c>
      <c r="L440" s="4" t="s">
        <v>769</v>
      </c>
      <c r="O440" s="4" t="s">
        <v>1985</v>
      </c>
      <c r="P440">
        <v>293</v>
      </c>
      <c r="Q440" s="4" t="s">
        <v>1049</v>
      </c>
      <c r="R440" s="289" t="s">
        <v>1982</v>
      </c>
      <c r="S440">
        <f t="shared" si="307"/>
        <v>5.0000000000000004E-6</v>
      </c>
      <c r="T440" s="95">
        <f t="shared" si="308"/>
        <v>2.764286942323191E-4</v>
      </c>
      <c r="W440">
        <v>3311311.2148259105</v>
      </c>
      <c r="X440" s="95">
        <f t="shared" si="309"/>
        <v>6.52</v>
      </c>
      <c r="Z440" s="190"/>
      <c r="AC440" t="s">
        <v>68</v>
      </c>
      <c r="AG440" s="138">
        <f t="shared" si="294"/>
        <v>6.52</v>
      </c>
      <c r="AH440">
        <f t="shared" si="295"/>
        <v>6.746666666666667</v>
      </c>
      <c r="AI440">
        <f t="shared" si="295"/>
        <v>6.746666666666667</v>
      </c>
      <c r="AM440">
        <f t="shared" si="305"/>
        <v>6.746666666666667</v>
      </c>
      <c r="AP440">
        <f t="shared" si="306"/>
        <v>6.746666666666667</v>
      </c>
      <c r="BW440" s="138"/>
      <c r="BX440">
        <f>LOG(1*$J440)</f>
        <v>-1.7426131179404927</v>
      </c>
      <c r="BY440">
        <f>LOG(1*$J440)</f>
        <v>-1.7426131179404927</v>
      </c>
      <c r="CC440">
        <f>LOG(1*$J440)</f>
        <v>-1.7426131179404927</v>
      </c>
      <c r="DG440" s="138"/>
      <c r="EY440" s="479">
        <f>VLOOKUP(B440,Literatuur!$A:$B,2,FALSE)</f>
        <v>8</v>
      </c>
      <c r="EZ440" t="str">
        <f t="shared" si="311"/>
        <v>PCB #128</v>
      </c>
      <c r="FA440" t="str">
        <f t="shared" si="312"/>
        <v>PCB</v>
      </c>
      <c r="FB440" t="str">
        <f t="shared" si="313"/>
        <v>LDPE</v>
      </c>
      <c r="FC440" t="str">
        <f t="shared" si="314"/>
        <v>Immersion (shaking)</v>
      </c>
      <c r="FD440">
        <f t="shared" si="315"/>
        <v>293</v>
      </c>
      <c r="FE440" t="str">
        <f t="shared" si="316"/>
        <v>water</v>
      </c>
      <c r="FF440" t="str">
        <f t="shared" si="317"/>
        <v>measured 0.000005</v>
      </c>
      <c r="FG440" s="408">
        <f t="shared" si="310"/>
        <v>2.764286942323191E-4</v>
      </c>
      <c r="FH440" s="138">
        <f t="shared" si="318"/>
        <v>6.52</v>
      </c>
      <c r="FI440" s="106">
        <f t="shared" si="299"/>
        <v>6.4725688819318634</v>
      </c>
      <c r="FJ440" s="138" t="str">
        <f t="shared" si="319"/>
        <v/>
      </c>
      <c r="FK440" s="138" t="str">
        <f t="shared" si="320"/>
        <v>**</v>
      </c>
    </row>
    <row r="441" spans="1:167" ht="12.75" hidden="1" customHeight="1" x14ac:dyDescent="0.2">
      <c r="A441">
        <v>406</v>
      </c>
      <c r="B441" s="4" t="s">
        <v>1937</v>
      </c>
      <c r="C441" s="4"/>
      <c r="D441" t="s">
        <v>1131</v>
      </c>
      <c r="E441">
        <v>-1624</v>
      </c>
      <c r="F441" t="str">
        <f>VLOOKUP(E441,CompDbase!B:L,4,FALSE)</f>
        <v>PCB #132</v>
      </c>
      <c r="G441" s="95" t="str">
        <f>VLOOKUP(E441,CompDbase!B:M,12,FALSE)</f>
        <v>PCB</v>
      </c>
      <c r="H441" s="95" t="e">
        <f>VLOOKUP(E441,CompDbase!B:L,8,FALSE)</f>
        <v>#DIV/0!</v>
      </c>
      <c r="I441" s="95">
        <f>VLOOKUP(E441,CompDbase!B:L,11,FALSE)</f>
        <v>222.64999999999998</v>
      </c>
      <c r="J441" s="95" t="e">
        <f>VLOOKUP(E441,CompDbase!B:L,9,FALSE)</f>
        <v>#DIV/0!</v>
      </c>
      <c r="K441" s="95">
        <f>VLOOKUP(E441,CompDbase!B:L,10,FALSE)</f>
        <v>6.58</v>
      </c>
      <c r="L441" s="4" t="s">
        <v>769</v>
      </c>
      <c r="O441" s="4" t="s">
        <v>1985</v>
      </c>
      <c r="P441">
        <v>293</v>
      </c>
      <c r="Q441" s="4" t="s">
        <v>1049</v>
      </c>
      <c r="R441" s="289" t="s">
        <v>1982</v>
      </c>
      <c r="S441">
        <f t="shared" si="307"/>
        <v>5.0000000000000004E-6</v>
      </c>
      <c r="T441" s="95" t="e">
        <f t="shared" si="308"/>
        <v>#DIV/0!</v>
      </c>
      <c r="W441">
        <v>1995262.31496888</v>
      </c>
      <c r="X441" s="95">
        <f t="shared" si="309"/>
        <v>6.3</v>
      </c>
      <c r="Z441" s="190"/>
      <c r="AC441" t="s">
        <v>68</v>
      </c>
      <c r="AG441" s="138">
        <f t="shared" si="294"/>
        <v>6.3</v>
      </c>
      <c r="AH441">
        <f t="shared" si="295"/>
        <v>6.58</v>
      </c>
      <c r="AI441">
        <f t="shared" si="295"/>
        <v>6.58</v>
      </c>
      <c r="AM441">
        <f t="shared" si="305"/>
        <v>6.58</v>
      </c>
      <c r="BW441" s="138"/>
      <c r="DG441" s="138"/>
      <c r="EY441" s="479">
        <f>VLOOKUP(B441,Literatuur!$A:$B,2,FALSE)</f>
        <v>8</v>
      </c>
      <c r="EZ441" t="str">
        <f t="shared" si="311"/>
        <v>PCB #132</v>
      </c>
      <c r="FA441" t="str">
        <f t="shared" si="312"/>
        <v>PCB</v>
      </c>
      <c r="FB441" t="str">
        <f t="shared" si="313"/>
        <v>LDPE</v>
      </c>
      <c r="FC441" t="str">
        <f t="shared" si="314"/>
        <v>Immersion (shaking)</v>
      </c>
      <c r="FD441">
        <f t="shared" si="315"/>
        <v>293</v>
      </c>
      <c r="FE441" t="str">
        <f t="shared" si="316"/>
        <v>water</v>
      </c>
      <c r="FF441" t="str">
        <f t="shared" si="317"/>
        <v>measured 0.000005</v>
      </c>
      <c r="FG441" s="408" t="str">
        <f t="shared" si="310"/>
        <v/>
      </c>
      <c r="FH441" s="138">
        <f t="shared" si="318"/>
        <v>6.3</v>
      </c>
      <c r="FI441" s="106">
        <f t="shared" si="299"/>
        <v>6.2961277482766951</v>
      </c>
      <c r="FJ441" s="138" t="str">
        <f t="shared" si="319"/>
        <v/>
      </c>
      <c r="FK441" s="138" t="str">
        <f t="shared" si="320"/>
        <v>**</v>
      </c>
    </row>
    <row r="442" spans="1:167" ht="12.75" hidden="1" customHeight="1" x14ac:dyDescent="0.2">
      <c r="A442">
        <v>407</v>
      </c>
      <c r="B442" s="4" t="s">
        <v>1937</v>
      </c>
      <c r="C442" s="4"/>
      <c r="D442" t="s">
        <v>1132</v>
      </c>
      <c r="E442">
        <v>-1625</v>
      </c>
      <c r="F442" t="str">
        <f>VLOOKUP(E442,CompDbase!B:L,4,FALSE)</f>
        <v>PCB #134</v>
      </c>
      <c r="G442" s="95" t="str">
        <f>VLOOKUP(E442,CompDbase!B:M,12,FALSE)</f>
        <v>PCB</v>
      </c>
      <c r="H442" s="95" t="e">
        <f>VLOOKUP(E442,CompDbase!B:L,8,FALSE)</f>
        <v>#DIV/0!</v>
      </c>
      <c r="I442" s="95">
        <f>VLOOKUP(E442,CompDbase!B:L,11,FALSE)</f>
        <v>222.2</v>
      </c>
      <c r="J442" s="95" t="e">
        <f>VLOOKUP(E442,CompDbase!B:L,9,FALSE)</f>
        <v>#DIV/0!</v>
      </c>
      <c r="K442" s="95">
        <f>VLOOKUP(E442,CompDbase!B:L,10,FALSE)</f>
        <v>6.55</v>
      </c>
      <c r="L442" s="4" t="s">
        <v>769</v>
      </c>
      <c r="M442" s="423"/>
      <c r="N442" s="423"/>
      <c r="O442" s="4" t="s">
        <v>1985</v>
      </c>
      <c r="P442">
        <v>293</v>
      </c>
      <c r="Q442" s="4" t="s">
        <v>1049</v>
      </c>
      <c r="R442" s="289" t="s">
        <v>1982</v>
      </c>
      <c r="S442">
        <f t="shared" si="307"/>
        <v>5.0000000000000004E-6</v>
      </c>
      <c r="T442" s="95" t="e">
        <f t="shared" si="308"/>
        <v>#DIV/0!</v>
      </c>
      <c r="W442">
        <v>3388441.5613920307</v>
      </c>
      <c r="X442" s="95">
        <f t="shared" si="309"/>
        <v>6.53</v>
      </c>
      <c r="Z442" s="190"/>
      <c r="AC442" t="s">
        <v>68</v>
      </c>
      <c r="AG442" s="138">
        <f t="shared" si="294"/>
        <v>6.53</v>
      </c>
      <c r="AH442">
        <f t="shared" si="295"/>
        <v>6.55</v>
      </c>
      <c r="AI442">
        <f t="shared" si="295"/>
        <v>6.55</v>
      </c>
      <c r="AM442">
        <f t="shared" si="305"/>
        <v>6.55</v>
      </c>
      <c r="BW442" s="138"/>
      <c r="DG442" s="138"/>
      <c r="EY442" s="479">
        <f>VLOOKUP(B442,Literatuur!$A:$B,2,FALSE)</f>
        <v>8</v>
      </c>
      <c r="EZ442" t="str">
        <f t="shared" si="311"/>
        <v>PCB #134</v>
      </c>
      <c r="FA442" t="str">
        <f t="shared" si="312"/>
        <v>PCB</v>
      </c>
      <c r="FB442" t="str">
        <f t="shared" si="313"/>
        <v>LDPE</v>
      </c>
      <c r="FC442" t="str">
        <f t="shared" si="314"/>
        <v>Immersion (shaking)</v>
      </c>
      <c r="FD442">
        <f t="shared" si="315"/>
        <v>293</v>
      </c>
      <c r="FE442" t="str">
        <f t="shared" si="316"/>
        <v>water</v>
      </c>
      <c r="FF442" t="str">
        <f t="shared" si="317"/>
        <v>measured 0.000005</v>
      </c>
      <c r="FG442" s="408" t="str">
        <f t="shared" si="310"/>
        <v/>
      </c>
      <c r="FH442" s="138">
        <f t="shared" si="318"/>
        <v>6.53</v>
      </c>
      <c r="FI442" s="106">
        <f t="shared" si="299"/>
        <v>6.2643683442187648</v>
      </c>
      <c r="FJ442" s="138" t="str">
        <f t="shared" si="319"/>
        <v/>
      </c>
      <c r="FK442" s="138" t="str">
        <f t="shared" si="320"/>
        <v>**</v>
      </c>
    </row>
    <row r="443" spans="1:167" ht="12.75" hidden="1" customHeight="1" x14ac:dyDescent="0.2">
      <c r="A443">
        <v>408</v>
      </c>
      <c r="B443" s="4" t="s">
        <v>1937</v>
      </c>
      <c r="C443" s="4"/>
      <c r="D443" t="s">
        <v>1133</v>
      </c>
      <c r="E443">
        <v>-1626</v>
      </c>
      <c r="F443" t="str">
        <f>VLOOKUP(E443,CompDbase!B:L,4,FALSE)</f>
        <v>PCB #135</v>
      </c>
      <c r="G443" s="95" t="str">
        <f>VLOOKUP(E443,CompDbase!B:M,12,FALSE)</f>
        <v>PCB</v>
      </c>
      <c r="H443" s="95" t="e">
        <f>VLOOKUP(E443,CompDbase!B:L,8,FALSE)</f>
        <v>#DIV/0!</v>
      </c>
      <c r="I443" s="95">
        <f>VLOOKUP(E443,CompDbase!B:L,11,FALSE)</f>
        <v>222.9</v>
      </c>
      <c r="J443" s="95" t="e">
        <f>VLOOKUP(E443,CompDbase!B:L,9,FALSE)</f>
        <v>#DIV/0!</v>
      </c>
      <c r="K443" s="95">
        <f>VLOOKUP(E443,CompDbase!B:L,10,FALSE)</f>
        <v>6.64</v>
      </c>
      <c r="L443" s="4" t="s">
        <v>769</v>
      </c>
      <c r="O443" s="4" t="s">
        <v>1985</v>
      </c>
      <c r="P443">
        <v>293</v>
      </c>
      <c r="Q443" s="4" t="s">
        <v>1049</v>
      </c>
      <c r="R443" s="289" t="s">
        <v>1982</v>
      </c>
      <c r="S443">
        <f t="shared" si="307"/>
        <v>5.0000000000000004E-6</v>
      </c>
      <c r="T443" s="95" t="e">
        <f t="shared" si="308"/>
        <v>#DIV/0!</v>
      </c>
      <c r="W443">
        <v>2818382.9312644606</v>
      </c>
      <c r="X443" s="95">
        <f t="shared" si="309"/>
        <v>6.4500000000000011</v>
      </c>
      <c r="Z443" s="190"/>
      <c r="AC443" t="s">
        <v>68</v>
      </c>
      <c r="AG443" s="138">
        <f t="shared" si="294"/>
        <v>6.4500000000000011</v>
      </c>
      <c r="AH443">
        <f t="shared" si="295"/>
        <v>6.64</v>
      </c>
      <c r="AI443">
        <f t="shared" si="295"/>
        <v>6.64</v>
      </c>
      <c r="AM443">
        <f t="shared" si="305"/>
        <v>6.64</v>
      </c>
      <c r="BW443" s="138"/>
      <c r="DG443" s="138"/>
      <c r="EY443" s="479">
        <f>VLOOKUP(B443,Literatuur!$A:$B,2,FALSE)</f>
        <v>8</v>
      </c>
      <c r="EZ443" t="str">
        <f t="shared" si="311"/>
        <v>PCB #135</v>
      </c>
      <c r="FA443" t="str">
        <f t="shared" si="312"/>
        <v>PCB</v>
      </c>
      <c r="FB443" t="str">
        <f t="shared" si="313"/>
        <v>LDPE</v>
      </c>
      <c r="FC443" t="str">
        <f t="shared" si="314"/>
        <v>Immersion (shaking)</v>
      </c>
      <c r="FD443">
        <f t="shared" si="315"/>
        <v>293</v>
      </c>
      <c r="FE443" t="str">
        <f t="shared" si="316"/>
        <v>water</v>
      </c>
      <c r="FF443" t="str">
        <f t="shared" si="317"/>
        <v>measured 0.000005</v>
      </c>
      <c r="FG443" s="408" t="str">
        <f t="shared" si="310"/>
        <v/>
      </c>
      <c r="FH443" s="138">
        <f t="shared" si="318"/>
        <v>6.4500000000000011</v>
      </c>
      <c r="FI443" s="106">
        <f t="shared" si="299"/>
        <v>6.3596465563925557</v>
      </c>
      <c r="FJ443" s="138" t="str">
        <f t="shared" si="319"/>
        <v/>
      </c>
      <c r="FK443" s="138" t="str">
        <f t="shared" si="320"/>
        <v>**</v>
      </c>
    </row>
    <row r="444" spans="1:167" ht="12.75" hidden="1" customHeight="1" x14ac:dyDescent="0.2">
      <c r="A444">
        <v>409</v>
      </c>
      <c r="B444" s="4" t="s">
        <v>1937</v>
      </c>
      <c r="C444" s="4"/>
      <c r="D444" t="s">
        <v>1134</v>
      </c>
      <c r="E444">
        <v>-1627</v>
      </c>
      <c r="F444" t="str">
        <f>VLOOKUP(E444,CompDbase!B:L,4,FALSE)</f>
        <v>PCB #136</v>
      </c>
      <c r="G444" s="95" t="str">
        <f>VLOOKUP(E444,CompDbase!B:M,12,FALSE)</f>
        <v>PCB</v>
      </c>
      <c r="H444" s="95" t="e">
        <f>VLOOKUP(E444,CompDbase!B:L,8,FALSE)</f>
        <v>#DIV/0!</v>
      </c>
      <c r="I444" s="95">
        <f>VLOOKUP(E444,CompDbase!B:L,11,FALSE)</f>
        <v>221.7</v>
      </c>
      <c r="J444" s="95" t="e">
        <f>VLOOKUP(E444,CompDbase!B:L,9,FALSE)</f>
        <v>#DIV/0!</v>
      </c>
      <c r="K444" s="95">
        <f>VLOOKUP(E444,CompDbase!B:L,10,FALSE)</f>
        <v>6.22</v>
      </c>
      <c r="L444" s="4" t="s">
        <v>769</v>
      </c>
      <c r="M444" s="423"/>
      <c r="N444" s="423"/>
      <c r="O444" s="4" t="s">
        <v>1985</v>
      </c>
      <c r="P444">
        <v>293</v>
      </c>
      <c r="Q444" s="4" t="s">
        <v>1049</v>
      </c>
      <c r="R444" s="289" t="s">
        <v>1982</v>
      </c>
      <c r="S444">
        <f t="shared" si="307"/>
        <v>5.0000000000000004E-6</v>
      </c>
      <c r="T444" s="95" t="e">
        <f t="shared" si="308"/>
        <v>#DIV/0!</v>
      </c>
      <c r="W444">
        <v>1698243.6524617488</v>
      </c>
      <c r="X444" s="95">
        <f t="shared" si="309"/>
        <v>6.2300000000000013</v>
      </c>
      <c r="Z444" s="190"/>
      <c r="AC444" t="s">
        <v>68</v>
      </c>
      <c r="AG444" s="138">
        <f t="shared" si="294"/>
        <v>6.2300000000000013</v>
      </c>
      <c r="AH444">
        <f t="shared" si="295"/>
        <v>6.22</v>
      </c>
      <c r="AI444">
        <f t="shared" si="295"/>
        <v>6.22</v>
      </c>
      <c r="AM444">
        <f t="shared" si="305"/>
        <v>6.22</v>
      </c>
      <c r="BW444" s="138"/>
      <c r="DG444" s="138"/>
      <c r="EY444" s="479">
        <f>VLOOKUP(B444,Literatuur!$A:$B,2,FALSE)</f>
        <v>8</v>
      </c>
      <c r="EZ444" t="str">
        <f t="shared" si="311"/>
        <v>PCB #136</v>
      </c>
      <c r="FA444" t="str">
        <f t="shared" si="312"/>
        <v>PCB</v>
      </c>
      <c r="FB444" t="str">
        <f t="shared" si="313"/>
        <v>LDPE</v>
      </c>
      <c r="FC444" t="str">
        <f t="shared" si="314"/>
        <v>Immersion (shaking)</v>
      </c>
      <c r="FD444">
        <f t="shared" si="315"/>
        <v>293</v>
      </c>
      <c r="FE444" t="str">
        <f t="shared" si="316"/>
        <v>water</v>
      </c>
      <c r="FF444" t="str">
        <f t="shared" si="317"/>
        <v>measured 0.000005</v>
      </c>
      <c r="FG444" s="408" t="str">
        <f t="shared" si="310"/>
        <v/>
      </c>
      <c r="FH444" s="138">
        <f t="shared" si="318"/>
        <v>6.2300000000000013</v>
      </c>
      <c r="FI444" s="106">
        <f t="shared" si="299"/>
        <v>5.915014899581533</v>
      </c>
      <c r="FJ444" s="138" t="str">
        <f t="shared" si="319"/>
        <v/>
      </c>
      <c r="FK444" s="138" t="str">
        <f t="shared" si="320"/>
        <v>**</v>
      </c>
    </row>
    <row r="445" spans="1:167" ht="12.75" hidden="1" customHeight="1" x14ac:dyDescent="0.2">
      <c r="A445">
        <v>410</v>
      </c>
      <c r="B445" s="4" t="s">
        <v>1937</v>
      </c>
      <c r="C445" s="4"/>
      <c r="D445" t="s">
        <v>1135</v>
      </c>
      <c r="E445">
        <v>-1628</v>
      </c>
      <c r="F445" t="str">
        <f>VLOOKUP(E445,CompDbase!B:L,4,FALSE)</f>
        <v>PCB #138</v>
      </c>
      <c r="G445" s="95" t="str">
        <f>VLOOKUP(E445,CompDbase!B:M,12,FALSE)</f>
        <v>PCB</v>
      </c>
      <c r="H445" s="95">
        <f>VLOOKUP(E445,CompDbase!B:L,8,FALSE)</f>
        <v>360.9</v>
      </c>
      <c r="I445" s="95">
        <f>VLOOKUP(E445,CompDbase!B:L,11,FALSE)</f>
        <v>223.25</v>
      </c>
      <c r="J445" s="95">
        <f>VLOOKUP(E445,CompDbase!B:L,9,FALSE)</f>
        <v>7.2009016947226761E-3</v>
      </c>
      <c r="K445" s="95">
        <f>VLOOKUP(E445,CompDbase!B:L,10,FALSE)</f>
        <v>6.9433333333333325</v>
      </c>
      <c r="L445" s="4" t="s">
        <v>769</v>
      </c>
      <c r="M445" s="423"/>
      <c r="N445" s="423"/>
      <c r="O445" s="4" t="s">
        <v>1985</v>
      </c>
      <c r="P445">
        <v>293</v>
      </c>
      <c r="Q445" s="4" t="s">
        <v>1049</v>
      </c>
      <c r="R445" s="289" t="s">
        <v>1982</v>
      </c>
      <c r="S445">
        <f t="shared" si="307"/>
        <v>5.0000000000000004E-6</v>
      </c>
      <c r="T445" s="95">
        <f t="shared" si="308"/>
        <v>6.9435748632207402E-4</v>
      </c>
      <c r="W445">
        <v>4570881.8961487599</v>
      </c>
      <c r="X445" s="95">
        <f t="shared" si="309"/>
        <v>6.660000000000001</v>
      </c>
      <c r="Z445" s="190"/>
      <c r="AC445" t="s">
        <v>68</v>
      </c>
      <c r="AG445" s="138">
        <f t="shared" si="294"/>
        <v>6.660000000000001</v>
      </c>
      <c r="AH445">
        <f t="shared" si="295"/>
        <v>6.9433333333333325</v>
      </c>
      <c r="AI445">
        <f t="shared" si="295"/>
        <v>6.9433333333333325</v>
      </c>
      <c r="AM445">
        <f t="shared" si="305"/>
        <v>6.9433333333333325</v>
      </c>
      <c r="AP445">
        <f t="shared" si="306"/>
        <v>6.9433333333333325</v>
      </c>
      <c r="BW445" s="138"/>
      <c r="BX445">
        <f>LOG(1*$J445)</f>
        <v>-2.1426131179404933</v>
      </c>
      <c r="BY445">
        <f>LOG(1*$J445)</f>
        <v>-2.1426131179404933</v>
      </c>
      <c r="CC445">
        <f>LOG(1*$J445)</f>
        <v>-2.1426131179404933</v>
      </c>
      <c r="CF445">
        <f>LOG(1*$J445)</f>
        <v>-2.1426131179404933</v>
      </c>
      <c r="DG445" s="138"/>
      <c r="EY445" s="479">
        <f>VLOOKUP(B445,Literatuur!$A:$B,2,FALSE)</f>
        <v>8</v>
      </c>
      <c r="EZ445" t="str">
        <f t="shared" si="311"/>
        <v>PCB #138</v>
      </c>
      <c r="FA445" t="str">
        <f t="shared" si="312"/>
        <v>PCB</v>
      </c>
      <c r="FB445" t="str">
        <f t="shared" si="313"/>
        <v>LDPE</v>
      </c>
      <c r="FC445" t="str">
        <f t="shared" si="314"/>
        <v>Immersion (shaking)</v>
      </c>
      <c r="FD445">
        <f t="shared" si="315"/>
        <v>293</v>
      </c>
      <c r="FE445" t="str">
        <f t="shared" si="316"/>
        <v>water</v>
      </c>
      <c r="FF445" t="str">
        <f t="shared" si="317"/>
        <v>measured 0.000005</v>
      </c>
      <c r="FG445" s="408">
        <f t="shared" si="310"/>
        <v>6.9435748632207402E-4</v>
      </c>
      <c r="FH445" s="138">
        <f t="shared" si="318"/>
        <v>6.660000000000001</v>
      </c>
      <c r="FI445" s="106">
        <f t="shared" si="299"/>
        <v>6.6807694196449603</v>
      </c>
      <c r="FJ445" s="138" t="str">
        <f t="shared" si="319"/>
        <v/>
      </c>
      <c r="FK445" s="138" t="str">
        <f t="shared" si="320"/>
        <v>**</v>
      </c>
    </row>
    <row r="446" spans="1:167" ht="12.75" hidden="1" customHeight="1" x14ac:dyDescent="0.2">
      <c r="A446">
        <v>411</v>
      </c>
      <c r="B446" s="4" t="s">
        <v>1937</v>
      </c>
      <c r="C446" s="4"/>
      <c r="D446" t="s">
        <v>1136</v>
      </c>
      <c r="E446">
        <v>-1629</v>
      </c>
      <c r="F446" t="str">
        <f>VLOOKUP(E446,CompDbase!B:L,4,FALSE)</f>
        <v>PCB #141</v>
      </c>
      <c r="G446" s="95" t="str">
        <f>VLOOKUP(E446,CompDbase!B:M,12,FALSE)</f>
        <v>PCB</v>
      </c>
      <c r="H446" s="95">
        <f>VLOOKUP(E446,CompDbase!B:L,8,FALSE)</f>
        <v>360.9</v>
      </c>
      <c r="I446" s="95">
        <f>VLOOKUP(E446,CompDbase!B:L,11,FALSE)</f>
        <v>223.55</v>
      </c>
      <c r="J446" s="95">
        <f>VLOOKUP(E446,CompDbase!B:L,9,FALSE)</f>
        <v>1.4367687785275682E-2</v>
      </c>
      <c r="K446" s="95">
        <f>VLOOKUP(E446,CompDbase!B:L,10,FALSE)</f>
        <v>6.84</v>
      </c>
      <c r="L446" s="4" t="s">
        <v>769</v>
      </c>
      <c r="O446" s="4" t="s">
        <v>1985</v>
      </c>
      <c r="P446">
        <v>293</v>
      </c>
      <c r="Q446" s="4" t="s">
        <v>1049</v>
      </c>
      <c r="R446" s="289" t="s">
        <v>1982</v>
      </c>
      <c r="S446">
        <f t="shared" si="307"/>
        <v>5.0000000000000004E-6</v>
      </c>
      <c r="T446" s="95">
        <f t="shared" si="308"/>
        <v>3.4800310771814717E-4</v>
      </c>
      <c r="W446">
        <v>9120108.3935591076</v>
      </c>
      <c r="X446" s="95">
        <f t="shared" si="309"/>
        <v>6.9600000000000009</v>
      </c>
      <c r="Z446" s="190"/>
      <c r="AC446" t="s">
        <v>68</v>
      </c>
      <c r="AG446" s="138">
        <f t="shared" si="294"/>
        <v>6.9600000000000009</v>
      </c>
      <c r="AH446">
        <f t="shared" si="295"/>
        <v>6.84</v>
      </c>
      <c r="AI446">
        <f t="shared" si="295"/>
        <v>6.84</v>
      </c>
      <c r="AM446">
        <f t="shared" si="305"/>
        <v>6.84</v>
      </c>
      <c r="AP446">
        <f t="shared" si="306"/>
        <v>6.84</v>
      </c>
      <c r="BW446" s="138"/>
      <c r="BX446">
        <f>LOG(1*$J446)</f>
        <v>-1.8426131179404939</v>
      </c>
      <c r="BY446">
        <f>LOG(1*$J446)</f>
        <v>-1.8426131179404939</v>
      </c>
      <c r="CC446">
        <f>LOG(1*$J446)</f>
        <v>-1.8426131179404939</v>
      </c>
      <c r="DG446" s="138"/>
      <c r="EY446" s="479">
        <f>VLOOKUP(B446,Literatuur!$A:$B,2,FALSE)</f>
        <v>8</v>
      </c>
      <c r="EZ446" t="str">
        <f t="shared" si="311"/>
        <v>PCB #141</v>
      </c>
      <c r="FA446" t="str">
        <f t="shared" si="312"/>
        <v>PCB</v>
      </c>
      <c r="FB446" t="str">
        <f t="shared" si="313"/>
        <v>LDPE</v>
      </c>
      <c r="FC446" t="str">
        <f t="shared" si="314"/>
        <v>Immersion (shaking)</v>
      </c>
      <c r="FD446">
        <f t="shared" si="315"/>
        <v>293</v>
      </c>
      <c r="FE446" t="str">
        <f t="shared" si="316"/>
        <v>water</v>
      </c>
      <c r="FF446" t="str">
        <f t="shared" si="317"/>
        <v>measured 0.000005</v>
      </c>
      <c r="FG446" s="408">
        <f t="shared" si="310"/>
        <v>3.4800310771814717E-4</v>
      </c>
      <c r="FH446" s="138">
        <f t="shared" si="318"/>
        <v>6.9600000000000009</v>
      </c>
      <c r="FI446" s="106">
        <f t="shared" si="299"/>
        <v>6.5713759167787567</v>
      </c>
      <c r="FJ446" s="138" t="str">
        <f t="shared" si="319"/>
        <v/>
      </c>
      <c r="FK446" s="138" t="str">
        <f t="shared" si="320"/>
        <v>**</v>
      </c>
    </row>
    <row r="447" spans="1:167" ht="12.75" hidden="1" customHeight="1" x14ac:dyDescent="0.2">
      <c r="A447">
        <v>412</v>
      </c>
      <c r="B447" s="4" t="s">
        <v>1937</v>
      </c>
      <c r="C447" s="4"/>
      <c r="D447" t="s">
        <v>1137</v>
      </c>
      <c r="E447">
        <v>-1630</v>
      </c>
      <c r="F447" t="str">
        <f>VLOOKUP(E447,CompDbase!B:L,4,FALSE)</f>
        <v>PCB #146</v>
      </c>
      <c r="G447" s="95" t="str">
        <f>VLOOKUP(E447,CompDbase!B:M,12,FALSE)</f>
        <v>PCB</v>
      </c>
      <c r="H447" s="95" t="e">
        <f>VLOOKUP(E447,CompDbase!B:L,8,FALSE)</f>
        <v>#DIV/0!</v>
      </c>
      <c r="I447" s="95">
        <f>VLOOKUP(E447,CompDbase!B:L,11,FALSE)</f>
        <v>223.7</v>
      </c>
      <c r="J447" s="95" t="e">
        <f>VLOOKUP(E447,CompDbase!B:L,9,FALSE)</f>
        <v>#DIV/0!</v>
      </c>
      <c r="K447" s="95">
        <f>VLOOKUP(E447,CompDbase!B:L,10,FALSE)</f>
        <v>6.89</v>
      </c>
      <c r="L447" s="4" t="s">
        <v>769</v>
      </c>
      <c r="M447" s="423"/>
      <c r="N447" s="423"/>
      <c r="O447" s="4" t="s">
        <v>1985</v>
      </c>
      <c r="P447">
        <v>293</v>
      </c>
      <c r="Q447" s="4" t="s">
        <v>1049</v>
      </c>
      <c r="R447" s="289" t="s">
        <v>1982</v>
      </c>
      <c r="S447">
        <f t="shared" si="307"/>
        <v>5.0000000000000004E-6</v>
      </c>
      <c r="T447" s="95" t="e">
        <f t="shared" si="308"/>
        <v>#DIV/0!</v>
      </c>
      <c r="W447">
        <v>6456542.2903465591</v>
      </c>
      <c r="X447" s="95">
        <f t="shared" si="309"/>
        <v>6.8100000000000005</v>
      </c>
      <c r="Z447" s="190"/>
      <c r="AC447" t="s">
        <v>68</v>
      </c>
      <c r="AG447" s="138">
        <f t="shared" si="294"/>
        <v>6.8100000000000005</v>
      </c>
      <c r="AH447">
        <f t="shared" si="295"/>
        <v>6.89</v>
      </c>
      <c r="AI447">
        <f t="shared" si="295"/>
        <v>6.89</v>
      </c>
      <c r="AM447">
        <f t="shared" si="305"/>
        <v>6.89</v>
      </c>
      <c r="BW447" s="138"/>
      <c r="DG447" s="138"/>
      <c r="EY447" s="479">
        <f>VLOOKUP(B447,Literatuur!$A:$B,2,FALSE)</f>
        <v>8</v>
      </c>
      <c r="EZ447" t="str">
        <f t="shared" si="311"/>
        <v>PCB #146</v>
      </c>
      <c r="FA447" t="str">
        <f t="shared" si="312"/>
        <v>PCB</v>
      </c>
      <c r="FB447" t="str">
        <f t="shared" si="313"/>
        <v>LDPE</v>
      </c>
      <c r="FC447" t="str">
        <f t="shared" si="314"/>
        <v>Immersion (shaking)</v>
      </c>
      <c r="FD447">
        <f t="shared" si="315"/>
        <v>293</v>
      </c>
      <c r="FE447" t="str">
        <f t="shared" si="316"/>
        <v>water</v>
      </c>
      <c r="FF447" t="str">
        <f t="shared" si="317"/>
        <v>measured 0.000005</v>
      </c>
      <c r="FG447" s="408" t="str">
        <f t="shared" si="310"/>
        <v/>
      </c>
      <c r="FH447" s="138">
        <f t="shared" si="318"/>
        <v>6.8100000000000005</v>
      </c>
      <c r="FI447" s="106">
        <f t="shared" si="299"/>
        <v>6.6243082568753069</v>
      </c>
      <c r="FJ447" s="138" t="str">
        <f t="shared" si="319"/>
        <v/>
      </c>
      <c r="FK447" s="138" t="str">
        <f t="shared" si="320"/>
        <v>**</v>
      </c>
    </row>
    <row r="448" spans="1:167" ht="12.75" hidden="1" customHeight="1" x14ac:dyDescent="0.2">
      <c r="A448">
        <v>413</v>
      </c>
      <c r="B448" s="4" t="s">
        <v>1937</v>
      </c>
      <c r="C448" s="4"/>
      <c r="D448" t="s">
        <v>1138</v>
      </c>
      <c r="E448">
        <v>-1631</v>
      </c>
      <c r="F448" t="str">
        <f>VLOOKUP(E448,CompDbase!B:L,4,FALSE)</f>
        <v>PCB #151</v>
      </c>
      <c r="G448" s="95" t="str">
        <f>VLOOKUP(E448,CompDbase!B:M,12,FALSE)</f>
        <v>PCB</v>
      </c>
      <c r="H448" s="95">
        <f>VLOOKUP(E448,CompDbase!B:L,8,FALSE)</f>
        <v>360.9</v>
      </c>
      <c r="I448" s="95">
        <f>VLOOKUP(E448,CompDbase!B:L,11,FALSE)</f>
        <v>223.15</v>
      </c>
      <c r="J448" s="95">
        <f>VLOOKUP(E448,CompDbase!B:L,9,FALSE)</f>
        <v>2.2771250562290155E-2</v>
      </c>
      <c r="K448" s="95">
        <f>VLOOKUP(E448,CompDbase!B:L,10,FALSE)</f>
        <v>6.6466666666666674</v>
      </c>
      <c r="L448" s="4" t="s">
        <v>769</v>
      </c>
      <c r="O448" s="4" t="s">
        <v>1985</v>
      </c>
      <c r="P448">
        <v>293</v>
      </c>
      <c r="Q448" s="4" t="s">
        <v>1049</v>
      </c>
      <c r="R448" s="289" t="s">
        <v>1982</v>
      </c>
      <c r="S448">
        <f t="shared" si="307"/>
        <v>5.0000000000000004E-6</v>
      </c>
      <c r="T448" s="95">
        <f t="shared" si="308"/>
        <v>2.1957511671669646E-4</v>
      </c>
      <c r="W448">
        <v>3311311.2148259105</v>
      </c>
      <c r="X448" s="95">
        <f t="shared" si="309"/>
        <v>6.52</v>
      </c>
      <c r="Z448" s="190"/>
      <c r="AC448" t="s">
        <v>68</v>
      </c>
      <c r="AG448" s="138">
        <f t="shared" si="294"/>
        <v>6.52</v>
      </c>
      <c r="AH448">
        <f t="shared" si="295"/>
        <v>6.6466666666666674</v>
      </c>
      <c r="AI448">
        <f t="shared" si="295"/>
        <v>6.6466666666666674</v>
      </c>
      <c r="AM448">
        <f t="shared" si="305"/>
        <v>6.6466666666666674</v>
      </c>
      <c r="AP448">
        <f t="shared" si="306"/>
        <v>6.6466666666666674</v>
      </c>
      <c r="BW448" s="138"/>
      <c r="BX448">
        <f t="shared" ref="BX448:BY451" si="321">LOG(1*$J448)</f>
        <v>-1.6426131179404933</v>
      </c>
      <c r="BY448">
        <f t="shared" si="321"/>
        <v>-1.6426131179404933</v>
      </c>
      <c r="CC448">
        <f>LOG(1*$J448)</f>
        <v>-1.6426131179404933</v>
      </c>
      <c r="DG448" s="138"/>
      <c r="EY448" s="479">
        <f>VLOOKUP(B448,Literatuur!$A:$B,2,FALSE)</f>
        <v>8</v>
      </c>
      <c r="EZ448" t="str">
        <f t="shared" si="311"/>
        <v>PCB #151</v>
      </c>
      <c r="FA448" t="str">
        <f t="shared" si="312"/>
        <v>PCB</v>
      </c>
      <c r="FB448" t="str">
        <f t="shared" si="313"/>
        <v>LDPE</v>
      </c>
      <c r="FC448" t="str">
        <f t="shared" si="314"/>
        <v>Immersion (shaking)</v>
      </c>
      <c r="FD448">
        <f t="shared" si="315"/>
        <v>293</v>
      </c>
      <c r="FE448" t="str">
        <f t="shared" si="316"/>
        <v>water</v>
      </c>
      <c r="FF448" t="str">
        <f t="shared" si="317"/>
        <v>measured 0.000005</v>
      </c>
      <c r="FG448" s="408">
        <f t="shared" si="310"/>
        <v>2.1957511671669646E-4</v>
      </c>
      <c r="FH448" s="138">
        <f t="shared" si="318"/>
        <v>6.52</v>
      </c>
      <c r="FI448" s="106">
        <f t="shared" si="299"/>
        <v>6.3667042017387629</v>
      </c>
      <c r="FJ448" s="138" t="str">
        <f t="shared" si="319"/>
        <v/>
      </c>
      <c r="FK448" s="138" t="str">
        <f t="shared" si="320"/>
        <v>**</v>
      </c>
    </row>
    <row r="449" spans="1:167" ht="12.75" hidden="1" customHeight="1" x14ac:dyDescent="0.2">
      <c r="A449">
        <v>414</v>
      </c>
      <c r="B449" s="4" t="s">
        <v>1937</v>
      </c>
      <c r="C449" s="4"/>
      <c r="D449" t="s">
        <v>1139</v>
      </c>
      <c r="E449">
        <v>-1632</v>
      </c>
      <c r="F449" t="str">
        <f>VLOOKUP(E449,CompDbase!B:L,4,FALSE)</f>
        <v>PCB #153</v>
      </c>
      <c r="G449" s="95" t="str">
        <f>VLOOKUP(E449,CompDbase!B:M,12,FALSE)</f>
        <v>PCB</v>
      </c>
      <c r="H449" s="95">
        <f>VLOOKUP(E449,CompDbase!B:L,8,FALSE)</f>
        <v>360.9</v>
      </c>
      <c r="I449" s="95">
        <f>VLOOKUP(E449,CompDbase!B:L,11,FALSE)</f>
        <v>223.75</v>
      </c>
      <c r="J449" s="95">
        <f>VLOOKUP(E449,CompDbase!B:L,9,FALSE)</f>
        <v>1.1412660075547663E-2</v>
      </c>
      <c r="K449" s="95">
        <f>VLOOKUP(E449,CompDbase!B:L,10,FALSE)</f>
        <v>6.9066666666666663</v>
      </c>
      <c r="L449" s="4" t="s">
        <v>769</v>
      </c>
      <c r="O449" s="4" t="s">
        <v>1985</v>
      </c>
      <c r="P449">
        <v>293</v>
      </c>
      <c r="Q449" s="4" t="s">
        <v>1049</v>
      </c>
      <c r="R449" s="289" t="s">
        <v>1982</v>
      </c>
      <c r="S449">
        <f t="shared" si="307"/>
        <v>5.0000000000000004E-6</v>
      </c>
      <c r="T449" s="95">
        <f t="shared" si="308"/>
        <v>4.3810995568971801E-4</v>
      </c>
      <c r="W449">
        <v>6456542.2903465591</v>
      </c>
      <c r="X449" s="95">
        <f t="shared" si="309"/>
        <v>6.8100000000000005</v>
      </c>
      <c r="Z449" s="190"/>
      <c r="AC449" t="s">
        <v>68</v>
      </c>
      <c r="AG449" s="138">
        <f t="shared" si="294"/>
        <v>6.8100000000000005</v>
      </c>
      <c r="AH449">
        <f t="shared" si="295"/>
        <v>6.9066666666666663</v>
      </c>
      <c r="AI449">
        <f t="shared" si="295"/>
        <v>6.9066666666666663</v>
      </c>
      <c r="AM449">
        <f t="shared" si="305"/>
        <v>6.9066666666666663</v>
      </c>
      <c r="AP449">
        <f t="shared" si="306"/>
        <v>6.9066666666666663</v>
      </c>
      <c r="BW449" s="138"/>
      <c r="BX449">
        <f t="shared" si="321"/>
        <v>-1.9426131179404935</v>
      </c>
      <c r="BY449">
        <f t="shared" si="321"/>
        <v>-1.9426131179404935</v>
      </c>
      <c r="CC449">
        <f>LOG(1*$J449)</f>
        <v>-1.9426131179404935</v>
      </c>
      <c r="DG449" s="138"/>
      <c r="EY449" s="479">
        <f>VLOOKUP(B449,Literatuur!$A:$B,2,FALSE)</f>
        <v>8</v>
      </c>
      <c r="EZ449" t="str">
        <f t="shared" si="311"/>
        <v>PCB #153</v>
      </c>
      <c r="FA449" t="str">
        <f t="shared" si="312"/>
        <v>PCB</v>
      </c>
      <c r="FB449" t="str">
        <f t="shared" si="313"/>
        <v>LDPE</v>
      </c>
      <c r="FC449" t="str">
        <f t="shared" si="314"/>
        <v>Immersion (shaking)</v>
      </c>
      <c r="FD449">
        <f t="shared" si="315"/>
        <v>293</v>
      </c>
      <c r="FE449" t="str">
        <f t="shared" si="316"/>
        <v>water</v>
      </c>
      <c r="FF449" t="str">
        <f t="shared" si="317"/>
        <v>measured 0.000005</v>
      </c>
      <c r="FG449" s="408">
        <f t="shared" si="310"/>
        <v>4.3810995568971801E-4</v>
      </c>
      <c r="FH449" s="138">
        <f t="shared" si="318"/>
        <v>6.8100000000000005</v>
      </c>
      <c r="FI449" s="106">
        <f t="shared" si="299"/>
        <v>6.6419523702408236</v>
      </c>
      <c r="FJ449" s="138" t="str">
        <f t="shared" si="319"/>
        <v/>
      </c>
      <c r="FK449" s="138" t="str">
        <f t="shared" si="320"/>
        <v>**</v>
      </c>
    </row>
    <row r="450" spans="1:167" ht="12.75" hidden="1" customHeight="1" x14ac:dyDescent="0.2">
      <c r="A450">
        <v>415</v>
      </c>
      <c r="B450" s="4" t="s">
        <v>1937</v>
      </c>
      <c r="C450" s="4"/>
      <c r="D450" t="s">
        <v>1140</v>
      </c>
      <c r="E450">
        <v>-1633</v>
      </c>
      <c r="F450" t="str">
        <f>VLOOKUP(E450,CompDbase!B:L,4,FALSE)</f>
        <v>PCB #155</v>
      </c>
      <c r="G450" s="95" t="str">
        <f>VLOOKUP(E450,CompDbase!B:M,12,FALSE)</f>
        <v>PCB</v>
      </c>
      <c r="H450" s="95">
        <f>VLOOKUP(E450,CompDbase!B:L,8,FALSE)</f>
        <v>360.9</v>
      </c>
      <c r="I450" s="95">
        <f>VLOOKUP(E450,CompDbase!B:L,11,FALSE)</f>
        <v>223.85</v>
      </c>
      <c r="J450" s="95">
        <f>VLOOKUP(E450,CompDbase!B:L,9,FALSE)</f>
        <v>1.1412660075547663E-2</v>
      </c>
      <c r="K450" s="95">
        <f>VLOOKUP(E450,CompDbase!B:L,10,FALSE)</f>
        <v>6.6700000000000008</v>
      </c>
      <c r="L450" s="4" t="s">
        <v>769</v>
      </c>
      <c r="M450" s="423"/>
      <c r="N450" s="423"/>
      <c r="O450" s="4" t="s">
        <v>1985</v>
      </c>
      <c r="P450">
        <v>293</v>
      </c>
      <c r="Q450" s="4" t="s">
        <v>1049</v>
      </c>
      <c r="R450" s="289" t="s">
        <v>1982</v>
      </c>
      <c r="S450">
        <f t="shared" si="307"/>
        <v>5.0000000000000004E-6</v>
      </c>
      <c r="T450" s="95">
        <f t="shared" si="308"/>
        <v>4.3810995568971801E-4</v>
      </c>
      <c r="W450">
        <v>3630780.5477010179</v>
      </c>
      <c r="X450" s="95">
        <f t="shared" si="309"/>
        <v>6.5600000000000005</v>
      </c>
      <c r="Z450" s="190"/>
      <c r="AC450" t="s">
        <v>68</v>
      </c>
      <c r="AG450" s="138">
        <f t="shared" si="294"/>
        <v>6.5600000000000005</v>
      </c>
      <c r="AH450">
        <f t="shared" si="295"/>
        <v>6.6700000000000008</v>
      </c>
      <c r="AI450">
        <f t="shared" si="295"/>
        <v>6.6700000000000008</v>
      </c>
      <c r="AM450">
        <f t="shared" si="305"/>
        <v>6.6700000000000008</v>
      </c>
      <c r="AP450">
        <f t="shared" si="306"/>
        <v>6.6700000000000008</v>
      </c>
      <c r="BW450" s="138"/>
      <c r="BX450">
        <f t="shared" si="321"/>
        <v>-1.9426131179404935</v>
      </c>
      <c r="BY450">
        <f t="shared" si="321"/>
        <v>-1.9426131179404935</v>
      </c>
      <c r="CC450">
        <f>LOG(1*$J450)</f>
        <v>-1.9426131179404935</v>
      </c>
      <c r="DG450" s="138"/>
      <c r="EY450" s="479">
        <f>VLOOKUP(B450,Literatuur!$A:$B,2,FALSE)</f>
        <v>8</v>
      </c>
      <c r="EZ450" t="str">
        <f t="shared" si="311"/>
        <v>PCB #155</v>
      </c>
      <c r="FA450" t="str">
        <f t="shared" si="312"/>
        <v>PCB</v>
      </c>
      <c r="FB450" t="str">
        <f t="shared" si="313"/>
        <v>LDPE</v>
      </c>
      <c r="FC450" t="str">
        <f t="shared" si="314"/>
        <v>Immersion (shaking)</v>
      </c>
      <c r="FD450">
        <f t="shared" si="315"/>
        <v>293</v>
      </c>
      <c r="FE450" t="str">
        <f t="shared" si="316"/>
        <v>water</v>
      </c>
      <c r="FF450" t="str">
        <f t="shared" si="317"/>
        <v>measured 0.000005</v>
      </c>
      <c r="FG450" s="408">
        <f t="shared" si="310"/>
        <v>4.3810995568971801E-4</v>
      </c>
      <c r="FH450" s="138">
        <f t="shared" si="318"/>
        <v>6.5600000000000005</v>
      </c>
      <c r="FI450" s="106">
        <f t="shared" si="299"/>
        <v>6.3914059604504869</v>
      </c>
      <c r="FJ450" s="138" t="str">
        <f t="shared" si="319"/>
        <v/>
      </c>
      <c r="FK450" s="138" t="str">
        <f t="shared" si="320"/>
        <v>**</v>
      </c>
    </row>
    <row r="451" spans="1:167" ht="12.75" hidden="1" customHeight="1" x14ac:dyDescent="0.2">
      <c r="A451">
        <v>416</v>
      </c>
      <c r="B451" s="4" t="s">
        <v>1937</v>
      </c>
      <c r="C451" s="4"/>
      <c r="D451" t="s">
        <v>1141</v>
      </c>
      <c r="E451">
        <v>-1634</v>
      </c>
      <c r="F451" t="str">
        <f>VLOOKUP(E451,CompDbase!B:L,4,FALSE)</f>
        <v>PCB #156</v>
      </c>
      <c r="G451" s="95" t="str">
        <f>VLOOKUP(E451,CompDbase!B:M,12,FALSE)</f>
        <v>PCB</v>
      </c>
      <c r="H451" s="95">
        <f>VLOOKUP(E451,CompDbase!B:L,8,FALSE)</f>
        <v>360.9</v>
      </c>
      <c r="I451" s="95">
        <f>VLOOKUP(E451,CompDbase!B:L,11,FALSE)</f>
        <v>222.05</v>
      </c>
      <c r="J451" s="95">
        <f>VLOOKUP(E451,CompDbase!B:L,9,FALSE)</f>
        <v>5.7198795315921572E-3</v>
      </c>
      <c r="K451" s="95">
        <f>VLOOKUP(E451,CompDbase!B:L,10,FALSE)</f>
        <v>7.2266666666666666</v>
      </c>
      <c r="L451" s="4" t="s">
        <v>769</v>
      </c>
      <c r="O451" s="4" t="s">
        <v>1985</v>
      </c>
      <c r="P451">
        <v>293</v>
      </c>
      <c r="Q451" s="4" t="s">
        <v>1049</v>
      </c>
      <c r="R451" s="289" t="s">
        <v>1982</v>
      </c>
      <c r="S451">
        <f t="shared" si="307"/>
        <v>5.0000000000000004E-6</v>
      </c>
      <c r="T451" s="95">
        <f t="shared" si="308"/>
        <v>8.7414428440037888E-4</v>
      </c>
      <c r="W451">
        <v>3311311.2148259105</v>
      </c>
      <c r="X451" s="95">
        <f t="shared" si="309"/>
        <v>6.52</v>
      </c>
      <c r="Z451" s="190"/>
      <c r="AC451" t="s">
        <v>68</v>
      </c>
      <c r="AG451" s="138">
        <f t="shared" si="294"/>
        <v>6.52</v>
      </c>
      <c r="AH451">
        <f t="shared" si="295"/>
        <v>7.2266666666666666</v>
      </c>
      <c r="AI451">
        <f t="shared" si="295"/>
        <v>7.2266666666666666</v>
      </c>
      <c r="AM451">
        <f t="shared" si="305"/>
        <v>7.2266666666666666</v>
      </c>
      <c r="AP451">
        <f t="shared" si="306"/>
        <v>7.2266666666666666</v>
      </c>
      <c r="BW451" s="138"/>
      <c r="BX451">
        <f t="shared" si="321"/>
        <v>-2.2426131179404929</v>
      </c>
      <c r="BY451">
        <f t="shared" si="321"/>
        <v>-2.2426131179404929</v>
      </c>
      <c r="CC451">
        <f>LOG(1*$J451)</f>
        <v>-2.2426131179404929</v>
      </c>
      <c r="CF451">
        <f>LOG(1*$J451)</f>
        <v>-2.2426131179404929</v>
      </c>
      <c r="DG451" s="138"/>
      <c r="EY451" s="479">
        <f>VLOOKUP(B451,Literatuur!$A:$B,2,FALSE)</f>
        <v>8</v>
      </c>
      <c r="EZ451" t="str">
        <f t="shared" si="311"/>
        <v>PCB #156</v>
      </c>
      <c r="FA451" t="str">
        <f t="shared" si="312"/>
        <v>PCB</v>
      </c>
      <c r="FB451" t="str">
        <f t="shared" si="313"/>
        <v>LDPE</v>
      </c>
      <c r="FC451" t="str">
        <f t="shared" si="314"/>
        <v>Immersion (shaking)</v>
      </c>
      <c r="FD451">
        <f t="shared" si="315"/>
        <v>293</v>
      </c>
      <c r="FE451" t="str">
        <f t="shared" si="316"/>
        <v>water</v>
      </c>
      <c r="FF451" t="str">
        <f t="shared" si="317"/>
        <v>measured 0.000005</v>
      </c>
      <c r="FG451" s="408">
        <f t="shared" si="310"/>
        <v>8.7414428440037888E-4</v>
      </c>
      <c r="FH451" s="138">
        <f t="shared" si="318"/>
        <v>6.52</v>
      </c>
      <c r="FI451" s="106">
        <f t="shared" si="299"/>
        <v>6.9807193468587458</v>
      </c>
      <c r="FJ451" s="138" t="str">
        <f t="shared" si="319"/>
        <v/>
      </c>
      <c r="FK451" s="138" t="str">
        <f t="shared" si="320"/>
        <v>**</v>
      </c>
    </row>
    <row r="452" spans="1:167" ht="12.75" hidden="1" customHeight="1" x14ac:dyDescent="0.2">
      <c r="A452">
        <v>417</v>
      </c>
      <c r="B452" s="4" t="s">
        <v>1937</v>
      </c>
      <c r="C452" s="4"/>
      <c r="D452" t="s">
        <v>1142</v>
      </c>
      <c r="E452">
        <v>-1635</v>
      </c>
      <c r="F452" t="str">
        <f>VLOOKUP(E452,CompDbase!B:L,4,FALSE)</f>
        <v>PCB #158</v>
      </c>
      <c r="G452" s="95" t="str">
        <f>VLOOKUP(E452,CompDbase!B:M,12,FALSE)</f>
        <v>PCB</v>
      </c>
      <c r="H452" s="95" t="e">
        <f>VLOOKUP(E452,CompDbase!B:L,8,FALSE)</f>
        <v>#DIV/0!</v>
      </c>
      <c r="I452" s="95">
        <f>VLOOKUP(E452,CompDbase!B:L,11,FALSE)</f>
        <v>221.6</v>
      </c>
      <c r="J452" s="95" t="e">
        <f>VLOOKUP(E452,CompDbase!B:L,9,FALSE)</f>
        <v>#DIV/0!</v>
      </c>
      <c r="K452" s="95">
        <f>VLOOKUP(E452,CompDbase!B:L,10,FALSE)</f>
        <v>7.02</v>
      </c>
      <c r="L452" s="4" t="s">
        <v>769</v>
      </c>
      <c r="M452" s="423"/>
      <c r="N452" s="423"/>
      <c r="O452" s="4" t="s">
        <v>1985</v>
      </c>
      <c r="P452">
        <v>293</v>
      </c>
      <c r="Q452" s="4" t="s">
        <v>1049</v>
      </c>
      <c r="R452" s="289" t="s">
        <v>1982</v>
      </c>
      <c r="S452">
        <f t="shared" si="307"/>
        <v>5.0000000000000004E-6</v>
      </c>
      <c r="T452" s="95" t="e">
        <f t="shared" si="308"/>
        <v>#DIV/0!</v>
      </c>
      <c r="W452">
        <v>4677351.4128719913</v>
      </c>
      <c r="X452" s="95">
        <f t="shared" si="309"/>
        <v>6.6700000000000008</v>
      </c>
      <c r="Z452" s="190"/>
      <c r="AC452" t="s">
        <v>68</v>
      </c>
      <c r="AG452" s="138">
        <f t="shared" si="294"/>
        <v>6.6700000000000008</v>
      </c>
      <c r="AH452">
        <f t="shared" si="295"/>
        <v>7.02</v>
      </c>
      <c r="AI452">
        <f t="shared" si="295"/>
        <v>7.02</v>
      </c>
      <c r="AM452">
        <f t="shared" si="305"/>
        <v>7.02</v>
      </c>
      <c r="BW452" s="138"/>
      <c r="DG452" s="138"/>
      <c r="EY452" s="479">
        <f>VLOOKUP(B452,Literatuur!$A:$B,2,FALSE)</f>
        <v>8</v>
      </c>
      <c r="EZ452" t="str">
        <f t="shared" si="311"/>
        <v>PCB #158</v>
      </c>
      <c r="FA452" t="str">
        <f t="shared" si="312"/>
        <v>PCB</v>
      </c>
      <c r="FB452" t="str">
        <f t="shared" si="313"/>
        <v>LDPE</v>
      </c>
      <c r="FC452" t="str">
        <f t="shared" si="314"/>
        <v>Immersion (shaking)</v>
      </c>
      <c r="FD452">
        <f t="shared" si="315"/>
        <v>293</v>
      </c>
      <c r="FE452" t="str">
        <f t="shared" si="316"/>
        <v>water</v>
      </c>
      <c r="FF452" t="str">
        <f t="shared" si="317"/>
        <v>measured 0.000005</v>
      </c>
      <c r="FG452" s="408" t="str">
        <f t="shared" si="310"/>
        <v/>
      </c>
      <c r="FH452" s="138">
        <f t="shared" si="318"/>
        <v>6.6700000000000008</v>
      </c>
      <c r="FI452" s="106">
        <f t="shared" si="299"/>
        <v>6.7619323411263377</v>
      </c>
      <c r="FJ452" s="138" t="str">
        <f t="shared" si="319"/>
        <v/>
      </c>
      <c r="FK452" s="138" t="str">
        <f t="shared" si="320"/>
        <v>**</v>
      </c>
    </row>
    <row r="453" spans="1:167" ht="12.75" hidden="1" customHeight="1" x14ac:dyDescent="0.2">
      <c r="A453">
        <v>418</v>
      </c>
      <c r="B453" s="4" t="s">
        <v>1937</v>
      </c>
      <c r="C453" s="4"/>
      <c r="D453" t="s">
        <v>1087</v>
      </c>
      <c r="E453">
        <v>-1580</v>
      </c>
      <c r="F453" t="str">
        <f>VLOOKUP(E453,CompDbase!B:L,4,FALSE)</f>
        <v>PCB #16</v>
      </c>
      <c r="G453" s="95" t="str">
        <f>VLOOKUP(E453,CompDbase!B:M,12,FALSE)</f>
        <v>PCB</v>
      </c>
      <c r="H453" s="95" t="e">
        <f>VLOOKUP(E453,CompDbase!B:L,8,FALSE)</f>
        <v>#DIV/0!</v>
      </c>
      <c r="I453" s="95">
        <f>VLOOKUP(E453,CompDbase!B:L,11,FALSE)</f>
        <v>187.4</v>
      </c>
      <c r="J453" s="95" t="e">
        <f>VLOOKUP(E453,CompDbase!B:L,9,FALSE)</f>
        <v>#DIV/0!</v>
      </c>
      <c r="K453" s="95">
        <f>VLOOKUP(E453,CompDbase!B:L,10,FALSE)</f>
        <v>5.16</v>
      </c>
      <c r="L453" s="4" t="s">
        <v>769</v>
      </c>
      <c r="M453" s="423"/>
      <c r="N453" s="423"/>
      <c r="O453" s="4" t="s">
        <v>1985</v>
      </c>
      <c r="P453">
        <v>293</v>
      </c>
      <c r="Q453" s="4" t="s">
        <v>1049</v>
      </c>
      <c r="R453" s="289" t="s">
        <v>1982</v>
      </c>
      <c r="S453">
        <f t="shared" si="307"/>
        <v>5.0000000000000004E-6</v>
      </c>
      <c r="T453" s="95" t="e">
        <f t="shared" si="308"/>
        <v>#DIV/0!</v>
      </c>
      <c r="W453">
        <v>52480.746024977314</v>
      </c>
      <c r="X453" s="95">
        <f t="shared" si="309"/>
        <v>4.7200000000000006</v>
      </c>
      <c r="Z453" s="190"/>
      <c r="AC453" t="s">
        <v>68</v>
      </c>
      <c r="AG453" s="138">
        <f t="shared" si="294"/>
        <v>4.7200000000000006</v>
      </c>
      <c r="AH453">
        <f t="shared" si="295"/>
        <v>5.16</v>
      </c>
      <c r="AI453">
        <f t="shared" si="295"/>
        <v>5.16</v>
      </c>
      <c r="AM453">
        <f t="shared" si="305"/>
        <v>5.16</v>
      </c>
      <c r="BW453" s="138"/>
      <c r="DG453" s="138"/>
      <c r="EY453" s="479">
        <f>VLOOKUP(B453,Literatuur!$A:$B,2,FALSE)</f>
        <v>8</v>
      </c>
      <c r="EZ453" t="str">
        <f t="shared" si="311"/>
        <v>PCB #16</v>
      </c>
      <c r="FA453" t="str">
        <f t="shared" si="312"/>
        <v>PCB</v>
      </c>
      <c r="FB453" t="str">
        <f t="shared" si="313"/>
        <v>LDPE</v>
      </c>
      <c r="FC453" t="str">
        <f t="shared" si="314"/>
        <v>Immersion (shaking)</v>
      </c>
      <c r="FD453">
        <f t="shared" si="315"/>
        <v>293</v>
      </c>
      <c r="FE453" t="str">
        <f t="shared" si="316"/>
        <v>water</v>
      </c>
      <c r="FF453" t="str">
        <f t="shared" si="317"/>
        <v>measured 0.000005</v>
      </c>
      <c r="FG453" s="408" t="str">
        <f t="shared" si="310"/>
        <v/>
      </c>
      <c r="FH453" s="138">
        <f t="shared" si="318"/>
        <v>4.7200000000000006</v>
      </c>
      <c r="FI453" s="106">
        <f t="shared" si="299"/>
        <v>4.7928492895346668</v>
      </c>
      <c r="FJ453" s="138" t="str">
        <f t="shared" si="319"/>
        <v/>
      </c>
      <c r="FK453" s="138" t="str">
        <f t="shared" si="320"/>
        <v>**</v>
      </c>
    </row>
    <row r="454" spans="1:167" ht="12.75" hidden="1" customHeight="1" x14ac:dyDescent="0.2">
      <c r="A454">
        <v>419</v>
      </c>
      <c r="B454" s="4" t="s">
        <v>1937</v>
      </c>
      <c r="C454" s="4"/>
      <c r="D454" t="s">
        <v>1143</v>
      </c>
      <c r="E454">
        <v>-1636</v>
      </c>
      <c r="F454" t="str">
        <f>VLOOKUP(E454,CompDbase!B:L,4,FALSE)</f>
        <v>PCB #163</v>
      </c>
      <c r="G454" s="95" t="str">
        <f>VLOOKUP(E454,CompDbase!B:M,12,FALSE)</f>
        <v>PCB</v>
      </c>
      <c r="H454" s="95" t="e">
        <f>VLOOKUP(E454,CompDbase!B:L,8,FALSE)</f>
        <v>#DIV/0!</v>
      </c>
      <c r="I454" s="95">
        <f>VLOOKUP(E454,CompDbase!B:L,11,FALSE)</f>
        <v>221.5</v>
      </c>
      <c r="J454" s="95" t="e">
        <f>VLOOKUP(E454,CompDbase!B:L,9,FALSE)</f>
        <v>#DIV/0!</v>
      </c>
      <c r="K454" s="95">
        <f>VLOOKUP(E454,CompDbase!B:L,10,FALSE)</f>
        <v>6.99</v>
      </c>
      <c r="L454" s="4" t="s">
        <v>769</v>
      </c>
      <c r="M454" s="423"/>
      <c r="N454" s="423"/>
      <c r="O454" s="4" t="s">
        <v>1985</v>
      </c>
      <c r="P454">
        <v>293</v>
      </c>
      <c r="Q454" s="4" t="s">
        <v>1049</v>
      </c>
      <c r="R454" s="289" t="s">
        <v>1982</v>
      </c>
      <c r="S454">
        <f t="shared" si="307"/>
        <v>5.0000000000000004E-6</v>
      </c>
      <c r="T454" s="95" t="e">
        <f t="shared" si="308"/>
        <v>#DIV/0!</v>
      </c>
      <c r="W454">
        <v>4265795.1880159294</v>
      </c>
      <c r="X454" s="95">
        <f t="shared" si="309"/>
        <v>6.63</v>
      </c>
      <c r="Z454" s="190"/>
      <c r="AC454" t="s">
        <v>68</v>
      </c>
      <c r="AG454" s="138">
        <f t="shared" si="294"/>
        <v>6.63</v>
      </c>
      <c r="AH454">
        <f t="shared" si="295"/>
        <v>6.99</v>
      </c>
      <c r="AI454">
        <f t="shared" si="295"/>
        <v>6.99</v>
      </c>
      <c r="AM454">
        <f t="shared" si="305"/>
        <v>6.99</v>
      </c>
      <c r="BW454" s="138"/>
      <c r="DG454" s="138"/>
      <c r="EY454" s="479">
        <f>VLOOKUP(B454,Literatuur!$A:$B,2,FALSE)</f>
        <v>8</v>
      </c>
      <c r="EZ454" t="str">
        <f t="shared" si="311"/>
        <v>PCB #163</v>
      </c>
      <c r="FA454" t="str">
        <f t="shared" si="312"/>
        <v>PCB</v>
      </c>
      <c r="FB454" t="str">
        <f t="shared" si="313"/>
        <v>LDPE</v>
      </c>
      <c r="FC454" t="str">
        <f t="shared" si="314"/>
        <v>Immersion (shaking)</v>
      </c>
      <c r="FD454">
        <f t="shared" si="315"/>
        <v>293</v>
      </c>
      <c r="FE454" t="str">
        <f t="shared" si="316"/>
        <v>water</v>
      </c>
      <c r="FF454" t="str">
        <f t="shared" si="317"/>
        <v>measured 0.000005</v>
      </c>
      <c r="FG454" s="408" t="str">
        <f t="shared" si="310"/>
        <v/>
      </c>
      <c r="FH454" s="138">
        <f t="shared" si="318"/>
        <v>6.63</v>
      </c>
      <c r="FI454" s="106">
        <f t="shared" si="299"/>
        <v>6.7301729370684082</v>
      </c>
      <c r="FJ454" s="138" t="str">
        <f t="shared" si="319"/>
        <v/>
      </c>
      <c r="FK454" s="138" t="str">
        <f t="shared" si="320"/>
        <v>**</v>
      </c>
    </row>
    <row r="455" spans="1:167" ht="12.75" hidden="1" customHeight="1" x14ac:dyDescent="0.2">
      <c r="A455">
        <v>420</v>
      </c>
      <c r="B455" s="4" t="s">
        <v>1937</v>
      </c>
      <c r="C455" s="4"/>
      <c r="D455" t="s">
        <v>1144</v>
      </c>
      <c r="E455">
        <v>-1637</v>
      </c>
      <c r="F455" t="str">
        <f>VLOOKUP(E455,CompDbase!B:L,4,FALSE)</f>
        <v>PCB #171</v>
      </c>
      <c r="G455" s="95" t="str">
        <f>VLOOKUP(E455,CompDbase!B:M,12,FALSE)</f>
        <v>PCB</v>
      </c>
      <c r="H455" s="95" t="e">
        <f>VLOOKUP(E455,CompDbase!B:L,8,FALSE)</f>
        <v>#DIV/0!</v>
      </c>
      <c r="I455" s="95">
        <f>VLOOKUP(E455,CompDbase!B:L,11,FALSE)</f>
        <v>234.1</v>
      </c>
      <c r="J455" s="95" t="e">
        <f>VLOOKUP(E455,CompDbase!B:L,9,FALSE)</f>
        <v>#DIV/0!</v>
      </c>
      <c r="K455" s="95">
        <f>VLOOKUP(E455,CompDbase!B:L,10,FALSE)</f>
        <v>7.11</v>
      </c>
      <c r="L455" s="4" t="s">
        <v>769</v>
      </c>
      <c r="O455" s="4" t="s">
        <v>1985</v>
      </c>
      <c r="P455">
        <v>293</v>
      </c>
      <c r="Q455" s="4" t="s">
        <v>1049</v>
      </c>
      <c r="R455" s="289" t="s">
        <v>1982</v>
      </c>
      <c r="S455">
        <f t="shared" si="307"/>
        <v>5.0000000000000004E-6</v>
      </c>
      <c r="T455" s="95" t="e">
        <f t="shared" si="308"/>
        <v>#DIV/0!</v>
      </c>
      <c r="W455">
        <v>5754399.373371576</v>
      </c>
      <c r="X455" s="95">
        <f t="shared" si="309"/>
        <v>6.7600000000000007</v>
      </c>
      <c r="Z455" s="190"/>
      <c r="AC455" t="s">
        <v>68</v>
      </c>
      <c r="AG455" s="138">
        <f t="shared" si="294"/>
        <v>6.7600000000000007</v>
      </c>
      <c r="AH455">
        <f t="shared" si="295"/>
        <v>7.11</v>
      </c>
      <c r="AI455">
        <f t="shared" si="295"/>
        <v>7.11</v>
      </c>
      <c r="AM455">
        <f t="shared" si="305"/>
        <v>7.11</v>
      </c>
      <c r="BW455" s="138"/>
      <c r="DG455" s="138"/>
      <c r="EY455" s="479">
        <f>VLOOKUP(B455,Literatuur!$A:$B,2,FALSE)</f>
        <v>8</v>
      </c>
      <c r="EZ455" t="str">
        <f t="shared" si="311"/>
        <v>PCB #171</v>
      </c>
      <c r="FA455" t="str">
        <f t="shared" si="312"/>
        <v>PCB</v>
      </c>
      <c r="FB455" t="str">
        <f t="shared" si="313"/>
        <v>LDPE</v>
      </c>
      <c r="FC455" t="str">
        <f t="shared" si="314"/>
        <v>Immersion (shaking)</v>
      </c>
      <c r="FD455">
        <f t="shared" si="315"/>
        <v>293</v>
      </c>
      <c r="FE455" t="str">
        <f t="shared" si="316"/>
        <v>water</v>
      </c>
      <c r="FF455" t="str">
        <f t="shared" si="317"/>
        <v>measured 0.000005</v>
      </c>
      <c r="FG455" s="408" t="str">
        <f t="shared" si="310"/>
        <v/>
      </c>
      <c r="FH455" s="138">
        <f t="shared" si="318"/>
        <v>6.7600000000000007</v>
      </c>
      <c r="FI455" s="106">
        <f t="shared" si="299"/>
        <v>6.8572105533001286</v>
      </c>
      <c r="FJ455" s="138" t="str">
        <f t="shared" si="319"/>
        <v/>
      </c>
      <c r="FK455" s="138" t="str">
        <f t="shared" si="320"/>
        <v>**</v>
      </c>
    </row>
    <row r="456" spans="1:167" ht="12.75" hidden="1" customHeight="1" x14ac:dyDescent="0.2">
      <c r="A456">
        <v>421</v>
      </c>
      <c r="B456" s="4" t="s">
        <v>1937</v>
      </c>
      <c r="C456" s="4"/>
      <c r="D456" t="s">
        <v>1145</v>
      </c>
      <c r="E456">
        <v>-1638</v>
      </c>
      <c r="F456" t="str">
        <f>VLOOKUP(E456,CompDbase!B:L,4,FALSE)</f>
        <v>PCB #172</v>
      </c>
      <c r="G456" s="95" t="str">
        <f>VLOOKUP(E456,CompDbase!B:M,12,FALSE)</f>
        <v>PCB</v>
      </c>
      <c r="H456" s="95" t="e">
        <f>VLOOKUP(E456,CompDbase!B:L,8,FALSE)</f>
        <v>#DIV/0!</v>
      </c>
      <c r="I456" s="95">
        <f>VLOOKUP(E456,CompDbase!B:L,11,FALSE)</f>
        <v>235.1</v>
      </c>
      <c r="J456" s="95" t="e">
        <f>VLOOKUP(E456,CompDbase!B:L,9,FALSE)</f>
        <v>#DIV/0!</v>
      </c>
      <c r="K456" s="95">
        <f>VLOOKUP(E456,CompDbase!B:L,10,FALSE)</f>
        <v>7.33</v>
      </c>
      <c r="L456" s="4" t="s">
        <v>769</v>
      </c>
      <c r="O456" s="4" t="s">
        <v>1985</v>
      </c>
      <c r="P456">
        <v>293</v>
      </c>
      <c r="Q456" s="4" t="s">
        <v>1049</v>
      </c>
      <c r="R456" s="289" t="s">
        <v>1982</v>
      </c>
      <c r="S456">
        <f t="shared" si="307"/>
        <v>5.0000000000000004E-6</v>
      </c>
      <c r="T456" s="95" t="e">
        <f t="shared" si="308"/>
        <v>#DIV/0!</v>
      </c>
      <c r="W456">
        <v>3235936.5692962883</v>
      </c>
      <c r="X456" s="95">
        <f t="shared" si="309"/>
        <v>6.5100000000000007</v>
      </c>
      <c r="Z456" s="190"/>
      <c r="AC456" t="s">
        <v>68</v>
      </c>
      <c r="AG456" s="138">
        <f t="shared" si="294"/>
        <v>6.5100000000000007</v>
      </c>
      <c r="AH456">
        <f t="shared" si="295"/>
        <v>7.33</v>
      </c>
      <c r="AI456">
        <f t="shared" si="295"/>
        <v>7.33</v>
      </c>
      <c r="AM456">
        <f t="shared" si="305"/>
        <v>7.33</v>
      </c>
      <c r="BW456" s="138"/>
      <c r="DG456" s="138"/>
      <c r="EY456" s="479">
        <f>VLOOKUP(B456,Literatuur!$A:$B,2,FALSE)</f>
        <v>8</v>
      </c>
      <c r="EZ456" t="str">
        <f t="shared" si="311"/>
        <v>PCB #172</v>
      </c>
      <c r="FA456" t="str">
        <f t="shared" si="312"/>
        <v>PCB</v>
      </c>
      <c r="FB456" t="str">
        <f t="shared" si="313"/>
        <v>LDPE</v>
      </c>
      <c r="FC456" t="str">
        <f t="shared" si="314"/>
        <v>Immersion (shaking)</v>
      </c>
      <c r="FD456">
        <f t="shared" si="315"/>
        <v>293</v>
      </c>
      <c r="FE456" t="str">
        <f t="shared" si="316"/>
        <v>water</v>
      </c>
      <c r="FF456" t="str">
        <f t="shared" si="317"/>
        <v>measured 0.000005</v>
      </c>
      <c r="FG456" s="408" t="str">
        <f t="shared" si="310"/>
        <v/>
      </c>
      <c r="FH456" s="138">
        <f t="shared" si="318"/>
        <v>6.5100000000000007</v>
      </c>
      <c r="FI456" s="106">
        <f t="shared" si="299"/>
        <v>7.0901128497249504</v>
      </c>
      <c r="FJ456" s="138" t="str">
        <f t="shared" si="319"/>
        <v/>
      </c>
      <c r="FK456" s="138" t="str">
        <f t="shared" si="320"/>
        <v>**</v>
      </c>
    </row>
    <row r="457" spans="1:167" ht="12.75" hidden="1" customHeight="1" x14ac:dyDescent="0.2">
      <c r="A457">
        <v>422</v>
      </c>
      <c r="B457" s="4" t="s">
        <v>1937</v>
      </c>
      <c r="C457" s="4"/>
      <c r="D457" t="s">
        <v>1146</v>
      </c>
      <c r="E457">
        <v>-1639</v>
      </c>
      <c r="F457" t="str">
        <f>VLOOKUP(E457,CompDbase!B:L,4,FALSE)</f>
        <v>PCB #174</v>
      </c>
      <c r="G457" s="95" t="str">
        <f>VLOOKUP(E457,CompDbase!B:M,12,FALSE)</f>
        <v>PCB</v>
      </c>
      <c r="H457" s="95" t="e">
        <f>VLOOKUP(E457,CompDbase!B:L,8,FALSE)</f>
        <v>#DIV/0!</v>
      </c>
      <c r="I457" s="95">
        <f>VLOOKUP(E457,CompDbase!B:L,11,FALSE)</f>
        <v>234</v>
      </c>
      <c r="J457" s="95" t="e">
        <f>VLOOKUP(E457,CompDbase!B:L,9,FALSE)</f>
        <v>#DIV/0!</v>
      </c>
      <c r="K457" s="95">
        <f>VLOOKUP(E457,CompDbase!B:L,10,FALSE)</f>
        <v>7.11</v>
      </c>
      <c r="L457" s="4" t="s">
        <v>769</v>
      </c>
      <c r="M457" s="423"/>
      <c r="N457" s="423"/>
      <c r="O457" s="4" t="s">
        <v>1985</v>
      </c>
      <c r="P457">
        <v>293</v>
      </c>
      <c r="Q457" s="4" t="s">
        <v>1049</v>
      </c>
      <c r="R457" s="289" t="s">
        <v>1982</v>
      </c>
      <c r="S457">
        <f t="shared" si="307"/>
        <v>5.0000000000000004E-6</v>
      </c>
      <c r="T457" s="95" t="e">
        <f t="shared" si="308"/>
        <v>#DIV/0!</v>
      </c>
      <c r="W457">
        <v>10964781.961431853</v>
      </c>
      <c r="X457" s="95">
        <f t="shared" si="309"/>
        <v>7.04</v>
      </c>
      <c r="Z457" s="190"/>
      <c r="AC457" t="s">
        <v>68</v>
      </c>
      <c r="AG457" s="138">
        <f t="shared" si="294"/>
        <v>7.04</v>
      </c>
      <c r="AH457">
        <f t="shared" si="295"/>
        <v>7.11</v>
      </c>
      <c r="AI457">
        <f t="shared" si="295"/>
        <v>7.11</v>
      </c>
      <c r="AM457">
        <f t="shared" si="305"/>
        <v>7.11</v>
      </c>
      <c r="BW457" s="138"/>
      <c r="DG457" s="138"/>
      <c r="EY457" s="479">
        <f>VLOOKUP(B457,Literatuur!$A:$B,2,FALSE)</f>
        <v>8</v>
      </c>
      <c r="EZ457" t="str">
        <f t="shared" si="311"/>
        <v>PCB #174</v>
      </c>
      <c r="FA457" t="str">
        <f t="shared" si="312"/>
        <v>PCB</v>
      </c>
      <c r="FB457" t="str">
        <f t="shared" si="313"/>
        <v>LDPE</v>
      </c>
      <c r="FC457" t="str">
        <f t="shared" si="314"/>
        <v>Immersion (shaking)</v>
      </c>
      <c r="FD457">
        <f t="shared" si="315"/>
        <v>293</v>
      </c>
      <c r="FE457" t="str">
        <f t="shared" si="316"/>
        <v>water</v>
      </c>
      <c r="FF457" t="str">
        <f t="shared" si="317"/>
        <v>measured 0.000005</v>
      </c>
      <c r="FG457" s="408" t="str">
        <f t="shared" si="310"/>
        <v/>
      </c>
      <c r="FH457" s="138">
        <f t="shared" si="318"/>
        <v>7.04</v>
      </c>
      <c r="FI457" s="106">
        <f t="shared" si="299"/>
        <v>6.8572105533001286</v>
      </c>
      <c r="FJ457" s="138" t="str">
        <f t="shared" si="319"/>
        <v/>
      </c>
      <c r="FK457" s="138" t="str">
        <f t="shared" si="320"/>
        <v>**</v>
      </c>
    </row>
    <row r="458" spans="1:167" ht="12.75" hidden="1" customHeight="1" x14ac:dyDescent="0.2">
      <c r="A458">
        <v>423</v>
      </c>
      <c r="B458" s="4" t="s">
        <v>1937</v>
      </c>
      <c r="C458" s="4"/>
      <c r="D458" t="s">
        <v>1147</v>
      </c>
      <c r="E458">
        <v>-1640</v>
      </c>
      <c r="F458" t="str">
        <f>VLOOKUP(E458,CompDbase!B:L,4,FALSE)</f>
        <v>PCB #177</v>
      </c>
      <c r="G458" s="95" t="str">
        <f>VLOOKUP(E458,CompDbase!B:M,12,FALSE)</f>
        <v>PCB</v>
      </c>
      <c r="H458" s="95" t="e">
        <f>VLOOKUP(E458,CompDbase!B:L,8,FALSE)</f>
        <v>#DIV/0!</v>
      </c>
      <c r="I458" s="95">
        <f>VLOOKUP(E458,CompDbase!B:L,11,FALSE)</f>
        <v>234</v>
      </c>
      <c r="J458" s="95" t="e">
        <f>VLOOKUP(E458,CompDbase!B:L,9,FALSE)</f>
        <v>#DIV/0!</v>
      </c>
      <c r="K458" s="95">
        <f>VLOOKUP(E458,CompDbase!B:L,10,FALSE)</f>
        <v>7.08</v>
      </c>
      <c r="L458" s="4" t="s">
        <v>769</v>
      </c>
      <c r="O458" s="4" t="s">
        <v>1985</v>
      </c>
      <c r="P458">
        <v>293</v>
      </c>
      <c r="Q458" s="4" t="s">
        <v>1049</v>
      </c>
      <c r="R458" s="289" t="s">
        <v>1982</v>
      </c>
      <c r="S458">
        <f t="shared" si="307"/>
        <v>5.0000000000000004E-6</v>
      </c>
      <c r="T458" s="95" t="e">
        <f t="shared" si="308"/>
        <v>#DIV/0!</v>
      </c>
      <c r="W458">
        <v>11748975.549395336</v>
      </c>
      <c r="X458" s="95">
        <f t="shared" si="309"/>
        <v>7.0700000000000012</v>
      </c>
      <c r="Z458" s="190"/>
      <c r="AC458" t="s">
        <v>68</v>
      </c>
      <c r="AG458" s="138">
        <f t="shared" si="294"/>
        <v>7.0700000000000012</v>
      </c>
      <c r="AH458">
        <f t="shared" si="295"/>
        <v>7.08</v>
      </c>
      <c r="AI458">
        <f t="shared" si="295"/>
        <v>7.08</v>
      </c>
      <c r="AM458">
        <f t="shared" si="305"/>
        <v>7.08</v>
      </c>
      <c r="BW458" s="138"/>
      <c r="DG458" s="138"/>
      <c r="EY458" s="479">
        <f>VLOOKUP(B458,Literatuur!$A:$B,2,FALSE)</f>
        <v>8</v>
      </c>
      <c r="EZ458" t="str">
        <f t="shared" si="311"/>
        <v>PCB #177</v>
      </c>
      <c r="FA458" t="str">
        <f t="shared" si="312"/>
        <v>PCB</v>
      </c>
      <c r="FB458" t="str">
        <f t="shared" si="313"/>
        <v>LDPE</v>
      </c>
      <c r="FC458" t="str">
        <f t="shared" si="314"/>
        <v>Immersion (shaking)</v>
      </c>
      <c r="FD458">
        <f t="shared" si="315"/>
        <v>293</v>
      </c>
      <c r="FE458" t="str">
        <f t="shared" si="316"/>
        <v>water</v>
      </c>
      <c r="FF458" t="str">
        <f t="shared" si="317"/>
        <v>measured 0.000005</v>
      </c>
      <c r="FG458" s="408" t="str">
        <f t="shared" si="310"/>
        <v/>
      </c>
      <c r="FH458" s="138">
        <f t="shared" si="318"/>
        <v>7.0700000000000012</v>
      </c>
      <c r="FI458" s="106">
        <f t="shared" si="299"/>
        <v>6.8254511492421983</v>
      </c>
      <c r="FJ458" s="138" t="str">
        <f t="shared" si="319"/>
        <v/>
      </c>
      <c r="FK458" s="138" t="str">
        <f t="shared" si="320"/>
        <v>**</v>
      </c>
    </row>
    <row r="459" spans="1:167" ht="12.75" hidden="1" customHeight="1" x14ac:dyDescent="0.2">
      <c r="A459">
        <v>424</v>
      </c>
      <c r="B459" s="4" t="s">
        <v>1937</v>
      </c>
      <c r="C459" s="4"/>
      <c r="D459" t="s">
        <v>1148</v>
      </c>
      <c r="E459">
        <v>-1641</v>
      </c>
      <c r="F459" t="str">
        <f>VLOOKUP(E459,CompDbase!B:L,4,FALSE)</f>
        <v>PCB #178</v>
      </c>
      <c r="G459" s="95" t="str">
        <f>VLOOKUP(E459,CompDbase!B:M,12,FALSE)</f>
        <v>PCB</v>
      </c>
      <c r="H459" s="95" t="e">
        <f>VLOOKUP(E459,CompDbase!B:L,8,FALSE)</f>
        <v>#DIV/0!</v>
      </c>
      <c r="I459" s="95">
        <f>VLOOKUP(E459,CompDbase!B:L,11,FALSE)</f>
        <v>234.7</v>
      </c>
      <c r="J459" s="95" t="e">
        <f>VLOOKUP(E459,CompDbase!B:L,9,FALSE)</f>
        <v>#DIV/0!</v>
      </c>
      <c r="K459" s="95">
        <f>VLOOKUP(E459,CompDbase!B:L,10,FALSE)</f>
        <v>7.14</v>
      </c>
      <c r="L459" s="4" t="s">
        <v>769</v>
      </c>
      <c r="O459" s="4" t="s">
        <v>1985</v>
      </c>
      <c r="P459">
        <v>293</v>
      </c>
      <c r="Q459" s="4" t="s">
        <v>1049</v>
      </c>
      <c r="R459" s="289" t="s">
        <v>1982</v>
      </c>
      <c r="S459">
        <f t="shared" si="307"/>
        <v>5.0000000000000004E-6</v>
      </c>
      <c r="T459" s="95" t="e">
        <f t="shared" si="308"/>
        <v>#DIV/0!</v>
      </c>
      <c r="W459">
        <v>9772372.2095581144</v>
      </c>
      <c r="X459" s="95">
        <f t="shared" si="309"/>
        <v>6.99</v>
      </c>
      <c r="Z459" s="190"/>
      <c r="AC459" t="s">
        <v>68</v>
      </c>
      <c r="AG459" s="138">
        <f t="shared" si="294"/>
        <v>6.99</v>
      </c>
      <c r="AH459">
        <f t="shared" si="295"/>
        <v>7.14</v>
      </c>
      <c r="AI459">
        <f t="shared" si="295"/>
        <v>7.14</v>
      </c>
      <c r="AM459">
        <f t="shared" si="305"/>
        <v>7.14</v>
      </c>
      <c r="BW459" s="138"/>
      <c r="DG459" s="138"/>
      <c r="EY459" s="479">
        <f>VLOOKUP(B459,Literatuur!$A:$B,2,FALSE)</f>
        <v>8</v>
      </c>
      <c r="EZ459" t="str">
        <f t="shared" si="311"/>
        <v>PCB #178</v>
      </c>
      <c r="FA459" t="str">
        <f t="shared" si="312"/>
        <v>PCB</v>
      </c>
      <c r="FB459" t="str">
        <f t="shared" si="313"/>
        <v>LDPE</v>
      </c>
      <c r="FC459" t="str">
        <f t="shared" si="314"/>
        <v>Immersion (shaking)</v>
      </c>
      <c r="FD459">
        <f t="shared" si="315"/>
        <v>293</v>
      </c>
      <c r="FE459" t="str">
        <f t="shared" si="316"/>
        <v>water</v>
      </c>
      <c r="FF459" t="str">
        <f t="shared" si="317"/>
        <v>measured 0.000005</v>
      </c>
      <c r="FG459" s="408" t="str">
        <f t="shared" si="310"/>
        <v/>
      </c>
      <c r="FH459" s="138">
        <f t="shared" si="318"/>
        <v>6.99</v>
      </c>
      <c r="FI459" s="106">
        <f t="shared" si="299"/>
        <v>6.8889699573580589</v>
      </c>
      <c r="FJ459" s="138" t="str">
        <f t="shared" si="319"/>
        <v/>
      </c>
      <c r="FK459" s="138" t="str">
        <f t="shared" si="320"/>
        <v>**</v>
      </c>
    </row>
    <row r="460" spans="1:167" ht="12.75" hidden="1" customHeight="1" x14ac:dyDescent="0.2">
      <c r="A460">
        <v>425</v>
      </c>
      <c r="B460" s="4" t="s">
        <v>1937</v>
      </c>
      <c r="C460" s="4"/>
      <c r="D460" t="s">
        <v>1088</v>
      </c>
      <c r="E460">
        <v>-1581</v>
      </c>
      <c r="F460" t="str">
        <f>VLOOKUP(E460,CompDbase!B:L,4,FALSE)</f>
        <v>PCB #18</v>
      </c>
      <c r="G460" s="95" t="str">
        <f>VLOOKUP(E460,CompDbase!B:M,12,FALSE)</f>
        <v>PCB</v>
      </c>
      <c r="H460" s="95">
        <f>VLOOKUP(E460,CompDbase!B:L,8,FALSE)</f>
        <v>257.5</v>
      </c>
      <c r="I460" s="95">
        <f>VLOOKUP(E460,CompDbase!B:L,11,FALSE)</f>
        <v>188.35</v>
      </c>
      <c r="J460" s="95">
        <f>VLOOKUP(E460,CompDbase!B:L,9,FALSE)</f>
        <v>0.81428649749335691</v>
      </c>
      <c r="K460" s="95">
        <f>VLOOKUP(E460,CompDbase!B:L,10,FALSE)</f>
        <v>5.246666666666667</v>
      </c>
      <c r="L460" s="4" t="s">
        <v>769</v>
      </c>
      <c r="M460" s="423"/>
      <c r="N460" s="423"/>
      <c r="O460" s="4" t="s">
        <v>1985</v>
      </c>
      <c r="P460">
        <v>293</v>
      </c>
      <c r="Q460" s="4" t="s">
        <v>1049</v>
      </c>
      <c r="R460" s="289" t="s">
        <v>1982</v>
      </c>
      <c r="S460">
        <f t="shared" si="307"/>
        <v>5.0000000000000004E-6</v>
      </c>
      <c r="T460" s="95">
        <f t="shared" si="308"/>
        <v>6.1403449712007427E-6</v>
      </c>
      <c r="W460">
        <v>69183.097091893651</v>
      </c>
      <c r="X460" s="95">
        <f t="shared" si="309"/>
        <v>4.84</v>
      </c>
      <c r="Z460" s="190"/>
      <c r="AC460" t="s">
        <v>68</v>
      </c>
      <c r="AG460" s="138">
        <f t="shared" si="294"/>
        <v>4.84</v>
      </c>
      <c r="AH460">
        <f t="shared" si="295"/>
        <v>5.246666666666667</v>
      </c>
      <c r="AI460">
        <f t="shared" si="295"/>
        <v>5.246666666666667</v>
      </c>
      <c r="AM460">
        <f t="shared" si="305"/>
        <v>5.246666666666667</v>
      </c>
      <c r="AP460">
        <f t="shared" si="306"/>
        <v>5.246666666666667</v>
      </c>
      <c r="BW460" s="138"/>
      <c r="BX460">
        <f>LOG(1*$J460)</f>
        <v>-8.9222766622790592E-2</v>
      </c>
      <c r="BY460">
        <f>LOG(1*$J460)</f>
        <v>-8.9222766622790592E-2</v>
      </c>
      <c r="CC460">
        <f>LOG(1*$J460)</f>
        <v>-8.9222766622790592E-2</v>
      </c>
      <c r="DG460" s="138"/>
      <c r="EY460" s="479">
        <f>VLOOKUP(B460,Literatuur!$A:$B,2,FALSE)</f>
        <v>8</v>
      </c>
      <c r="EZ460" t="str">
        <f t="shared" si="311"/>
        <v>PCB #18</v>
      </c>
      <c r="FA460" t="str">
        <f t="shared" si="312"/>
        <v>PCB</v>
      </c>
      <c r="FB460" t="str">
        <f t="shared" si="313"/>
        <v>LDPE</v>
      </c>
      <c r="FC460" t="str">
        <f t="shared" si="314"/>
        <v>Immersion (shaking)</v>
      </c>
      <c r="FD460">
        <f t="shared" si="315"/>
        <v>293</v>
      </c>
      <c r="FE460" t="str">
        <f t="shared" si="316"/>
        <v>water</v>
      </c>
      <c r="FF460" t="str">
        <f t="shared" si="317"/>
        <v>measured 0.000005</v>
      </c>
      <c r="FG460" s="408">
        <f t="shared" si="310"/>
        <v>6.1403449712007427E-6</v>
      </c>
      <c r="FH460" s="138">
        <f t="shared" si="318"/>
        <v>4.84</v>
      </c>
      <c r="FI460" s="106">
        <f t="shared" si="299"/>
        <v>4.8845986790353537</v>
      </c>
      <c r="FJ460" s="138" t="str">
        <f t="shared" si="319"/>
        <v/>
      </c>
      <c r="FK460" s="138" t="str">
        <f t="shared" si="320"/>
        <v>**</v>
      </c>
    </row>
    <row r="461" spans="1:167" ht="12.75" hidden="1" customHeight="1" x14ac:dyDescent="0.2">
      <c r="A461">
        <v>426</v>
      </c>
      <c r="B461" s="4" t="s">
        <v>1937</v>
      </c>
      <c r="C461" s="4"/>
      <c r="D461" t="s">
        <v>1149</v>
      </c>
      <c r="E461">
        <v>-1642</v>
      </c>
      <c r="F461" t="str">
        <f>VLOOKUP(E461,CompDbase!B:L,4,FALSE)</f>
        <v>PCB #180</v>
      </c>
      <c r="G461" s="95" t="str">
        <f>VLOOKUP(E461,CompDbase!B:M,12,FALSE)</f>
        <v>PCB</v>
      </c>
      <c r="H461" s="95" t="e">
        <f>VLOOKUP(E461,CompDbase!B:L,8,FALSE)</f>
        <v>#DIV/0!</v>
      </c>
      <c r="I461" s="95">
        <f>VLOOKUP(E461,CompDbase!B:L,11,FALSE)</f>
        <v>234.9</v>
      </c>
      <c r="J461" s="95" t="e">
        <f>VLOOKUP(E461,CompDbase!B:L,9,FALSE)</f>
        <v>#DIV/0!</v>
      </c>
      <c r="K461" s="95">
        <f>VLOOKUP(E461,CompDbase!B:L,10,FALSE)</f>
        <v>7.36</v>
      </c>
      <c r="L461" s="4" t="s">
        <v>769</v>
      </c>
      <c r="O461" s="4" t="s">
        <v>1985</v>
      </c>
      <c r="P461">
        <v>293</v>
      </c>
      <c r="Q461" s="4" t="s">
        <v>1049</v>
      </c>
      <c r="R461" s="289" t="s">
        <v>1982</v>
      </c>
      <c r="S461">
        <f t="shared" si="307"/>
        <v>5.0000000000000004E-6</v>
      </c>
      <c r="T461" s="95" t="e">
        <f t="shared" si="308"/>
        <v>#DIV/0!</v>
      </c>
      <c r="W461">
        <v>15848931.924611172</v>
      </c>
      <c r="X461" s="95">
        <f t="shared" si="309"/>
        <v>7.2000000000000011</v>
      </c>
      <c r="Z461" s="190"/>
      <c r="AC461" t="s">
        <v>68</v>
      </c>
      <c r="AG461" s="138">
        <f t="shared" si="294"/>
        <v>7.2000000000000011</v>
      </c>
      <c r="AH461">
        <f t="shared" si="295"/>
        <v>7.36</v>
      </c>
      <c r="AI461">
        <f t="shared" si="295"/>
        <v>7.36</v>
      </c>
      <c r="AM461">
        <f t="shared" si="305"/>
        <v>7.36</v>
      </c>
      <c r="BW461" s="138"/>
      <c r="DG461" s="138"/>
      <c r="EY461" s="479">
        <f>VLOOKUP(B461,Literatuur!$A:$B,2,FALSE)</f>
        <v>8</v>
      </c>
      <c r="EZ461" t="str">
        <f t="shared" si="311"/>
        <v>PCB #180</v>
      </c>
      <c r="FA461" t="str">
        <f t="shared" si="312"/>
        <v>PCB</v>
      </c>
      <c r="FB461" t="str">
        <f t="shared" si="313"/>
        <v>LDPE</v>
      </c>
      <c r="FC461" t="str">
        <f t="shared" si="314"/>
        <v>Immersion (shaking)</v>
      </c>
      <c r="FD461">
        <f t="shared" si="315"/>
        <v>293</v>
      </c>
      <c r="FE461" t="str">
        <f t="shared" si="316"/>
        <v>water</v>
      </c>
      <c r="FF461" t="str">
        <f t="shared" si="317"/>
        <v>measured 0.000005</v>
      </c>
      <c r="FG461" s="408" t="str">
        <f t="shared" si="310"/>
        <v/>
      </c>
      <c r="FH461" s="138">
        <f t="shared" si="318"/>
        <v>7.2000000000000011</v>
      </c>
      <c r="FI461" s="106">
        <f t="shared" si="299"/>
        <v>7.1218722537828807</v>
      </c>
      <c r="FJ461" s="138" t="str">
        <f t="shared" si="319"/>
        <v/>
      </c>
      <c r="FK461" s="138" t="str">
        <f t="shared" si="320"/>
        <v>**</v>
      </c>
    </row>
    <row r="462" spans="1:167" ht="12.75" hidden="1" customHeight="1" x14ac:dyDescent="0.2">
      <c r="A462">
        <v>427</v>
      </c>
      <c r="B462" s="4" t="s">
        <v>1937</v>
      </c>
      <c r="C462" s="4"/>
      <c r="D462" t="s">
        <v>1150</v>
      </c>
      <c r="E462">
        <v>-1643</v>
      </c>
      <c r="F462" t="str">
        <f>VLOOKUP(E462,CompDbase!B:L,4,FALSE)</f>
        <v>PCB #183</v>
      </c>
      <c r="G462" s="95" t="str">
        <f>VLOOKUP(E462,CompDbase!B:M,12,FALSE)</f>
        <v>PCB</v>
      </c>
      <c r="H462" s="95" t="e">
        <f>VLOOKUP(E462,CompDbase!B:L,8,FALSE)</f>
        <v>#DIV/0!</v>
      </c>
      <c r="I462" s="95">
        <f>VLOOKUP(E462,CompDbase!B:L,11,FALSE)</f>
        <v>234.6</v>
      </c>
      <c r="J462" s="95" t="e">
        <f>VLOOKUP(E462,CompDbase!B:L,9,FALSE)</f>
        <v>#DIV/0!</v>
      </c>
      <c r="K462" s="95">
        <f>VLOOKUP(E462,CompDbase!B:L,10,FALSE)</f>
        <v>7.2</v>
      </c>
      <c r="L462" s="4" t="s">
        <v>769</v>
      </c>
      <c r="O462" s="4" t="s">
        <v>1985</v>
      </c>
      <c r="P462">
        <v>293</v>
      </c>
      <c r="Q462" s="4" t="s">
        <v>1049</v>
      </c>
      <c r="R462" s="289" t="s">
        <v>1982</v>
      </c>
      <c r="S462">
        <f t="shared" si="307"/>
        <v>5.0000000000000004E-6</v>
      </c>
      <c r="T462" s="95" t="e">
        <f t="shared" si="308"/>
        <v>#DIV/0!</v>
      </c>
      <c r="W462">
        <v>13803842.646028839</v>
      </c>
      <c r="X462" s="95">
        <f t="shared" si="309"/>
        <v>7.14</v>
      </c>
      <c r="Z462" s="190"/>
      <c r="AC462" t="s">
        <v>68</v>
      </c>
      <c r="AG462" s="138">
        <f t="shared" si="294"/>
        <v>7.14</v>
      </c>
      <c r="AH462">
        <f t="shared" si="295"/>
        <v>7.2</v>
      </c>
      <c r="AI462">
        <f t="shared" si="295"/>
        <v>7.2</v>
      </c>
      <c r="AM462">
        <f t="shared" si="305"/>
        <v>7.2</v>
      </c>
      <c r="BW462" s="138"/>
      <c r="DG462" s="138"/>
      <c r="EY462" s="479">
        <f>VLOOKUP(B462,Literatuur!$A:$B,2,FALSE)</f>
        <v>8</v>
      </c>
      <c r="EZ462" t="str">
        <f t="shared" si="311"/>
        <v>PCB #183</v>
      </c>
      <c r="FA462" t="str">
        <f t="shared" si="312"/>
        <v>PCB</v>
      </c>
      <c r="FB462" t="str">
        <f t="shared" si="313"/>
        <v>LDPE</v>
      </c>
      <c r="FC462" t="str">
        <f t="shared" si="314"/>
        <v>Immersion (shaking)</v>
      </c>
      <c r="FD462">
        <f t="shared" si="315"/>
        <v>293</v>
      </c>
      <c r="FE462" t="str">
        <f t="shared" si="316"/>
        <v>water</v>
      </c>
      <c r="FF462" t="str">
        <f t="shared" si="317"/>
        <v>measured 0.000005</v>
      </c>
      <c r="FG462" s="408" t="str">
        <f t="shared" si="310"/>
        <v/>
      </c>
      <c r="FH462" s="138">
        <f t="shared" si="318"/>
        <v>7.14</v>
      </c>
      <c r="FI462" s="106">
        <f t="shared" si="299"/>
        <v>6.9524887654739196</v>
      </c>
      <c r="FJ462" s="138" t="str">
        <f t="shared" si="319"/>
        <v/>
      </c>
      <c r="FK462" s="138" t="str">
        <f t="shared" si="320"/>
        <v>**</v>
      </c>
    </row>
    <row r="463" spans="1:167" ht="12.75" hidden="1" customHeight="1" x14ac:dyDescent="0.2">
      <c r="A463">
        <v>428</v>
      </c>
      <c r="B463" s="4" t="s">
        <v>1937</v>
      </c>
      <c r="C463" s="4"/>
      <c r="D463" t="s">
        <v>1151</v>
      </c>
      <c r="E463">
        <v>-1644</v>
      </c>
      <c r="F463" t="str">
        <f>VLOOKUP(E463,CompDbase!B:L,4,FALSE)</f>
        <v>PCB #185</v>
      </c>
      <c r="G463" s="95" t="str">
        <f>VLOOKUP(E463,CompDbase!B:M,12,FALSE)</f>
        <v>PCB</v>
      </c>
      <c r="H463" s="95" t="e">
        <f>VLOOKUP(E463,CompDbase!B:L,8,FALSE)</f>
        <v>#DIV/0!</v>
      </c>
      <c r="I463" s="95">
        <f>VLOOKUP(E463,CompDbase!B:L,11,FALSE)</f>
        <v>234.4</v>
      </c>
      <c r="J463" s="95" t="e">
        <f>VLOOKUP(E463,CompDbase!B:L,9,FALSE)</f>
        <v>#DIV/0!</v>
      </c>
      <c r="K463" s="95">
        <f>VLOOKUP(E463,CompDbase!B:L,10,FALSE)</f>
        <v>7.11</v>
      </c>
      <c r="L463" s="4" t="s">
        <v>769</v>
      </c>
      <c r="O463" s="4" t="s">
        <v>1985</v>
      </c>
      <c r="P463">
        <v>293</v>
      </c>
      <c r="Q463" s="4" t="s">
        <v>1049</v>
      </c>
      <c r="R463" s="289" t="s">
        <v>1982</v>
      </c>
      <c r="S463">
        <f t="shared" ref="S463:S494" si="322">0.000005</f>
        <v>5.0000000000000004E-6</v>
      </c>
      <c r="T463" s="95" t="e">
        <f t="shared" ref="T463:T494" si="323">S463/J463</f>
        <v>#DIV/0!</v>
      </c>
      <c r="W463">
        <v>9549925.8602143675</v>
      </c>
      <c r="X463" s="95">
        <f t="shared" ref="X463:X494" si="324">LOG(W463)</f>
        <v>6.98</v>
      </c>
      <c r="Z463" s="190"/>
      <c r="AC463" t="s">
        <v>68</v>
      </c>
      <c r="AG463" s="138">
        <f t="shared" si="294"/>
        <v>6.98</v>
      </c>
      <c r="AH463">
        <f t="shared" si="295"/>
        <v>7.11</v>
      </c>
      <c r="AI463">
        <f t="shared" si="295"/>
        <v>7.11</v>
      </c>
      <c r="AM463">
        <f t="shared" si="305"/>
        <v>7.11</v>
      </c>
      <c r="BW463" s="138"/>
      <c r="DG463" s="138"/>
      <c r="EY463" s="479">
        <f>VLOOKUP(B463,Literatuur!$A:$B,2,FALSE)</f>
        <v>8</v>
      </c>
      <c r="EZ463" t="str">
        <f t="shared" si="311"/>
        <v>PCB #185</v>
      </c>
      <c r="FA463" t="str">
        <f t="shared" si="312"/>
        <v>PCB</v>
      </c>
      <c r="FB463" t="str">
        <f t="shared" si="313"/>
        <v>LDPE</v>
      </c>
      <c r="FC463" t="str">
        <f t="shared" si="314"/>
        <v>Immersion (shaking)</v>
      </c>
      <c r="FD463">
        <f t="shared" si="315"/>
        <v>293</v>
      </c>
      <c r="FE463" t="str">
        <f t="shared" si="316"/>
        <v>water</v>
      </c>
      <c r="FF463" t="str">
        <f t="shared" si="317"/>
        <v>measured 0.000005</v>
      </c>
      <c r="FG463" s="408" t="str">
        <f t="shared" si="310"/>
        <v/>
      </c>
      <c r="FH463" s="138">
        <f t="shared" si="318"/>
        <v>6.98</v>
      </c>
      <c r="FI463" s="106">
        <f t="shared" si="299"/>
        <v>6.8572105533001286</v>
      </c>
      <c r="FJ463" s="138" t="str">
        <f t="shared" si="319"/>
        <v/>
      </c>
      <c r="FK463" s="138" t="str">
        <f t="shared" si="320"/>
        <v>**</v>
      </c>
    </row>
    <row r="464" spans="1:167" ht="12.75" hidden="1" customHeight="1" x14ac:dyDescent="0.2">
      <c r="A464">
        <v>429</v>
      </c>
      <c r="B464" s="4" t="s">
        <v>1937</v>
      </c>
      <c r="C464" s="4"/>
      <c r="D464" t="s">
        <v>1152</v>
      </c>
      <c r="E464">
        <v>-1645</v>
      </c>
      <c r="F464" t="str">
        <f>VLOOKUP(E464,CompDbase!B:L,4,FALSE)</f>
        <v>PCB #192</v>
      </c>
      <c r="G464" s="95" t="str">
        <f>VLOOKUP(E464,CompDbase!B:M,12,FALSE)</f>
        <v>PCB</v>
      </c>
      <c r="H464" s="95" t="e">
        <f>VLOOKUP(E464,CompDbase!B:L,8,FALSE)</f>
        <v>#DIV/0!</v>
      </c>
      <c r="I464" s="95">
        <f>VLOOKUP(E464,CompDbase!B:L,11,FALSE)</f>
        <v>234</v>
      </c>
      <c r="J464" s="95" t="e">
        <f>VLOOKUP(E464,CompDbase!B:L,9,FALSE)</f>
        <v>#DIV/0!</v>
      </c>
      <c r="K464" s="95">
        <f>VLOOKUP(E464,CompDbase!B:L,10,FALSE)</f>
        <v>7.52</v>
      </c>
      <c r="L464" s="4" t="s">
        <v>769</v>
      </c>
      <c r="O464" s="4" t="s">
        <v>1985</v>
      </c>
      <c r="P464">
        <v>293</v>
      </c>
      <c r="Q464" s="4" t="s">
        <v>1049</v>
      </c>
      <c r="R464" s="289" t="s">
        <v>1982</v>
      </c>
      <c r="S464">
        <f t="shared" si="322"/>
        <v>5.0000000000000004E-6</v>
      </c>
      <c r="T464" s="95" t="e">
        <f t="shared" si="323"/>
        <v>#DIV/0!</v>
      </c>
      <c r="W464">
        <v>12589254.117941668</v>
      </c>
      <c r="X464" s="95">
        <f t="shared" si="324"/>
        <v>7.1</v>
      </c>
      <c r="Z464" s="190"/>
      <c r="AC464" t="s">
        <v>68</v>
      </c>
      <c r="AG464" s="138">
        <f t="shared" si="294"/>
        <v>7.1</v>
      </c>
      <c r="AH464">
        <f t="shared" si="295"/>
        <v>7.52</v>
      </c>
      <c r="AI464">
        <f t="shared" si="295"/>
        <v>7.52</v>
      </c>
      <c r="AM464">
        <f t="shared" si="305"/>
        <v>7.52</v>
      </c>
      <c r="BW464" s="138"/>
      <c r="DG464" s="138"/>
      <c r="EY464" s="479">
        <f>VLOOKUP(B464,Literatuur!$A:$B,2,FALSE)</f>
        <v>8</v>
      </c>
      <c r="EZ464" t="str">
        <f t="shared" si="311"/>
        <v>PCB #192</v>
      </c>
      <c r="FA464" t="str">
        <f t="shared" si="312"/>
        <v>PCB</v>
      </c>
      <c r="FB464" t="str">
        <f t="shared" si="313"/>
        <v>LDPE</v>
      </c>
      <c r="FC464" t="str">
        <f t="shared" si="314"/>
        <v>Immersion (shaking)</v>
      </c>
      <c r="FD464">
        <f t="shared" si="315"/>
        <v>293</v>
      </c>
      <c r="FE464" t="str">
        <f t="shared" si="316"/>
        <v>water</v>
      </c>
      <c r="FF464" t="str">
        <f t="shared" si="317"/>
        <v>measured 0.000005</v>
      </c>
      <c r="FG464" s="408" t="str">
        <f t="shared" si="310"/>
        <v/>
      </c>
      <c r="FH464" s="138">
        <f t="shared" si="318"/>
        <v>7.1</v>
      </c>
      <c r="FI464" s="106">
        <f t="shared" si="299"/>
        <v>7.2912557420918409</v>
      </c>
      <c r="FJ464" s="138" t="str">
        <f t="shared" si="319"/>
        <v/>
      </c>
      <c r="FK464" s="138" t="str">
        <f t="shared" si="320"/>
        <v>**</v>
      </c>
    </row>
    <row r="465" spans="1:167" ht="12.75" hidden="1" customHeight="1" x14ac:dyDescent="0.2">
      <c r="A465">
        <v>430</v>
      </c>
      <c r="B465" s="4" t="s">
        <v>1937</v>
      </c>
      <c r="C465" s="4"/>
      <c r="D465" t="s">
        <v>1153</v>
      </c>
      <c r="E465">
        <v>-1646</v>
      </c>
      <c r="F465" t="str">
        <f>VLOOKUP(E465,CompDbase!B:L,4,FALSE)</f>
        <v>PCB #194</v>
      </c>
      <c r="G465" s="95" t="str">
        <f>VLOOKUP(E465,CompDbase!B:M,12,FALSE)</f>
        <v>PCB</v>
      </c>
      <c r="H465" s="95">
        <f>VLOOKUP(E465,CompDbase!B:L,8,FALSE)</f>
        <v>429.8</v>
      </c>
      <c r="I465" s="95">
        <f>VLOOKUP(E465,CompDbase!B:L,11,FALSE)</f>
        <v>246.55</v>
      </c>
      <c r="J465" s="95" t="e">
        <f>VLOOKUP(E465,CompDbase!B:L,9,FALSE)</f>
        <v>#DIV/0!</v>
      </c>
      <c r="K465" s="95">
        <f>VLOOKUP(E465,CompDbase!B:L,10,FALSE)</f>
        <v>7.8</v>
      </c>
      <c r="L465" s="4" t="s">
        <v>769</v>
      </c>
      <c r="O465" s="4" t="s">
        <v>1985</v>
      </c>
      <c r="P465">
        <v>293</v>
      </c>
      <c r="Q465" s="4" t="s">
        <v>1049</v>
      </c>
      <c r="R465" s="289" t="s">
        <v>1982</v>
      </c>
      <c r="S465">
        <f t="shared" si="322"/>
        <v>5.0000000000000004E-6</v>
      </c>
      <c r="T465" s="95" t="e">
        <f t="shared" si="323"/>
        <v>#DIV/0!</v>
      </c>
      <c r="W465">
        <v>25703957.827688646</v>
      </c>
      <c r="X465" s="95">
        <f t="shared" si="324"/>
        <v>7.41</v>
      </c>
      <c r="Z465" s="190"/>
      <c r="AC465" t="s">
        <v>68</v>
      </c>
      <c r="AG465" s="138">
        <f t="shared" si="294"/>
        <v>7.41</v>
      </c>
      <c r="AH465">
        <f t="shared" si="295"/>
        <v>7.8</v>
      </c>
      <c r="AI465">
        <f t="shared" si="295"/>
        <v>7.8</v>
      </c>
      <c r="AM465">
        <f t="shared" si="305"/>
        <v>7.8</v>
      </c>
      <c r="BW465" s="138"/>
      <c r="DG465" s="138"/>
      <c r="EY465" s="479">
        <f>VLOOKUP(B465,Literatuur!$A:$B,2,FALSE)</f>
        <v>8</v>
      </c>
      <c r="EZ465" t="str">
        <f t="shared" si="311"/>
        <v>PCB #194</v>
      </c>
      <c r="FA465" t="str">
        <f t="shared" si="312"/>
        <v>PCB</v>
      </c>
      <c r="FB465" t="str">
        <f t="shared" si="313"/>
        <v>LDPE</v>
      </c>
      <c r="FC465" t="str">
        <f t="shared" si="314"/>
        <v>Immersion (shaking)</v>
      </c>
      <c r="FD465">
        <f t="shared" si="315"/>
        <v>293</v>
      </c>
      <c r="FE465" t="str">
        <f t="shared" si="316"/>
        <v>water</v>
      </c>
      <c r="FF465" t="str">
        <f t="shared" si="317"/>
        <v>measured 0.000005</v>
      </c>
      <c r="FG465" s="408" t="str">
        <f t="shared" si="310"/>
        <v/>
      </c>
      <c r="FH465" s="138">
        <f t="shared" si="318"/>
        <v>7.41</v>
      </c>
      <c r="FI465" s="106">
        <f t="shared" si="299"/>
        <v>7.5876768466325233</v>
      </c>
      <c r="FJ465" s="138" t="str">
        <f t="shared" si="319"/>
        <v/>
      </c>
      <c r="FK465" s="138" t="str">
        <f t="shared" si="320"/>
        <v>**</v>
      </c>
    </row>
    <row r="466" spans="1:167" ht="12.75" hidden="1" customHeight="1" x14ac:dyDescent="0.2">
      <c r="A466">
        <v>431</v>
      </c>
      <c r="B466" s="4" t="s">
        <v>1937</v>
      </c>
      <c r="C466" s="4"/>
      <c r="D466" t="s">
        <v>1154</v>
      </c>
      <c r="E466">
        <v>-1647</v>
      </c>
      <c r="F466" t="str">
        <f>VLOOKUP(E466,CompDbase!B:L,4,FALSE)</f>
        <v>PCB #195</v>
      </c>
      <c r="G466" s="95" t="str">
        <f>VLOOKUP(E466,CompDbase!B:M,12,FALSE)</f>
        <v>PCB</v>
      </c>
      <c r="H466" s="95" t="e">
        <f>VLOOKUP(E466,CompDbase!B:L,8,FALSE)</f>
        <v>#DIV/0!</v>
      </c>
      <c r="I466" s="95">
        <f>VLOOKUP(E466,CompDbase!B:L,11,FALSE)</f>
        <v>245.5</v>
      </c>
      <c r="J466" s="95" t="e">
        <f>VLOOKUP(E466,CompDbase!B:L,9,FALSE)</f>
        <v>#DIV/0!</v>
      </c>
      <c r="K466" s="95">
        <f>VLOOKUP(E466,CompDbase!B:L,10,FALSE)</f>
        <v>7.56</v>
      </c>
      <c r="L466" s="4" t="s">
        <v>769</v>
      </c>
      <c r="O466" s="4" t="s">
        <v>1985</v>
      </c>
      <c r="P466">
        <v>293</v>
      </c>
      <c r="Q466" s="4" t="s">
        <v>1049</v>
      </c>
      <c r="R466" s="289" t="s">
        <v>1982</v>
      </c>
      <c r="S466">
        <f t="shared" si="322"/>
        <v>5.0000000000000004E-6</v>
      </c>
      <c r="T466" s="95" t="e">
        <f t="shared" si="323"/>
        <v>#DIV/0!</v>
      </c>
      <c r="W466">
        <v>23988329.19019492</v>
      </c>
      <c r="X466" s="95">
        <f t="shared" si="324"/>
        <v>7.38</v>
      </c>
      <c r="Z466" s="190"/>
      <c r="AC466" t="s">
        <v>68</v>
      </c>
      <c r="AG466" s="138">
        <f t="shared" si="294"/>
        <v>7.38</v>
      </c>
      <c r="AH466">
        <f t="shared" si="295"/>
        <v>7.56</v>
      </c>
      <c r="AI466">
        <f t="shared" si="295"/>
        <v>7.56</v>
      </c>
      <c r="AM466">
        <f t="shared" si="305"/>
        <v>7.56</v>
      </c>
      <c r="BW466" s="138"/>
      <c r="DG466" s="138"/>
      <c r="EY466" s="479">
        <f>VLOOKUP(B466,Literatuur!$A:$B,2,FALSE)</f>
        <v>8</v>
      </c>
      <c r="EZ466" t="str">
        <f t="shared" si="311"/>
        <v>PCB #195</v>
      </c>
      <c r="FA466" t="str">
        <f t="shared" si="312"/>
        <v>PCB</v>
      </c>
      <c r="FB466" t="str">
        <f t="shared" si="313"/>
        <v>LDPE</v>
      </c>
      <c r="FC466" t="str">
        <f t="shared" si="314"/>
        <v>Immersion (shaking)</v>
      </c>
      <c r="FD466">
        <f t="shared" si="315"/>
        <v>293</v>
      </c>
      <c r="FE466" t="str">
        <f t="shared" si="316"/>
        <v>water</v>
      </c>
      <c r="FF466" t="str">
        <f t="shared" si="317"/>
        <v>measured 0.000005</v>
      </c>
      <c r="FG466" s="408" t="str">
        <f t="shared" si="310"/>
        <v/>
      </c>
      <c r="FH466" s="138">
        <f t="shared" si="318"/>
        <v>7.38</v>
      </c>
      <c r="FI466" s="106">
        <f t="shared" si="299"/>
        <v>7.3336016141690807</v>
      </c>
      <c r="FJ466" s="138" t="str">
        <f t="shared" si="319"/>
        <v/>
      </c>
      <c r="FK466" s="138" t="str">
        <f t="shared" si="320"/>
        <v>**</v>
      </c>
    </row>
    <row r="467" spans="1:167" ht="12.75" hidden="1" customHeight="1" x14ac:dyDescent="0.2">
      <c r="A467">
        <v>432</v>
      </c>
      <c r="B467" s="4" t="s">
        <v>1937</v>
      </c>
      <c r="C467" s="4"/>
      <c r="D467" t="s">
        <v>1155</v>
      </c>
      <c r="E467">
        <v>-1648</v>
      </c>
      <c r="F467" t="str">
        <f>VLOOKUP(E467,CompDbase!B:L,4,FALSE)</f>
        <v>PCB #197</v>
      </c>
      <c r="G467" s="95" t="str">
        <f>VLOOKUP(E467,CompDbase!B:M,12,FALSE)</f>
        <v>PCB</v>
      </c>
      <c r="H467" s="95" t="e">
        <f>VLOOKUP(E467,CompDbase!B:L,8,FALSE)</f>
        <v>#DIV/0!</v>
      </c>
      <c r="I467" s="95">
        <f>VLOOKUP(E467,CompDbase!B:L,11,FALSE)</f>
        <v>245.6</v>
      </c>
      <c r="J467" s="95" t="e">
        <f>VLOOKUP(E467,CompDbase!B:L,9,FALSE)</f>
        <v>#DIV/0!</v>
      </c>
      <c r="K467" s="95">
        <f>VLOOKUP(E467,CompDbase!B:L,10,FALSE)</f>
        <v>7.3</v>
      </c>
      <c r="L467" s="4" t="s">
        <v>769</v>
      </c>
      <c r="O467" s="4" t="s">
        <v>1985</v>
      </c>
      <c r="P467">
        <v>293</v>
      </c>
      <c r="Q467" s="4" t="s">
        <v>1049</v>
      </c>
      <c r="R467" s="289" t="s">
        <v>1982</v>
      </c>
      <c r="S467">
        <f t="shared" si="322"/>
        <v>5.0000000000000004E-6</v>
      </c>
      <c r="T467" s="95" t="e">
        <f t="shared" si="323"/>
        <v>#DIV/0!</v>
      </c>
      <c r="W467">
        <v>6309573.4448019378</v>
      </c>
      <c r="X467" s="95">
        <f t="shared" si="324"/>
        <v>6.8000000000000007</v>
      </c>
      <c r="Z467" s="190"/>
      <c r="AC467" t="s">
        <v>68</v>
      </c>
      <c r="AG467" s="138">
        <f t="shared" si="294"/>
        <v>6.8000000000000007</v>
      </c>
      <c r="AH467">
        <f t="shared" si="295"/>
        <v>7.3</v>
      </c>
      <c r="AI467">
        <f t="shared" si="295"/>
        <v>7.3</v>
      </c>
      <c r="AM467">
        <f t="shared" si="305"/>
        <v>7.3</v>
      </c>
      <c r="BW467" s="138"/>
      <c r="DG467" s="138"/>
      <c r="EY467" s="479">
        <f>VLOOKUP(B467,Literatuur!$A:$B,2,FALSE)</f>
        <v>8</v>
      </c>
      <c r="EZ467" t="str">
        <f t="shared" si="311"/>
        <v>PCB #197</v>
      </c>
      <c r="FA467" t="str">
        <f t="shared" si="312"/>
        <v>PCB</v>
      </c>
      <c r="FB467" t="str">
        <f t="shared" si="313"/>
        <v>LDPE</v>
      </c>
      <c r="FC467" t="str">
        <f t="shared" si="314"/>
        <v>Immersion (shaking)</v>
      </c>
      <c r="FD467">
        <f t="shared" si="315"/>
        <v>293</v>
      </c>
      <c r="FE467" t="str">
        <f t="shared" si="316"/>
        <v>water</v>
      </c>
      <c r="FF467" t="str">
        <f t="shared" si="317"/>
        <v>measured 0.000005</v>
      </c>
      <c r="FG467" s="408" t="str">
        <f t="shared" si="310"/>
        <v/>
      </c>
      <c r="FH467" s="138">
        <f t="shared" si="318"/>
        <v>6.8000000000000007</v>
      </c>
      <c r="FI467" s="106">
        <f t="shared" si="299"/>
        <v>7.0583534456670201</v>
      </c>
      <c r="FJ467" s="138" t="str">
        <f t="shared" si="319"/>
        <v/>
      </c>
      <c r="FK467" s="138" t="str">
        <f t="shared" si="320"/>
        <v>**</v>
      </c>
    </row>
    <row r="468" spans="1:167" ht="12.75" hidden="1" customHeight="1" x14ac:dyDescent="0.2">
      <c r="A468">
        <v>433</v>
      </c>
      <c r="B468" s="4" t="s">
        <v>1937</v>
      </c>
      <c r="C468" s="4"/>
      <c r="D468" t="s">
        <v>1156</v>
      </c>
      <c r="E468">
        <v>-1649</v>
      </c>
      <c r="F468" t="str">
        <f>VLOOKUP(E468,CompDbase!B:L,4,FALSE)</f>
        <v>PCB #199</v>
      </c>
      <c r="G468" s="95" t="str">
        <f>VLOOKUP(E468,CompDbase!B:M,12,FALSE)</f>
        <v>PCB</v>
      </c>
      <c r="H468" s="95" t="e">
        <f>VLOOKUP(E468,CompDbase!B:L,8,FALSE)</f>
        <v>#DIV/0!</v>
      </c>
      <c r="I468" s="95">
        <f>VLOOKUP(E468,CompDbase!B:L,11,FALSE)</f>
        <v>246.2</v>
      </c>
      <c r="J468" s="95" t="e">
        <f>VLOOKUP(E468,CompDbase!B:L,9,FALSE)</f>
        <v>#DIV/0!</v>
      </c>
      <c r="K468" s="95">
        <f>VLOOKUP(E468,CompDbase!B:L,10,FALSE)</f>
        <v>7.2</v>
      </c>
      <c r="L468" s="4" t="s">
        <v>769</v>
      </c>
      <c r="O468" s="4" t="s">
        <v>1985</v>
      </c>
      <c r="P468">
        <v>293</v>
      </c>
      <c r="Q468" s="4" t="s">
        <v>1049</v>
      </c>
      <c r="R468" s="289" t="s">
        <v>1982</v>
      </c>
      <c r="S468">
        <f t="shared" si="322"/>
        <v>5.0000000000000004E-6</v>
      </c>
      <c r="T468" s="95" t="e">
        <f t="shared" si="323"/>
        <v>#DIV/0!</v>
      </c>
      <c r="W468">
        <v>6760829.7539198333</v>
      </c>
      <c r="X468" s="95">
        <f t="shared" si="324"/>
        <v>6.830000000000001</v>
      </c>
      <c r="Z468" s="190"/>
      <c r="AC468" t="s">
        <v>68</v>
      </c>
      <c r="AG468" s="138">
        <f t="shared" si="294"/>
        <v>6.830000000000001</v>
      </c>
      <c r="AH468">
        <f t="shared" si="295"/>
        <v>7.2</v>
      </c>
      <c r="AI468">
        <f t="shared" si="295"/>
        <v>7.2</v>
      </c>
      <c r="AM468">
        <f t="shared" si="305"/>
        <v>7.2</v>
      </c>
      <c r="BW468" s="138"/>
      <c r="DG468" s="138"/>
      <c r="EY468" s="479">
        <f>VLOOKUP(B468,Literatuur!$A:$B,2,FALSE)</f>
        <v>8</v>
      </c>
      <c r="EZ468" t="str">
        <f t="shared" si="311"/>
        <v>PCB #199</v>
      </c>
      <c r="FA468" t="str">
        <f t="shared" si="312"/>
        <v>PCB</v>
      </c>
      <c r="FB468" t="str">
        <f t="shared" si="313"/>
        <v>LDPE</v>
      </c>
      <c r="FC468" t="str">
        <f t="shared" si="314"/>
        <v>Immersion (shaking)</v>
      </c>
      <c r="FD468">
        <f t="shared" si="315"/>
        <v>293</v>
      </c>
      <c r="FE468" t="str">
        <f t="shared" si="316"/>
        <v>water</v>
      </c>
      <c r="FF468" t="str">
        <f t="shared" si="317"/>
        <v>measured 0.000005</v>
      </c>
      <c r="FG468" s="408" t="str">
        <f t="shared" si="310"/>
        <v/>
      </c>
      <c r="FH468" s="138">
        <f t="shared" si="318"/>
        <v>6.830000000000001</v>
      </c>
      <c r="FI468" s="106">
        <f t="shared" si="299"/>
        <v>6.9524887654739196</v>
      </c>
      <c r="FJ468" s="138" t="str">
        <f t="shared" si="319"/>
        <v/>
      </c>
      <c r="FK468" s="138" t="str">
        <f t="shared" si="320"/>
        <v>**</v>
      </c>
    </row>
    <row r="469" spans="1:167" ht="12.75" hidden="1" customHeight="1" x14ac:dyDescent="0.2">
      <c r="A469">
        <v>434</v>
      </c>
      <c r="B469" s="4" t="s">
        <v>1937</v>
      </c>
      <c r="C469" s="4"/>
      <c r="D469" t="s">
        <v>1157</v>
      </c>
      <c r="E469">
        <v>-1650</v>
      </c>
      <c r="F469" t="str">
        <f>VLOOKUP(E469,CompDbase!B:L,4,FALSE)</f>
        <v>PCB #201</v>
      </c>
      <c r="G469" s="95" t="str">
        <f>VLOOKUP(E469,CompDbase!B:M,12,FALSE)</f>
        <v>PCB</v>
      </c>
      <c r="H469" s="95" t="e">
        <f>VLOOKUP(E469,CompDbase!B:L,8,FALSE)</f>
        <v>#DIV/0!</v>
      </c>
      <c r="I469" s="95">
        <f>VLOOKUP(E469,CompDbase!B:L,11,FALSE)</f>
        <v>245.5</v>
      </c>
      <c r="J469" s="95" t="e">
        <f>VLOOKUP(E469,CompDbase!B:L,9,FALSE)</f>
        <v>#DIV/0!</v>
      </c>
      <c r="K469" s="95">
        <f>VLOOKUP(E469,CompDbase!B:L,10,FALSE)</f>
        <v>7.62</v>
      </c>
      <c r="L469" s="4" t="s">
        <v>769</v>
      </c>
      <c r="M469" s="423"/>
      <c r="N469" s="423"/>
      <c r="O469" s="4" t="s">
        <v>1985</v>
      </c>
      <c r="P469">
        <v>293</v>
      </c>
      <c r="Q469" s="4" t="s">
        <v>1049</v>
      </c>
      <c r="R469" s="289" t="s">
        <v>1982</v>
      </c>
      <c r="S469">
        <f t="shared" si="322"/>
        <v>5.0000000000000004E-6</v>
      </c>
      <c r="T469" s="95" t="e">
        <f t="shared" si="323"/>
        <v>#DIV/0!</v>
      </c>
      <c r="W469">
        <v>28183829.312644634</v>
      </c>
      <c r="X469" s="95">
        <f t="shared" si="324"/>
        <v>7.4500000000000011</v>
      </c>
      <c r="Z469" s="190"/>
      <c r="AC469" t="s">
        <v>68</v>
      </c>
      <c r="AG469" s="138">
        <f t="shared" si="294"/>
        <v>7.4500000000000011</v>
      </c>
      <c r="AH469">
        <f t="shared" si="295"/>
        <v>7.62</v>
      </c>
      <c r="AI469">
        <f t="shared" si="295"/>
        <v>7.62</v>
      </c>
      <c r="AM469">
        <f t="shared" si="305"/>
        <v>7.62</v>
      </c>
      <c r="BW469" s="138"/>
      <c r="DG469" s="138"/>
      <c r="EY469" s="479">
        <f>VLOOKUP(B469,Literatuur!$A:$B,2,FALSE)</f>
        <v>8</v>
      </c>
      <c r="EZ469" t="str">
        <f t="shared" si="311"/>
        <v>PCB #201</v>
      </c>
      <c r="FA469" t="str">
        <f t="shared" si="312"/>
        <v>PCB</v>
      </c>
      <c r="FB469" t="str">
        <f t="shared" si="313"/>
        <v>LDPE</v>
      </c>
      <c r="FC469" t="str">
        <f t="shared" si="314"/>
        <v>Immersion (shaking)</v>
      </c>
      <c r="FD469">
        <f t="shared" si="315"/>
        <v>293</v>
      </c>
      <c r="FE469" t="str">
        <f t="shared" si="316"/>
        <v>water</v>
      </c>
      <c r="FF469" t="str">
        <f t="shared" si="317"/>
        <v>measured 0.000005</v>
      </c>
      <c r="FG469" s="408" t="str">
        <f t="shared" si="310"/>
        <v/>
      </c>
      <c r="FH469" s="138">
        <f t="shared" si="318"/>
        <v>7.4500000000000011</v>
      </c>
      <c r="FI469" s="106">
        <f t="shared" si="299"/>
        <v>7.3971204222849414</v>
      </c>
      <c r="FJ469" s="138" t="str">
        <f t="shared" si="319"/>
        <v/>
      </c>
      <c r="FK469" s="138" t="str">
        <f t="shared" si="320"/>
        <v>**</v>
      </c>
    </row>
    <row r="470" spans="1:167" ht="12.75" hidden="1" customHeight="1" x14ac:dyDescent="0.2">
      <c r="A470">
        <v>435</v>
      </c>
      <c r="B470" s="4" t="s">
        <v>1937</v>
      </c>
      <c r="C470" s="4"/>
      <c r="D470" t="s">
        <v>1158</v>
      </c>
      <c r="E470">
        <v>-1651</v>
      </c>
      <c r="F470" t="str">
        <f>VLOOKUP(E470,CompDbase!B:L,4,FALSE)</f>
        <v>PCB #202</v>
      </c>
      <c r="G470" s="95" t="str">
        <f>VLOOKUP(E470,CompDbase!B:M,12,FALSE)</f>
        <v>PCB</v>
      </c>
      <c r="H470" s="95" t="e">
        <f>VLOOKUP(E470,CompDbase!B:L,8,FALSE)</f>
        <v>#DIV/0!</v>
      </c>
      <c r="I470" s="95">
        <f>VLOOKUP(E470,CompDbase!B:L,11,FALSE)</f>
        <v>245.3</v>
      </c>
      <c r="J470" s="95" t="e">
        <f>VLOOKUP(E470,CompDbase!B:L,9,FALSE)</f>
        <v>#DIV/0!</v>
      </c>
      <c r="K470" s="95">
        <f>VLOOKUP(E470,CompDbase!B:L,10,FALSE)</f>
        <v>7.24</v>
      </c>
      <c r="L470" s="4" t="s">
        <v>769</v>
      </c>
      <c r="O470" s="4" t="s">
        <v>1985</v>
      </c>
      <c r="P470">
        <v>293</v>
      </c>
      <c r="Q470" s="4" t="s">
        <v>1049</v>
      </c>
      <c r="R470" s="289" t="s">
        <v>1982</v>
      </c>
      <c r="S470">
        <f t="shared" si="322"/>
        <v>5.0000000000000004E-6</v>
      </c>
      <c r="T470" s="95" t="e">
        <f t="shared" si="323"/>
        <v>#DIV/0!</v>
      </c>
      <c r="W470">
        <v>13182567.385564111</v>
      </c>
      <c r="X470" s="95">
        <f t="shared" si="324"/>
        <v>7.120000000000001</v>
      </c>
      <c r="Z470" s="190"/>
      <c r="AC470" t="s">
        <v>68</v>
      </c>
      <c r="AG470" s="138">
        <f t="shared" si="294"/>
        <v>7.120000000000001</v>
      </c>
      <c r="AH470">
        <f t="shared" si="295"/>
        <v>7.24</v>
      </c>
      <c r="AI470">
        <f t="shared" si="295"/>
        <v>7.24</v>
      </c>
      <c r="AM470">
        <f t="shared" si="305"/>
        <v>7.24</v>
      </c>
      <c r="BW470" s="138"/>
      <c r="DG470" s="138"/>
      <c r="EY470" s="479">
        <f>VLOOKUP(B470,Literatuur!$A:$B,2,FALSE)</f>
        <v>8</v>
      </c>
      <c r="EZ470" t="str">
        <f t="shared" si="311"/>
        <v>PCB #202</v>
      </c>
      <c r="FA470" t="str">
        <f t="shared" si="312"/>
        <v>PCB</v>
      </c>
      <c r="FB470" t="str">
        <f t="shared" si="313"/>
        <v>LDPE</v>
      </c>
      <c r="FC470" t="str">
        <f t="shared" si="314"/>
        <v>Immersion (shaking)</v>
      </c>
      <c r="FD470">
        <f t="shared" si="315"/>
        <v>293</v>
      </c>
      <c r="FE470" t="str">
        <f t="shared" si="316"/>
        <v>water</v>
      </c>
      <c r="FF470" t="str">
        <f t="shared" si="317"/>
        <v>measured 0.000005</v>
      </c>
      <c r="FG470" s="408" t="str">
        <f t="shared" si="310"/>
        <v/>
      </c>
      <c r="FH470" s="138">
        <f t="shared" si="318"/>
        <v>7.120000000000001</v>
      </c>
      <c r="FI470" s="106">
        <f t="shared" si="299"/>
        <v>6.9948346375511594</v>
      </c>
      <c r="FJ470" s="138" t="str">
        <f t="shared" si="319"/>
        <v/>
      </c>
      <c r="FK470" s="138" t="str">
        <f t="shared" si="320"/>
        <v>**</v>
      </c>
    </row>
    <row r="471" spans="1:167" ht="12.75" hidden="1" customHeight="1" x14ac:dyDescent="0.2">
      <c r="A471">
        <v>436</v>
      </c>
      <c r="B471" s="4" t="s">
        <v>1937</v>
      </c>
      <c r="C471" s="4"/>
      <c r="D471" t="s">
        <v>1159</v>
      </c>
      <c r="E471">
        <v>-1652</v>
      </c>
      <c r="F471" t="str">
        <f>VLOOKUP(E471,CompDbase!B:L,4,FALSE)</f>
        <v>PCB #205</v>
      </c>
      <c r="G471" s="95" t="str">
        <f>VLOOKUP(E471,CompDbase!B:M,12,FALSE)</f>
        <v>PCB</v>
      </c>
      <c r="H471" s="95" t="e">
        <f>VLOOKUP(E471,CompDbase!B:L,8,FALSE)</f>
        <v>#DIV/0!</v>
      </c>
      <c r="I471" s="95">
        <f>VLOOKUP(E471,CompDbase!B:L,11,FALSE)</f>
        <v>244.8</v>
      </c>
      <c r="J471" s="95" t="e">
        <f>VLOOKUP(E471,CompDbase!B:L,9,FALSE)</f>
        <v>#DIV/0!</v>
      </c>
      <c r="K471" s="95">
        <f>VLOOKUP(E471,CompDbase!B:L,10,FALSE)</f>
        <v>8</v>
      </c>
      <c r="L471" s="4" t="s">
        <v>769</v>
      </c>
      <c r="O471" s="4" t="s">
        <v>1985</v>
      </c>
      <c r="P471">
        <v>293</v>
      </c>
      <c r="Q471" s="4" t="s">
        <v>1049</v>
      </c>
      <c r="R471" s="289" t="s">
        <v>1982</v>
      </c>
      <c r="S471">
        <f t="shared" si="322"/>
        <v>5.0000000000000004E-6</v>
      </c>
      <c r="T471" s="95" t="e">
        <f t="shared" si="323"/>
        <v>#DIV/0!</v>
      </c>
      <c r="W471">
        <v>14125375.446227582</v>
      </c>
      <c r="X471" s="95">
        <f t="shared" si="324"/>
        <v>7.1500000000000012</v>
      </c>
      <c r="Z471" s="190"/>
      <c r="AC471" t="s">
        <v>68</v>
      </c>
      <c r="AG471" s="138">
        <f t="shared" si="294"/>
        <v>7.1500000000000012</v>
      </c>
      <c r="AH471">
        <f t="shared" si="295"/>
        <v>8</v>
      </c>
      <c r="AI471">
        <f t="shared" si="295"/>
        <v>8</v>
      </c>
      <c r="AM471">
        <f t="shared" si="305"/>
        <v>8</v>
      </c>
      <c r="BW471" s="138"/>
      <c r="DG471" s="138"/>
      <c r="EY471" s="479">
        <f>VLOOKUP(B471,Literatuur!$A:$B,2,FALSE)</f>
        <v>8</v>
      </c>
      <c r="EZ471" t="str">
        <f t="shared" si="311"/>
        <v>PCB #205</v>
      </c>
      <c r="FA471" t="str">
        <f t="shared" si="312"/>
        <v>PCB</v>
      </c>
      <c r="FB471" t="str">
        <f t="shared" si="313"/>
        <v>LDPE</v>
      </c>
      <c r="FC471" t="str">
        <f t="shared" si="314"/>
        <v>Immersion (shaking)</v>
      </c>
      <c r="FD471">
        <f t="shared" si="315"/>
        <v>293</v>
      </c>
      <c r="FE471" t="str">
        <f t="shared" si="316"/>
        <v>water</v>
      </c>
      <c r="FF471" t="str">
        <f t="shared" si="317"/>
        <v>measured 0.000005</v>
      </c>
      <c r="FG471" s="408" t="str">
        <f t="shared" si="310"/>
        <v/>
      </c>
      <c r="FH471" s="138">
        <f t="shared" si="318"/>
        <v>7.1500000000000012</v>
      </c>
      <c r="FI471" s="106">
        <f t="shared" si="299"/>
        <v>7.7994062070187242</v>
      </c>
      <c r="FJ471" s="138" t="str">
        <f t="shared" si="319"/>
        <v/>
      </c>
      <c r="FK471" s="138" t="str">
        <f t="shared" si="320"/>
        <v>**</v>
      </c>
    </row>
    <row r="472" spans="1:167" ht="12.75" hidden="1" customHeight="1" x14ac:dyDescent="0.2">
      <c r="A472">
        <v>437</v>
      </c>
      <c r="B472" s="4" t="s">
        <v>1937</v>
      </c>
      <c r="C472" s="4"/>
      <c r="D472" t="s">
        <v>1160</v>
      </c>
      <c r="E472">
        <v>-1653</v>
      </c>
      <c r="F472" t="str">
        <f>VLOOKUP(E472,CompDbase!B:L,4,FALSE)</f>
        <v>PCB #206</v>
      </c>
      <c r="G472" s="95" t="str">
        <f>VLOOKUP(E472,CompDbase!B:M,12,FALSE)</f>
        <v>PCB</v>
      </c>
      <c r="H472" s="95" t="e">
        <f>VLOOKUP(E472,CompDbase!B:L,8,FALSE)</f>
        <v>#DIV/0!</v>
      </c>
      <c r="I472" s="95">
        <f>VLOOKUP(E472,CompDbase!B:L,11,FALSE)</f>
        <v>257.39999999999998</v>
      </c>
      <c r="J472" s="95" t="e">
        <f>VLOOKUP(E472,CompDbase!B:L,9,FALSE)</f>
        <v>#DIV/0!</v>
      </c>
      <c r="K472" s="95">
        <f>VLOOKUP(E472,CompDbase!B:L,10,FALSE)</f>
        <v>8.09</v>
      </c>
      <c r="L472" s="4" t="s">
        <v>769</v>
      </c>
      <c r="O472" s="4" t="s">
        <v>1985</v>
      </c>
      <c r="P472">
        <v>293</v>
      </c>
      <c r="Q472" s="4" t="s">
        <v>1049</v>
      </c>
      <c r="R472" s="289" t="s">
        <v>1982</v>
      </c>
      <c r="S472">
        <f t="shared" si="322"/>
        <v>5.0000000000000004E-6</v>
      </c>
      <c r="T472" s="95" t="e">
        <f t="shared" si="323"/>
        <v>#DIV/0!</v>
      </c>
      <c r="W472">
        <v>36307805.47701022</v>
      </c>
      <c r="X472" s="95">
        <f t="shared" si="324"/>
        <v>7.5600000000000014</v>
      </c>
      <c r="Z472" s="190"/>
      <c r="AC472" t="s">
        <v>68</v>
      </c>
      <c r="AG472" s="138">
        <f t="shared" si="294"/>
        <v>7.5600000000000014</v>
      </c>
      <c r="AH472">
        <f t="shared" si="295"/>
        <v>8.09</v>
      </c>
      <c r="AI472">
        <f t="shared" si="295"/>
        <v>8.09</v>
      </c>
      <c r="AM472">
        <f t="shared" si="305"/>
        <v>8.09</v>
      </c>
      <c r="BW472" s="138"/>
      <c r="DG472" s="138"/>
      <c r="EY472" s="479">
        <f>VLOOKUP(B472,Literatuur!$A:$B,2,FALSE)</f>
        <v>8</v>
      </c>
      <c r="EZ472" t="str">
        <f t="shared" si="311"/>
        <v>PCB #206</v>
      </c>
      <c r="FA472" t="str">
        <f t="shared" si="312"/>
        <v>PCB</v>
      </c>
      <c r="FB472" t="str">
        <f t="shared" si="313"/>
        <v>LDPE</v>
      </c>
      <c r="FC472" t="str">
        <f t="shared" si="314"/>
        <v>Immersion (shaking)</v>
      </c>
      <c r="FD472">
        <f t="shared" si="315"/>
        <v>293</v>
      </c>
      <c r="FE472" t="str">
        <f t="shared" si="316"/>
        <v>water</v>
      </c>
      <c r="FF472" t="str">
        <f t="shared" si="317"/>
        <v>measured 0.000005</v>
      </c>
      <c r="FG472" s="408" t="str">
        <f t="shared" si="310"/>
        <v/>
      </c>
      <c r="FH472" s="138">
        <f t="shared" si="318"/>
        <v>7.5600000000000014</v>
      </c>
      <c r="FI472" s="106">
        <f t="shared" si="299"/>
        <v>7.8946844191925143</v>
      </c>
      <c r="FJ472" s="138" t="str">
        <f t="shared" si="319"/>
        <v/>
      </c>
      <c r="FK472" s="138" t="str">
        <f t="shared" si="320"/>
        <v>**</v>
      </c>
    </row>
    <row r="473" spans="1:167" ht="12.75" hidden="1" customHeight="1" x14ac:dyDescent="0.2">
      <c r="A473">
        <v>438</v>
      </c>
      <c r="B473" s="4" t="s">
        <v>1937</v>
      </c>
      <c r="C473" s="4"/>
      <c r="D473" t="s">
        <v>1161</v>
      </c>
      <c r="E473">
        <v>-1654</v>
      </c>
      <c r="F473" t="str">
        <f>VLOOKUP(E473,CompDbase!B:L,4,FALSE)</f>
        <v>PCB #207</v>
      </c>
      <c r="G473" s="95" t="str">
        <f>VLOOKUP(E473,CompDbase!B:M,12,FALSE)</f>
        <v>PCB</v>
      </c>
      <c r="H473" s="95" t="e">
        <f>VLOOKUP(E473,CompDbase!B:L,8,FALSE)</f>
        <v>#DIV/0!</v>
      </c>
      <c r="I473" s="95">
        <f>VLOOKUP(E473,CompDbase!B:L,11,FALSE)</f>
        <v>257</v>
      </c>
      <c r="J473" s="95" t="e">
        <f>VLOOKUP(E473,CompDbase!B:L,9,FALSE)</f>
        <v>#DIV/0!</v>
      </c>
      <c r="K473" s="95">
        <f>VLOOKUP(E473,CompDbase!B:L,10,FALSE)</f>
        <v>7.74</v>
      </c>
      <c r="L473" s="4" t="s">
        <v>769</v>
      </c>
      <c r="O473" s="4" t="s">
        <v>1985</v>
      </c>
      <c r="P473">
        <v>293</v>
      </c>
      <c r="Q473" s="4" t="s">
        <v>1049</v>
      </c>
      <c r="R473" s="289" t="s">
        <v>1982</v>
      </c>
      <c r="S473">
        <f t="shared" si="322"/>
        <v>5.0000000000000004E-6</v>
      </c>
      <c r="T473" s="95" t="e">
        <f t="shared" si="323"/>
        <v>#DIV/0!</v>
      </c>
      <c r="W473">
        <v>7413102.4130091891</v>
      </c>
      <c r="X473" s="95">
        <f t="shared" si="324"/>
        <v>6.870000000000001</v>
      </c>
      <c r="Z473" s="190"/>
      <c r="AC473" t="s">
        <v>68</v>
      </c>
      <c r="AG473" s="138">
        <f t="shared" si="294"/>
        <v>6.870000000000001</v>
      </c>
      <c r="AH473">
        <f t="shared" si="295"/>
        <v>7.74</v>
      </c>
      <c r="AI473">
        <f t="shared" si="295"/>
        <v>7.74</v>
      </c>
      <c r="AM473">
        <f t="shared" si="305"/>
        <v>7.74</v>
      </c>
      <c r="BW473" s="138"/>
      <c r="DG473" s="138"/>
      <c r="EY473" s="479">
        <f>VLOOKUP(B473,Literatuur!$A:$B,2,FALSE)</f>
        <v>8</v>
      </c>
      <c r="EZ473" t="str">
        <f t="shared" si="311"/>
        <v>PCB #207</v>
      </c>
      <c r="FA473" t="str">
        <f t="shared" si="312"/>
        <v>PCB</v>
      </c>
      <c r="FB473" t="str">
        <f t="shared" si="313"/>
        <v>LDPE</v>
      </c>
      <c r="FC473" t="str">
        <f t="shared" si="314"/>
        <v>Immersion (shaking)</v>
      </c>
      <c r="FD473">
        <f t="shared" si="315"/>
        <v>293</v>
      </c>
      <c r="FE473" t="str">
        <f t="shared" si="316"/>
        <v>water</v>
      </c>
      <c r="FF473" t="str">
        <f t="shared" si="317"/>
        <v>measured 0.000005</v>
      </c>
      <c r="FG473" s="408" t="str">
        <f t="shared" si="310"/>
        <v/>
      </c>
      <c r="FH473" s="138">
        <f t="shared" si="318"/>
        <v>6.870000000000001</v>
      </c>
      <c r="FI473" s="106">
        <f t="shared" si="299"/>
        <v>7.5241580385166626</v>
      </c>
      <c r="FJ473" s="138" t="str">
        <f t="shared" si="319"/>
        <v/>
      </c>
      <c r="FK473" s="138" t="str">
        <f t="shared" si="320"/>
        <v>**</v>
      </c>
    </row>
    <row r="474" spans="1:167" ht="12.75" hidden="1" customHeight="1" x14ac:dyDescent="0.2">
      <c r="A474">
        <v>439</v>
      </c>
      <c r="B474" s="4" t="s">
        <v>1937</v>
      </c>
      <c r="C474" s="4"/>
      <c r="D474" t="s">
        <v>1162</v>
      </c>
      <c r="E474">
        <v>-1655</v>
      </c>
      <c r="F474" t="str">
        <f>VLOOKUP(E474,CompDbase!B:L,4,FALSE)</f>
        <v>PCB #208</v>
      </c>
      <c r="G474" s="95" t="str">
        <f>VLOOKUP(E474,CompDbase!B:M,12,FALSE)</f>
        <v>PCB</v>
      </c>
      <c r="H474" s="95" t="e">
        <f>VLOOKUP(E474,CompDbase!B:L,8,FALSE)</f>
        <v>#DIV/0!</v>
      </c>
      <c r="I474" s="95">
        <f>VLOOKUP(E474,CompDbase!B:L,11,FALSE)</f>
        <v>256.89999999999998</v>
      </c>
      <c r="J474" s="95" t="e">
        <f>VLOOKUP(E474,CompDbase!B:L,9,FALSE)</f>
        <v>#DIV/0!</v>
      </c>
      <c r="K474" s="95">
        <f>VLOOKUP(E474,CompDbase!B:L,10,FALSE)</f>
        <v>7.71</v>
      </c>
      <c r="L474" s="4" t="s">
        <v>769</v>
      </c>
      <c r="M474" s="423"/>
      <c r="N474" s="423"/>
      <c r="O474" s="4" t="s">
        <v>1985</v>
      </c>
      <c r="P474">
        <v>293</v>
      </c>
      <c r="Q474" s="4" t="s">
        <v>1049</v>
      </c>
      <c r="R474" s="289" t="s">
        <v>1982</v>
      </c>
      <c r="S474">
        <f t="shared" si="322"/>
        <v>5.0000000000000004E-6</v>
      </c>
      <c r="T474" s="95" t="e">
        <f t="shared" si="323"/>
        <v>#DIV/0!</v>
      </c>
      <c r="W474">
        <v>11220184.543019636</v>
      </c>
      <c r="X474" s="95">
        <f t="shared" si="324"/>
        <v>7.05</v>
      </c>
      <c r="Z474" s="190"/>
      <c r="AC474" t="s">
        <v>68</v>
      </c>
      <c r="AG474" s="138">
        <f t="shared" si="294"/>
        <v>7.05</v>
      </c>
      <c r="AH474">
        <f t="shared" si="295"/>
        <v>7.71</v>
      </c>
      <c r="AI474">
        <f t="shared" si="295"/>
        <v>7.71</v>
      </c>
      <c r="AM474">
        <f t="shared" si="305"/>
        <v>7.71</v>
      </c>
      <c r="BW474" s="138"/>
      <c r="DG474" s="138"/>
      <c r="EY474" s="479">
        <f>VLOOKUP(B474,Literatuur!$A:$B,2,FALSE)</f>
        <v>8</v>
      </c>
      <c r="EZ474" t="str">
        <f t="shared" si="311"/>
        <v>PCB #208</v>
      </c>
      <c r="FA474" t="str">
        <f t="shared" si="312"/>
        <v>PCB</v>
      </c>
      <c r="FB474" t="str">
        <f t="shared" si="313"/>
        <v>LDPE</v>
      </c>
      <c r="FC474" t="str">
        <f t="shared" si="314"/>
        <v>Immersion (shaking)</v>
      </c>
      <c r="FD474">
        <f t="shared" si="315"/>
        <v>293</v>
      </c>
      <c r="FE474" t="str">
        <f t="shared" si="316"/>
        <v>water</v>
      </c>
      <c r="FF474" t="str">
        <f t="shared" si="317"/>
        <v>measured 0.000005</v>
      </c>
      <c r="FG474" s="408" t="str">
        <f t="shared" si="310"/>
        <v/>
      </c>
      <c r="FH474" s="138">
        <f t="shared" si="318"/>
        <v>7.05</v>
      </c>
      <c r="FI474" s="106">
        <f t="shared" si="299"/>
        <v>7.4923986344587332</v>
      </c>
      <c r="FJ474" s="138" t="str">
        <f t="shared" si="319"/>
        <v/>
      </c>
      <c r="FK474" s="138" t="str">
        <f t="shared" si="320"/>
        <v>**</v>
      </c>
    </row>
    <row r="475" spans="1:167" ht="12.75" hidden="1" customHeight="1" x14ac:dyDescent="0.2">
      <c r="A475">
        <v>440</v>
      </c>
      <c r="B475" s="4" t="s">
        <v>1937</v>
      </c>
      <c r="C475" s="4"/>
      <c r="D475" t="s">
        <v>1089</v>
      </c>
      <c r="E475">
        <v>-1582</v>
      </c>
      <c r="F475" t="str">
        <f>VLOOKUP(E475,CompDbase!B:L,4,FALSE)</f>
        <v>PCB #22</v>
      </c>
      <c r="G475" s="95" t="str">
        <f>VLOOKUP(E475,CompDbase!B:M,12,FALSE)</f>
        <v>PCB</v>
      </c>
      <c r="H475" s="95" t="e">
        <f>VLOOKUP(E475,CompDbase!B:L,8,FALSE)</f>
        <v>#DIV/0!</v>
      </c>
      <c r="I475" s="95">
        <f>VLOOKUP(E475,CompDbase!B:L,11,FALSE)</f>
        <v>186.8</v>
      </c>
      <c r="J475" s="95" t="e">
        <f>VLOOKUP(E475,CompDbase!B:L,9,FALSE)</f>
        <v>#DIV/0!</v>
      </c>
      <c r="K475" s="95">
        <f>VLOOKUP(E475,CompDbase!B:L,10,FALSE)</f>
        <v>5.58</v>
      </c>
      <c r="L475" s="4" t="s">
        <v>769</v>
      </c>
      <c r="O475" s="4" t="s">
        <v>1985</v>
      </c>
      <c r="P475">
        <v>293</v>
      </c>
      <c r="Q475" s="4" t="s">
        <v>1049</v>
      </c>
      <c r="R475" s="289" t="s">
        <v>1982</v>
      </c>
      <c r="S475">
        <f t="shared" si="322"/>
        <v>5.0000000000000004E-6</v>
      </c>
      <c r="T475" s="95" t="e">
        <f t="shared" si="323"/>
        <v>#DIV/0!</v>
      </c>
      <c r="W475">
        <v>134896.28825916545</v>
      </c>
      <c r="X475" s="95">
        <f t="shared" si="324"/>
        <v>5.13</v>
      </c>
      <c r="Z475" s="190"/>
      <c r="AC475" t="s">
        <v>68</v>
      </c>
      <c r="AG475" s="138">
        <f t="shared" si="294"/>
        <v>5.13</v>
      </c>
      <c r="AH475">
        <f t="shared" si="295"/>
        <v>5.58</v>
      </c>
      <c r="AI475">
        <f t="shared" si="295"/>
        <v>5.58</v>
      </c>
      <c r="AM475">
        <f t="shared" si="305"/>
        <v>5.58</v>
      </c>
      <c r="BW475" s="138"/>
      <c r="DG475" s="138"/>
      <c r="EY475" s="479">
        <f>VLOOKUP(B475,Literatuur!$A:$B,2,FALSE)</f>
        <v>8</v>
      </c>
      <c r="EZ475" t="str">
        <f t="shared" si="311"/>
        <v>PCB #22</v>
      </c>
      <c r="FA475" t="str">
        <f t="shared" si="312"/>
        <v>PCB</v>
      </c>
      <c r="FB475" t="str">
        <f t="shared" si="313"/>
        <v>LDPE</v>
      </c>
      <c r="FC475" t="str">
        <f t="shared" si="314"/>
        <v>Immersion (shaking)</v>
      </c>
      <c r="FD475">
        <f t="shared" si="315"/>
        <v>293</v>
      </c>
      <c r="FE475" t="str">
        <f t="shared" si="316"/>
        <v>water</v>
      </c>
      <c r="FF475" t="str">
        <f t="shared" si="317"/>
        <v>measured 0.000005</v>
      </c>
      <c r="FG475" s="408" t="str">
        <f t="shared" si="310"/>
        <v/>
      </c>
      <c r="FH475" s="138">
        <f t="shared" si="318"/>
        <v>5.13</v>
      </c>
      <c r="FI475" s="106">
        <f t="shared" si="299"/>
        <v>5.2374809463456895</v>
      </c>
      <c r="FJ475" s="138" t="str">
        <f t="shared" si="319"/>
        <v/>
      </c>
      <c r="FK475" s="138" t="str">
        <f t="shared" si="320"/>
        <v>**</v>
      </c>
    </row>
    <row r="476" spans="1:167" ht="12.75" hidden="1" customHeight="1" x14ac:dyDescent="0.2">
      <c r="A476">
        <v>441</v>
      </c>
      <c r="B476" s="4" t="s">
        <v>1937</v>
      </c>
      <c r="C476" s="4"/>
      <c r="D476" t="s">
        <v>1090</v>
      </c>
      <c r="E476">
        <v>-1583</v>
      </c>
      <c r="F476" t="str">
        <f>VLOOKUP(E476,CompDbase!B:L,4,FALSE)</f>
        <v>PCB #24</v>
      </c>
      <c r="G476" s="95" t="str">
        <f>VLOOKUP(E476,CompDbase!B:M,12,FALSE)</f>
        <v>PCB</v>
      </c>
      <c r="H476" s="95" t="e">
        <f>VLOOKUP(E476,CompDbase!B:L,8,FALSE)</f>
        <v>#DIV/0!</v>
      </c>
      <c r="I476" s="95">
        <f>VLOOKUP(E476,CompDbase!B:L,11,FALSE)</f>
        <v>186.1</v>
      </c>
      <c r="J476" s="95" t="e">
        <f>VLOOKUP(E476,CompDbase!B:L,9,FALSE)</f>
        <v>#DIV/0!</v>
      </c>
      <c r="K476" s="95">
        <f>VLOOKUP(E476,CompDbase!B:L,10,FALSE)</f>
        <v>5.35</v>
      </c>
      <c r="L476" s="4" t="s">
        <v>769</v>
      </c>
      <c r="O476" s="4" t="s">
        <v>1985</v>
      </c>
      <c r="P476">
        <v>293</v>
      </c>
      <c r="Q476" s="4" t="s">
        <v>1049</v>
      </c>
      <c r="R476" s="289" t="s">
        <v>1982</v>
      </c>
      <c r="S476">
        <f t="shared" si="322"/>
        <v>5.0000000000000004E-6</v>
      </c>
      <c r="T476" s="95" t="e">
        <f t="shared" si="323"/>
        <v>#DIV/0!</v>
      </c>
      <c r="W476">
        <v>69183.097091893651</v>
      </c>
      <c r="X476" s="95">
        <f t="shared" si="324"/>
        <v>4.84</v>
      </c>
      <c r="Z476" s="190"/>
      <c r="AC476" t="s">
        <v>68</v>
      </c>
      <c r="AG476" s="138">
        <f t="shared" si="294"/>
        <v>4.84</v>
      </c>
      <c r="AH476">
        <f t="shared" si="295"/>
        <v>5.35</v>
      </c>
      <c r="AI476">
        <f t="shared" si="295"/>
        <v>5.35</v>
      </c>
      <c r="AM476">
        <f t="shared" si="305"/>
        <v>5.35</v>
      </c>
      <c r="BW476" s="138"/>
      <c r="DG476" s="138"/>
      <c r="EY476" s="479">
        <f>VLOOKUP(B476,Literatuur!$A:$B,2,FALSE)</f>
        <v>8</v>
      </c>
      <c r="EZ476" t="str">
        <f t="shared" si="311"/>
        <v>PCB #24</v>
      </c>
      <c r="FA476" t="str">
        <f t="shared" si="312"/>
        <v>PCB</v>
      </c>
      <c r="FB476" t="str">
        <f t="shared" si="313"/>
        <v>LDPE</v>
      </c>
      <c r="FC476" t="str">
        <f t="shared" si="314"/>
        <v>Immersion (shaking)</v>
      </c>
      <c r="FD476">
        <f t="shared" si="315"/>
        <v>293</v>
      </c>
      <c r="FE476" t="str">
        <f t="shared" si="316"/>
        <v>water</v>
      </c>
      <c r="FF476" t="str">
        <f t="shared" si="317"/>
        <v>measured 0.000005</v>
      </c>
      <c r="FG476" s="408" t="str">
        <f t="shared" si="310"/>
        <v/>
      </c>
      <c r="FH476" s="138">
        <f t="shared" si="318"/>
        <v>4.84</v>
      </c>
      <c r="FI476" s="106">
        <f t="shared" si="299"/>
        <v>4.9939921819015574</v>
      </c>
      <c r="FJ476" s="138" t="str">
        <f t="shared" si="319"/>
        <v/>
      </c>
      <c r="FK476" s="138" t="str">
        <f t="shared" si="320"/>
        <v>**</v>
      </c>
    </row>
    <row r="477" spans="1:167" ht="12.75" hidden="1" customHeight="1" x14ac:dyDescent="0.2">
      <c r="A477">
        <v>442</v>
      </c>
      <c r="B477" s="4" t="s">
        <v>1937</v>
      </c>
      <c r="C477" s="4"/>
      <c r="D477" t="s">
        <v>1091</v>
      </c>
      <c r="E477">
        <v>-1584</v>
      </c>
      <c r="F477" t="str">
        <f>VLOOKUP(E477,CompDbase!B:L,4,FALSE)</f>
        <v>PCB #25</v>
      </c>
      <c r="G477" s="95" t="str">
        <f>VLOOKUP(E477,CompDbase!B:M,12,FALSE)</f>
        <v>PCB</v>
      </c>
      <c r="H477" s="95" t="e">
        <f>VLOOKUP(E477,CompDbase!B:L,8,FALSE)</f>
        <v>#DIV/0!</v>
      </c>
      <c r="I477" s="95">
        <f>VLOOKUP(E477,CompDbase!B:L,11,FALSE)</f>
        <v>187.6</v>
      </c>
      <c r="J477" s="95" t="e">
        <f>VLOOKUP(E477,CompDbase!B:L,9,FALSE)</f>
        <v>#DIV/0!</v>
      </c>
      <c r="K477" s="95">
        <f>VLOOKUP(E477,CompDbase!B:L,10,FALSE)</f>
        <v>5.67</v>
      </c>
      <c r="L477" s="4" t="s">
        <v>769</v>
      </c>
      <c r="O477" s="4" t="s">
        <v>1985</v>
      </c>
      <c r="P477">
        <v>293</v>
      </c>
      <c r="Q477" s="4" t="s">
        <v>1049</v>
      </c>
      <c r="R477" s="289" t="s">
        <v>1982</v>
      </c>
      <c r="S477">
        <f t="shared" si="322"/>
        <v>5.0000000000000004E-6</v>
      </c>
      <c r="T477" s="95" t="e">
        <f t="shared" si="323"/>
        <v>#DIV/0!</v>
      </c>
      <c r="W477">
        <v>89125.093813374609</v>
      </c>
      <c r="X477" s="95">
        <f t="shared" si="324"/>
        <v>4.95</v>
      </c>
      <c r="Z477" s="190"/>
      <c r="AC477" t="s">
        <v>68</v>
      </c>
      <c r="AG477" s="138">
        <f t="shared" ref="AG477:AG540" si="325">X477</f>
        <v>4.95</v>
      </c>
      <c r="AH477">
        <f t="shared" ref="AH477:AI540" si="326">$K477</f>
        <v>5.67</v>
      </c>
      <c r="AI477">
        <f t="shared" si="326"/>
        <v>5.67</v>
      </c>
      <c r="AM477">
        <f t="shared" si="305"/>
        <v>5.67</v>
      </c>
      <c r="BW477" s="138"/>
      <c r="DG477" s="138"/>
      <c r="EY477" s="479">
        <f>VLOOKUP(B477,Literatuur!$A:$B,2,FALSE)</f>
        <v>8</v>
      </c>
      <c r="EZ477" t="str">
        <f t="shared" si="311"/>
        <v>PCB #25</v>
      </c>
      <c r="FA477" t="str">
        <f t="shared" si="312"/>
        <v>PCB</v>
      </c>
      <c r="FB477" t="str">
        <f t="shared" si="313"/>
        <v>LDPE</v>
      </c>
      <c r="FC477" t="str">
        <f t="shared" si="314"/>
        <v>Immersion (shaking)</v>
      </c>
      <c r="FD477">
        <f t="shared" si="315"/>
        <v>293</v>
      </c>
      <c r="FE477" t="str">
        <f t="shared" si="316"/>
        <v>water</v>
      </c>
      <c r="FF477" t="str">
        <f t="shared" si="317"/>
        <v>measured 0.000005</v>
      </c>
      <c r="FG477" s="408" t="str">
        <f t="shared" si="310"/>
        <v/>
      </c>
      <c r="FH477" s="138">
        <f t="shared" si="318"/>
        <v>4.95</v>
      </c>
      <c r="FI477" s="106">
        <f t="shared" si="299"/>
        <v>5.3327591585194796</v>
      </c>
      <c r="FJ477" s="138" t="str">
        <f t="shared" si="319"/>
        <v/>
      </c>
      <c r="FK477" s="138" t="str">
        <f t="shared" si="320"/>
        <v>**</v>
      </c>
    </row>
    <row r="478" spans="1:167" ht="12.75" hidden="1" customHeight="1" x14ac:dyDescent="0.2">
      <c r="A478">
        <v>443</v>
      </c>
      <c r="B478" s="4" t="s">
        <v>1937</v>
      </c>
      <c r="C478" s="4"/>
      <c r="D478" t="s">
        <v>1092</v>
      </c>
      <c r="E478">
        <v>-1585</v>
      </c>
      <c r="F478" t="str">
        <f>VLOOKUP(E478,CompDbase!B:L,4,FALSE)</f>
        <v>PCB #26</v>
      </c>
      <c r="G478" s="95" t="str">
        <f>VLOOKUP(E478,CompDbase!B:M,12,FALSE)</f>
        <v>PCB</v>
      </c>
      <c r="H478" s="95" t="e">
        <f>VLOOKUP(E478,CompDbase!B:L,8,FALSE)</f>
        <v>#DIV/0!</v>
      </c>
      <c r="I478" s="95">
        <f>VLOOKUP(E478,CompDbase!B:L,11,FALSE)</f>
        <v>187.4</v>
      </c>
      <c r="J478" s="95" t="e">
        <f>VLOOKUP(E478,CompDbase!B:L,9,FALSE)</f>
        <v>#DIV/0!</v>
      </c>
      <c r="K478" s="95">
        <f>VLOOKUP(E478,CompDbase!B:L,10,FALSE)</f>
        <v>5.66</v>
      </c>
      <c r="L478" s="4" t="s">
        <v>769</v>
      </c>
      <c r="O478" s="4" t="s">
        <v>1985</v>
      </c>
      <c r="P478">
        <v>293</v>
      </c>
      <c r="Q478" s="4" t="s">
        <v>1049</v>
      </c>
      <c r="R478" s="289" t="s">
        <v>1982</v>
      </c>
      <c r="S478">
        <f t="shared" si="322"/>
        <v>5.0000000000000004E-6</v>
      </c>
      <c r="T478" s="95" t="e">
        <f t="shared" si="323"/>
        <v>#DIV/0!</v>
      </c>
      <c r="W478">
        <v>147910.83881682079</v>
      </c>
      <c r="X478" s="95">
        <f t="shared" si="324"/>
        <v>5.17</v>
      </c>
      <c r="Z478" s="190"/>
      <c r="AC478" t="s">
        <v>68</v>
      </c>
      <c r="AG478" s="138">
        <f t="shared" si="325"/>
        <v>5.17</v>
      </c>
      <c r="AH478">
        <f t="shared" si="326"/>
        <v>5.66</v>
      </c>
      <c r="AI478">
        <f t="shared" si="326"/>
        <v>5.66</v>
      </c>
      <c r="AM478">
        <f t="shared" si="305"/>
        <v>5.66</v>
      </c>
      <c r="BW478" s="138"/>
      <c r="DG478" s="138"/>
      <c r="EY478" s="479">
        <f>VLOOKUP(B478,Literatuur!$A:$B,2,FALSE)</f>
        <v>8</v>
      </c>
      <c r="EZ478" t="str">
        <f t="shared" si="311"/>
        <v>PCB #26</v>
      </c>
      <c r="FA478" t="str">
        <f t="shared" si="312"/>
        <v>PCB</v>
      </c>
      <c r="FB478" t="str">
        <f t="shared" si="313"/>
        <v>LDPE</v>
      </c>
      <c r="FC478" t="str">
        <f t="shared" si="314"/>
        <v>Immersion (shaking)</v>
      </c>
      <c r="FD478">
        <f t="shared" si="315"/>
        <v>293</v>
      </c>
      <c r="FE478" t="str">
        <f t="shared" si="316"/>
        <v>water</v>
      </c>
      <c r="FF478" t="str">
        <f t="shared" si="317"/>
        <v>measured 0.000005</v>
      </c>
      <c r="FG478" s="408" t="str">
        <f t="shared" si="310"/>
        <v/>
      </c>
      <c r="FH478" s="138">
        <f t="shared" si="318"/>
        <v>5.17</v>
      </c>
      <c r="FI478" s="106">
        <f t="shared" si="299"/>
        <v>5.3221726905001701</v>
      </c>
      <c r="FJ478" s="138" t="str">
        <f t="shared" si="319"/>
        <v/>
      </c>
      <c r="FK478" s="138" t="str">
        <f t="shared" si="320"/>
        <v>**</v>
      </c>
    </row>
    <row r="479" spans="1:167" ht="12.75" hidden="1" customHeight="1" x14ac:dyDescent="0.2">
      <c r="A479">
        <v>444</v>
      </c>
      <c r="B479" s="4" t="s">
        <v>1937</v>
      </c>
      <c r="C479" s="4"/>
      <c r="D479" t="s">
        <v>1093</v>
      </c>
      <c r="E479">
        <v>-1586</v>
      </c>
      <c r="F479" t="str">
        <f>VLOOKUP(E479,CompDbase!B:L,4,FALSE)</f>
        <v>PCB #27</v>
      </c>
      <c r="G479" s="95" t="str">
        <f>VLOOKUP(E479,CompDbase!B:M,12,FALSE)</f>
        <v>PCB</v>
      </c>
      <c r="H479" s="95" t="e">
        <f>VLOOKUP(E479,CompDbase!B:L,8,FALSE)</f>
        <v>#DIV/0!</v>
      </c>
      <c r="I479" s="95">
        <f>VLOOKUP(E479,CompDbase!B:L,11,FALSE)</f>
        <v>186.6</v>
      </c>
      <c r="J479" s="95" t="e">
        <f>VLOOKUP(E479,CompDbase!B:L,9,FALSE)</f>
        <v>#DIV/0!</v>
      </c>
      <c r="K479" s="95">
        <f>VLOOKUP(E479,CompDbase!B:L,10,FALSE)</f>
        <v>5.44</v>
      </c>
      <c r="L479" s="4" t="s">
        <v>769</v>
      </c>
      <c r="O479" s="4" t="s">
        <v>1985</v>
      </c>
      <c r="P479">
        <v>293</v>
      </c>
      <c r="Q479" s="4" t="s">
        <v>1049</v>
      </c>
      <c r="R479" s="289" t="s">
        <v>1982</v>
      </c>
      <c r="S479">
        <f t="shared" si="322"/>
        <v>5.0000000000000004E-6</v>
      </c>
      <c r="T479" s="95" t="e">
        <f t="shared" si="323"/>
        <v>#DIV/0!</v>
      </c>
      <c r="W479">
        <v>70794.578438413781</v>
      </c>
      <c r="X479" s="95">
        <f t="shared" si="324"/>
        <v>4.8499999999999996</v>
      </c>
      <c r="Z479" s="190"/>
      <c r="AC479" t="s">
        <v>68</v>
      </c>
      <c r="AG479" s="138">
        <f t="shared" si="325"/>
        <v>4.8499999999999996</v>
      </c>
      <c r="AH479">
        <f t="shared" si="326"/>
        <v>5.44</v>
      </c>
      <c r="AI479">
        <f t="shared" si="326"/>
        <v>5.44</v>
      </c>
      <c r="AM479">
        <f t="shared" si="305"/>
        <v>5.44</v>
      </c>
      <c r="BW479" s="138"/>
      <c r="DG479" s="138"/>
      <c r="EY479" s="479">
        <f>VLOOKUP(B479,Literatuur!$A:$B,2,FALSE)</f>
        <v>8</v>
      </c>
      <c r="EZ479" t="str">
        <f t="shared" si="311"/>
        <v>PCB #27</v>
      </c>
      <c r="FA479" t="str">
        <f t="shared" si="312"/>
        <v>PCB</v>
      </c>
      <c r="FB479" t="str">
        <f t="shared" si="313"/>
        <v>LDPE</v>
      </c>
      <c r="FC479" t="str">
        <f t="shared" si="314"/>
        <v>Immersion (shaking)</v>
      </c>
      <c r="FD479">
        <f t="shared" si="315"/>
        <v>293</v>
      </c>
      <c r="FE479" t="str">
        <f t="shared" si="316"/>
        <v>water</v>
      </c>
      <c r="FF479" t="str">
        <f t="shared" si="317"/>
        <v>measured 0.000005</v>
      </c>
      <c r="FG479" s="408" t="str">
        <f t="shared" si="310"/>
        <v/>
      </c>
      <c r="FH479" s="138">
        <f t="shared" si="318"/>
        <v>4.8499999999999996</v>
      </c>
      <c r="FI479" s="106">
        <f t="shared" si="299"/>
        <v>5.0892703940753483</v>
      </c>
      <c r="FJ479" s="138" t="str">
        <f t="shared" si="319"/>
        <v/>
      </c>
      <c r="FK479" s="138" t="str">
        <f t="shared" si="320"/>
        <v>**</v>
      </c>
    </row>
    <row r="480" spans="1:167" ht="12.75" hidden="1" customHeight="1" x14ac:dyDescent="0.2">
      <c r="A480">
        <v>445</v>
      </c>
      <c r="B480" s="4" t="s">
        <v>1937</v>
      </c>
      <c r="C480" s="4"/>
      <c r="D480" t="s">
        <v>1094</v>
      </c>
      <c r="E480">
        <v>-1587</v>
      </c>
      <c r="F480" t="str">
        <f>VLOOKUP(E480,CompDbase!B:L,4,FALSE)</f>
        <v>PCB #29</v>
      </c>
      <c r="G480" s="95" t="str">
        <f>VLOOKUP(E480,CompDbase!B:M,12,FALSE)</f>
        <v>PCB</v>
      </c>
      <c r="H480" s="95">
        <f>VLOOKUP(E480,CompDbase!B:L,8,FALSE)</f>
        <v>257.5</v>
      </c>
      <c r="I480" s="95">
        <f>VLOOKUP(E480,CompDbase!B:L,11,FALSE)</f>
        <v>187.5</v>
      </c>
      <c r="J480" s="95">
        <f>VLOOKUP(E480,CompDbase!B:L,9,FALSE)</f>
        <v>0.32417329353699781</v>
      </c>
      <c r="K480" s="95">
        <f>VLOOKUP(E480,CompDbase!B:L,10,FALSE)</f>
        <v>5.6333333333333329</v>
      </c>
      <c r="L480" s="4" t="s">
        <v>769</v>
      </c>
      <c r="M480" s="423"/>
      <c r="N480" s="423"/>
      <c r="O480" s="4" t="s">
        <v>1985</v>
      </c>
      <c r="P480">
        <v>293</v>
      </c>
      <c r="Q480" s="4" t="s">
        <v>1049</v>
      </c>
      <c r="R480" s="289" t="s">
        <v>1982</v>
      </c>
      <c r="S480">
        <f t="shared" si="322"/>
        <v>5.0000000000000004E-6</v>
      </c>
      <c r="T480" s="95">
        <f t="shared" si="323"/>
        <v>1.5423849217947226E-5</v>
      </c>
      <c r="W480">
        <v>169824.36524617471</v>
      </c>
      <c r="X480" s="95">
        <f t="shared" si="324"/>
        <v>5.23</v>
      </c>
      <c r="Z480" s="190"/>
      <c r="AC480" t="s">
        <v>68</v>
      </c>
      <c r="AG480" s="138">
        <f t="shared" si="325"/>
        <v>5.23</v>
      </c>
      <c r="AH480">
        <f t="shared" si="326"/>
        <v>5.6333333333333329</v>
      </c>
      <c r="AI480">
        <f t="shared" si="326"/>
        <v>5.6333333333333329</v>
      </c>
      <c r="AM480">
        <f t="shared" si="305"/>
        <v>5.6333333333333329</v>
      </c>
      <c r="AP480">
        <f t="shared" si="306"/>
        <v>5.6333333333333329</v>
      </c>
      <c r="BW480" s="138"/>
      <c r="BX480">
        <f>LOG(1*$J480)</f>
        <v>-0.48922276662279052</v>
      </c>
      <c r="BY480">
        <f>LOG(1*$J480)</f>
        <v>-0.48922276662279052</v>
      </c>
      <c r="CC480">
        <f>LOG(1*$J480)</f>
        <v>-0.48922276662279052</v>
      </c>
      <c r="DG480" s="138"/>
      <c r="EY480" s="479">
        <f>VLOOKUP(B480,Literatuur!$A:$B,2,FALSE)</f>
        <v>8</v>
      </c>
      <c r="EZ480" t="str">
        <f t="shared" si="311"/>
        <v>PCB #29</v>
      </c>
      <c r="FA480" t="str">
        <f t="shared" si="312"/>
        <v>PCB</v>
      </c>
      <c r="FB480" t="str">
        <f t="shared" si="313"/>
        <v>LDPE</v>
      </c>
      <c r="FC480" t="str">
        <f t="shared" si="314"/>
        <v>Immersion (shaking)</v>
      </c>
      <c r="FD480">
        <f t="shared" si="315"/>
        <v>293</v>
      </c>
      <c r="FE480" t="str">
        <f t="shared" si="316"/>
        <v>water</v>
      </c>
      <c r="FF480" t="str">
        <f t="shared" si="317"/>
        <v>measured 0.000005</v>
      </c>
      <c r="FG480" s="408">
        <f t="shared" si="310"/>
        <v>1.5423849217947226E-5</v>
      </c>
      <c r="FH480" s="138">
        <f t="shared" si="318"/>
        <v>5.23</v>
      </c>
      <c r="FI480" s="106">
        <f t="shared" ref="FI480:FI543" si="327">IF(ISNUMBER(AL480),AL480*AL$19+AL$21,IF(ISNUMBER(AM480),AM480*AM$19+AM$21,IF(ISNUMBER(AN480),AN480*AN$19+AN$21,"**")))</f>
        <v>5.293942109115342</v>
      </c>
      <c r="FJ480" s="138" t="str">
        <f t="shared" si="319"/>
        <v/>
      </c>
      <c r="FK480" s="138" t="str">
        <f t="shared" si="320"/>
        <v>**</v>
      </c>
    </row>
    <row r="481" spans="1:167" ht="12.75" hidden="1" customHeight="1" x14ac:dyDescent="0.2">
      <c r="A481">
        <v>446</v>
      </c>
      <c r="B481" s="4" t="s">
        <v>1937</v>
      </c>
      <c r="C481" s="4"/>
      <c r="D481" t="s">
        <v>1085</v>
      </c>
      <c r="E481">
        <v>-1578</v>
      </c>
      <c r="F481" t="str">
        <f>VLOOKUP(E481,CompDbase!B:L,4,FALSE)</f>
        <v>PCB #3</v>
      </c>
      <c r="G481" s="95" t="str">
        <f>VLOOKUP(E481,CompDbase!B:M,12,FALSE)</f>
        <v>PCB</v>
      </c>
      <c r="H481" s="95" t="e">
        <f>VLOOKUP(E481,CompDbase!B:L,8,FALSE)</f>
        <v>#DIV/0!</v>
      </c>
      <c r="I481" s="95">
        <f>VLOOKUP(E481,CompDbase!B:L,11,FALSE)</f>
        <v>162.4</v>
      </c>
      <c r="J481" s="95" t="e">
        <f>VLOOKUP(E481,CompDbase!B:L,9,FALSE)</f>
        <v>#DIV/0!</v>
      </c>
      <c r="K481" s="95">
        <f>VLOOKUP(E481,CompDbase!B:L,10,FALSE)</f>
        <v>4.6900000000000004</v>
      </c>
      <c r="L481" s="4" t="s">
        <v>769</v>
      </c>
      <c r="O481" s="4" t="s">
        <v>1985</v>
      </c>
      <c r="P481">
        <v>293</v>
      </c>
      <c r="Q481" s="4" t="s">
        <v>1049</v>
      </c>
      <c r="R481" s="289" t="s">
        <v>1982</v>
      </c>
      <c r="S481">
        <f t="shared" si="322"/>
        <v>5.0000000000000004E-6</v>
      </c>
      <c r="T481" s="95" t="e">
        <f t="shared" si="323"/>
        <v>#DIV/0!</v>
      </c>
      <c r="W481">
        <v>16218.100973589309</v>
      </c>
      <c r="X481" s="95">
        <f t="shared" si="324"/>
        <v>4.21</v>
      </c>
      <c r="Z481" s="190"/>
      <c r="AC481" t="s">
        <v>68</v>
      </c>
      <c r="AG481" s="138">
        <f t="shared" si="325"/>
        <v>4.21</v>
      </c>
      <c r="AH481">
        <f t="shared" si="326"/>
        <v>4.6900000000000004</v>
      </c>
      <c r="AI481">
        <f t="shared" si="326"/>
        <v>4.6900000000000004</v>
      </c>
      <c r="AM481">
        <f t="shared" si="305"/>
        <v>4.6900000000000004</v>
      </c>
      <c r="BW481" s="138"/>
      <c r="DG481" s="138"/>
      <c r="EY481" s="479">
        <f>VLOOKUP(B481,Literatuur!$A:$B,2,FALSE)</f>
        <v>8</v>
      </c>
      <c r="EZ481" t="str">
        <f t="shared" si="311"/>
        <v>PCB #3</v>
      </c>
      <c r="FA481" t="str">
        <f t="shared" si="312"/>
        <v>PCB</v>
      </c>
      <c r="FB481" t="str">
        <f t="shared" si="313"/>
        <v>LDPE</v>
      </c>
      <c r="FC481" t="str">
        <f t="shared" si="314"/>
        <v>Immersion (shaking)</v>
      </c>
      <c r="FD481">
        <f t="shared" si="315"/>
        <v>293</v>
      </c>
      <c r="FE481" t="str">
        <f t="shared" si="316"/>
        <v>water</v>
      </c>
      <c r="FF481" t="str">
        <f t="shared" si="317"/>
        <v>measured 0.000005</v>
      </c>
      <c r="FG481" s="408" t="str">
        <f t="shared" si="310"/>
        <v/>
      </c>
      <c r="FH481" s="138">
        <f t="shared" si="318"/>
        <v>4.21</v>
      </c>
      <c r="FI481" s="106">
        <f t="shared" si="327"/>
        <v>4.2952852926270939</v>
      </c>
      <c r="FJ481" s="138" t="str">
        <f t="shared" si="319"/>
        <v/>
      </c>
      <c r="FK481" s="138" t="str">
        <f t="shared" si="320"/>
        <v>**</v>
      </c>
    </row>
    <row r="482" spans="1:167" ht="12.75" hidden="1" customHeight="1" x14ac:dyDescent="0.2">
      <c r="A482">
        <v>447</v>
      </c>
      <c r="B482" s="4" t="s">
        <v>1937</v>
      </c>
      <c r="C482" s="4"/>
      <c r="D482" t="s">
        <v>1095</v>
      </c>
      <c r="E482">
        <v>-1588</v>
      </c>
      <c r="F482" t="str">
        <f>VLOOKUP(E482,CompDbase!B:L,4,FALSE)</f>
        <v>PCB #32</v>
      </c>
      <c r="G482" s="95" t="str">
        <f>VLOOKUP(E482,CompDbase!B:M,12,FALSE)</f>
        <v>PCB</v>
      </c>
      <c r="H482" s="95" t="e">
        <f>VLOOKUP(E482,CompDbase!B:L,8,FALSE)</f>
        <v>#DIV/0!</v>
      </c>
      <c r="I482" s="95">
        <f>VLOOKUP(E482,CompDbase!B:L,11,FALSE)</f>
        <v>186.6</v>
      </c>
      <c r="J482" s="95" t="e">
        <f>VLOOKUP(E482,CompDbase!B:L,9,FALSE)</f>
        <v>#DIV/0!</v>
      </c>
      <c r="K482" s="95">
        <f>VLOOKUP(E482,CompDbase!B:L,10,FALSE)</f>
        <v>5.44</v>
      </c>
      <c r="L482" s="4" t="s">
        <v>769</v>
      </c>
      <c r="M482" s="423"/>
      <c r="N482" s="423"/>
      <c r="O482" s="4" t="s">
        <v>1985</v>
      </c>
      <c r="P482">
        <v>293</v>
      </c>
      <c r="Q482" s="4" t="s">
        <v>1049</v>
      </c>
      <c r="R482" s="289" t="s">
        <v>1982</v>
      </c>
      <c r="S482">
        <f t="shared" si="322"/>
        <v>5.0000000000000004E-6</v>
      </c>
      <c r="T482" s="95" t="e">
        <f t="shared" si="323"/>
        <v>#DIV/0!</v>
      </c>
      <c r="W482">
        <v>85113.803820237721</v>
      </c>
      <c r="X482" s="95">
        <f t="shared" si="324"/>
        <v>4.9300000000000006</v>
      </c>
      <c r="Z482" s="190"/>
      <c r="AC482" t="s">
        <v>68</v>
      </c>
      <c r="AG482" s="138">
        <f t="shared" si="325"/>
        <v>4.9300000000000006</v>
      </c>
      <c r="AH482">
        <f t="shared" si="326"/>
        <v>5.44</v>
      </c>
      <c r="AI482">
        <f t="shared" si="326"/>
        <v>5.44</v>
      </c>
      <c r="AM482">
        <f t="shared" si="305"/>
        <v>5.44</v>
      </c>
      <c r="BW482" s="138"/>
      <c r="DG482" s="138"/>
      <c r="EY482" s="479">
        <f>VLOOKUP(B482,Literatuur!$A:$B,2,FALSE)</f>
        <v>8</v>
      </c>
      <c r="EZ482" t="str">
        <f t="shared" si="311"/>
        <v>PCB #32</v>
      </c>
      <c r="FA482" t="str">
        <f t="shared" si="312"/>
        <v>PCB</v>
      </c>
      <c r="FB482" t="str">
        <f t="shared" si="313"/>
        <v>LDPE</v>
      </c>
      <c r="FC482" t="str">
        <f t="shared" si="314"/>
        <v>Immersion (shaking)</v>
      </c>
      <c r="FD482">
        <f t="shared" si="315"/>
        <v>293</v>
      </c>
      <c r="FE482" t="str">
        <f t="shared" si="316"/>
        <v>water</v>
      </c>
      <c r="FF482" t="str">
        <f t="shared" si="317"/>
        <v>measured 0.000005</v>
      </c>
      <c r="FG482" s="408" t="str">
        <f t="shared" si="310"/>
        <v/>
      </c>
      <c r="FH482" s="138">
        <f t="shared" si="318"/>
        <v>4.9300000000000006</v>
      </c>
      <c r="FI482" s="106">
        <f t="shared" si="327"/>
        <v>5.0892703940753483</v>
      </c>
      <c r="FJ482" s="138" t="str">
        <f t="shared" si="319"/>
        <v/>
      </c>
      <c r="FK482" s="138" t="str">
        <f t="shared" si="320"/>
        <v>**</v>
      </c>
    </row>
    <row r="483" spans="1:167" ht="12.75" hidden="1" customHeight="1" x14ac:dyDescent="0.2">
      <c r="A483">
        <v>448</v>
      </c>
      <c r="B483" s="4" t="s">
        <v>1937</v>
      </c>
      <c r="C483" s="4"/>
      <c r="D483" t="s">
        <v>1096</v>
      </c>
      <c r="E483">
        <v>-1589</v>
      </c>
      <c r="F483" t="str">
        <f>VLOOKUP(E483,CompDbase!B:L,4,FALSE)</f>
        <v>PCB #37</v>
      </c>
      <c r="G483" s="95" t="str">
        <f>VLOOKUP(E483,CompDbase!B:M,12,FALSE)</f>
        <v>PCB</v>
      </c>
      <c r="H483" s="95" t="e">
        <f>VLOOKUP(E483,CompDbase!B:L,8,FALSE)</f>
        <v>#DIV/0!</v>
      </c>
      <c r="I483" s="95">
        <f>VLOOKUP(E483,CompDbase!B:L,11,FALSE)</f>
        <v>185.8</v>
      </c>
      <c r="J483" s="95" t="e">
        <f>VLOOKUP(E483,CompDbase!B:L,9,FALSE)</f>
        <v>#DIV/0!</v>
      </c>
      <c r="K483" s="95">
        <f>VLOOKUP(E483,CompDbase!B:L,10,FALSE)</f>
        <v>5.83</v>
      </c>
      <c r="L483" s="4" t="s">
        <v>769</v>
      </c>
      <c r="M483" s="423"/>
      <c r="O483" s="4" t="s">
        <v>1985</v>
      </c>
      <c r="P483">
        <v>293</v>
      </c>
      <c r="Q483" s="4" t="s">
        <v>1049</v>
      </c>
      <c r="R483" s="289" t="s">
        <v>1982</v>
      </c>
      <c r="S483">
        <f t="shared" si="322"/>
        <v>5.0000000000000004E-6</v>
      </c>
      <c r="T483" s="95" t="e">
        <f t="shared" si="323"/>
        <v>#DIV/0!</v>
      </c>
      <c r="W483">
        <v>269153.48039269145</v>
      </c>
      <c r="X483" s="95">
        <f t="shared" si="324"/>
        <v>5.43</v>
      </c>
      <c r="Z483" s="190"/>
      <c r="AC483" t="s">
        <v>68</v>
      </c>
      <c r="AG483" s="138">
        <f t="shared" si="325"/>
        <v>5.43</v>
      </c>
      <c r="AH483">
        <f t="shared" si="326"/>
        <v>5.83</v>
      </c>
      <c r="AI483">
        <f t="shared" si="326"/>
        <v>5.83</v>
      </c>
      <c r="AM483">
        <f t="shared" si="305"/>
        <v>5.83</v>
      </c>
      <c r="BW483" s="138"/>
      <c r="DG483" s="138"/>
      <c r="EY483" s="479">
        <f>VLOOKUP(B483,Literatuur!$A:$B,2,FALSE)</f>
        <v>8</v>
      </c>
      <c r="EZ483" t="str">
        <f t="shared" si="311"/>
        <v>PCB #37</v>
      </c>
      <c r="FA483" t="str">
        <f t="shared" si="312"/>
        <v>PCB</v>
      </c>
      <c r="FB483" t="str">
        <f t="shared" si="313"/>
        <v>LDPE</v>
      </c>
      <c r="FC483" t="str">
        <f t="shared" si="314"/>
        <v>Immersion (shaking)</v>
      </c>
      <c r="FD483">
        <f t="shared" si="315"/>
        <v>293</v>
      </c>
      <c r="FE483" t="str">
        <f t="shared" si="316"/>
        <v>water</v>
      </c>
      <c r="FF483" t="str">
        <f t="shared" si="317"/>
        <v>measured 0.000005</v>
      </c>
      <c r="FG483" s="408" t="str">
        <f t="shared" si="310"/>
        <v/>
      </c>
      <c r="FH483" s="138">
        <f t="shared" si="318"/>
        <v>5.43</v>
      </c>
      <c r="FI483" s="106">
        <f t="shared" si="327"/>
        <v>5.5021426468284407</v>
      </c>
      <c r="FJ483" s="138" t="str">
        <f t="shared" si="319"/>
        <v/>
      </c>
      <c r="FK483" s="138" t="str">
        <f t="shared" si="320"/>
        <v>**</v>
      </c>
    </row>
    <row r="484" spans="1:167" ht="12.75" hidden="1" customHeight="1" x14ac:dyDescent="0.2">
      <c r="A484">
        <v>449</v>
      </c>
      <c r="B484" s="4" t="s">
        <v>1937</v>
      </c>
      <c r="C484" s="4"/>
      <c r="D484" t="s">
        <v>1097</v>
      </c>
      <c r="E484">
        <v>-1590</v>
      </c>
      <c r="F484" t="str">
        <f>VLOOKUP(E484,CompDbase!B:L,4,FALSE)</f>
        <v>PCB #40</v>
      </c>
      <c r="G484" s="95" t="str">
        <f>VLOOKUP(E484,CompDbase!B:M,12,FALSE)</f>
        <v>PCB</v>
      </c>
      <c r="H484" s="95" t="e">
        <f>VLOOKUP(E484,CompDbase!B:L,8,FALSE)</f>
        <v>#DIV/0!</v>
      </c>
      <c r="I484" s="95">
        <f>VLOOKUP(E484,CompDbase!B:L,11,FALSE)</f>
        <v>199</v>
      </c>
      <c r="J484" s="95" t="e">
        <f>VLOOKUP(E484,CompDbase!B:L,9,FALSE)</f>
        <v>#DIV/0!</v>
      </c>
      <c r="K484" s="95">
        <f>VLOOKUP(E484,CompDbase!B:L,10,FALSE)</f>
        <v>5.66</v>
      </c>
      <c r="L484" s="4" t="s">
        <v>769</v>
      </c>
      <c r="O484" s="4" t="s">
        <v>1985</v>
      </c>
      <c r="P484">
        <v>293</v>
      </c>
      <c r="Q484" s="4" t="s">
        <v>1049</v>
      </c>
      <c r="R484" s="289" t="s">
        <v>1982</v>
      </c>
      <c r="S484">
        <f t="shared" si="322"/>
        <v>5.0000000000000004E-6</v>
      </c>
      <c r="T484" s="95" t="e">
        <f t="shared" si="323"/>
        <v>#DIV/0!</v>
      </c>
      <c r="W484">
        <v>165958.69074375604</v>
      </c>
      <c r="X484" s="95">
        <f t="shared" si="324"/>
        <v>5.22</v>
      </c>
      <c r="Z484" s="190"/>
      <c r="AC484" t="s">
        <v>68</v>
      </c>
      <c r="AG484" s="138">
        <f t="shared" si="325"/>
        <v>5.22</v>
      </c>
      <c r="AH484">
        <f t="shared" si="326"/>
        <v>5.66</v>
      </c>
      <c r="AI484">
        <f t="shared" si="326"/>
        <v>5.66</v>
      </c>
      <c r="AM484">
        <f t="shared" si="305"/>
        <v>5.66</v>
      </c>
      <c r="BW484" s="138"/>
      <c r="DG484" s="138"/>
      <c r="EY484" s="479">
        <f>VLOOKUP(B484,Literatuur!$A:$B,2,FALSE)</f>
        <v>8</v>
      </c>
      <c r="EZ484" t="str">
        <f t="shared" si="311"/>
        <v>PCB #40</v>
      </c>
      <c r="FA484" t="str">
        <f t="shared" si="312"/>
        <v>PCB</v>
      </c>
      <c r="FB484" t="str">
        <f t="shared" si="313"/>
        <v>LDPE</v>
      </c>
      <c r="FC484" t="str">
        <f t="shared" si="314"/>
        <v>Immersion (shaking)</v>
      </c>
      <c r="FD484">
        <f t="shared" si="315"/>
        <v>293</v>
      </c>
      <c r="FE484" t="str">
        <f t="shared" si="316"/>
        <v>water</v>
      </c>
      <c r="FF484" t="str">
        <f t="shared" si="317"/>
        <v>measured 0.000005</v>
      </c>
      <c r="FG484" s="408" t="str">
        <f t="shared" si="310"/>
        <v/>
      </c>
      <c r="FH484" s="138">
        <f t="shared" si="318"/>
        <v>5.22</v>
      </c>
      <c r="FI484" s="106">
        <f t="shared" si="327"/>
        <v>5.3221726905001701</v>
      </c>
      <c r="FJ484" s="138" t="str">
        <f t="shared" si="319"/>
        <v/>
      </c>
      <c r="FK484" s="138" t="str">
        <f t="shared" si="320"/>
        <v>**</v>
      </c>
    </row>
    <row r="485" spans="1:167" ht="12.75" hidden="1" customHeight="1" x14ac:dyDescent="0.2">
      <c r="A485">
        <v>450</v>
      </c>
      <c r="B485" s="4" t="s">
        <v>1937</v>
      </c>
      <c r="C485" s="4"/>
      <c r="D485" t="s">
        <v>1098</v>
      </c>
      <c r="E485">
        <v>-1591</v>
      </c>
      <c r="F485" t="str">
        <f>VLOOKUP(E485,CompDbase!B:L,4,FALSE)</f>
        <v>PCB #41</v>
      </c>
      <c r="G485" s="95" t="str">
        <f>VLOOKUP(E485,CompDbase!B:M,12,FALSE)</f>
        <v>PCB</v>
      </c>
      <c r="H485" s="95" t="e">
        <f>VLOOKUP(E485,CompDbase!B:L,8,FALSE)</f>
        <v>#DIV/0!</v>
      </c>
      <c r="I485" s="95">
        <f>VLOOKUP(E485,CompDbase!B:L,11,FALSE)</f>
        <v>199.2</v>
      </c>
      <c r="J485" s="95" t="e">
        <f>VLOOKUP(E485,CompDbase!B:L,9,FALSE)</f>
        <v>#DIV/0!</v>
      </c>
      <c r="K485" s="95">
        <f>VLOOKUP(E485,CompDbase!B:L,10,FALSE)</f>
        <v>5.69</v>
      </c>
      <c r="L485" s="4" t="s">
        <v>769</v>
      </c>
      <c r="O485" s="4" t="s">
        <v>1985</v>
      </c>
      <c r="P485">
        <v>293</v>
      </c>
      <c r="Q485" s="4" t="s">
        <v>1049</v>
      </c>
      <c r="R485" s="289" t="s">
        <v>1982</v>
      </c>
      <c r="S485">
        <f t="shared" si="322"/>
        <v>5.0000000000000004E-6</v>
      </c>
      <c r="T485" s="95" t="e">
        <f t="shared" si="323"/>
        <v>#DIV/0!</v>
      </c>
      <c r="W485">
        <v>295120.92266663886</v>
      </c>
      <c r="X485" s="95">
        <f t="shared" si="324"/>
        <v>5.4700000000000006</v>
      </c>
      <c r="Z485" s="190"/>
      <c r="AC485" t="s">
        <v>68</v>
      </c>
      <c r="AG485" s="138">
        <f t="shared" si="325"/>
        <v>5.4700000000000006</v>
      </c>
      <c r="AH485">
        <f t="shared" si="326"/>
        <v>5.69</v>
      </c>
      <c r="AI485">
        <f t="shared" si="326"/>
        <v>5.69</v>
      </c>
      <c r="AM485">
        <f t="shared" si="305"/>
        <v>5.69</v>
      </c>
      <c r="BW485" s="138"/>
      <c r="DG485" s="138"/>
      <c r="EY485" s="479">
        <f>VLOOKUP(B485,Literatuur!$A:$B,2,FALSE)</f>
        <v>8</v>
      </c>
      <c r="EZ485" t="str">
        <f t="shared" si="311"/>
        <v>PCB #41</v>
      </c>
      <c r="FA485" t="str">
        <f t="shared" si="312"/>
        <v>PCB</v>
      </c>
      <c r="FB485" t="str">
        <f t="shared" si="313"/>
        <v>LDPE</v>
      </c>
      <c r="FC485" t="str">
        <f t="shared" si="314"/>
        <v>Immersion (shaking)</v>
      </c>
      <c r="FD485">
        <f t="shared" si="315"/>
        <v>293</v>
      </c>
      <c r="FE485" t="str">
        <f t="shared" si="316"/>
        <v>water</v>
      </c>
      <c r="FF485" t="str">
        <f t="shared" si="317"/>
        <v>measured 0.000005</v>
      </c>
      <c r="FG485" s="408" t="str">
        <f t="shared" si="310"/>
        <v/>
      </c>
      <c r="FH485" s="138">
        <f t="shared" si="318"/>
        <v>5.4700000000000006</v>
      </c>
      <c r="FI485" s="106">
        <f t="shared" si="327"/>
        <v>5.3539320945581004</v>
      </c>
      <c r="FJ485" s="138" t="str">
        <f t="shared" si="319"/>
        <v/>
      </c>
      <c r="FK485" s="138" t="str">
        <f t="shared" si="320"/>
        <v>**</v>
      </c>
    </row>
    <row r="486" spans="1:167" ht="12.75" hidden="1" customHeight="1" x14ac:dyDescent="0.2">
      <c r="A486">
        <v>451</v>
      </c>
      <c r="B486" s="4" t="s">
        <v>1937</v>
      </c>
      <c r="C486" s="4"/>
      <c r="D486" t="s">
        <v>1099</v>
      </c>
      <c r="E486">
        <v>-1592</v>
      </c>
      <c r="F486" t="str">
        <f>VLOOKUP(E486,CompDbase!B:L,4,FALSE)</f>
        <v>PCB #42</v>
      </c>
      <c r="G486" s="95" t="str">
        <f>VLOOKUP(E486,CompDbase!B:M,12,FALSE)</f>
        <v>PCB</v>
      </c>
      <c r="H486" s="95" t="e">
        <f>VLOOKUP(E486,CompDbase!B:L,8,FALSE)</f>
        <v>#DIV/0!</v>
      </c>
      <c r="I486" s="95">
        <f>VLOOKUP(E486,CompDbase!B:L,11,FALSE)</f>
        <v>199.8</v>
      </c>
      <c r="J486" s="95" t="e">
        <f>VLOOKUP(E486,CompDbase!B:L,9,FALSE)</f>
        <v>#DIV/0!</v>
      </c>
      <c r="K486" s="95">
        <f>VLOOKUP(E486,CompDbase!B:L,10,FALSE)</f>
        <v>5.76</v>
      </c>
      <c r="L486" s="4" t="s">
        <v>769</v>
      </c>
      <c r="O486" s="4" t="s">
        <v>1985</v>
      </c>
      <c r="P486">
        <v>293</v>
      </c>
      <c r="Q486" s="4" t="s">
        <v>1049</v>
      </c>
      <c r="R486" s="289" t="s">
        <v>1982</v>
      </c>
      <c r="S486">
        <f t="shared" si="322"/>
        <v>5.0000000000000004E-6</v>
      </c>
      <c r="T486" s="95" t="e">
        <f t="shared" si="323"/>
        <v>#DIV/0!</v>
      </c>
      <c r="W486">
        <v>218776.16239495538</v>
      </c>
      <c r="X486" s="95">
        <f t="shared" si="324"/>
        <v>5.34</v>
      </c>
      <c r="Z486" s="190"/>
      <c r="AC486" t="s">
        <v>68</v>
      </c>
      <c r="AG486" s="138">
        <f t="shared" si="325"/>
        <v>5.34</v>
      </c>
      <c r="AH486">
        <f t="shared" si="326"/>
        <v>5.76</v>
      </c>
      <c r="AI486">
        <f t="shared" si="326"/>
        <v>5.76</v>
      </c>
      <c r="AM486">
        <f t="shared" si="305"/>
        <v>5.76</v>
      </c>
      <c r="BW486" s="138"/>
      <c r="DG486" s="138"/>
      <c r="EY486" s="479">
        <f>VLOOKUP(B486,Literatuur!$A:$B,2,FALSE)</f>
        <v>8</v>
      </c>
      <c r="EZ486" t="str">
        <f t="shared" si="311"/>
        <v>PCB #42</v>
      </c>
      <c r="FA486" t="str">
        <f t="shared" si="312"/>
        <v>PCB</v>
      </c>
      <c r="FB486" t="str">
        <f t="shared" si="313"/>
        <v>LDPE</v>
      </c>
      <c r="FC486" t="str">
        <f t="shared" si="314"/>
        <v>Immersion (shaking)</v>
      </c>
      <c r="FD486">
        <f t="shared" si="315"/>
        <v>293</v>
      </c>
      <c r="FE486" t="str">
        <f t="shared" si="316"/>
        <v>water</v>
      </c>
      <c r="FF486" t="str">
        <f t="shared" si="317"/>
        <v>measured 0.000005</v>
      </c>
      <c r="FG486" s="408" t="str">
        <f t="shared" si="310"/>
        <v/>
      </c>
      <c r="FH486" s="138">
        <f t="shared" si="318"/>
        <v>5.34</v>
      </c>
      <c r="FI486" s="106">
        <f t="shared" si="327"/>
        <v>5.4280373706932696</v>
      </c>
      <c r="FJ486" s="138" t="str">
        <f t="shared" si="319"/>
        <v/>
      </c>
      <c r="FK486" s="138" t="str">
        <f t="shared" si="320"/>
        <v>**</v>
      </c>
    </row>
    <row r="487" spans="1:167" ht="12.75" hidden="1" customHeight="1" x14ac:dyDescent="0.2">
      <c r="A487">
        <v>452</v>
      </c>
      <c r="B487" s="4" t="s">
        <v>1937</v>
      </c>
      <c r="C487" s="4"/>
      <c r="D487" t="s">
        <v>1100</v>
      </c>
      <c r="E487">
        <v>-1593</v>
      </c>
      <c r="F487" t="str">
        <f>VLOOKUP(E487,CompDbase!B:L,4,FALSE)</f>
        <v>PCB #43</v>
      </c>
      <c r="G487" s="95" t="str">
        <f>VLOOKUP(E487,CompDbase!B:M,12,FALSE)</f>
        <v>PCB</v>
      </c>
      <c r="H487" s="95" t="e">
        <f>VLOOKUP(E487,CompDbase!B:L,8,FALSE)</f>
        <v>#DIV/0!</v>
      </c>
      <c r="I487" s="95">
        <f>VLOOKUP(E487,CompDbase!B:L,11,FALSE)</f>
        <v>199.9</v>
      </c>
      <c r="J487" s="95" t="e">
        <f>VLOOKUP(E487,CompDbase!B:L,9,FALSE)</f>
        <v>#DIV/0!</v>
      </c>
      <c r="K487" s="95">
        <f>VLOOKUP(E487,CompDbase!B:L,10,FALSE)</f>
        <v>5.75</v>
      </c>
      <c r="L487" s="4" t="s">
        <v>769</v>
      </c>
      <c r="O487" s="4" t="s">
        <v>1985</v>
      </c>
      <c r="P487">
        <v>293</v>
      </c>
      <c r="Q487" s="4" t="s">
        <v>1049</v>
      </c>
      <c r="R487" s="289" t="s">
        <v>1982</v>
      </c>
      <c r="S487">
        <f t="shared" si="322"/>
        <v>5.0000000000000004E-6</v>
      </c>
      <c r="T487" s="95" t="e">
        <f t="shared" si="323"/>
        <v>#DIV/0!</v>
      </c>
      <c r="W487">
        <v>354813.38923357555</v>
      </c>
      <c r="X487" s="95">
        <f t="shared" si="324"/>
        <v>5.55</v>
      </c>
      <c r="Z487" s="190"/>
      <c r="AC487" t="s">
        <v>68</v>
      </c>
      <c r="AG487" s="138">
        <f t="shared" si="325"/>
        <v>5.55</v>
      </c>
      <c r="AH487">
        <f t="shared" si="326"/>
        <v>5.75</v>
      </c>
      <c r="AI487">
        <f t="shared" si="326"/>
        <v>5.75</v>
      </c>
      <c r="AM487">
        <f t="shared" si="305"/>
        <v>5.75</v>
      </c>
      <c r="BW487" s="138"/>
      <c r="DG487" s="138"/>
      <c r="EY487" s="479">
        <f>VLOOKUP(B487,Literatuur!$A:$B,2,FALSE)</f>
        <v>8</v>
      </c>
      <c r="EZ487" t="str">
        <f t="shared" si="311"/>
        <v>PCB #43</v>
      </c>
      <c r="FA487" t="str">
        <f t="shared" si="312"/>
        <v>PCB</v>
      </c>
      <c r="FB487" t="str">
        <f t="shared" si="313"/>
        <v>LDPE</v>
      </c>
      <c r="FC487" t="str">
        <f t="shared" si="314"/>
        <v>Immersion (shaking)</v>
      </c>
      <c r="FD487">
        <f t="shared" si="315"/>
        <v>293</v>
      </c>
      <c r="FE487" t="str">
        <f t="shared" si="316"/>
        <v>water</v>
      </c>
      <c r="FF487" t="str">
        <f t="shared" si="317"/>
        <v>measured 0.000005</v>
      </c>
      <c r="FG487" s="408" t="str">
        <f t="shared" si="310"/>
        <v/>
      </c>
      <c r="FH487" s="138">
        <f t="shared" si="318"/>
        <v>5.55</v>
      </c>
      <c r="FI487" s="106">
        <f t="shared" si="327"/>
        <v>5.4174509026739601</v>
      </c>
      <c r="FJ487" s="138" t="str">
        <f t="shared" si="319"/>
        <v/>
      </c>
      <c r="FK487" s="138" t="str">
        <f t="shared" si="320"/>
        <v>**</v>
      </c>
    </row>
    <row r="488" spans="1:167" ht="12.75" hidden="1" customHeight="1" x14ac:dyDescent="0.2">
      <c r="A488">
        <v>453</v>
      </c>
      <c r="B488" s="4" t="s">
        <v>1937</v>
      </c>
      <c r="C488" s="4"/>
      <c r="D488" t="s">
        <v>1101</v>
      </c>
      <c r="E488">
        <v>-1594</v>
      </c>
      <c r="F488" t="str">
        <f>VLOOKUP(E488,CompDbase!B:L,4,FALSE)</f>
        <v>PCB #44</v>
      </c>
      <c r="G488" s="95" t="str">
        <f>VLOOKUP(E488,CompDbase!B:M,12,FALSE)</f>
        <v>PCB</v>
      </c>
      <c r="H488" s="95">
        <f>VLOOKUP(E488,CompDbase!B:L,8,FALSE)</f>
        <v>292</v>
      </c>
      <c r="I488" s="95">
        <f>VLOOKUP(E488,CompDbase!B:L,11,FALSE)</f>
        <v>199.95</v>
      </c>
      <c r="J488" s="95">
        <f>VLOOKUP(E488,CompDbase!B:L,9,FALSE)</f>
        <v>0.23194384453949005</v>
      </c>
      <c r="K488" s="95">
        <f>VLOOKUP(E488,CompDbase!B:L,10,FALSE)</f>
        <v>5.7833333333333341</v>
      </c>
      <c r="L488" s="4" t="s">
        <v>769</v>
      </c>
      <c r="O488" s="4" t="s">
        <v>1985</v>
      </c>
      <c r="P488">
        <v>293</v>
      </c>
      <c r="Q488" s="4" t="s">
        <v>1049</v>
      </c>
      <c r="R488" s="289" t="s">
        <v>1982</v>
      </c>
      <c r="S488">
        <f t="shared" si="322"/>
        <v>5.0000000000000004E-6</v>
      </c>
      <c r="T488" s="95">
        <f t="shared" si="323"/>
        <v>2.1556941982776851E-5</v>
      </c>
      <c r="W488">
        <v>234422.88153199267</v>
      </c>
      <c r="X488" s="95">
        <f t="shared" si="324"/>
        <v>5.370000000000001</v>
      </c>
      <c r="Z488" s="190"/>
      <c r="AC488" t="s">
        <v>68</v>
      </c>
      <c r="AG488" s="138">
        <f t="shared" si="325"/>
        <v>5.370000000000001</v>
      </c>
      <c r="AH488">
        <f t="shared" si="326"/>
        <v>5.7833333333333341</v>
      </c>
      <c r="AI488">
        <f t="shared" si="326"/>
        <v>5.7833333333333341</v>
      </c>
      <c r="AM488">
        <f t="shared" si="305"/>
        <v>5.7833333333333341</v>
      </c>
      <c r="AP488">
        <f t="shared" si="306"/>
        <v>5.7833333333333341</v>
      </c>
      <c r="BW488" s="138"/>
      <c r="BX488">
        <f>LOG(1*$J488)</f>
        <v>-0.63461714855158202</v>
      </c>
      <c r="BY488">
        <f>LOG(1*$J488)</f>
        <v>-0.63461714855158202</v>
      </c>
      <c r="CC488">
        <f>LOG(1*$J488)</f>
        <v>-0.63461714855158202</v>
      </c>
      <c r="DG488" s="138"/>
      <c r="EY488" s="479">
        <f>VLOOKUP(B488,Literatuur!$A:$B,2,FALSE)</f>
        <v>8</v>
      </c>
      <c r="EZ488" t="str">
        <f t="shared" si="311"/>
        <v>PCB #44</v>
      </c>
      <c r="FA488" t="str">
        <f t="shared" si="312"/>
        <v>PCB</v>
      </c>
      <c r="FB488" t="str">
        <f t="shared" si="313"/>
        <v>LDPE</v>
      </c>
      <c r="FC488" t="str">
        <f t="shared" si="314"/>
        <v>Immersion (shaking)</v>
      </c>
      <c r="FD488">
        <f t="shared" si="315"/>
        <v>293</v>
      </c>
      <c r="FE488" t="str">
        <f t="shared" si="316"/>
        <v>water</v>
      </c>
      <c r="FF488" t="str">
        <f t="shared" si="317"/>
        <v>measured 0.000005</v>
      </c>
      <c r="FG488" s="408">
        <f t="shared" si="310"/>
        <v>2.1556941982776851E-5</v>
      </c>
      <c r="FH488" s="138">
        <f t="shared" si="318"/>
        <v>5.370000000000001</v>
      </c>
      <c r="FI488" s="106">
        <f t="shared" si="327"/>
        <v>5.4527391294049945</v>
      </c>
      <c r="FJ488" s="138" t="str">
        <f t="shared" si="319"/>
        <v/>
      </c>
      <c r="FK488" s="138" t="str">
        <f t="shared" si="320"/>
        <v>**</v>
      </c>
    </row>
    <row r="489" spans="1:167" ht="12.75" hidden="1" customHeight="1" x14ac:dyDescent="0.2">
      <c r="A489">
        <v>454</v>
      </c>
      <c r="B489" s="4" t="s">
        <v>1937</v>
      </c>
      <c r="C489" s="4"/>
      <c r="D489" t="s">
        <v>1102</v>
      </c>
      <c r="E489">
        <v>-1595</v>
      </c>
      <c r="F489" t="str">
        <f>VLOOKUP(E489,CompDbase!B:L,4,FALSE)</f>
        <v>PCB #45</v>
      </c>
      <c r="G489" s="95" t="str">
        <f>VLOOKUP(E489,CompDbase!B:M,12,FALSE)</f>
        <v>PCB</v>
      </c>
      <c r="H489" s="95" t="e">
        <f>VLOOKUP(E489,CompDbase!B:L,8,FALSE)</f>
        <v>#DIV/0!</v>
      </c>
      <c r="I489" s="95">
        <f>VLOOKUP(E489,CompDbase!B:L,11,FALSE)</f>
        <v>198.8</v>
      </c>
      <c r="J489" s="95" t="e">
        <f>VLOOKUP(E489,CompDbase!B:L,9,FALSE)</f>
        <v>#DIV/0!</v>
      </c>
      <c r="K489" s="95">
        <f>VLOOKUP(E489,CompDbase!B:L,10,FALSE)</f>
        <v>5.53</v>
      </c>
      <c r="L489" s="4" t="s">
        <v>769</v>
      </c>
      <c r="O489" s="4" t="s">
        <v>1985</v>
      </c>
      <c r="P489">
        <v>293</v>
      </c>
      <c r="Q489" s="4" t="s">
        <v>1049</v>
      </c>
      <c r="R489" s="289" t="s">
        <v>1982</v>
      </c>
      <c r="S489">
        <f t="shared" si="322"/>
        <v>5.0000000000000004E-6</v>
      </c>
      <c r="T489" s="95" t="e">
        <f t="shared" si="323"/>
        <v>#DIV/0!</v>
      </c>
      <c r="W489">
        <v>151356.12484362084</v>
      </c>
      <c r="X489" s="95">
        <f t="shared" si="324"/>
        <v>5.18</v>
      </c>
      <c r="Z489" s="190"/>
      <c r="AC489" t="s">
        <v>68</v>
      </c>
      <c r="AG489" s="138">
        <f t="shared" si="325"/>
        <v>5.18</v>
      </c>
      <c r="AH489">
        <f t="shared" si="326"/>
        <v>5.53</v>
      </c>
      <c r="AI489">
        <f t="shared" si="326"/>
        <v>5.53</v>
      </c>
      <c r="AM489">
        <f t="shared" si="305"/>
        <v>5.53</v>
      </c>
      <c r="BW489" s="138"/>
      <c r="DG489" s="138"/>
      <c r="EY489" s="479">
        <f>VLOOKUP(B489,Literatuur!$A:$B,2,FALSE)</f>
        <v>8</v>
      </c>
      <c r="EZ489" t="str">
        <f t="shared" si="311"/>
        <v>PCB #45</v>
      </c>
      <c r="FA489" t="str">
        <f t="shared" si="312"/>
        <v>PCB</v>
      </c>
      <c r="FB489" t="str">
        <f t="shared" si="313"/>
        <v>LDPE</v>
      </c>
      <c r="FC489" t="str">
        <f t="shared" si="314"/>
        <v>Immersion (shaking)</v>
      </c>
      <c r="FD489">
        <f t="shared" si="315"/>
        <v>293</v>
      </c>
      <c r="FE489" t="str">
        <f t="shared" si="316"/>
        <v>water</v>
      </c>
      <c r="FF489" t="str">
        <f t="shared" si="317"/>
        <v>measured 0.000005</v>
      </c>
      <c r="FG489" s="408" t="str">
        <f t="shared" si="310"/>
        <v/>
      </c>
      <c r="FH489" s="138">
        <f t="shared" si="318"/>
        <v>5.18</v>
      </c>
      <c r="FI489" s="106">
        <f t="shared" si="327"/>
        <v>5.1845486062491393</v>
      </c>
      <c r="FJ489" s="138" t="str">
        <f t="shared" si="319"/>
        <v/>
      </c>
      <c r="FK489" s="138" t="str">
        <f t="shared" si="320"/>
        <v>**</v>
      </c>
    </row>
    <row r="490" spans="1:167" ht="12.75" hidden="1" customHeight="1" x14ac:dyDescent="0.2">
      <c r="A490">
        <v>455</v>
      </c>
      <c r="B490" s="4" t="s">
        <v>1937</v>
      </c>
      <c r="C490" s="4"/>
      <c r="D490" t="s">
        <v>1103</v>
      </c>
      <c r="E490">
        <v>-1596</v>
      </c>
      <c r="F490" t="str">
        <f>VLOOKUP(E490,CompDbase!B:L,4,FALSE)</f>
        <v>PCB #46</v>
      </c>
      <c r="G490" s="95" t="str">
        <f>VLOOKUP(E490,CompDbase!B:M,12,FALSE)</f>
        <v>PCB</v>
      </c>
      <c r="H490" s="95" t="e">
        <f>VLOOKUP(E490,CompDbase!B:L,8,FALSE)</f>
        <v>#DIV/0!</v>
      </c>
      <c r="I490" s="95">
        <f>VLOOKUP(E490,CompDbase!B:L,11,FALSE)</f>
        <v>198.8</v>
      </c>
      <c r="J490" s="95" t="e">
        <f>VLOOKUP(E490,CompDbase!B:L,9,FALSE)</f>
        <v>#DIV/0!</v>
      </c>
      <c r="K490" s="95">
        <f>VLOOKUP(E490,CompDbase!B:L,10,FALSE)</f>
        <v>5.53</v>
      </c>
      <c r="L490" s="4" t="s">
        <v>769</v>
      </c>
      <c r="O490" s="4" t="s">
        <v>1985</v>
      </c>
      <c r="P490">
        <v>293</v>
      </c>
      <c r="Q490" s="4" t="s">
        <v>1049</v>
      </c>
      <c r="R490" s="289" t="s">
        <v>1982</v>
      </c>
      <c r="S490">
        <f t="shared" si="322"/>
        <v>5.0000000000000004E-6</v>
      </c>
      <c r="T490" s="95" t="e">
        <f t="shared" si="323"/>
        <v>#DIV/0!</v>
      </c>
      <c r="W490">
        <v>125892.54117941685</v>
      </c>
      <c r="X490" s="95">
        <f t="shared" si="324"/>
        <v>5.1000000000000005</v>
      </c>
      <c r="Z490" s="190"/>
      <c r="AC490" t="s">
        <v>68</v>
      </c>
      <c r="AG490" s="138">
        <f t="shared" si="325"/>
        <v>5.1000000000000005</v>
      </c>
      <c r="AH490">
        <f t="shared" si="326"/>
        <v>5.53</v>
      </c>
      <c r="AI490">
        <f t="shared" si="326"/>
        <v>5.53</v>
      </c>
      <c r="AM490">
        <f t="shared" ref="AM490:AM511" si="328">$K490</f>
        <v>5.53</v>
      </c>
      <c r="BW490" s="138"/>
      <c r="DG490" s="138"/>
      <c r="EY490" s="479">
        <f>VLOOKUP(B490,Literatuur!$A:$B,2,FALSE)</f>
        <v>8</v>
      </c>
      <c r="EZ490" t="str">
        <f t="shared" si="311"/>
        <v>PCB #46</v>
      </c>
      <c r="FA490" t="str">
        <f t="shared" si="312"/>
        <v>PCB</v>
      </c>
      <c r="FB490" t="str">
        <f t="shared" si="313"/>
        <v>LDPE</v>
      </c>
      <c r="FC490" t="str">
        <f t="shared" si="314"/>
        <v>Immersion (shaking)</v>
      </c>
      <c r="FD490">
        <f t="shared" si="315"/>
        <v>293</v>
      </c>
      <c r="FE490" t="str">
        <f t="shared" si="316"/>
        <v>water</v>
      </c>
      <c r="FF490" t="str">
        <f t="shared" si="317"/>
        <v>measured 0.000005</v>
      </c>
      <c r="FG490" s="408" t="str">
        <f t="shared" si="310"/>
        <v/>
      </c>
      <c r="FH490" s="138">
        <f t="shared" si="318"/>
        <v>5.1000000000000005</v>
      </c>
      <c r="FI490" s="106">
        <f t="shared" si="327"/>
        <v>5.1845486062491393</v>
      </c>
      <c r="FJ490" s="138" t="str">
        <f t="shared" si="319"/>
        <v/>
      </c>
      <c r="FK490" s="138" t="str">
        <f t="shared" si="320"/>
        <v>**</v>
      </c>
    </row>
    <row r="491" spans="1:167" ht="12.75" hidden="1" customHeight="1" x14ac:dyDescent="0.2">
      <c r="A491">
        <v>456</v>
      </c>
      <c r="B491" s="4" t="s">
        <v>1937</v>
      </c>
      <c r="C491" s="4"/>
      <c r="D491" t="s">
        <v>1104</v>
      </c>
      <c r="E491">
        <v>-1597</v>
      </c>
      <c r="F491" t="str">
        <f>VLOOKUP(E491,CompDbase!B:L,4,FALSE)</f>
        <v>PCB #51</v>
      </c>
      <c r="G491" s="95" t="str">
        <f>VLOOKUP(E491,CompDbase!B:M,12,FALSE)</f>
        <v>PCB</v>
      </c>
      <c r="H491" s="95" t="e">
        <f>VLOOKUP(E491,CompDbase!B:L,8,FALSE)</f>
        <v>#DIV/0!</v>
      </c>
      <c r="I491" s="95">
        <f>VLOOKUP(E491,CompDbase!B:L,11,FALSE)</f>
        <v>199.6</v>
      </c>
      <c r="J491" s="95" t="e">
        <f>VLOOKUP(E491,CompDbase!B:L,9,FALSE)</f>
        <v>#DIV/0!</v>
      </c>
      <c r="K491" s="95">
        <f>VLOOKUP(E491,CompDbase!B:L,10,FALSE)</f>
        <v>5.63</v>
      </c>
      <c r="L491" s="4" t="s">
        <v>769</v>
      </c>
      <c r="O491" s="4" t="s">
        <v>1985</v>
      </c>
      <c r="P491">
        <v>293</v>
      </c>
      <c r="Q491" s="4" t="s">
        <v>1049</v>
      </c>
      <c r="R491" s="289" t="s">
        <v>1982</v>
      </c>
      <c r="S491">
        <f t="shared" si="322"/>
        <v>5.0000000000000004E-6</v>
      </c>
      <c r="T491" s="95" t="e">
        <f t="shared" si="323"/>
        <v>#DIV/0!</v>
      </c>
      <c r="W491">
        <v>229086.76527677779</v>
      </c>
      <c r="X491" s="95">
        <f t="shared" si="324"/>
        <v>5.3600000000000012</v>
      </c>
      <c r="Z491" s="190"/>
      <c r="AC491" t="s">
        <v>68</v>
      </c>
      <c r="AG491" s="138">
        <f t="shared" si="325"/>
        <v>5.3600000000000012</v>
      </c>
      <c r="AH491">
        <f t="shared" si="326"/>
        <v>5.63</v>
      </c>
      <c r="AI491">
        <f t="shared" si="326"/>
        <v>5.63</v>
      </c>
      <c r="AM491">
        <f t="shared" si="328"/>
        <v>5.63</v>
      </c>
      <c r="BW491" s="138"/>
      <c r="DG491" s="138"/>
      <c r="EY491" s="479">
        <f>VLOOKUP(B491,Literatuur!$A:$B,2,FALSE)</f>
        <v>8</v>
      </c>
      <c r="EZ491" t="str">
        <f t="shared" si="311"/>
        <v>PCB #51</v>
      </c>
      <c r="FA491" t="str">
        <f t="shared" si="312"/>
        <v>PCB</v>
      </c>
      <c r="FB491" t="str">
        <f t="shared" si="313"/>
        <v>LDPE</v>
      </c>
      <c r="FC491" t="str">
        <f t="shared" si="314"/>
        <v>Immersion (shaking)</v>
      </c>
      <c r="FD491">
        <f t="shared" si="315"/>
        <v>293</v>
      </c>
      <c r="FE491" t="str">
        <f t="shared" si="316"/>
        <v>water</v>
      </c>
      <c r="FF491" t="str">
        <f t="shared" si="317"/>
        <v>measured 0.000005</v>
      </c>
      <c r="FG491" s="408" t="str">
        <f t="shared" si="310"/>
        <v/>
      </c>
      <c r="FH491" s="138">
        <f t="shared" si="318"/>
        <v>5.3600000000000012</v>
      </c>
      <c r="FI491" s="106">
        <f t="shared" si="327"/>
        <v>5.2904132864422397</v>
      </c>
      <c r="FJ491" s="138" t="str">
        <f t="shared" si="319"/>
        <v/>
      </c>
      <c r="FK491" s="138" t="str">
        <f t="shared" si="320"/>
        <v>**</v>
      </c>
    </row>
    <row r="492" spans="1:167" ht="12.75" hidden="1" customHeight="1" x14ac:dyDescent="0.2">
      <c r="A492">
        <v>457</v>
      </c>
      <c r="B492" s="4" t="s">
        <v>1937</v>
      </c>
      <c r="C492" s="4"/>
      <c r="D492" t="s">
        <v>1105</v>
      </c>
      <c r="E492">
        <v>-1598</v>
      </c>
      <c r="F492" t="str">
        <f>VLOOKUP(E492,CompDbase!B:L,4,FALSE)</f>
        <v>PCB #56</v>
      </c>
      <c r="G492" s="95" t="str">
        <f>VLOOKUP(E492,CompDbase!B:M,12,FALSE)</f>
        <v>PCB</v>
      </c>
      <c r="H492" s="95">
        <f>VLOOKUP(E492,CompDbase!B:L,8,FALSE)</f>
        <v>292</v>
      </c>
      <c r="I492" s="95">
        <f>VLOOKUP(E492,CompDbase!B:L,11,FALSE)</f>
        <v>198.35</v>
      </c>
      <c r="J492" s="95">
        <f>VLOOKUP(E492,CompDbase!B:L,9,FALSE)</f>
        <v>7.3347083800079663E-2</v>
      </c>
      <c r="K492" s="95">
        <f>VLOOKUP(E492,CompDbase!B:L,10,FALSE)</f>
        <v>6.1366666666666667</v>
      </c>
      <c r="L492" s="4" t="s">
        <v>769</v>
      </c>
      <c r="O492" s="4" t="s">
        <v>1985</v>
      </c>
      <c r="P492">
        <v>293</v>
      </c>
      <c r="Q492" s="4" t="s">
        <v>1049</v>
      </c>
      <c r="R492" s="289" t="s">
        <v>1982</v>
      </c>
      <c r="S492">
        <f t="shared" si="322"/>
        <v>5.0000000000000004E-6</v>
      </c>
      <c r="T492" s="95">
        <f t="shared" si="323"/>
        <v>6.8169036053681109E-5</v>
      </c>
      <c r="W492">
        <v>457088.18961487547</v>
      </c>
      <c r="X492" s="95">
        <f t="shared" si="324"/>
        <v>5.66</v>
      </c>
      <c r="Z492" s="190"/>
      <c r="AC492" t="s">
        <v>68</v>
      </c>
      <c r="AG492" s="138">
        <f t="shared" si="325"/>
        <v>5.66</v>
      </c>
      <c r="AH492">
        <f t="shared" si="326"/>
        <v>6.1366666666666667</v>
      </c>
      <c r="AI492">
        <f t="shared" si="326"/>
        <v>6.1366666666666667</v>
      </c>
      <c r="AM492">
        <f t="shared" si="328"/>
        <v>6.1366666666666667</v>
      </c>
      <c r="AP492">
        <f t="shared" ref="AP492:AP508" si="329">$K492</f>
        <v>6.1366666666666667</v>
      </c>
      <c r="BW492" s="138"/>
      <c r="BX492">
        <f>LOG(1*$J492)</f>
        <v>-1.1346171485515821</v>
      </c>
      <c r="BY492">
        <f>LOG(1*$J492)</f>
        <v>-1.1346171485515821</v>
      </c>
      <c r="CC492">
        <f>LOG(1*$J492)</f>
        <v>-1.1346171485515821</v>
      </c>
      <c r="DG492" s="138"/>
      <c r="EY492" s="479">
        <f>VLOOKUP(B492,Literatuur!$A:$B,2,FALSE)</f>
        <v>8</v>
      </c>
      <c r="EZ492" t="str">
        <f t="shared" si="311"/>
        <v>PCB #56</v>
      </c>
      <c r="FA492" t="str">
        <f t="shared" si="312"/>
        <v>PCB</v>
      </c>
      <c r="FB492" t="str">
        <f t="shared" si="313"/>
        <v>LDPE</v>
      </c>
      <c r="FC492" t="str">
        <f t="shared" si="314"/>
        <v>Immersion (shaking)</v>
      </c>
      <c r="FD492">
        <f t="shared" si="315"/>
        <v>293</v>
      </c>
      <c r="FE492" t="str">
        <f t="shared" si="316"/>
        <v>water</v>
      </c>
      <c r="FF492" t="str">
        <f t="shared" si="317"/>
        <v>measured 0.000005</v>
      </c>
      <c r="FG492" s="408">
        <f t="shared" si="310"/>
        <v>6.8169036053681109E-5</v>
      </c>
      <c r="FH492" s="138">
        <f t="shared" si="318"/>
        <v>5.66</v>
      </c>
      <c r="FI492" s="106">
        <f t="shared" si="327"/>
        <v>5.8267943327539493</v>
      </c>
      <c r="FJ492" s="138" t="str">
        <f t="shared" si="319"/>
        <v/>
      </c>
      <c r="FK492" s="138" t="str">
        <f t="shared" si="320"/>
        <v>**</v>
      </c>
    </row>
    <row r="493" spans="1:167" ht="12.75" hidden="1" customHeight="1" x14ac:dyDescent="0.2">
      <c r="A493">
        <v>458</v>
      </c>
      <c r="B493" s="4" t="s">
        <v>1937</v>
      </c>
      <c r="C493" s="4"/>
      <c r="D493" t="s">
        <v>1086</v>
      </c>
      <c r="E493">
        <v>-1579</v>
      </c>
      <c r="F493" t="str">
        <f>VLOOKUP(E493,CompDbase!B:L,4,FALSE)</f>
        <v>PCB #6</v>
      </c>
      <c r="G493" s="95" t="str">
        <f>VLOOKUP(E493,CompDbase!B:M,12,FALSE)</f>
        <v>PCB</v>
      </c>
      <c r="H493" s="95" t="e">
        <f>VLOOKUP(E493,CompDbase!B:L,8,FALSE)</f>
        <v>#DIV/0!</v>
      </c>
      <c r="I493" s="95">
        <f>VLOOKUP(E493,CompDbase!B:L,11,FALSE)</f>
        <v>175.2</v>
      </c>
      <c r="J493" s="95" t="e">
        <f>VLOOKUP(E493,CompDbase!B:L,9,FALSE)</f>
        <v>#DIV/0!</v>
      </c>
      <c r="K493" s="95">
        <f>VLOOKUP(E493,CompDbase!B:L,10,FALSE)</f>
        <v>5.0599999999999996</v>
      </c>
      <c r="L493" s="4" t="s">
        <v>769</v>
      </c>
      <c r="M493" s="423"/>
      <c r="N493" s="423"/>
      <c r="O493" s="4" t="s">
        <v>1985</v>
      </c>
      <c r="P493">
        <v>293</v>
      </c>
      <c r="Q493" s="4" t="s">
        <v>1049</v>
      </c>
      <c r="R493" s="289" t="s">
        <v>1982</v>
      </c>
      <c r="S493">
        <f t="shared" si="322"/>
        <v>5.0000000000000004E-6</v>
      </c>
      <c r="T493" s="95" t="e">
        <f t="shared" si="323"/>
        <v>#DIV/0!</v>
      </c>
      <c r="W493">
        <v>25703.95782768865</v>
      </c>
      <c r="X493" s="95">
        <f t="shared" si="324"/>
        <v>4.41</v>
      </c>
      <c r="Z493" s="190"/>
      <c r="AC493" t="s">
        <v>68</v>
      </c>
      <c r="AG493" s="138">
        <f t="shared" si="325"/>
        <v>4.41</v>
      </c>
      <c r="AH493">
        <f t="shared" si="326"/>
        <v>5.0599999999999996</v>
      </c>
      <c r="AI493">
        <f t="shared" si="326"/>
        <v>5.0599999999999996</v>
      </c>
      <c r="AM493">
        <f t="shared" si="328"/>
        <v>5.0599999999999996</v>
      </c>
      <c r="BW493" s="138"/>
      <c r="DG493" s="138"/>
      <c r="EY493" s="479">
        <f>VLOOKUP(B493,Literatuur!$A:$B,2,FALSE)</f>
        <v>8</v>
      </c>
      <c r="EZ493" t="str">
        <f t="shared" si="311"/>
        <v>PCB #6</v>
      </c>
      <c r="FA493" t="str">
        <f t="shared" si="312"/>
        <v>PCB</v>
      </c>
      <c r="FB493" t="str">
        <f t="shared" si="313"/>
        <v>LDPE</v>
      </c>
      <c r="FC493" t="str">
        <f t="shared" si="314"/>
        <v>Immersion (shaking)</v>
      </c>
      <c r="FD493">
        <f t="shared" si="315"/>
        <v>293</v>
      </c>
      <c r="FE493" t="str">
        <f t="shared" si="316"/>
        <v>water</v>
      </c>
      <c r="FF493" t="str">
        <f t="shared" si="317"/>
        <v>measured 0.000005</v>
      </c>
      <c r="FG493" s="408" t="str">
        <f t="shared" si="310"/>
        <v/>
      </c>
      <c r="FH493" s="138">
        <f t="shared" si="318"/>
        <v>4.41</v>
      </c>
      <c r="FI493" s="106">
        <f t="shared" si="327"/>
        <v>4.6869846093415655</v>
      </c>
      <c r="FJ493" s="138" t="str">
        <f t="shared" si="319"/>
        <v/>
      </c>
      <c r="FK493" s="138" t="str">
        <f t="shared" si="320"/>
        <v>**</v>
      </c>
    </row>
    <row r="494" spans="1:167" ht="12.75" hidden="1" customHeight="1" x14ac:dyDescent="0.2">
      <c r="A494">
        <v>459</v>
      </c>
      <c r="B494" s="4" t="s">
        <v>1937</v>
      </c>
      <c r="C494" s="4"/>
      <c r="D494" t="s">
        <v>1106</v>
      </c>
      <c r="E494">
        <v>-1599</v>
      </c>
      <c r="F494" t="str">
        <f>VLOOKUP(E494,CompDbase!B:L,4,FALSE)</f>
        <v>PCB #60</v>
      </c>
      <c r="G494" s="95" t="str">
        <f>VLOOKUP(E494,CompDbase!B:M,12,FALSE)</f>
        <v>PCB</v>
      </c>
      <c r="H494" s="95" t="e">
        <f>VLOOKUP(E494,CompDbase!B:L,8,FALSE)</f>
        <v>#DIV/0!</v>
      </c>
      <c r="I494" s="95">
        <f>VLOOKUP(E494,CompDbase!B:L,11,FALSE)</f>
        <v>198.5</v>
      </c>
      <c r="J494" s="95" t="e">
        <f>VLOOKUP(E494,CompDbase!B:L,9,FALSE)</f>
        <v>#DIV/0!</v>
      </c>
      <c r="K494" s="95">
        <f>VLOOKUP(E494,CompDbase!B:L,10,FALSE)</f>
        <v>6.11</v>
      </c>
      <c r="L494" s="4" t="s">
        <v>769</v>
      </c>
      <c r="M494" s="423"/>
      <c r="O494" s="4" t="s">
        <v>1985</v>
      </c>
      <c r="P494">
        <v>293</v>
      </c>
      <c r="Q494" s="4" t="s">
        <v>1049</v>
      </c>
      <c r="R494" s="289" t="s">
        <v>1982</v>
      </c>
      <c r="S494">
        <f t="shared" si="322"/>
        <v>5.0000000000000004E-6</v>
      </c>
      <c r="T494" s="95" t="e">
        <f t="shared" si="323"/>
        <v>#DIV/0!</v>
      </c>
      <c r="W494">
        <v>616595.00186148309</v>
      </c>
      <c r="X494" s="95">
        <f t="shared" si="324"/>
        <v>5.7900000000000009</v>
      </c>
      <c r="Z494" s="190"/>
      <c r="AC494" t="s">
        <v>68</v>
      </c>
      <c r="AG494" s="138">
        <f t="shared" si="325"/>
        <v>5.7900000000000009</v>
      </c>
      <c r="AH494">
        <f t="shared" si="326"/>
        <v>6.11</v>
      </c>
      <c r="AI494">
        <f t="shared" si="326"/>
        <v>6.11</v>
      </c>
      <c r="AM494">
        <f t="shared" si="328"/>
        <v>6.11</v>
      </c>
      <c r="BW494" s="138"/>
      <c r="DG494" s="138"/>
      <c r="EY494" s="479">
        <f>VLOOKUP(B494,Literatuur!$A:$B,2,FALSE)</f>
        <v>8</v>
      </c>
      <c r="EZ494" t="str">
        <f t="shared" si="311"/>
        <v>PCB #60</v>
      </c>
      <c r="FA494" t="str">
        <f t="shared" si="312"/>
        <v>PCB</v>
      </c>
      <c r="FB494" t="str">
        <f t="shared" si="313"/>
        <v>LDPE</v>
      </c>
      <c r="FC494" t="str">
        <f t="shared" si="314"/>
        <v>Immersion (shaking)</v>
      </c>
      <c r="FD494">
        <f t="shared" si="315"/>
        <v>293</v>
      </c>
      <c r="FE494" t="str">
        <f t="shared" si="316"/>
        <v>water</v>
      </c>
      <c r="FF494" t="str">
        <f t="shared" si="317"/>
        <v>measured 0.000005</v>
      </c>
      <c r="FG494" s="408" t="str">
        <f t="shared" si="310"/>
        <v/>
      </c>
      <c r="FH494" s="138">
        <f t="shared" si="318"/>
        <v>5.7900000000000009</v>
      </c>
      <c r="FI494" s="106">
        <f t="shared" si="327"/>
        <v>5.7985637513691231</v>
      </c>
      <c r="FJ494" s="138" t="str">
        <f t="shared" si="319"/>
        <v/>
      </c>
      <c r="FK494" s="138" t="str">
        <f t="shared" si="320"/>
        <v>**</v>
      </c>
    </row>
    <row r="495" spans="1:167" ht="12.75" hidden="1" customHeight="1" x14ac:dyDescent="0.2">
      <c r="A495">
        <v>460</v>
      </c>
      <c r="B495" s="4" t="s">
        <v>1937</v>
      </c>
      <c r="C495" s="4"/>
      <c r="D495" t="s">
        <v>1107</v>
      </c>
      <c r="E495">
        <v>-1600</v>
      </c>
      <c r="F495" t="str">
        <f>VLOOKUP(E495,CompDbase!B:L,4,FALSE)</f>
        <v>PCB #63</v>
      </c>
      <c r="G495" s="95" t="str">
        <f>VLOOKUP(E495,CompDbase!B:M,12,FALSE)</f>
        <v>PCB</v>
      </c>
      <c r="H495" s="95" t="e">
        <f>VLOOKUP(E495,CompDbase!B:L,8,FALSE)</f>
        <v>#DIV/0!</v>
      </c>
      <c r="I495" s="95">
        <f>VLOOKUP(E495,CompDbase!B:L,11,FALSE)</f>
        <v>199.2</v>
      </c>
      <c r="J495" s="95" t="e">
        <f>VLOOKUP(E495,CompDbase!B:L,9,FALSE)</f>
        <v>#DIV/0!</v>
      </c>
      <c r="K495" s="95">
        <f>VLOOKUP(E495,CompDbase!B:L,10,FALSE)</f>
        <v>6.17</v>
      </c>
      <c r="L495" s="4" t="s">
        <v>769</v>
      </c>
      <c r="O495" s="4" t="s">
        <v>1985</v>
      </c>
      <c r="P495">
        <v>293</v>
      </c>
      <c r="Q495" s="4" t="s">
        <v>1049</v>
      </c>
      <c r="R495" s="289" t="s">
        <v>1982</v>
      </c>
      <c r="S495">
        <f t="shared" ref="S495:S509" si="330">0.000005</f>
        <v>5.0000000000000004E-6</v>
      </c>
      <c r="T495" s="95" t="e">
        <f t="shared" ref="T495:T509" si="331">S495/J495</f>
        <v>#DIV/0!</v>
      </c>
      <c r="W495">
        <v>588843.65535558888</v>
      </c>
      <c r="X495" s="95">
        <f t="shared" ref="X495:X509" si="332">LOG(W495)</f>
        <v>5.77</v>
      </c>
      <c r="Z495" s="190"/>
      <c r="AC495" t="s">
        <v>68</v>
      </c>
      <c r="AG495" s="138">
        <f t="shared" si="325"/>
        <v>5.77</v>
      </c>
      <c r="AH495">
        <f t="shared" si="326"/>
        <v>6.17</v>
      </c>
      <c r="AI495">
        <f t="shared" si="326"/>
        <v>6.17</v>
      </c>
      <c r="AM495">
        <f t="shared" si="328"/>
        <v>6.17</v>
      </c>
      <c r="BW495" s="138"/>
      <c r="DG495" s="138"/>
      <c r="EY495" s="479">
        <f>VLOOKUP(B495,Literatuur!$A:$B,2,FALSE)</f>
        <v>8</v>
      </c>
      <c r="EZ495" t="str">
        <f t="shared" si="311"/>
        <v>PCB #63</v>
      </c>
      <c r="FA495" t="str">
        <f t="shared" si="312"/>
        <v>PCB</v>
      </c>
      <c r="FB495" t="str">
        <f t="shared" si="313"/>
        <v>LDPE</v>
      </c>
      <c r="FC495" t="str">
        <f t="shared" si="314"/>
        <v>Immersion (shaking)</v>
      </c>
      <c r="FD495">
        <f t="shared" si="315"/>
        <v>293</v>
      </c>
      <c r="FE495" t="str">
        <f t="shared" si="316"/>
        <v>water</v>
      </c>
      <c r="FF495" t="str">
        <f t="shared" si="317"/>
        <v>measured 0.000005</v>
      </c>
      <c r="FG495" s="408" t="str">
        <f t="shared" ref="FG495:FG558" si="333">IF(ISNUMBER(T495),T495,"")</f>
        <v/>
      </c>
      <c r="FH495" s="138">
        <f t="shared" si="318"/>
        <v>5.77</v>
      </c>
      <c r="FI495" s="106">
        <f t="shared" si="327"/>
        <v>5.8620825594849828</v>
      </c>
      <c r="FJ495" s="138" t="str">
        <f t="shared" si="319"/>
        <v/>
      </c>
      <c r="FK495" s="138" t="str">
        <f t="shared" si="320"/>
        <v>**</v>
      </c>
    </row>
    <row r="496" spans="1:167" ht="12.75" hidden="1" customHeight="1" x14ac:dyDescent="0.2">
      <c r="A496">
        <v>461</v>
      </c>
      <c r="B496" s="4" t="s">
        <v>1937</v>
      </c>
      <c r="C496" s="4"/>
      <c r="D496" t="s">
        <v>1108</v>
      </c>
      <c r="E496">
        <v>-1601</v>
      </c>
      <c r="F496" t="str">
        <f>VLOOKUP(E496,CompDbase!B:L,4,FALSE)</f>
        <v>PCB #64</v>
      </c>
      <c r="G496" s="95" t="str">
        <f>VLOOKUP(E496,CompDbase!B:M,12,FALSE)</f>
        <v>PCB</v>
      </c>
      <c r="H496" s="95" t="e">
        <f>VLOOKUP(E496,CompDbase!B:L,8,FALSE)</f>
        <v>#DIV/0!</v>
      </c>
      <c r="I496" s="95">
        <f>VLOOKUP(E496,CompDbase!B:L,11,FALSE)</f>
        <v>198.3</v>
      </c>
      <c r="J496" s="95" t="e">
        <f>VLOOKUP(E496,CompDbase!B:L,9,FALSE)</f>
        <v>#DIV/0!</v>
      </c>
      <c r="K496" s="95">
        <f>VLOOKUP(E496,CompDbase!B:L,10,FALSE)</f>
        <v>5.95</v>
      </c>
      <c r="L496" s="4" t="s">
        <v>769</v>
      </c>
      <c r="M496" s="423"/>
      <c r="O496" s="4" t="s">
        <v>1985</v>
      </c>
      <c r="P496">
        <v>293</v>
      </c>
      <c r="Q496" s="4" t="s">
        <v>1049</v>
      </c>
      <c r="R496" s="289" t="s">
        <v>1982</v>
      </c>
      <c r="S496">
        <f t="shared" si="330"/>
        <v>5.0000000000000004E-6</v>
      </c>
      <c r="T496" s="95" t="e">
        <f t="shared" si="331"/>
        <v>#DIV/0!</v>
      </c>
      <c r="W496">
        <v>346736.85045253241</v>
      </c>
      <c r="X496" s="95">
        <f t="shared" si="332"/>
        <v>5.5400000000000009</v>
      </c>
      <c r="Z496" s="190"/>
      <c r="AC496" t="s">
        <v>68</v>
      </c>
      <c r="AG496" s="138">
        <f t="shared" si="325"/>
        <v>5.5400000000000009</v>
      </c>
      <c r="AH496">
        <f t="shared" si="326"/>
        <v>5.95</v>
      </c>
      <c r="AI496">
        <f t="shared" si="326"/>
        <v>5.95</v>
      </c>
      <c r="AM496">
        <f t="shared" si="328"/>
        <v>5.95</v>
      </c>
      <c r="BW496" s="138"/>
      <c r="DG496" s="138"/>
      <c r="EY496" s="479">
        <f>VLOOKUP(B496,Literatuur!$A:$B,2,FALSE)</f>
        <v>8</v>
      </c>
      <c r="EZ496" t="str">
        <f t="shared" ref="EZ496:EZ559" si="334">D496</f>
        <v>PCB #64</v>
      </c>
      <c r="FA496" t="str">
        <f t="shared" ref="FA496:FA559" si="335">G496</f>
        <v>PCB</v>
      </c>
      <c r="FB496" t="str">
        <f t="shared" ref="FB496:FB559" si="336">L496</f>
        <v>LDPE</v>
      </c>
      <c r="FC496" t="str">
        <f t="shared" ref="FC496:FC559" si="337">CONCATENATE(O496)</f>
        <v>Immersion (shaking)</v>
      </c>
      <c r="FD496">
        <f t="shared" ref="FD496:FD559" si="338">P496</f>
        <v>293</v>
      </c>
      <c r="FE496" t="str">
        <f t="shared" ref="FE496:FE559" si="339">Q496</f>
        <v>water</v>
      </c>
      <c r="FF496" t="str">
        <f t="shared" ref="FF496:FF559" si="340">CONCATENATE(R496," ",S496)</f>
        <v>measured 0.000005</v>
      </c>
      <c r="FG496" s="408" t="str">
        <f t="shared" si="333"/>
        <v/>
      </c>
      <c r="FH496" s="138">
        <f t="shared" ref="FH496:FH559" si="341">IF(ISNUMBER(X496),X496,"")</f>
        <v>5.5400000000000009</v>
      </c>
      <c r="FI496" s="106">
        <f t="shared" si="327"/>
        <v>5.6291802630601619</v>
      </c>
      <c r="FJ496" s="138" t="str">
        <f t="shared" ref="FJ496:FJ559" si="342">IF(ISNUMBER(Z496),Z496,"")</f>
        <v/>
      </c>
      <c r="FK496" s="138" t="str">
        <f t="shared" ref="FK496:FK559" si="343">IF(ISNUMBER(DM496),DM496*DM$19+DM$21,IF(ISNUMBER(DN496),DN496*DN$19+DN$21,IF(ISNUMBER(DO496),DO496*DO$19+DO$21,"**")))</f>
        <v>**</v>
      </c>
    </row>
    <row r="497" spans="1:167" ht="12.75" hidden="1" customHeight="1" x14ac:dyDescent="0.2">
      <c r="A497">
        <v>462</v>
      </c>
      <c r="B497" s="4" t="s">
        <v>1937</v>
      </c>
      <c r="C497" s="4"/>
      <c r="D497" t="s">
        <v>1109</v>
      </c>
      <c r="E497">
        <v>-1602</v>
      </c>
      <c r="F497" t="str">
        <f>VLOOKUP(E497,CompDbase!B:L,4,FALSE)</f>
        <v>PCB #69</v>
      </c>
      <c r="G497" s="95" t="str">
        <f>VLOOKUP(E497,CompDbase!B:M,12,FALSE)</f>
        <v>PCB</v>
      </c>
      <c r="H497" s="95">
        <f>VLOOKUP(E497,CompDbase!B:L,8,FALSE)</f>
        <v>292</v>
      </c>
      <c r="I497" s="95">
        <f>VLOOKUP(E497,CompDbase!B:L,11,FALSE)</f>
        <v>199.2</v>
      </c>
      <c r="J497" s="95">
        <f>VLOOKUP(E497,CompDbase!B:L,9,FALSE)</f>
        <v>9.2338507676916648E-2</v>
      </c>
      <c r="K497" s="95">
        <f>VLOOKUP(E497,CompDbase!B:L,10,FALSE)</f>
        <v>6.0466666666666669</v>
      </c>
      <c r="L497" s="4" t="s">
        <v>769</v>
      </c>
      <c r="M497" s="423"/>
      <c r="N497" s="423"/>
      <c r="O497" s="4" t="s">
        <v>1985</v>
      </c>
      <c r="P497">
        <v>293</v>
      </c>
      <c r="Q497" s="4" t="s">
        <v>1049</v>
      </c>
      <c r="R497" s="289" t="s">
        <v>1982</v>
      </c>
      <c r="S497">
        <f t="shared" si="330"/>
        <v>5.0000000000000004E-6</v>
      </c>
      <c r="T497" s="95">
        <f t="shared" si="331"/>
        <v>5.4148590071376381E-5</v>
      </c>
      <c r="W497">
        <v>436515.83224016649</v>
      </c>
      <c r="X497" s="95">
        <f t="shared" si="332"/>
        <v>5.6400000000000006</v>
      </c>
      <c r="Z497" s="190"/>
      <c r="AC497" t="s">
        <v>68</v>
      </c>
      <c r="AG497" s="138">
        <f t="shared" si="325"/>
        <v>5.6400000000000006</v>
      </c>
      <c r="AH497">
        <f t="shared" si="326"/>
        <v>6.0466666666666669</v>
      </c>
      <c r="AI497">
        <f t="shared" si="326"/>
        <v>6.0466666666666669</v>
      </c>
      <c r="AM497">
        <f t="shared" si="328"/>
        <v>6.0466666666666669</v>
      </c>
      <c r="AP497">
        <f t="shared" si="329"/>
        <v>6.0466666666666669</v>
      </c>
      <c r="BW497" s="138"/>
      <c r="BX497">
        <f>LOG(1*$J497)</f>
        <v>-1.0346171485515818</v>
      </c>
      <c r="BY497">
        <f>LOG(1*$J497)</f>
        <v>-1.0346171485515818</v>
      </c>
      <c r="CC497">
        <f>LOG(1*$J497)</f>
        <v>-1.0346171485515818</v>
      </c>
      <c r="DG497" s="138"/>
      <c r="EY497" s="479">
        <f>VLOOKUP(B497,Literatuur!$A:$B,2,FALSE)</f>
        <v>8</v>
      </c>
      <c r="EZ497" t="str">
        <f t="shared" si="334"/>
        <v>PCB #69</v>
      </c>
      <c r="FA497" t="str">
        <f t="shared" si="335"/>
        <v>PCB</v>
      </c>
      <c r="FB497" t="str">
        <f t="shared" si="336"/>
        <v>LDPE</v>
      </c>
      <c r="FC497" t="str">
        <f t="shared" si="337"/>
        <v>Immersion (shaking)</v>
      </c>
      <c r="FD497">
        <f t="shared" si="338"/>
        <v>293</v>
      </c>
      <c r="FE497" t="str">
        <f t="shared" si="339"/>
        <v>water</v>
      </c>
      <c r="FF497" t="str">
        <f t="shared" si="340"/>
        <v>measured 0.000005</v>
      </c>
      <c r="FG497" s="408">
        <f t="shared" si="333"/>
        <v>5.4148590071376381E-5</v>
      </c>
      <c r="FH497" s="138">
        <f t="shared" si="341"/>
        <v>5.6400000000000006</v>
      </c>
      <c r="FI497" s="106">
        <f t="shared" si="327"/>
        <v>5.7315161205801592</v>
      </c>
      <c r="FJ497" s="138" t="str">
        <f t="shared" si="342"/>
        <v/>
      </c>
      <c r="FK497" s="138" t="str">
        <f t="shared" si="343"/>
        <v>**</v>
      </c>
    </row>
    <row r="498" spans="1:167" ht="12.75" hidden="1" customHeight="1" x14ac:dyDescent="0.2">
      <c r="A498">
        <v>463</v>
      </c>
      <c r="B498" s="4" t="s">
        <v>1937</v>
      </c>
      <c r="C498" s="4"/>
      <c r="D498" t="s">
        <v>1110</v>
      </c>
      <c r="E498">
        <v>-1603</v>
      </c>
      <c r="F498" t="str">
        <f>VLOOKUP(E498,CompDbase!B:L,4,FALSE)</f>
        <v>PCB #71</v>
      </c>
      <c r="G498" s="95" t="str">
        <f>VLOOKUP(E498,CompDbase!B:M,12,FALSE)</f>
        <v>PCB</v>
      </c>
      <c r="H498" s="95" t="e">
        <f>VLOOKUP(E498,CompDbase!B:L,8,FALSE)</f>
        <v>#DIV/0!</v>
      </c>
      <c r="I498" s="95">
        <f>VLOOKUP(E498,CompDbase!B:L,11,FALSE)</f>
        <v>198</v>
      </c>
      <c r="J498" s="95" t="e">
        <f>VLOOKUP(E498,CompDbase!B:L,9,FALSE)</f>
        <v>#DIV/0!</v>
      </c>
      <c r="K498" s="95">
        <f>VLOOKUP(E498,CompDbase!B:L,10,FALSE)</f>
        <v>5.98</v>
      </c>
      <c r="L498" s="4" t="s">
        <v>769</v>
      </c>
      <c r="O498" s="4" t="s">
        <v>1985</v>
      </c>
      <c r="P498">
        <v>293</v>
      </c>
      <c r="Q498" s="4" t="s">
        <v>1049</v>
      </c>
      <c r="R498" s="289" t="s">
        <v>1982</v>
      </c>
      <c r="S498">
        <f t="shared" si="330"/>
        <v>5.0000000000000004E-6</v>
      </c>
      <c r="T498" s="95" t="e">
        <f t="shared" si="331"/>
        <v>#DIV/0!</v>
      </c>
      <c r="W498">
        <v>269153.48039269145</v>
      </c>
      <c r="X498" s="95">
        <f t="shared" si="332"/>
        <v>5.43</v>
      </c>
      <c r="Z498" s="190"/>
      <c r="AC498" t="s">
        <v>68</v>
      </c>
      <c r="AG498" s="138">
        <f t="shared" si="325"/>
        <v>5.43</v>
      </c>
      <c r="AH498">
        <f t="shared" si="326"/>
        <v>5.98</v>
      </c>
      <c r="AI498">
        <f t="shared" si="326"/>
        <v>5.98</v>
      </c>
      <c r="AM498">
        <f t="shared" si="328"/>
        <v>5.98</v>
      </c>
      <c r="BW498" s="138"/>
      <c r="DG498" s="138"/>
      <c r="EY498" s="479">
        <f>VLOOKUP(B498,Literatuur!$A:$B,2,FALSE)</f>
        <v>8</v>
      </c>
      <c r="EZ498" t="str">
        <f t="shared" si="334"/>
        <v>PCB #71</v>
      </c>
      <c r="FA498" t="str">
        <f t="shared" si="335"/>
        <v>PCB</v>
      </c>
      <c r="FB498" t="str">
        <f t="shared" si="336"/>
        <v>LDPE</v>
      </c>
      <c r="FC498" t="str">
        <f t="shared" si="337"/>
        <v>Immersion (shaking)</v>
      </c>
      <c r="FD498">
        <f t="shared" si="338"/>
        <v>293</v>
      </c>
      <c r="FE498" t="str">
        <f t="shared" si="339"/>
        <v>water</v>
      </c>
      <c r="FF498" t="str">
        <f t="shared" si="340"/>
        <v>measured 0.000005</v>
      </c>
      <c r="FG498" s="408" t="str">
        <f t="shared" si="333"/>
        <v/>
      </c>
      <c r="FH498" s="138">
        <f t="shared" si="341"/>
        <v>5.43</v>
      </c>
      <c r="FI498" s="106">
        <f t="shared" si="327"/>
        <v>5.6609396671180923</v>
      </c>
      <c r="FJ498" s="138" t="str">
        <f t="shared" si="342"/>
        <v/>
      </c>
      <c r="FK498" s="138" t="str">
        <f t="shared" si="343"/>
        <v>**</v>
      </c>
    </row>
    <row r="499" spans="1:167" ht="12.75" hidden="1" customHeight="1" x14ac:dyDescent="0.2">
      <c r="A499">
        <v>464</v>
      </c>
      <c r="B499" s="4" t="s">
        <v>1937</v>
      </c>
      <c r="C499" s="4"/>
      <c r="D499" t="s">
        <v>1111</v>
      </c>
      <c r="E499">
        <v>-1604</v>
      </c>
      <c r="F499" t="str">
        <f>VLOOKUP(E499,CompDbase!B:L,4,FALSE)</f>
        <v>PCB #74</v>
      </c>
      <c r="G499" s="95" t="str">
        <f>VLOOKUP(E499,CompDbase!B:M,12,FALSE)</f>
        <v>PCB</v>
      </c>
      <c r="H499" s="95">
        <f>VLOOKUP(E499,CompDbase!B:L,8,FALSE)</f>
        <v>292</v>
      </c>
      <c r="I499" s="95">
        <f>VLOOKUP(E499,CompDbase!B:L,11,FALSE)</f>
        <v>199.25</v>
      </c>
      <c r="J499" s="95" t="e">
        <f>VLOOKUP(E499,CompDbase!B:L,9,FALSE)</f>
        <v>#DIV/0!</v>
      </c>
      <c r="K499" s="95">
        <f>VLOOKUP(E499,CompDbase!B:L,10,FALSE)</f>
        <v>6.2</v>
      </c>
      <c r="L499" s="4" t="s">
        <v>769</v>
      </c>
      <c r="O499" s="4" t="s">
        <v>1985</v>
      </c>
      <c r="P499">
        <v>293</v>
      </c>
      <c r="Q499" s="4" t="s">
        <v>1049</v>
      </c>
      <c r="R499" s="289" t="s">
        <v>1982</v>
      </c>
      <c r="S499">
        <f t="shared" si="330"/>
        <v>5.0000000000000004E-6</v>
      </c>
      <c r="T499" s="95" t="e">
        <f t="shared" si="331"/>
        <v>#DIV/0!</v>
      </c>
      <c r="W499">
        <v>407380.27780411334</v>
      </c>
      <c r="X499" s="95">
        <f t="shared" si="332"/>
        <v>5.61</v>
      </c>
      <c r="Z499" s="190"/>
      <c r="AC499" t="s">
        <v>68</v>
      </c>
      <c r="AG499" s="138">
        <f t="shared" si="325"/>
        <v>5.61</v>
      </c>
      <c r="AH499">
        <f t="shared" si="326"/>
        <v>6.2</v>
      </c>
      <c r="AI499">
        <f t="shared" si="326"/>
        <v>6.2</v>
      </c>
      <c r="AM499">
        <f t="shared" si="328"/>
        <v>6.2</v>
      </c>
      <c r="BW499" s="138"/>
      <c r="DG499" s="138"/>
      <c r="EY499" s="479">
        <f>VLOOKUP(B499,Literatuur!$A:$B,2,FALSE)</f>
        <v>8</v>
      </c>
      <c r="EZ499" t="str">
        <f t="shared" si="334"/>
        <v>PCB #74</v>
      </c>
      <c r="FA499" t="str">
        <f t="shared" si="335"/>
        <v>PCB</v>
      </c>
      <c r="FB499" t="str">
        <f t="shared" si="336"/>
        <v>LDPE</v>
      </c>
      <c r="FC499" t="str">
        <f t="shared" si="337"/>
        <v>Immersion (shaking)</v>
      </c>
      <c r="FD499">
        <f t="shared" si="338"/>
        <v>293</v>
      </c>
      <c r="FE499" t="str">
        <f t="shared" si="339"/>
        <v>water</v>
      </c>
      <c r="FF499" t="str">
        <f t="shared" si="340"/>
        <v>measured 0.000005</v>
      </c>
      <c r="FG499" s="408" t="str">
        <f t="shared" si="333"/>
        <v/>
      </c>
      <c r="FH499" s="138">
        <f t="shared" si="341"/>
        <v>5.61</v>
      </c>
      <c r="FI499" s="106">
        <f t="shared" si="327"/>
        <v>5.8938419635429131</v>
      </c>
      <c r="FJ499" s="138" t="str">
        <f t="shared" si="342"/>
        <v/>
      </c>
      <c r="FK499" s="138" t="str">
        <f t="shared" si="343"/>
        <v>**</v>
      </c>
    </row>
    <row r="500" spans="1:167" ht="12.75" hidden="1" customHeight="1" x14ac:dyDescent="0.2">
      <c r="A500">
        <v>465</v>
      </c>
      <c r="B500" s="4" t="s">
        <v>1937</v>
      </c>
      <c r="C500" s="4"/>
      <c r="D500" t="s">
        <v>1112</v>
      </c>
      <c r="E500">
        <v>-1605</v>
      </c>
      <c r="F500" t="str">
        <f>VLOOKUP(E500,CompDbase!B:L,4,FALSE)</f>
        <v>PCB #77</v>
      </c>
      <c r="G500" s="95" t="str">
        <f>VLOOKUP(E500,CompDbase!B:M,12,FALSE)</f>
        <v>PCB</v>
      </c>
      <c r="H500" s="95" t="e">
        <f>VLOOKUP(E500,CompDbase!B:L,8,FALSE)</f>
        <v>#DIV/0!</v>
      </c>
      <c r="I500" s="95">
        <f>VLOOKUP(E500,CompDbase!B:L,11,FALSE)</f>
        <v>197.2</v>
      </c>
      <c r="J500" s="95" t="e">
        <f>VLOOKUP(E500,CompDbase!B:L,9,FALSE)</f>
        <v>#DIV/0!</v>
      </c>
      <c r="K500" s="95">
        <f>VLOOKUP(E500,CompDbase!B:L,10,FALSE)</f>
        <v>6.36</v>
      </c>
      <c r="L500" s="4" t="s">
        <v>769</v>
      </c>
      <c r="O500" s="4" t="s">
        <v>1985</v>
      </c>
      <c r="P500">
        <v>293</v>
      </c>
      <c r="Q500" s="4" t="s">
        <v>1049</v>
      </c>
      <c r="R500" s="289" t="s">
        <v>1982</v>
      </c>
      <c r="S500">
        <f t="shared" si="330"/>
        <v>5.0000000000000004E-6</v>
      </c>
      <c r="T500" s="95" t="e">
        <f t="shared" si="331"/>
        <v>#DIV/0!</v>
      </c>
      <c r="W500">
        <v>616595.00186148309</v>
      </c>
      <c r="X500" s="95">
        <f t="shared" si="332"/>
        <v>5.7900000000000009</v>
      </c>
      <c r="Z500" s="190"/>
      <c r="AC500" t="s">
        <v>68</v>
      </c>
      <c r="AG500" s="138">
        <f t="shared" si="325"/>
        <v>5.7900000000000009</v>
      </c>
      <c r="AH500">
        <f t="shared" si="326"/>
        <v>6.36</v>
      </c>
      <c r="AI500">
        <f t="shared" si="326"/>
        <v>6.36</v>
      </c>
      <c r="AM500">
        <f t="shared" si="328"/>
        <v>6.36</v>
      </c>
      <c r="BW500" s="138"/>
      <c r="DG500" s="138"/>
      <c r="EY500" s="479">
        <f>VLOOKUP(B500,Literatuur!$A:$B,2,FALSE)</f>
        <v>8</v>
      </c>
      <c r="EZ500" t="str">
        <f t="shared" si="334"/>
        <v>PCB #77</v>
      </c>
      <c r="FA500" t="str">
        <f t="shared" si="335"/>
        <v>PCB</v>
      </c>
      <c r="FB500" t="str">
        <f t="shared" si="336"/>
        <v>LDPE</v>
      </c>
      <c r="FC500" t="str">
        <f t="shared" si="337"/>
        <v>Immersion (shaking)</v>
      </c>
      <c r="FD500">
        <f t="shared" si="338"/>
        <v>293</v>
      </c>
      <c r="FE500" t="str">
        <f t="shared" si="339"/>
        <v>water</v>
      </c>
      <c r="FF500" t="str">
        <f t="shared" si="340"/>
        <v>measured 0.000005</v>
      </c>
      <c r="FG500" s="408" t="str">
        <f t="shared" si="333"/>
        <v/>
      </c>
      <c r="FH500" s="138">
        <f t="shared" si="341"/>
        <v>5.7900000000000009</v>
      </c>
      <c r="FI500" s="106">
        <f t="shared" si="327"/>
        <v>6.0632254518518742</v>
      </c>
      <c r="FJ500" s="138" t="str">
        <f t="shared" si="342"/>
        <v/>
      </c>
      <c r="FK500" s="138" t="str">
        <f t="shared" si="343"/>
        <v>**</v>
      </c>
    </row>
    <row r="501" spans="1:167" ht="12.75" hidden="1" customHeight="1" x14ac:dyDescent="0.2">
      <c r="A501">
        <v>466</v>
      </c>
      <c r="B501" s="4" t="s">
        <v>1937</v>
      </c>
      <c r="C501" s="4"/>
      <c r="D501" t="s">
        <v>1113</v>
      </c>
      <c r="E501">
        <v>-1606</v>
      </c>
      <c r="F501" t="str">
        <f>VLOOKUP(E501,CompDbase!B:L,4,FALSE)</f>
        <v>PCB #81</v>
      </c>
      <c r="G501" s="95" t="str">
        <f>VLOOKUP(E501,CompDbase!B:M,12,FALSE)</f>
        <v>PCB</v>
      </c>
      <c r="H501" s="95" t="e">
        <f>VLOOKUP(E501,CompDbase!B:L,8,FALSE)</f>
        <v>#DIV/0!</v>
      </c>
      <c r="I501" s="95">
        <f>VLOOKUP(E501,CompDbase!B:L,11,FALSE)</f>
        <v>197.6</v>
      </c>
      <c r="J501" s="95" t="e">
        <f>VLOOKUP(E501,CompDbase!B:L,9,FALSE)</f>
        <v>#DIV/0!</v>
      </c>
      <c r="K501" s="95">
        <f>VLOOKUP(E501,CompDbase!B:L,10,FALSE)</f>
        <v>6.36</v>
      </c>
      <c r="L501" s="4" t="s">
        <v>769</v>
      </c>
      <c r="O501" s="4" t="s">
        <v>1985</v>
      </c>
      <c r="P501">
        <v>293</v>
      </c>
      <c r="Q501" s="4" t="s">
        <v>1049</v>
      </c>
      <c r="R501" s="289" t="s">
        <v>1982</v>
      </c>
      <c r="S501">
        <f t="shared" si="330"/>
        <v>5.0000000000000004E-6</v>
      </c>
      <c r="T501" s="95" t="e">
        <f t="shared" si="331"/>
        <v>#DIV/0!</v>
      </c>
      <c r="W501">
        <v>891250.93813374708</v>
      </c>
      <c r="X501" s="95">
        <f t="shared" si="332"/>
        <v>5.9500000000000011</v>
      </c>
      <c r="Z501" s="190"/>
      <c r="AC501" t="s">
        <v>68</v>
      </c>
      <c r="AG501" s="138">
        <f t="shared" si="325"/>
        <v>5.9500000000000011</v>
      </c>
      <c r="AH501">
        <f t="shared" si="326"/>
        <v>6.36</v>
      </c>
      <c r="AI501">
        <f t="shared" si="326"/>
        <v>6.36</v>
      </c>
      <c r="AM501">
        <f t="shared" si="328"/>
        <v>6.36</v>
      </c>
      <c r="BW501" s="138"/>
      <c r="DG501" s="138"/>
      <c r="EY501" s="479">
        <f>VLOOKUP(B501,Literatuur!$A:$B,2,FALSE)</f>
        <v>8</v>
      </c>
      <c r="EZ501" t="str">
        <f t="shared" si="334"/>
        <v>PCB #81</v>
      </c>
      <c r="FA501" t="str">
        <f t="shared" si="335"/>
        <v>PCB</v>
      </c>
      <c r="FB501" t="str">
        <f t="shared" si="336"/>
        <v>LDPE</v>
      </c>
      <c r="FC501" t="str">
        <f t="shared" si="337"/>
        <v>Immersion (shaking)</v>
      </c>
      <c r="FD501">
        <f t="shared" si="338"/>
        <v>293</v>
      </c>
      <c r="FE501" t="str">
        <f t="shared" si="339"/>
        <v>water</v>
      </c>
      <c r="FF501" t="str">
        <f t="shared" si="340"/>
        <v>measured 0.000005</v>
      </c>
      <c r="FG501" s="408" t="str">
        <f t="shared" si="333"/>
        <v/>
      </c>
      <c r="FH501" s="138">
        <f t="shared" si="341"/>
        <v>5.9500000000000011</v>
      </c>
      <c r="FI501" s="106">
        <f t="shared" si="327"/>
        <v>6.0632254518518742</v>
      </c>
      <c r="FJ501" s="138" t="str">
        <f t="shared" si="342"/>
        <v/>
      </c>
      <c r="FK501" s="138" t="str">
        <f t="shared" si="343"/>
        <v>**</v>
      </c>
    </row>
    <row r="502" spans="1:167" ht="12.75" hidden="1" customHeight="1" x14ac:dyDescent="0.2">
      <c r="A502">
        <v>467</v>
      </c>
      <c r="B502" s="4" t="s">
        <v>1937</v>
      </c>
      <c r="C502" s="4"/>
      <c r="D502" t="s">
        <v>1114</v>
      </c>
      <c r="E502">
        <v>-1607</v>
      </c>
      <c r="F502" t="str">
        <f>VLOOKUP(E502,CompDbase!B:L,4,FALSE)</f>
        <v>PCB #82</v>
      </c>
      <c r="G502" s="95" t="str">
        <f>VLOOKUP(E502,CompDbase!B:M,12,FALSE)</f>
        <v>PCB</v>
      </c>
      <c r="H502" s="95" t="e">
        <f>VLOOKUP(E502,CompDbase!B:L,8,FALSE)</f>
        <v>#DIV/0!</v>
      </c>
      <c r="I502" s="95">
        <f>VLOOKUP(E502,CompDbase!B:L,11,FALSE)</f>
        <v>210.8</v>
      </c>
      <c r="J502" s="95" t="e">
        <f>VLOOKUP(E502,CompDbase!B:L,9,FALSE)</f>
        <v>#DIV/0!</v>
      </c>
      <c r="K502" s="95">
        <f>VLOOKUP(E502,CompDbase!B:L,10,FALSE)</f>
        <v>6.2</v>
      </c>
      <c r="L502" s="4" t="s">
        <v>769</v>
      </c>
      <c r="M502" s="423"/>
      <c r="N502" s="423"/>
      <c r="O502" s="4" t="s">
        <v>1985</v>
      </c>
      <c r="P502">
        <v>293</v>
      </c>
      <c r="Q502" s="4" t="s">
        <v>1049</v>
      </c>
      <c r="R502" s="289" t="s">
        <v>1982</v>
      </c>
      <c r="S502">
        <f t="shared" si="330"/>
        <v>5.0000000000000004E-6</v>
      </c>
      <c r="T502" s="95" t="e">
        <f t="shared" si="331"/>
        <v>#DIV/0!</v>
      </c>
      <c r="W502">
        <v>831763.77110267128</v>
      </c>
      <c r="X502" s="95">
        <f t="shared" si="332"/>
        <v>5.92</v>
      </c>
      <c r="Z502" s="190"/>
      <c r="AC502" t="s">
        <v>68</v>
      </c>
      <c r="AG502" s="138">
        <f t="shared" si="325"/>
        <v>5.92</v>
      </c>
      <c r="AH502">
        <f t="shared" si="326"/>
        <v>6.2</v>
      </c>
      <c r="AI502">
        <f t="shared" si="326"/>
        <v>6.2</v>
      </c>
      <c r="AM502">
        <f t="shared" si="328"/>
        <v>6.2</v>
      </c>
      <c r="BW502" s="138"/>
      <c r="DG502" s="138"/>
      <c r="EY502" s="479">
        <f>VLOOKUP(B502,Literatuur!$A:$B,2,FALSE)</f>
        <v>8</v>
      </c>
      <c r="EZ502" t="str">
        <f t="shared" si="334"/>
        <v>PCB #82</v>
      </c>
      <c r="FA502" t="str">
        <f t="shared" si="335"/>
        <v>PCB</v>
      </c>
      <c r="FB502" t="str">
        <f t="shared" si="336"/>
        <v>LDPE</v>
      </c>
      <c r="FC502" t="str">
        <f t="shared" si="337"/>
        <v>Immersion (shaking)</v>
      </c>
      <c r="FD502">
        <f t="shared" si="338"/>
        <v>293</v>
      </c>
      <c r="FE502" t="str">
        <f t="shared" si="339"/>
        <v>water</v>
      </c>
      <c r="FF502" t="str">
        <f t="shared" si="340"/>
        <v>measured 0.000005</v>
      </c>
      <c r="FG502" s="408" t="str">
        <f t="shared" si="333"/>
        <v/>
      </c>
      <c r="FH502" s="138">
        <f t="shared" si="341"/>
        <v>5.92</v>
      </c>
      <c r="FI502" s="106">
        <f t="shared" si="327"/>
        <v>5.8938419635429131</v>
      </c>
      <c r="FJ502" s="138" t="str">
        <f t="shared" si="342"/>
        <v/>
      </c>
      <c r="FK502" s="138" t="str">
        <f t="shared" si="343"/>
        <v>**</v>
      </c>
    </row>
    <row r="503" spans="1:167" ht="12.75" hidden="1" customHeight="1" x14ac:dyDescent="0.2">
      <c r="A503">
        <v>468</v>
      </c>
      <c r="B503" s="4" t="s">
        <v>1937</v>
      </c>
      <c r="C503" s="4"/>
      <c r="D503" t="s">
        <v>1115</v>
      </c>
      <c r="E503">
        <v>-1608</v>
      </c>
      <c r="F503" t="str">
        <f>VLOOKUP(E503,CompDbase!B:L,4,FALSE)</f>
        <v>PCB #83</v>
      </c>
      <c r="G503" s="95" t="str">
        <f>VLOOKUP(E503,CompDbase!B:M,12,FALSE)</f>
        <v>PCB</v>
      </c>
      <c r="H503" s="95" t="e">
        <f>VLOOKUP(E503,CompDbase!B:L,8,FALSE)</f>
        <v>#DIV/0!</v>
      </c>
      <c r="I503" s="95">
        <f>VLOOKUP(E503,CompDbase!B:L,11,FALSE)</f>
        <v>211.5</v>
      </c>
      <c r="J503" s="95" t="e">
        <f>VLOOKUP(E503,CompDbase!B:L,9,FALSE)</f>
        <v>#DIV/0!</v>
      </c>
      <c r="K503" s="95">
        <f>VLOOKUP(E503,CompDbase!B:L,10,FALSE)</f>
        <v>6.26</v>
      </c>
      <c r="L503" s="4" t="s">
        <v>769</v>
      </c>
      <c r="O503" s="4" t="s">
        <v>1985</v>
      </c>
      <c r="P503">
        <v>293</v>
      </c>
      <c r="Q503" s="4" t="s">
        <v>1049</v>
      </c>
      <c r="R503" s="289" t="s">
        <v>1982</v>
      </c>
      <c r="S503">
        <f t="shared" si="330"/>
        <v>5.0000000000000004E-6</v>
      </c>
      <c r="T503" s="95" t="e">
        <f t="shared" si="331"/>
        <v>#DIV/0!</v>
      </c>
      <c r="W503">
        <v>1000000</v>
      </c>
      <c r="X503" s="95">
        <f t="shared" si="332"/>
        <v>6</v>
      </c>
      <c r="Z503" s="190"/>
      <c r="AC503" t="s">
        <v>68</v>
      </c>
      <c r="AG503" s="138">
        <f t="shared" si="325"/>
        <v>6</v>
      </c>
      <c r="AH503">
        <f t="shared" si="326"/>
        <v>6.26</v>
      </c>
      <c r="AI503">
        <f t="shared" si="326"/>
        <v>6.26</v>
      </c>
      <c r="AM503">
        <f t="shared" si="328"/>
        <v>6.26</v>
      </c>
      <c r="BW503" s="138"/>
      <c r="DG503" s="138"/>
      <c r="EY503" s="479">
        <f>VLOOKUP(B503,Literatuur!$A:$B,2,FALSE)</f>
        <v>8</v>
      </c>
      <c r="EZ503" t="str">
        <f t="shared" si="334"/>
        <v>PCB #83</v>
      </c>
      <c r="FA503" t="str">
        <f t="shared" si="335"/>
        <v>PCB</v>
      </c>
      <c r="FB503" t="str">
        <f t="shared" si="336"/>
        <v>LDPE</v>
      </c>
      <c r="FC503" t="str">
        <f t="shared" si="337"/>
        <v>Immersion (shaking)</v>
      </c>
      <c r="FD503">
        <f t="shared" si="338"/>
        <v>293</v>
      </c>
      <c r="FE503" t="str">
        <f t="shared" si="339"/>
        <v>water</v>
      </c>
      <c r="FF503" t="str">
        <f t="shared" si="340"/>
        <v>measured 0.000005</v>
      </c>
      <c r="FG503" s="408" t="str">
        <f t="shared" si="333"/>
        <v/>
      </c>
      <c r="FH503" s="138">
        <f t="shared" si="341"/>
        <v>6</v>
      </c>
      <c r="FI503" s="106">
        <f t="shared" si="327"/>
        <v>5.9573607716587729</v>
      </c>
      <c r="FJ503" s="138" t="str">
        <f t="shared" si="342"/>
        <v/>
      </c>
      <c r="FK503" s="138" t="str">
        <f t="shared" si="343"/>
        <v>**</v>
      </c>
    </row>
    <row r="504" spans="1:167" ht="12.75" hidden="1" customHeight="1" x14ac:dyDescent="0.2">
      <c r="A504">
        <v>469</v>
      </c>
      <c r="B504" s="4" t="s">
        <v>1937</v>
      </c>
      <c r="C504" s="4"/>
      <c r="D504" t="s">
        <v>1116</v>
      </c>
      <c r="E504">
        <v>-1609</v>
      </c>
      <c r="F504" t="str">
        <f>VLOOKUP(E504,CompDbase!B:L,4,FALSE)</f>
        <v>PCB #85</v>
      </c>
      <c r="G504" s="95" t="str">
        <f>VLOOKUP(E504,CompDbase!B:M,12,FALSE)</f>
        <v>PCB</v>
      </c>
      <c r="H504" s="95">
        <f>VLOOKUP(E504,CompDbase!B:L,8,FALSE)</f>
        <v>326.39999999999998</v>
      </c>
      <c r="I504" s="95">
        <f>VLOOKUP(E504,CompDbase!B:L,11,FALSE)</f>
        <v>211.85</v>
      </c>
      <c r="J504" s="95">
        <f>VLOOKUP(E504,CompDbase!B:L,9,FALSE)</f>
        <v>5.1730913801930692E-2</v>
      </c>
      <c r="K504" s="95">
        <f>VLOOKUP(E504,CompDbase!B:L,10,FALSE)</f>
        <v>6.333333333333333</v>
      </c>
      <c r="L504" s="4" t="s">
        <v>769</v>
      </c>
      <c r="O504" s="4" t="s">
        <v>1985</v>
      </c>
      <c r="P504">
        <v>293</v>
      </c>
      <c r="Q504" s="4" t="s">
        <v>1049</v>
      </c>
      <c r="R504" s="289" t="s">
        <v>1982</v>
      </c>
      <c r="S504">
        <f t="shared" si="330"/>
        <v>5.0000000000000004E-6</v>
      </c>
      <c r="T504" s="95">
        <f t="shared" si="331"/>
        <v>9.6654004975519901E-5</v>
      </c>
      <c r="W504">
        <v>1584893.1924611153</v>
      </c>
      <c r="X504" s="95">
        <f t="shared" si="332"/>
        <v>6.2</v>
      </c>
      <c r="Z504" s="190"/>
      <c r="AC504" t="s">
        <v>68</v>
      </c>
      <c r="AG504" s="138">
        <f t="shared" si="325"/>
        <v>6.2</v>
      </c>
      <c r="AH504">
        <f t="shared" si="326"/>
        <v>6.333333333333333</v>
      </c>
      <c r="AI504">
        <f t="shared" si="326"/>
        <v>6.333333333333333</v>
      </c>
      <c r="AM504">
        <f t="shared" si="328"/>
        <v>6.333333333333333</v>
      </c>
      <c r="AP504">
        <f t="shared" si="329"/>
        <v>6.333333333333333</v>
      </c>
      <c r="BW504" s="138"/>
      <c r="BX504">
        <f>LOG(1*$J504)</f>
        <v>-1.2862498499181769</v>
      </c>
      <c r="BY504">
        <f>LOG(1*$J504)</f>
        <v>-1.2862498499181769</v>
      </c>
      <c r="CC504">
        <f>LOG(1*$J504)</f>
        <v>-1.2862498499181769</v>
      </c>
      <c r="DG504" s="138"/>
      <c r="EY504" s="479">
        <f>VLOOKUP(B504,Literatuur!$A:$B,2,FALSE)</f>
        <v>8</v>
      </c>
      <c r="EZ504" t="str">
        <f t="shared" si="334"/>
        <v>PCB #85</v>
      </c>
      <c r="FA504" t="str">
        <f t="shared" si="335"/>
        <v>PCB</v>
      </c>
      <c r="FB504" t="str">
        <f t="shared" si="336"/>
        <v>LDPE</v>
      </c>
      <c r="FC504" t="str">
        <f t="shared" si="337"/>
        <v>Immersion (shaking)</v>
      </c>
      <c r="FD504">
        <f t="shared" si="338"/>
        <v>293</v>
      </c>
      <c r="FE504" t="str">
        <f t="shared" si="339"/>
        <v>water</v>
      </c>
      <c r="FF504" t="str">
        <f t="shared" si="340"/>
        <v>measured 0.000005</v>
      </c>
      <c r="FG504" s="408">
        <f t="shared" si="333"/>
        <v>9.6654004975519901E-5</v>
      </c>
      <c r="FH504" s="138">
        <f t="shared" si="341"/>
        <v>6.2</v>
      </c>
      <c r="FI504" s="106">
        <f t="shared" si="327"/>
        <v>6.0349948704670471</v>
      </c>
      <c r="FJ504" s="138" t="str">
        <f t="shared" si="342"/>
        <v/>
      </c>
      <c r="FK504" s="138" t="str">
        <f t="shared" si="343"/>
        <v>**</v>
      </c>
    </row>
    <row r="505" spans="1:167" ht="12.75" hidden="1" customHeight="1" x14ac:dyDescent="0.2">
      <c r="A505">
        <v>470</v>
      </c>
      <c r="B505" s="4" t="s">
        <v>1937</v>
      </c>
      <c r="C505" s="4"/>
      <c r="D505" t="s">
        <v>1117</v>
      </c>
      <c r="E505">
        <v>-1610</v>
      </c>
      <c r="F505" t="str">
        <f>VLOOKUP(E505,CompDbase!B:L,4,FALSE)</f>
        <v>PCB #87</v>
      </c>
      <c r="G505" s="95" t="str">
        <f>VLOOKUP(E505,CompDbase!B:M,12,FALSE)</f>
        <v>PCB</v>
      </c>
      <c r="H505" s="95">
        <f>VLOOKUP(E505,CompDbase!B:L,8,FALSE)</f>
        <v>326.39999999999998</v>
      </c>
      <c r="I505" s="95">
        <f>VLOOKUP(E505,CompDbase!B:L,11,FALSE)</f>
        <v>211.7</v>
      </c>
      <c r="J505" s="95">
        <f>VLOOKUP(E505,CompDbase!B:L,9,FALSE)</f>
        <v>5.1730913801930692E-2</v>
      </c>
      <c r="K505" s="95">
        <f>VLOOKUP(E505,CompDbase!B:L,10,FALSE)</f>
        <v>6.3299999999999992</v>
      </c>
      <c r="L505" s="4" t="s">
        <v>769</v>
      </c>
      <c r="O505" s="4" t="s">
        <v>1985</v>
      </c>
      <c r="P505">
        <v>293</v>
      </c>
      <c r="Q505" s="4" t="s">
        <v>1049</v>
      </c>
      <c r="R505" s="289" t="s">
        <v>1982</v>
      </c>
      <c r="S505">
        <f t="shared" si="330"/>
        <v>5.0000000000000004E-6</v>
      </c>
      <c r="T505" s="95">
        <f t="shared" si="331"/>
        <v>9.6654004975519901E-5</v>
      </c>
      <c r="W505">
        <v>1202264.4346174158</v>
      </c>
      <c r="X505" s="95">
        <f t="shared" si="332"/>
        <v>6.080000000000001</v>
      </c>
      <c r="Z505" s="190"/>
      <c r="AC505" t="s">
        <v>68</v>
      </c>
      <c r="AG505" s="138">
        <f t="shared" si="325"/>
        <v>6.080000000000001</v>
      </c>
      <c r="AH505">
        <f t="shared" si="326"/>
        <v>6.3299999999999992</v>
      </c>
      <c r="AI505">
        <f t="shared" si="326"/>
        <v>6.3299999999999992</v>
      </c>
      <c r="AM505">
        <f t="shared" si="328"/>
        <v>6.3299999999999992</v>
      </c>
      <c r="AP505">
        <f t="shared" si="329"/>
        <v>6.3299999999999992</v>
      </c>
      <c r="BW505" s="138"/>
      <c r="BX505">
        <f>LOG(1*$J505)</f>
        <v>-1.2862498499181769</v>
      </c>
      <c r="BY505">
        <f>LOG(1*$J505)</f>
        <v>-1.2862498499181769</v>
      </c>
      <c r="CC505">
        <f>LOG(1*$J505)</f>
        <v>-1.2862498499181769</v>
      </c>
      <c r="DG505" s="138"/>
      <c r="EY505" s="479">
        <f>VLOOKUP(B505,Literatuur!$A:$B,2,FALSE)</f>
        <v>8</v>
      </c>
      <c r="EZ505" t="str">
        <f t="shared" si="334"/>
        <v>PCB #87</v>
      </c>
      <c r="FA505" t="str">
        <f t="shared" si="335"/>
        <v>PCB</v>
      </c>
      <c r="FB505" t="str">
        <f t="shared" si="336"/>
        <v>LDPE</v>
      </c>
      <c r="FC505" t="str">
        <f t="shared" si="337"/>
        <v>Immersion (shaking)</v>
      </c>
      <c r="FD505">
        <f t="shared" si="338"/>
        <v>293</v>
      </c>
      <c r="FE505" t="str">
        <f t="shared" si="339"/>
        <v>water</v>
      </c>
      <c r="FF505" t="str">
        <f t="shared" si="340"/>
        <v>measured 0.000005</v>
      </c>
      <c r="FG505" s="408">
        <f t="shared" si="333"/>
        <v>9.6654004975519901E-5</v>
      </c>
      <c r="FH505" s="138">
        <f t="shared" si="341"/>
        <v>6.080000000000001</v>
      </c>
      <c r="FI505" s="106">
        <f t="shared" si="327"/>
        <v>6.031466047793943</v>
      </c>
      <c r="FJ505" s="138" t="str">
        <f t="shared" si="342"/>
        <v/>
      </c>
      <c r="FK505" s="138" t="str">
        <f t="shared" si="343"/>
        <v>**</v>
      </c>
    </row>
    <row r="506" spans="1:167" ht="12.75" hidden="1" customHeight="1" x14ac:dyDescent="0.2">
      <c r="A506">
        <v>471</v>
      </c>
      <c r="B506" s="4" t="s">
        <v>1937</v>
      </c>
      <c r="C506" s="4"/>
      <c r="D506" t="s">
        <v>1118</v>
      </c>
      <c r="E506">
        <v>-1611</v>
      </c>
      <c r="F506" t="str">
        <f>VLOOKUP(E506,CompDbase!B:L,4,FALSE)</f>
        <v>PCB #89</v>
      </c>
      <c r="G506" s="95" t="str">
        <f>VLOOKUP(E506,CompDbase!B:M,12,FALSE)</f>
        <v>PCB</v>
      </c>
      <c r="H506" s="95" t="e">
        <f>VLOOKUP(E506,CompDbase!B:L,8,FALSE)</f>
        <v>#DIV/0!</v>
      </c>
      <c r="I506" s="95">
        <f>VLOOKUP(E506,CompDbase!B:L,11,FALSE)</f>
        <v>210.5</v>
      </c>
      <c r="J506" s="95" t="e">
        <f>VLOOKUP(E506,CompDbase!B:L,9,FALSE)</f>
        <v>#DIV/0!</v>
      </c>
      <c r="K506" s="95">
        <f>VLOOKUP(E506,CompDbase!B:L,10,FALSE)</f>
        <v>6.07</v>
      </c>
      <c r="L506" s="4" t="s">
        <v>769</v>
      </c>
      <c r="O506" s="4" t="s">
        <v>1985</v>
      </c>
      <c r="P506">
        <v>293</v>
      </c>
      <c r="Q506" s="4" t="s">
        <v>1049</v>
      </c>
      <c r="R506" s="289" t="s">
        <v>1982</v>
      </c>
      <c r="S506">
        <f t="shared" si="330"/>
        <v>5.0000000000000004E-6</v>
      </c>
      <c r="T506" s="95" t="e">
        <f t="shared" si="331"/>
        <v>#DIV/0!</v>
      </c>
      <c r="W506">
        <v>1202264.4346174158</v>
      </c>
      <c r="X506" s="95">
        <f t="shared" si="332"/>
        <v>6.080000000000001</v>
      </c>
      <c r="Z506" s="190"/>
      <c r="AC506" t="s">
        <v>68</v>
      </c>
      <c r="AG506" s="138">
        <f t="shared" si="325"/>
        <v>6.080000000000001</v>
      </c>
      <c r="AH506">
        <f t="shared" si="326"/>
        <v>6.07</v>
      </c>
      <c r="AI506">
        <f t="shared" si="326"/>
        <v>6.07</v>
      </c>
      <c r="AM506">
        <f t="shared" si="328"/>
        <v>6.07</v>
      </c>
      <c r="BW506" s="138"/>
      <c r="DG506" s="138"/>
      <c r="EY506" s="479">
        <f>VLOOKUP(B506,Literatuur!$A:$B,2,FALSE)</f>
        <v>8</v>
      </c>
      <c r="EZ506" t="str">
        <f t="shared" si="334"/>
        <v>PCB #89</v>
      </c>
      <c r="FA506" t="str">
        <f t="shared" si="335"/>
        <v>PCB</v>
      </c>
      <c r="FB506" t="str">
        <f t="shared" si="336"/>
        <v>LDPE</v>
      </c>
      <c r="FC506" t="str">
        <f t="shared" si="337"/>
        <v>Immersion (shaking)</v>
      </c>
      <c r="FD506">
        <f t="shared" si="338"/>
        <v>293</v>
      </c>
      <c r="FE506" t="str">
        <f t="shared" si="339"/>
        <v>water</v>
      </c>
      <c r="FF506" t="str">
        <f t="shared" si="340"/>
        <v>measured 0.000005</v>
      </c>
      <c r="FG506" s="408" t="str">
        <f t="shared" si="333"/>
        <v/>
      </c>
      <c r="FH506" s="138">
        <f t="shared" si="341"/>
        <v>6.080000000000001</v>
      </c>
      <c r="FI506" s="106">
        <f t="shared" si="327"/>
        <v>5.7562178792918823</v>
      </c>
      <c r="FJ506" s="138" t="str">
        <f t="shared" si="342"/>
        <v/>
      </c>
      <c r="FK506" s="138" t="str">
        <f t="shared" si="343"/>
        <v>**</v>
      </c>
    </row>
    <row r="507" spans="1:167" ht="12.75" hidden="1" customHeight="1" x14ac:dyDescent="0.2">
      <c r="A507">
        <v>472</v>
      </c>
      <c r="B507" s="4" t="s">
        <v>1937</v>
      </c>
      <c r="C507" s="4"/>
      <c r="D507" t="s">
        <v>1119</v>
      </c>
      <c r="E507">
        <v>-1612</v>
      </c>
      <c r="F507" t="str">
        <f>VLOOKUP(E507,CompDbase!B:L,4,FALSE)</f>
        <v>PCB #91</v>
      </c>
      <c r="G507" s="95" t="str">
        <f>VLOOKUP(E507,CompDbase!B:M,12,FALSE)</f>
        <v>PCB</v>
      </c>
      <c r="H507" s="95" t="e">
        <f>VLOOKUP(E507,CompDbase!B:L,8,FALSE)</f>
        <v>#DIV/0!</v>
      </c>
      <c r="I507" s="95">
        <f>VLOOKUP(E507,CompDbase!B:L,11,FALSE)</f>
        <v>211.2</v>
      </c>
      <c r="J507" s="95" t="e">
        <f>VLOOKUP(E507,CompDbase!B:L,9,FALSE)</f>
        <v>#DIV/0!</v>
      </c>
      <c r="K507" s="95">
        <f>VLOOKUP(E507,CompDbase!B:L,10,FALSE)</f>
        <v>6.13</v>
      </c>
      <c r="L507" s="4" t="s">
        <v>769</v>
      </c>
      <c r="O507" s="4" t="s">
        <v>1985</v>
      </c>
      <c r="P507">
        <v>293</v>
      </c>
      <c r="Q507" s="4" t="s">
        <v>1049</v>
      </c>
      <c r="R507" s="289" t="s">
        <v>1982</v>
      </c>
      <c r="S507">
        <f t="shared" si="330"/>
        <v>5.0000000000000004E-6</v>
      </c>
      <c r="T507" s="95" t="e">
        <f t="shared" si="331"/>
        <v>#DIV/0!</v>
      </c>
      <c r="W507">
        <v>891250.93813374708</v>
      </c>
      <c r="X507" s="95">
        <f t="shared" si="332"/>
        <v>5.9500000000000011</v>
      </c>
      <c r="Z507" s="190"/>
      <c r="AC507" t="s">
        <v>68</v>
      </c>
      <c r="AG507" s="138">
        <f t="shared" si="325"/>
        <v>5.9500000000000011</v>
      </c>
      <c r="AH507">
        <f t="shared" si="326"/>
        <v>6.13</v>
      </c>
      <c r="AI507">
        <f t="shared" si="326"/>
        <v>6.13</v>
      </c>
      <c r="AM507">
        <f t="shared" si="328"/>
        <v>6.13</v>
      </c>
      <c r="BW507" s="138"/>
      <c r="DG507" s="138"/>
      <c r="EY507" s="479">
        <f>VLOOKUP(B507,Literatuur!$A:$B,2,FALSE)</f>
        <v>8</v>
      </c>
      <c r="EZ507" t="str">
        <f t="shared" si="334"/>
        <v>PCB #91</v>
      </c>
      <c r="FA507" t="str">
        <f t="shared" si="335"/>
        <v>PCB</v>
      </c>
      <c r="FB507" t="str">
        <f t="shared" si="336"/>
        <v>LDPE</v>
      </c>
      <c r="FC507" t="str">
        <f t="shared" si="337"/>
        <v>Immersion (shaking)</v>
      </c>
      <c r="FD507">
        <f t="shared" si="338"/>
        <v>293</v>
      </c>
      <c r="FE507" t="str">
        <f t="shared" si="339"/>
        <v>water</v>
      </c>
      <c r="FF507" t="str">
        <f t="shared" si="340"/>
        <v>measured 0.000005</v>
      </c>
      <c r="FG507" s="408" t="str">
        <f t="shared" si="333"/>
        <v/>
      </c>
      <c r="FH507" s="138">
        <f t="shared" si="341"/>
        <v>5.9500000000000011</v>
      </c>
      <c r="FI507" s="106">
        <f t="shared" si="327"/>
        <v>5.8197366874077421</v>
      </c>
      <c r="FJ507" s="138" t="str">
        <f t="shared" si="342"/>
        <v/>
      </c>
      <c r="FK507" s="138" t="str">
        <f t="shared" si="343"/>
        <v>**</v>
      </c>
    </row>
    <row r="508" spans="1:167" ht="12.75" hidden="1" customHeight="1" x14ac:dyDescent="0.2">
      <c r="A508">
        <v>473</v>
      </c>
      <c r="B508" s="4" t="s">
        <v>1937</v>
      </c>
      <c r="C508" s="4"/>
      <c r="D508" t="s">
        <v>1120</v>
      </c>
      <c r="E508">
        <v>-1613</v>
      </c>
      <c r="F508" t="str">
        <f>VLOOKUP(E508,CompDbase!B:L,4,FALSE)</f>
        <v>PCB #97</v>
      </c>
      <c r="G508" s="95" t="str">
        <f>VLOOKUP(E508,CompDbase!B:M,12,FALSE)</f>
        <v>PCB</v>
      </c>
      <c r="H508" s="95">
        <f>VLOOKUP(E508,CompDbase!B:L,8,FALSE)</f>
        <v>326.39999999999998</v>
      </c>
      <c r="I508" s="95">
        <f>VLOOKUP(E508,CompDbase!B:L,11,FALSE)</f>
        <v>211.45</v>
      </c>
      <c r="J508" s="95">
        <f>VLOOKUP(E508,CompDbase!B:L,9,FALSE)</f>
        <v>5.1730913801930692E-2</v>
      </c>
      <c r="K508" s="95">
        <f>VLOOKUP(E508,CompDbase!B:L,10,FALSE)</f>
        <v>6.3299999999999992</v>
      </c>
      <c r="L508" s="4" t="s">
        <v>769</v>
      </c>
      <c r="O508" s="4" t="s">
        <v>1985</v>
      </c>
      <c r="P508">
        <v>293</v>
      </c>
      <c r="Q508" s="4" t="s">
        <v>1049</v>
      </c>
      <c r="R508" s="289" t="s">
        <v>1982</v>
      </c>
      <c r="S508">
        <f t="shared" si="330"/>
        <v>5.0000000000000004E-6</v>
      </c>
      <c r="T508" s="95">
        <f t="shared" si="331"/>
        <v>9.6654004975519901E-5</v>
      </c>
      <c r="W508">
        <v>1230268.770812382</v>
      </c>
      <c r="X508" s="95">
        <f t="shared" si="332"/>
        <v>6.09</v>
      </c>
      <c r="Z508" s="190"/>
      <c r="AC508" t="s">
        <v>68</v>
      </c>
      <c r="AG508" s="138">
        <f t="shared" si="325"/>
        <v>6.09</v>
      </c>
      <c r="AH508">
        <f t="shared" si="326"/>
        <v>6.3299999999999992</v>
      </c>
      <c r="AI508">
        <f t="shared" si="326"/>
        <v>6.3299999999999992</v>
      </c>
      <c r="AM508">
        <f t="shared" si="328"/>
        <v>6.3299999999999992</v>
      </c>
      <c r="AP508">
        <f t="shared" si="329"/>
        <v>6.3299999999999992</v>
      </c>
      <c r="BW508" s="138"/>
      <c r="BX508">
        <f>LOG(1*$J508)</f>
        <v>-1.2862498499181769</v>
      </c>
      <c r="BY508">
        <f>LOG(1*$J508)</f>
        <v>-1.2862498499181769</v>
      </c>
      <c r="CC508">
        <f>LOG(1*$J508)</f>
        <v>-1.2862498499181769</v>
      </c>
      <c r="DG508" s="138"/>
      <c r="EY508" s="479">
        <f>VLOOKUP(B508,Literatuur!$A:$B,2,FALSE)</f>
        <v>8</v>
      </c>
      <c r="EZ508" t="str">
        <f t="shared" si="334"/>
        <v>PCB #97</v>
      </c>
      <c r="FA508" t="str">
        <f t="shared" si="335"/>
        <v>PCB</v>
      </c>
      <c r="FB508" t="str">
        <f t="shared" si="336"/>
        <v>LDPE</v>
      </c>
      <c r="FC508" t="str">
        <f t="shared" si="337"/>
        <v>Immersion (shaking)</v>
      </c>
      <c r="FD508">
        <f t="shared" si="338"/>
        <v>293</v>
      </c>
      <c r="FE508" t="str">
        <f t="shared" si="339"/>
        <v>water</v>
      </c>
      <c r="FF508" t="str">
        <f t="shared" si="340"/>
        <v>measured 0.000005</v>
      </c>
      <c r="FG508" s="408">
        <f t="shared" si="333"/>
        <v>9.6654004975519901E-5</v>
      </c>
      <c r="FH508" s="138">
        <f t="shared" si="341"/>
        <v>6.09</v>
      </c>
      <c r="FI508" s="106">
        <f t="shared" si="327"/>
        <v>6.031466047793943</v>
      </c>
      <c r="FJ508" s="138" t="str">
        <f t="shared" si="342"/>
        <v/>
      </c>
      <c r="FK508" s="138" t="str">
        <f t="shared" si="343"/>
        <v>**</v>
      </c>
    </row>
    <row r="509" spans="1:167" ht="12.75" hidden="1" customHeight="1" x14ac:dyDescent="0.2">
      <c r="A509">
        <v>474</v>
      </c>
      <c r="B509" s="4" t="s">
        <v>1937</v>
      </c>
      <c r="C509" s="4"/>
      <c r="D509" t="s">
        <v>1121</v>
      </c>
      <c r="E509">
        <v>-1614</v>
      </c>
      <c r="F509" t="str">
        <f>VLOOKUP(E509,CompDbase!B:L,4,FALSE)</f>
        <v>PCB #99</v>
      </c>
      <c r="G509" s="95" t="str">
        <f>VLOOKUP(E509,CompDbase!B:M,12,FALSE)</f>
        <v>PCB</v>
      </c>
      <c r="H509" s="95" t="e">
        <f>VLOOKUP(E509,CompDbase!B:L,8,FALSE)</f>
        <v>#DIV/0!</v>
      </c>
      <c r="I509" s="95">
        <f>VLOOKUP(E509,CompDbase!B:L,11,FALSE)</f>
        <v>212</v>
      </c>
      <c r="J509" s="95" t="e">
        <f>VLOOKUP(E509,CompDbase!B:L,9,FALSE)</f>
        <v>#DIV/0!</v>
      </c>
      <c r="K509" s="95">
        <f>VLOOKUP(E509,CompDbase!B:L,10,FALSE)</f>
        <v>6.39</v>
      </c>
      <c r="L509" s="4" t="s">
        <v>769</v>
      </c>
      <c r="M509" s="423"/>
      <c r="N509" s="423"/>
      <c r="O509" s="4" t="s">
        <v>1985</v>
      </c>
      <c r="P509">
        <v>293</v>
      </c>
      <c r="Q509" s="4" t="s">
        <v>1049</v>
      </c>
      <c r="R509" s="289" t="s">
        <v>1982</v>
      </c>
      <c r="S509">
        <f t="shared" si="330"/>
        <v>5.0000000000000004E-6</v>
      </c>
      <c r="T509" s="95" t="e">
        <f t="shared" si="331"/>
        <v>#DIV/0!</v>
      </c>
      <c r="W509">
        <v>1513561.2484362102</v>
      </c>
      <c r="X509" s="95">
        <f t="shared" si="332"/>
        <v>6.1800000000000006</v>
      </c>
      <c r="Z509" s="190"/>
      <c r="AC509" t="s">
        <v>68</v>
      </c>
      <c r="AG509" s="138">
        <f t="shared" si="325"/>
        <v>6.1800000000000006</v>
      </c>
      <c r="AH509">
        <f t="shared" si="326"/>
        <v>6.39</v>
      </c>
      <c r="AI509">
        <f t="shared" si="326"/>
        <v>6.39</v>
      </c>
      <c r="AM509">
        <f t="shared" si="328"/>
        <v>6.39</v>
      </c>
      <c r="BW509" s="138"/>
      <c r="DG509" s="138"/>
      <c r="EY509" s="479">
        <f>VLOOKUP(B509,Literatuur!$A:$B,2,FALSE)</f>
        <v>8</v>
      </c>
      <c r="EZ509" t="str">
        <f t="shared" si="334"/>
        <v>PCB #99</v>
      </c>
      <c r="FA509" t="str">
        <f t="shared" si="335"/>
        <v>PCB</v>
      </c>
      <c r="FB509" t="str">
        <f t="shared" si="336"/>
        <v>LDPE</v>
      </c>
      <c r="FC509" t="str">
        <f t="shared" si="337"/>
        <v>Immersion (shaking)</v>
      </c>
      <c r="FD509">
        <f t="shared" si="338"/>
        <v>293</v>
      </c>
      <c r="FE509" t="str">
        <f t="shared" si="339"/>
        <v>water</v>
      </c>
      <c r="FF509" t="str">
        <f t="shared" si="340"/>
        <v>measured 0.000005</v>
      </c>
      <c r="FG509" s="408" t="str">
        <f t="shared" si="333"/>
        <v/>
      </c>
      <c r="FH509" s="138">
        <f t="shared" si="341"/>
        <v>6.1800000000000006</v>
      </c>
      <c r="FI509" s="106">
        <f t="shared" si="327"/>
        <v>6.0949848559098037</v>
      </c>
      <c r="FJ509" s="138" t="str">
        <f t="shared" si="342"/>
        <v/>
      </c>
      <c r="FK509" s="138" t="str">
        <f t="shared" si="343"/>
        <v>**</v>
      </c>
    </row>
    <row r="510" spans="1:167" ht="12.75" hidden="1" customHeight="1" x14ac:dyDescent="0.2">
      <c r="A510">
        <v>475</v>
      </c>
      <c r="B510" t="s">
        <v>1594</v>
      </c>
      <c r="C510" s="4"/>
      <c r="D510" s="4" t="s">
        <v>999</v>
      </c>
      <c r="E510" s="4">
        <v>-1616</v>
      </c>
      <c r="F510" t="str">
        <f>VLOOKUP(E510,CompDbase!B:L,4,FALSE)</f>
        <v>PCB #101</v>
      </c>
      <c r="G510" s="95" t="str">
        <f>VLOOKUP(E510,CompDbase!B:M,12,FALSE)</f>
        <v>PCB</v>
      </c>
      <c r="H510" s="95">
        <f>VLOOKUP(E510,CompDbase!B:L,8,FALSE)</f>
        <v>326.39999999999998</v>
      </c>
      <c r="I510" s="95">
        <f>VLOOKUP(E510,CompDbase!B:L,11,FALSE)</f>
        <v>212.15</v>
      </c>
      <c r="J510" s="95">
        <f>VLOOKUP(E510,CompDbase!B:L,9,FALSE)</f>
        <v>3.2640000000000002E-2</v>
      </c>
      <c r="K510" s="95">
        <f>VLOOKUP(E510,CompDbase!B:L,10,FALSE)</f>
        <v>6.3933333333333335</v>
      </c>
      <c r="L510" s="4" t="s">
        <v>769</v>
      </c>
      <c r="M510" s="420"/>
      <c r="N510" s="420"/>
      <c r="O510" s="4" t="s">
        <v>1044</v>
      </c>
      <c r="P510" s="4" t="s">
        <v>1987</v>
      </c>
      <c r="Q510" s="4" t="s">
        <v>1049</v>
      </c>
      <c r="S510" s="4"/>
      <c r="T510" s="95"/>
      <c r="W510" s="199">
        <f t="shared" ref="W510:W540" si="344">10^X510</f>
        <v>1584893.1924611153</v>
      </c>
      <c r="X510">
        <v>6.2</v>
      </c>
      <c r="AC510" t="s">
        <v>68</v>
      </c>
      <c r="AG510" s="138">
        <f t="shared" si="325"/>
        <v>6.2</v>
      </c>
      <c r="AH510">
        <f t="shared" si="326"/>
        <v>6.3933333333333335</v>
      </c>
      <c r="AI510">
        <f t="shared" si="326"/>
        <v>6.3933333333333335</v>
      </c>
      <c r="AM510">
        <f t="shared" si="328"/>
        <v>6.3933333333333335</v>
      </c>
      <c r="BW510" s="138"/>
      <c r="BX510">
        <f>LOG(1*$J510)</f>
        <v>-1.4862498499181764</v>
      </c>
      <c r="BY510">
        <f>LOG(1*$J510)</f>
        <v>-1.4862498499181764</v>
      </c>
      <c r="CC510">
        <f>LOG(1*$J510)</f>
        <v>-1.4862498499181764</v>
      </c>
      <c r="DG510" s="138"/>
      <c r="EY510" s="479">
        <f>VLOOKUP(B510,Literatuur!$A:$B,2,FALSE)</f>
        <v>10</v>
      </c>
      <c r="EZ510" t="str">
        <f t="shared" si="334"/>
        <v>PCB 101</v>
      </c>
      <c r="FA510" t="str">
        <f t="shared" si="335"/>
        <v>PCB</v>
      </c>
      <c r="FB510" t="str">
        <f t="shared" si="336"/>
        <v>LDPE</v>
      </c>
      <c r="FC510" t="str">
        <f t="shared" si="337"/>
        <v>Immersion</v>
      </c>
      <c r="FD510" t="str">
        <f t="shared" si="338"/>
        <v>room ??</v>
      </c>
      <c r="FE510" t="str">
        <f t="shared" si="339"/>
        <v>water</v>
      </c>
      <c r="FF510" t="str">
        <f t="shared" si="340"/>
        <v xml:space="preserve"> </v>
      </c>
      <c r="FG510" s="408" t="str">
        <f t="shared" si="333"/>
        <v/>
      </c>
      <c r="FH510" s="138">
        <f t="shared" si="341"/>
        <v>6.2</v>
      </c>
      <c r="FI510" s="106">
        <f t="shared" si="327"/>
        <v>6.0985136785829077</v>
      </c>
      <c r="FJ510" s="138" t="str">
        <f t="shared" si="342"/>
        <v/>
      </c>
      <c r="FK510" s="138" t="str">
        <f t="shared" si="343"/>
        <v>**</v>
      </c>
    </row>
    <row r="511" spans="1:167" ht="12.75" hidden="1" customHeight="1" x14ac:dyDescent="0.2">
      <c r="A511">
        <v>476</v>
      </c>
      <c r="B511" t="s">
        <v>1594</v>
      </c>
      <c r="C511" s="4"/>
      <c r="D511" s="4" t="s">
        <v>1001</v>
      </c>
      <c r="E511" s="4">
        <v>-1618</v>
      </c>
      <c r="F511" t="str">
        <f>VLOOKUP(E511,CompDbase!B:L,4,FALSE)</f>
        <v>PCB #105</v>
      </c>
      <c r="G511" s="95" t="str">
        <f>VLOOKUP(E511,CompDbase!B:M,12,FALSE)</f>
        <v>PCB</v>
      </c>
      <c r="H511" s="95">
        <f>VLOOKUP(E511,CompDbase!B:L,8,FALSE)</f>
        <v>326.39999999999998</v>
      </c>
      <c r="I511" s="95">
        <f>VLOOKUP(E511,CompDbase!B:L,11,FALSE)</f>
        <v>209.9</v>
      </c>
      <c r="J511" s="95">
        <f>VLOOKUP(E511,CompDbase!B:L,9,FALSE)</f>
        <v>2.5926873581400549E-2</v>
      </c>
      <c r="K511" s="95">
        <f>VLOOKUP(E511,CompDbase!B:L,10,FALSE)</f>
        <v>6.7166666666666659</v>
      </c>
      <c r="L511" s="4" t="s">
        <v>769</v>
      </c>
      <c r="M511" s="420"/>
      <c r="N511" s="420"/>
      <c r="O511" s="4" t="s">
        <v>1044</v>
      </c>
      <c r="P511" s="4" t="s">
        <v>1987</v>
      </c>
      <c r="Q511" s="4" t="s">
        <v>1049</v>
      </c>
      <c r="S511" s="4"/>
      <c r="T511" s="95"/>
      <c r="W511" s="199">
        <f t="shared" si="344"/>
        <v>1995262.31496888</v>
      </c>
      <c r="X511">
        <v>6.3</v>
      </c>
      <c r="AC511" t="s">
        <v>68</v>
      </c>
      <c r="AG511" s="138">
        <f t="shared" si="325"/>
        <v>6.3</v>
      </c>
      <c r="AH511">
        <f t="shared" si="326"/>
        <v>6.7166666666666659</v>
      </c>
      <c r="AI511">
        <f t="shared" si="326"/>
        <v>6.7166666666666659</v>
      </c>
      <c r="AM511">
        <f t="shared" si="328"/>
        <v>6.7166666666666659</v>
      </c>
      <c r="BW511" s="138"/>
      <c r="BX511">
        <f>LOG(1*$J511)</f>
        <v>-1.5862498499181765</v>
      </c>
      <c r="BY511">
        <f>LOG(1*$J511)</f>
        <v>-1.5862498499181765</v>
      </c>
      <c r="CC511">
        <f>LOG(1*$J511)</f>
        <v>-1.5862498499181765</v>
      </c>
      <c r="DG511" s="138"/>
      <c r="EY511" s="479">
        <f>VLOOKUP(B511,Literatuur!$A:$B,2,FALSE)</f>
        <v>10</v>
      </c>
      <c r="EZ511" t="str">
        <f t="shared" si="334"/>
        <v>PCB 105</v>
      </c>
      <c r="FA511" t="str">
        <f t="shared" si="335"/>
        <v>PCB</v>
      </c>
      <c r="FB511" t="str">
        <f t="shared" si="336"/>
        <v>LDPE</v>
      </c>
      <c r="FC511" t="str">
        <f t="shared" si="337"/>
        <v>Immersion</v>
      </c>
      <c r="FD511" t="str">
        <f t="shared" si="338"/>
        <v>room ??</v>
      </c>
      <c r="FE511" t="str">
        <f t="shared" si="339"/>
        <v>water</v>
      </c>
      <c r="FF511" t="str">
        <f t="shared" si="340"/>
        <v xml:space="preserve"> </v>
      </c>
      <c r="FG511" s="408" t="str">
        <f t="shared" si="333"/>
        <v/>
      </c>
      <c r="FH511" s="138">
        <f t="shared" si="341"/>
        <v>6.3</v>
      </c>
      <c r="FI511" s="106">
        <f t="shared" si="327"/>
        <v>6.4408094778739322</v>
      </c>
      <c r="FJ511" s="138" t="str">
        <f t="shared" si="342"/>
        <v/>
      </c>
      <c r="FK511" s="138" t="str">
        <f t="shared" si="343"/>
        <v>**</v>
      </c>
    </row>
    <row r="512" spans="1:167" ht="12.75" hidden="1" customHeight="1" x14ac:dyDescent="0.2">
      <c r="A512">
        <v>477</v>
      </c>
      <c r="B512" t="s">
        <v>1594</v>
      </c>
      <c r="C512" s="4"/>
      <c r="D512" s="4" t="s">
        <v>1002</v>
      </c>
      <c r="E512" s="4">
        <v>-1620</v>
      </c>
      <c r="F512" t="str">
        <f>VLOOKUP(E512,CompDbase!B:L,4,FALSE)</f>
        <v>PCB #110</v>
      </c>
      <c r="G512" s="95" t="str">
        <f>VLOOKUP(E512,CompDbase!B:M,12,FALSE)</f>
        <v>PCB</v>
      </c>
      <c r="H512" s="95">
        <f>VLOOKUP(E512,CompDbase!B:L,8,FALSE)</f>
        <v>326.39999999999998</v>
      </c>
      <c r="I512" s="95">
        <f>VLOOKUP(E512,CompDbase!B:L,11,FALSE)</f>
        <v>209.7</v>
      </c>
      <c r="J512" s="95">
        <f>VLOOKUP(E512,CompDbase!B:L,9,FALSE)</f>
        <v>3.2640000000000002E-2</v>
      </c>
      <c r="K512" s="95">
        <f>VLOOKUP(E512,CompDbase!B:L,10,FALSE)</f>
        <v>6.5266666666666664</v>
      </c>
      <c r="L512" s="4" t="s">
        <v>769</v>
      </c>
      <c r="M512" s="420"/>
      <c r="N512" s="420"/>
      <c r="P512" s="4" t="s">
        <v>1987</v>
      </c>
      <c r="Q512" s="4" t="s">
        <v>1049</v>
      </c>
      <c r="S512" s="4"/>
      <c r="T512" s="95"/>
      <c r="W512" s="199">
        <f t="shared" si="344"/>
        <v>1258925.4117941677</v>
      </c>
      <c r="X512">
        <v>6.1</v>
      </c>
      <c r="AC512" t="s">
        <v>68</v>
      </c>
      <c r="AG512" s="138">
        <f t="shared" si="325"/>
        <v>6.1</v>
      </c>
      <c r="AH512">
        <f t="shared" si="326"/>
        <v>6.5266666666666664</v>
      </c>
      <c r="BW512" s="138"/>
      <c r="BX512">
        <f t="shared" ref="BX512:BX540" si="345">LOG(1*$J512)</f>
        <v>-1.4862498499181764</v>
      </c>
      <c r="DG512" s="138"/>
      <c r="EY512" s="479">
        <f>VLOOKUP(B512,Literatuur!$A:$B,2,FALSE)</f>
        <v>10</v>
      </c>
      <c r="EZ512" t="str">
        <f t="shared" si="334"/>
        <v>PCB 110</v>
      </c>
      <c r="FA512" t="str">
        <f t="shared" si="335"/>
        <v>PCB</v>
      </c>
      <c r="FB512" t="str">
        <f t="shared" si="336"/>
        <v>LDPE</v>
      </c>
      <c r="FC512" t="str">
        <f t="shared" si="337"/>
        <v/>
      </c>
      <c r="FD512" t="str">
        <f t="shared" si="338"/>
        <v>room ??</v>
      </c>
      <c r="FE512" t="str">
        <f t="shared" si="339"/>
        <v>water</v>
      </c>
      <c r="FF512" t="str">
        <f t="shared" si="340"/>
        <v xml:space="preserve"> </v>
      </c>
      <c r="FG512" s="408" t="str">
        <f t="shared" si="333"/>
        <v/>
      </c>
      <c r="FH512" s="138">
        <f t="shared" si="341"/>
        <v>6.1</v>
      </c>
      <c r="FI512" s="106" t="str">
        <f t="shared" si="327"/>
        <v>**</v>
      </c>
      <c r="FJ512" s="138" t="str">
        <f t="shared" si="342"/>
        <v/>
      </c>
      <c r="FK512" s="138" t="str">
        <f t="shared" si="343"/>
        <v>**</v>
      </c>
    </row>
    <row r="513" spans="1:167" ht="12.75" hidden="1" customHeight="1" x14ac:dyDescent="0.2">
      <c r="A513">
        <v>478</v>
      </c>
      <c r="B513" t="s">
        <v>1594</v>
      </c>
      <c r="C513" s="4"/>
      <c r="D513" s="4" t="s">
        <v>1003</v>
      </c>
      <c r="E513" s="4">
        <v>-1621</v>
      </c>
      <c r="F513" t="str">
        <f>VLOOKUP(E513,CompDbase!B:L,4,FALSE)</f>
        <v>PCB #118</v>
      </c>
      <c r="G513" s="95" t="str">
        <f>VLOOKUP(E513,CompDbase!B:M,12,FALSE)</f>
        <v>PCB</v>
      </c>
      <c r="H513" s="95">
        <f>VLOOKUP(E513,CompDbase!B:L,8,FALSE)</f>
        <v>326.39999999999998</v>
      </c>
      <c r="I513" s="95">
        <f>VLOOKUP(E513,CompDbase!B:L,11,FALSE)</f>
        <v>210.25</v>
      </c>
      <c r="J513" s="95">
        <f>VLOOKUP(E513,CompDbase!B:L,9,FALSE)</f>
        <v>2.5926873581400549E-2</v>
      </c>
      <c r="K513" s="95">
        <f>VLOOKUP(E513,CompDbase!B:L,10,FALSE)</f>
        <v>6.7133333333333338</v>
      </c>
      <c r="L513" s="4" t="s">
        <v>769</v>
      </c>
      <c r="M513" s="420"/>
      <c r="N513" s="420"/>
      <c r="O513" s="4" t="s">
        <v>1044</v>
      </c>
      <c r="P513" s="4" t="s">
        <v>1987</v>
      </c>
      <c r="Q513" s="4" t="s">
        <v>1049</v>
      </c>
      <c r="S513" s="4"/>
      <c r="T513" s="95"/>
      <c r="W513" s="199">
        <f t="shared" si="344"/>
        <v>2511886.431509587</v>
      </c>
      <c r="X513">
        <v>6.4</v>
      </c>
      <c r="AC513" t="s">
        <v>68</v>
      </c>
      <c r="AG513" s="138">
        <f t="shared" si="325"/>
        <v>6.4</v>
      </c>
      <c r="AH513">
        <f t="shared" si="326"/>
        <v>6.7133333333333338</v>
      </c>
      <c r="AI513">
        <f t="shared" si="326"/>
        <v>6.7133333333333338</v>
      </c>
      <c r="AM513">
        <f t="shared" ref="AM513:AM515" si="346">$K513</f>
        <v>6.7133333333333338</v>
      </c>
      <c r="BW513" s="138"/>
      <c r="BX513">
        <f t="shared" si="345"/>
        <v>-1.5862498499181765</v>
      </c>
      <c r="BY513">
        <f>LOG(1*$J513)</f>
        <v>-1.5862498499181765</v>
      </c>
      <c r="CC513">
        <f>LOG(1*$J513)</f>
        <v>-1.5862498499181765</v>
      </c>
      <c r="DG513" s="138"/>
      <c r="EY513" s="479">
        <f>VLOOKUP(B513,Literatuur!$A:$B,2,FALSE)</f>
        <v>10</v>
      </c>
      <c r="EZ513" t="str">
        <f t="shared" si="334"/>
        <v>PCB 118</v>
      </c>
      <c r="FA513" t="str">
        <f t="shared" si="335"/>
        <v>PCB</v>
      </c>
      <c r="FB513" t="str">
        <f t="shared" si="336"/>
        <v>LDPE</v>
      </c>
      <c r="FC513" t="str">
        <f t="shared" si="337"/>
        <v>Immersion</v>
      </c>
      <c r="FD513" t="str">
        <f t="shared" si="338"/>
        <v>room ??</v>
      </c>
      <c r="FE513" t="str">
        <f t="shared" si="339"/>
        <v>water</v>
      </c>
      <c r="FF513" t="str">
        <f t="shared" si="340"/>
        <v xml:space="preserve"> </v>
      </c>
      <c r="FG513" s="408" t="str">
        <f t="shared" si="333"/>
        <v/>
      </c>
      <c r="FH513" s="138">
        <f t="shared" si="341"/>
        <v>6.4</v>
      </c>
      <c r="FI513" s="106">
        <f t="shared" si="327"/>
        <v>6.4372806552008299</v>
      </c>
      <c r="FJ513" s="138" t="str">
        <f t="shared" si="342"/>
        <v/>
      </c>
      <c r="FK513" s="138" t="str">
        <f t="shared" si="343"/>
        <v>**</v>
      </c>
    </row>
    <row r="514" spans="1:167" ht="12.75" hidden="1" customHeight="1" x14ac:dyDescent="0.2">
      <c r="A514">
        <v>479</v>
      </c>
      <c r="B514" t="s">
        <v>1594</v>
      </c>
      <c r="C514" s="4"/>
      <c r="D514" s="4" t="s">
        <v>1004</v>
      </c>
      <c r="E514" s="4">
        <v>-1623</v>
      </c>
      <c r="F514" t="str">
        <f>VLOOKUP(E514,CompDbase!B:L,4,FALSE)</f>
        <v>PCB #128</v>
      </c>
      <c r="G514" s="95" t="str">
        <f>VLOOKUP(E514,CompDbase!B:M,12,FALSE)</f>
        <v>PCB</v>
      </c>
      <c r="H514" s="95">
        <f>VLOOKUP(E514,CompDbase!B:L,8,FALSE)</f>
        <v>360.9</v>
      </c>
      <c r="I514" s="95">
        <f>VLOOKUP(E514,CompDbase!B:L,11,FALSE)</f>
        <v>222.6</v>
      </c>
      <c r="J514" s="95">
        <f>VLOOKUP(E514,CompDbase!B:L,9,FALSE)</f>
        <v>1.808784726160826E-2</v>
      </c>
      <c r="K514" s="95">
        <f>VLOOKUP(E514,CompDbase!B:L,10,FALSE)</f>
        <v>6.746666666666667</v>
      </c>
      <c r="L514" s="4" t="s">
        <v>769</v>
      </c>
      <c r="M514" s="420"/>
      <c r="N514" s="420"/>
      <c r="O514" s="4" t="s">
        <v>1044</v>
      </c>
      <c r="P514" s="4" t="s">
        <v>1987</v>
      </c>
      <c r="Q514" s="4" t="s">
        <v>1049</v>
      </c>
      <c r="S514" s="4"/>
      <c r="T514" s="95"/>
      <c r="W514" s="199">
        <f t="shared" si="344"/>
        <v>3162277.6601683851</v>
      </c>
      <c r="X514">
        <v>6.5</v>
      </c>
      <c r="Z514" s="190"/>
      <c r="AC514" t="s">
        <v>68</v>
      </c>
      <c r="AG514" s="138">
        <f t="shared" si="325"/>
        <v>6.5</v>
      </c>
      <c r="AH514">
        <f t="shared" si="326"/>
        <v>6.746666666666667</v>
      </c>
      <c r="AI514">
        <f t="shared" si="326"/>
        <v>6.746666666666667</v>
      </c>
      <c r="AM514">
        <f t="shared" si="346"/>
        <v>6.746666666666667</v>
      </c>
      <c r="BW514" s="138"/>
      <c r="BX514">
        <f t="shared" si="345"/>
        <v>-1.7426131179404927</v>
      </c>
      <c r="BY514">
        <f>LOG(1*$J514)</f>
        <v>-1.7426131179404927</v>
      </c>
      <c r="CC514">
        <f>LOG(1*$J514)</f>
        <v>-1.7426131179404927</v>
      </c>
      <c r="DG514" s="138"/>
      <c r="EY514" s="479">
        <f>VLOOKUP(B514,Literatuur!$A:$B,2,FALSE)</f>
        <v>10</v>
      </c>
      <c r="EZ514" t="str">
        <f t="shared" si="334"/>
        <v>PCB 128</v>
      </c>
      <c r="FA514" t="str">
        <f t="shared" si="335"/>
        <v>PCB</v>
      </c>
      <c r="FB514" t="str">
        <f t="shared" si="336"/>
        <v>LDPE</v>
      </c>
      <c r="FC514" t="str">
        <f t="shared" si="337"/>
        <v>Immersion</v>
      </c>
      <c r="FD514" t="str">
        <f t="shared" si="338"/>
        <v>room ??</v>
      </c>
      <c r="FE514" t="str">
        <f t="shared" si="339"/>
        <v>water</v>
      </c>
      <c r="FF514" t="str">
        <f t="shared" si="340"/>
        <v xml:space="preserve"> </v>
      </c>
      <c r="FG514" s="408" t="str">
        <f t="shared" si="333"/>
        <v/>
      </c>
      <c r="FH514" s="138">
        <f t="shared" si="341"/>
        <v>6.5</v>
      </c>
      <c r="FI514" s="106">
        <f t="shared" si="327"/>
        <v>6.4725688819318634</v>
      </c>
      <c r="FJ514" s="138" t="str">
        <f t="shared" si="342"/>
        <v/>
      </c>
      <c r="FK514" s="138" t="str">
        <f t="shared" si="343"/>
        <v>**</v>
      </c>
    </row>
    <row r="515" spans="1:167" ht="12.75" hidden="1" customHeight="1" x14ac:dyDescent="0.2">
      <c r="A515">
        <v>480</v>
      </c>
      <c r="B515" t="s">
        <v>1594</v>
      </c>
      <c r="C515" s="4"/>
      <c r="D515" s="4" t="s">
        <v>1005</v>
      </c>
      <c r="E515" s="4">
        <v>-1730</v>
      </c>
      <c r="F515" t="str">
        <f>VLOOKUP(E515,CompDbase!B:L,4,FALSE)</f>
        <v>PCB 129</v>
      </c>
      <c r="G515" s="95" t="str">
        <f>VLOOKUP(E515,CompDbase!B:M,12,FALSE)</f>
        <v>PCB</v>
      </c>
      <c r="H515" s="95">
        <f>VLOOKUP(E515,CompDbase!B:L,8,FALSE)</f>
        <v>360.9</v>
      </c>
      <c r="I515" s="95">
        <f>VLOOKUP(E515,CompDbase!B:L,11,FALSE)</f>
        <v>360.9</v>
      </c>
      <c r="J515" s="95">
        <f>VLOOKUP(E515,CompDbase!B:L,9,FALSE)</f>
        <v>1.808784726160826E-2</v>
      </c>
      <c r="K515" s="95">
        <f>VLOOKUP(E515,CompDbase!B:L,10,FALSE)</f>
        <v>6.75</v>
      </c>
      <c r="L515" s="4" t="s">
        <v>769</v>
      </c>
      <c r="M515" s="420"/>
      <c r="N515" s="420"/>
      <c r="O515" s="4" t="s">
        <v>1044</v>
      </c>
      <c r="P515" s="4" t="s">
        <v>1987</v>
      </c>
      <c r="Q515" s="4" t="s">
        <v>1049</v>
      </c>
      <c r="S515" s="4"/>
      <c r="T515" s="95"/>
      <c r="W515" s="199">
        <f t="shared" si="344"/>
        <v>3981071.705534976</v>
      </c>
      <c r="X515">
        <v>6.6</v>
      </c>
      <c r="Z515" s="190"/>
      <c r="AC515" t="s">
        <v>68</v>
      </c>
      <c r="AG515" s="138">
        <f t="shared" si="325"/>
        <v>6.6</v>
      </c>
      <c r="AH515">
        <f t="shared" si="326"/>
        <v>6.75</v>
      </c>
      <c r="AI515">
        <f t="shared" si="326"/>
        <v>6.75</v>
      </c>
      <c r="AM515">
        <f t="shared" si="346"/>
        <v>6.75</v>
      </c>
      <c r="BW515" s="138"/>
      <c r="BX515">
        <f t="shared" si="345"/>
        <v>-1.7426131179404927</v>
      </c>
      <c r="BY515">
        <f>LOG(1*$J515)</f>
        <v>-1.7426131179404927</v>
      </c>
      <c r="CC515">
        <f>LOG(1*$J515)</f>
        <v>-1.7426131179404927</v>
      </c>
      <c r="DG515" s="138"/>
      <c r="EY515" s="479">
        <f>VLOOKUP(B515,Literatuur!$A:$B,2,FALSE)</f>
        <v>10</v>
      </c>
      <c r="EZ515" t="str">
        <f t="shared" si="334"/>
        <v>PCB 129</v>
      </c>
      <c r="FA515" t="str">
        <f t="shared" si="335"/>
        <v>PCB</v>
      </c>
      <c r="FB515" t="str">
        <f t="shared" si="336"/>
        <v>LDPE</v>
      </c>
      <c r="FC515" t="str">
        <f t="shared" si="337"/>
        <v>Immersion</v>
      </c>
      <c r="FD515" t="str">
        <f t="shared" si="338"/>
        <v>room ??</v>
      </c>
      <c r="FE515" t="str">
        <f t="shared" si="339"/>
        <v>water</v>
      </c>
      <c r="FF515" t="str">
        <f t="shared" si="340"/>
        <v xml:space="preserve"> </v>
      </c>
      <c r="FG515" s="408" t="str">
        <f t="shared" si="333"/>
        <v/>
      </c>
      <c r="FH515" s="138">
        <f t="shared" si="341"/>
        <v>6.6</v>
      </c>
      <c r="FI515" s="106">
        <f t="shared" si="327"/>
        <v>6.4760977046049666</v>
      </c>
      <c r="FJ515" s="138" t="str">
        <f t="shared" si="342"/>
        <v/>
      </c>
      <c r="FK515" s="138" t="str">
        <f t="shared" si="343"/>
        <v>**</v>
      </c>
    </row>
    <row r="516" spans="1:167" ht="12.75" hidden="1" customHeight="1" x14ac:dyDescent="0.2">
      <c r="A516">
        <v>481</v>
      </c>
      <c r="B516" t="s">
        <v>1594</v>
      </c>
      <c r="C516" s="4"/>
      <c r="D516" s="4" t="s">
        <v>1007</v>
      </c>
      <c r="E516" s="4">
        <v>-1628</v>
      </c>
      <c r="F516" t="str">
        <f>VLOOKUP(E516,CompDbase!B:L,4,FALSE)</f>
        <v>PCB #138</v>
      </c>
      <c r="G516" s="95" t="str">
        <f>VLOOKUP(E516,CompDbase!B:M,12,FALSE)</f>
        <v>PCB</v>
      </c>
      <c r="H516" s="95">
        <f>VLOOKUP(E516,CompDbase!B:L,8,FALSE)</f>
        <v>360.9</v>
      </c>
      <c r="I516" s="95">
        <f>VLOOKUP(E516,CompDbase!B:L,11,FALSE)</f>
        <v>223.25</v>
      </c>
      <c r="J516" s="95">
        <f>VLOOKUP(E516,CompDbase!B:L,9,FALSE)</f>
        <v>7.2009016947226761E-3</v>
      </c>
      <c r="K516" s="95">
        <f>VLOOKUP(E516,CompDbase!B:L,10,FALSE)</f>
        <v>6.9433333333333325</v>
      </c>
      <c r="L516" s="4" t="s">
        <v>769</v>
      </c>
      <c r="M516" s="420"/>
      <c r="N516" s="420"/>
      <c r="P516" s="4" t="s">
        <v>1987</v>
      </c>
      <c r="Q516" s="4" t="s">
        <v>1049</v>
      </c>
      <c r="S516" s="4"/>
      <c r="T516" s="95"/>
      <c r="W516" s="199">
        <f t="shared" si="344"/>
        <v>3981071.705534976</v>
      </c>
      <c r="X516">
        <v>6.6</v>
      </c>
      <c r="Z516" s="190"/>
      <c r="AC516" t="s">
        <v>68</v>
      </c>
      <c r="AG516" s="138">
        <f t="shared" si="325"/>
        <v>6.6</v>
      </c>
      <c r="AH516">
        <f t="shared" si="326"/>
        <v>6.9433333333333325</v>
      </c>
      <c r="BW516" s="138"/>
      <c r="BX516">
        <f t="shared" si="345"/>
        <v>-2.1426131179404933</v>
      </c>
      <c r="DG516" s="138"/>
      <c r="EY516" s="479">
        <f>VLOOKUP(B516,Literatuur!$A:$B,2,FALSE)</f>
        <v>10</v>
      </c>
      <c r="EZ516" t="str">
        <f t="shared" si="334"/>
        <v>PCB 138</v>
      </c>
      <c r="FA516" t="str">
        <f t="shared" si="335"/>
        <v>PCB</v>
      </c>
      <c r="FB516" t="str">
        <f t="shared" si="336"/>
        <v>LDPE</v>
      </c>
      <c r="FC516" t="str">
        <f t="shared" si="337"/>
        <v/>
      </c>
      <c r="FD516" t="str">
        <f t="shared" si="338"/>
        <v>room ??</v>
      </c>
      <c r="FE516" t="str">
        <f t="shared" si="339"/>
        <v>water</v>
      </c>
      <c r="FF516" t="str">
        <f t="shared" si="340"/>
        <v xml:space="preserve"> </v>
      </c>
      <c r="FG516" s="408" t="str">
        <f t="shared" si="333"/>
        <v/>
      </c>
      <c r="FH516" s="138">
        <f t="shared" si="341"/>
        <v>6.6</v>
      </c>
      <c r="FI516" s="106" t="str">
        <f t="shared" si="327"/>
        <v>**</v>
      </c>
      <c r="FJ516" s="138" t="str">
        <f t="shared" si="342"/>
        <v/>
      </c>
      <c r="FK516" s="138" t="str">
        <f t="shared" si="343"/>
        <v>**</v>
      </c>
    </row>
    <row r="517" spans="1:167" ht="12.75" hidden="1" customHeight="1" x14ac:dyDescent="0.2">
      <c r="A517">
        <v>482</v>
      </c>
      <c r="B517" t="s">
        <v>1594</v>
      </c>
      <c r="C517" s="4"/>
      <c r="D517" s="4" t="s">
        <v>1013</v>
      </c>
      <c r="E517" s="4">
        <v>-1632</v>
      </c>
      <c r="F517" t="str">
        <f>VLOOKUP(E517,CompDbase!B:L,4,FALSE)</f>
        <v>PCB #153</v>
      </c>
      <c r="G517" s="95" t="str">
        <f>VLOOKUP(E517,CompDbase!B:M,12,FALSE)</f>
        <v>PCB</v>
      </c>
      <c r="H517" s="95">
        <f>VLOOKUP(E517,CompDbase!B:L,8,FALSE)</f>
        <v>360.9</v>
      </c>
      <c r="I517" s="95">
        <f>VLOOKUP(E517,CompDbase!B:L,11,FALSE)</f>
        <v>223.75</v>
      </c>
      <c r="J517" s="95">
        <f>VLOOKUP(E517,CompDbase!B:L,9,FALSE)</f>
        <v>1.1412660075547663E-2</v>
      </c>
      <c r="K517" s="95">
        <f>VLOOKUP(E517,CompDbase!B:L,10,FALSE)</f>
        <v>6.9066666666666663</v>
      </c>
      <c r="L517" s="4" t="s">
        <v>769</v>
      </c>
      <c r="M517" s="420"/>
      <c r="N517" s="420"/>
      <c r="O517" s="4" t="s">
        <v>1044</v>
      </c>
      <c r="P517" s="4" t="s">
        <v>1987</v>
      </c>
      <c r="Q517" s="4" t="s">
        <v>1049</v>
      </c>
      <c r="S517" s="4"/>
      <c r="T517" s="95"/>
      <c r="W517" s="199">
        <f t="shared" si="344"/>
        <v>2511886.431509587</v>
      </c>
      <c r="X517">
        <v>6.4</v>
      </c>
      <c r="AC517" t="s">
        <v>68</v>
      </c>
      <c r="AG517" s="138">
        <f t="shared" si="325"/>
        <v>6.4</v>
      </c>
      <c r="AH517">
        <f t="shared" si="326"/>
        <v>6.9066666666666663</v>
      </c>
      <c r="AI517">
        <f t="shared" si="326"/>
        <v>6.9066666666666663</v>
      </c>
      <c r="AM517">
        <f t="shared" ref="AM517:AM525" si="347">$K517</f>
        <v>6.9066666666666663</v>
      </c>
      <c r="BW517" s="138"/>
      <c r="BX517">
        <f t="shared" si="345"/>
        <v>-1.9426131179404935</v>
      </c>
      <c r="BY517">
        <f t="shared" ref="BY517:BY525" si="348">LOG(1*$J517)</f>
        <v>-1.9426131179404935</v>
      </c>
      <c r="CC517">
        <f t="shared" ref="CC517:CC525" si="349">LOG(1*$J517)</f>
        <v>-1.9426131179404935</v>
      </c>
      <c r="DG517" s="138"/>
      <c r="EY517" s="479">
        <f>VLOOKUP(B517,Literatuur!$A:$B,2,FALSE)</f>
        <v>10</v>
      </c>
      <c r="EZ517" t="str">
        <f t="shared" si="334"/>
        <v>PCB 153</v>
      </c>
      <c r="FA517" t="str">
        <f t="shared" si="335"/>
        <v>PCB</v>
      </c>
      <c r="FB517" t="str">
        <f t="shared" si="336"/>
        <v>LDPE</v>
      </c>
      <c r="FC517" t="str">
        <f t="shared" si="337"/>
        <v>Immersion</v>
      </c>
      <c r="FD517" t="str">
        <f t="shared" si="338"/>
        <v>room ??</v>
      </c>
      <c r="FE517" t="str">
        <f t="shared" si="339"/>
        <v>water</v>
      </c>
      <c r="FF517" t="str">
        <f t="shared" si="340"/>
        <v xml:space="preserve"> </v>
      </c>
      <c r="FG517" s="408" t="str">
        <f t="shared" si="333"/>
        <v/>
      </c>
      <c r="FH517" s="138">
        <f t="shared" si="341"/>
        <v>6.4</v>
      </c>
      <c r="FI517" s="106">
        <f t="shared" si="327"/>
        <v>6.6419523702408236</v>
      </c>
      <c r="FJ517" s="138" t="str">
        <f t="shared" si="342"/>
        <v/>
      </c>
      <c r="FK517" s="138" t="str">
        <f t="shared" si="343"/>
        <v>**</v>
      </c>
    </row>
    <row r="518" spans="1:167" ht="12.75" hidden="1" customHeight="1" x14ac:dyDescent="0.2">
      <c r="A518">
        <v>483</v>
      </c>
      <c r="B518" t="s">
        <v>1594</v>
      </c>
      <c r="C518" s="4"/>
      <c r="D518" s="4" t="s">
        <v>1016</v>
      </c>
      <c r="E518" s="4">
        <v>-1741</v>
      </c>
      <c r="F518" t="str">
        <f>VLOOKUP(E518,CompDbase!B:L,4,FALSE)</f>
        <v>PCB 170</v>
      </c>
      <c r="G518" s="95" t="str">
        <f>VLOOKUP(E518,CompDbase!B:M,12,FALSE)</f>
        <v>PCB</v>
      </c>
      <c r="H518" s="95">
        <f>VLOOKUP(E518,CompDbase!B:L,8,FALSE)</f>
        <v>395.3</v>
      </c>
      <c r="I518" s="95">
        <f>VLOOKUP(E518,CompDbase!B:L,11,FALSE)</f>
        <v>360.9</v>
      </c>
      <c r="J518" s="95">
        <f>VLOOKUP(E518,CompDbase!B:L,9,FALSE)</f>
        <v>4.9765321528223378E-3</v>
      </c>
      <c r="K518" s="95">
        <f>VLOOKUP(E518,CompDbase!B:L,10,FALSE)</f>
        <v>7.35</v>
      </c>
      <c r="L518" s="4" t="s">
        <v>769</v>
      </c>
      <c r="M518" s="420"/>
      <c r="N518" s="420"/>
      <c r="O518" s="4" t="s">
        <v>1044</v>
      </c>
      <c r="P518" s="4" t="s">
        <v>1987</v>
      </c>
      <c r="Q518" s="4" t="s">
        <v>1049</v>
      </c>
      <c r="S518" s="4"/>
      <c r="T518" s="95"/>
      <c r="W518" s="199">
        <f t="shared" si="344"/>
        <v>7943282.3472428275</v>
      </c>
      <c r="X518">
        <v>6.9</v>
      </c>
      <c r="Z518" s="190"/>
      <c r="AC518" t="s">
        <v>68</v>
      </c>
      <c r="AG518" s="138">
        <f t="shared" si="325"/>
        <v>6.9</v>
      </c>
      <c r="AH518">
        <f t="shared" si="326"/>
        <v>7.35</v>
      </c>
      <c r="AI518">
        <f t="shared" si="326"/>
        <v>7.35</v>
      </c>
      <c r="AM518">
        <f t="shared" si="347"/>
        <v>7.35</v>
      </c>
      <c r="BW518" s="138"/>
      <c r="BX518">
        <f t="shared" si="345"/>
        <v>-2.3030731856570297</v>
      </c>
      <c r="BY518">
        <f t="shared" si="348"/>
        <v>-2.3030731856570297</v>
      </c>
      <c r="CC518">
        <f t="shared" si="349"/>
        <v>-2.3030731856570297</v>
      </c>
      <c r="DG518" s="138"/>
      <c r="EY518" s="479">
        <f>VLOOKUP(B518,Literatuur!$A:$B,2,FALSE)</f>
        <v>10</v>
      </c>
      <c r="EZ518" t="str">
        <f t="shared" si="334"/>
        <v>PCB 170</v>
      </c>
      <c r="FA518" t="str">
        <f t="shared" si="335"/>
        <v>PCB</v>
      </c>
      <c r="FB518" t="str">
        <f t="shared" si="336"/>
        <v>LDPE</v>
      </c>
      <c r="FC518" t="str">
        <f t="shared" si="337"/>
        <v>Immersion</v>
      </c>
      <c r="FD518" t="str">
        <f t="shared" si="338"/>
        <v>room ??</v>
      </c>
      <c r="FE518" t="str">
        <f t="shared" si="339"/>
        <v>water</v>
      </c>
      <c r="FF518" t="str">
        <f t="shared" si="340"/>
        <v xml:space="preserve"> </v>
      </c>
      <c r="FG518" s="408" t="str">
        <f t="shared" si="333"/>
        <v/>
      </c>
      <c r="FH518" s="138">
        <f t="shared" si="341"/>
        <v>6.9</v>
      </c>
      <c r="FI518" s="106">
        <f t="shared" si="327"/>
        <v>7.1112857857635694</v>
      </c>
      <c r="FJ518" s="138" t="str">
        <f t="shared" si="342"/>
        <v/>
      </c>
      <c r="FK518" s="138" t="str">
        <f t="shared" si="343"/>
        <v>**</v>
      </c>
    </row>
    <row r="519" spans="1:167" ht="12.75" hidden="1" customHeight="1" x14ac:dyDescent="0.2">
      <c r="A519">
        <v>484</v>
      </c>
      <c r="B519" t="s">
        <v>1594</v>
      </c>
      <c r="C519" s="4"/>
      <c r="D519" s="4" t="s">
        <v>979</v>
      </c>
      <c r="E519" s="4">
        <v>-1581</v>
      </c>
      <c r="F519" t="str">
        <f>VLOOKUP(E519,CompDbase!B:L,4,FALSE)</f>
        <v>PCB #18</v>
      </c>
      <c r="G519" s="95" t="str">
        <f>VLOOKUP(E519,CompDbase!B:M,12,FALSE)</f>
        <v>PCB</v>
      </c>
      <c r="H519" s="95">
        <f>VLOOKUP(E519,CompDbase!B:L,8,FALSE)</f>
        <v>257.5</v>
      </c>
      <c r="I519" s="95">
        <f>VLOOKUP(E519,CompDbase!B:L,11,FALSE)</f>
        <v>188.35</v>
      </c>
      <c r="J519" s="95">
        <f>VLOOKUP(E519,CompDbase!B:L,9,FALSE)</f>
        <v>0.81428649749335691</v>
      </c>
      <c r="K519" s="95">
        <f>VLOOKUP(E519,CompDbase!B:L,10,FALSE)</f>
        <v>5.246666666666667</v>
      </c>
      <c r="L519" s="4" t="s">
        <v>769</v>
      </c>
      <c r="M519" s="420"/>
      <c r="N519" s="420"/>
      <c r="O519" s="4" t="s">
        <v>1044</v>
      </c>
      <c r="P519" s="4" t="s">
        <v>1987</v>
      </c>
      <c r="Q519" s="4" t="s">
        <v>1049</v>
      </c>
      <c r="S519" s="4"/>
      <c r="T519" s="95"/>
      <c r="W519" s="199">
        <f t="shared" si="344"/>
        <v>79432.823472428237</v>
      </c>
      <c r="X519">
        <v>4.9000000000000004</v>
      </c>
      <c r="AC519" t="s">
        <v>68</v>
      </c>
      <c r="AG519" s="138">
        <f t="shared" si="325"/>
        <v>4.9000000000000004</v>
      </c>
      <c r="AH519">
        <f t="shared" si="326"/>
        <v>5.246666666666667</v>
      </c>
      <c r="AI519">
        <f t="shared" si="326"/>
        <v>5.246666666666667</v>
      </c>
      <c r="AM519">
        <f t="shared" si="347"/>
        <v>5.246666666666667</v>
      </c>
      <c r="BW519" s="138"/>
      <c r="BX519">
        <f t="shared" si="345"/>
        <v>-8.9222766622790592E-2</v>
      </c>
      <c r="BY519">
        <f t="shared" si="348"/>
        <v>-8.9222766622790592E-2</v>
      </c>
      <c r="CC519">
        <f t="shared" si="349"/>
        <v>-8.9222766622790592E-2</v>
      </c>
      <c r="DG519" s="138"/>
      <c r="EY519" s="479">
        <f>VLOOKUP(B519,Literatuur!$A:$B,2,FALSE)</f>
        <v>10</v>
      </c>
      <c r="EZ519" t="str">
        <f t="shared" si="334"/>
        <v>PCB 18</v>
      </c>
      <c r="FA519" t="str">
        <f t="shared" si="335"/>
        <v>PCB</v>
      </c>
      <c r="FB519" t="str">
        <f t="shared" si="336"/>
        <v>LDPE</v>
      </c>
      <c r="FC519" t="str">
        <f t="shared" si="337"/>
        <v>Immersion</v>
      </c>
      <c r="FD519" t="str">
        <f t="shared" si="338"/>
        <v>room ??</v>
      </c>
      <c r="FE519" t="str">
        <f t="shared" si="339"/>
        <v>water</v>
      </c>
      <c r="FF519" t="str">
        <f t="shared" si="340"/>
        <v xml:space="preserve"> </v>
      </c>
      <c r="FG519" s="408" t="str">
        <f t="shared" si="333"/>
        <v/>
      </c>
      <c r="FH519" s="138">
        <f t="shared" si="341"/>
        <v>4.9000000000000004</v>
      </c>
      <c r="FI519" s="106">
        <f t="shared" si="327"/>
        <v>4.8845986790353537</v>
      </c>
      <c r="FJ519" s="138" t="str">
        <f t="shared" si="342"/>
        <v/>
      </c>
      <c r="FK519" s="138" t="str">
        <f t="shared" si="343"/>
        <v>**</v>
      </c>
    </row>
    <row r="520" spans="1:167" ht="12.75" hidden="1" customHeight="1" x14ac:dyDescent="0.2">
      <c r="A520">
        <v>485</v>
      </c>
      <c r="B520" t="s">
        <v>1594</v>
      </c>
      <c r="C520" s="4"/>
      <c r="D520" s="4" t="s">
        <v>1017</v>
      </c>
      <c r="E520" s="4">
        <v>-1742</v>
      </c>
      <c r="F520" t="str">
        <f>VLOOKUP(E520,CompDbase!B:L,4,FALSE)</f>
        <v>PCB 180</v>
      </c>
      <c r="G520" s="95" t="str">
        <f>VLOOKUP(E520,CompDbase!B:M,12,FALSE)</f>
        <v>PCB</v>
      </c>
      <c r="H520" s="95">
        <f>VLOOKUP(E520,CompDbase!B:L,8,FALSE)</f>
        <v>395.3</v>
      </c>
      <c r="I520" s="95">
        <f>VLOOKUP(E520,CompDbase!B:L,11,FALSE)</f>
        <v>360.9</v>
      </c>
      <c r="J520" s="95">
        <f>VLOOKUP(E520,CompDbase!B:L,9,FALSE)</f>
        <v>6.2650827897987801E-3</v>
      </c>
      <c r="K520" s="95">
        <f>VLOOKUP(E520,CompDbase!B:L,10,FALSE)</f>
        <v>7.3000000000000007</v>
      </c>
      <c r="L520" s="4" t="s">
        <v>769</v>
      </c>
      <c r="M520" s="420"/>
      <c r="N520" s="420"/>
      <c r="O520" s="4" t="s">
        <v>1044</v>
      </c>
      <c r="P520" s="4" t="s">
        <v>1987</v>
      </c>
      <c r="Q520" s="4" t="s">
        <v>1049</v>
      </c>
      <c r="S520" s="4"/>
      <c r="T520" s="95"/>
      <c r="W520" s="199">
        <f t="shared" si="344"/>
        <v>10000000</v>
      </c>
      <c r="X520">
        <v>7</v>
      </c>
      <c r="Z520" s="190"/>
      <c r="AC520" t="s">
        <v>68</v>
      </c>
      <c r="AG520" s="138">
        <f t="shared" si="325"/>
        <v>7</v>
      </c>
      <c r="AH520">
        <f t="shared" si="326"/>
        <v>7.3000000000000007</v>
      </c>
      <c r="AI520">
        <f t="shared" si="326"/>
        <v>7.3000000000000007</v>
      </c>
      <c r="AM520">
        <f t="shared" si="347"/>
        <v>7.3000000000000007</v>
      </c>
      <c r="BW520" s="138"/>
      <c r="BX520">
        <f t="shared" si="345"/>
        <v>-2.2030731856570296</v>
      </c>
      <c r="BY520">
        <f t="shared" si="348"/>
        <v>-2.2030731856570296</v>
      </c>
      <c r="CC520">
        <f t="shared" si="349"/>
        <v>-2.2030731856570296</v>
      </c>
      <c r="DG520" s="138"/>
      <c r="EY520" s="479">
        <f>VLOOKUP(B520,Literatuur!$A:$B,2,FALSE)</f>
        <v>10</v>
      </c>
      <c r="EZ520" t="str">
        <f t="shared" si="334"/>
        <v>PCB 180</v>
      </c>
      <c r="FA520" t="str">
        <f t="shared" si="335"/>
        <v>PCB</v>
      </c>
      <c r="FB520" t="str">
        <f t="shared" si="336"/>
        <v>LDPE</v>
      </c>
      <c r="FC520" t="str">
        <f t="shared" si="337"/>
        <v>Immersion</v>
      </c>
      <c r="FD520" t="str">
        <f t="shared" si="338"/>
        <v>room ??</v>
      </c>
      <c r="FE520" t="str">
        <f t="shared" si="339"/>
        <v>water</v>
      </c>
      <c r="FF520" t="str">
        <f t="shared" si="340"/>
        <v xml:space="preserve"> </v>
      </c>
      <c r="FG520" s="408" t="str">
        <f t="shared" si="333"/>
        <v/>
      </c>
      <c r="FH520" s="138">
        <f t="shared" si="341"/>
        <v>7</v>
      </c>
      <c r="FI520" s="106">
        <f t="shared" si="327"/>
        <v>7.0583534456670209</v>
      </c>
      <c r="FJ520" s="138" t="str">
        <f t="shared" si="342"/>
        <v/>
      </c>
      <c r="FK520" s="138" t="str">
        <f t="shared" si="343"/>
        <v>**</v>
      </c>
    </row>
    <row r="521" spans="1:167" ht="12.75" hidden="1" customHeight="1" x14ac:dyDescent="0.2">
      <c r="A521">
        <v>486</v>
      </c>
      <c r="B521" t="s">
        <v>1594</v>
      </c>
      <c r="C521" s="4"/>
      <c r="D521" s="4" t="s">
        <v>1599</v>
      </c>
      <c r="E521" s="4">
        <v>-1743</v>
      </c>
      <c r="F521" t="str">
        <f>VLOOKUP(E521,CompDbase!B:L,4,FALSE)</f>
        <v>PCB 187</v>
      </c>
      <c r="G521" s="95" t="str">
        <f>VLOOKUP(E521,CompDbase!B:M,12,FALSE)</f>
        <v>PCB</v>
      </c>
      <c r="H521" s="95">
        <f>VLOOKUP(E521,CompDbase!B:L,8,FALSE)</f>
        <v>395.3</v>
      </c>
      <c r="I521" s="95">
        <f>VLOOKUP(E521,CompDbase!B:L,11,FALSE)</f>
        <v>235</v>
      </c>
      <c r="J521" s="95">
        <f>VLOOKUP(E521,CompDbase!B:L,9,FALSE)</f>
        <v>6.2650827897987801E-3</v>
      </c>
      <c r="K521" s="95">
        <f>VLOOKUP(E521,CompDbase!B:L,10,FALSE)</f>
        <v>7.25</v>
      </c>
      <c r="L521" s="4" t="s">
        <v>769</v>
      </c>
      <c r="M521" s="420"/>
      <c r="N521" s="420"/>
      <c r="O521" s="4" t="s">
        <v>1044</v>
      </c>
      <c r="P521" s="4" t="s">
        <v>1987</v>
      </c>
      <c r="Q521" s="4" t="s">
        <v>1049</v>
      </c>
      <c r="S521" s="4"/>
      <c r="T521" s="95"/>
      <c r="W521" s="199">
        <f t="shared" si="344"/>
        <v>12589254.117941668</v>
      </c>
      <c r="X521">
        <v>7.1</v>
      </c>
      <c r="Z521" s="190"/>
      <c r="AC521" t="s">
        <v>68</v>
      </c>
      <c r="AG521" s="138">
        <f t="shared" si="325"/>
        <v>7.1</v>
      </c>
      <c r="AH521">
        <f t="shared" si="326"/>
        <v>7.25</v>
      </c>
      <c r="AI521">
        <f t="shared" si="326"/>
        <v>7.25</v>
      </c>
      <c r="AM521">
        <f t="shared" si="347"/>
        <v>7.25</v>
      </c>
      <c r="BW521" s="138"/>
      <c r="BX521">
        <f t="shared" si="345"/>
        <v>-2.2030731856570296</v>
      </c>
      <c r="BY521">
        <f t="shared" si="348"/>
        <v>-2.2030731856570296</v>
      </c>
      <c r="CC521">
        <f t="shared" si="349"/>
        <v>-2.2030731856570296</v>
      </c>
      <c r="DG521" s="138"/>
      <c r="EY521" s="479">
        <f>VLOOKUP(B521,Literatuur!$A:$B,2,FALSE)</f>
        <v>10</v>
      </c>
      <c r="EZ521" t="str">
        <f t="shared" si="334"/>
        <v>PCB 187</v>
      </c>
      <c r="FA521" t="str">
        <f t="shared" si="335"/>
        <v>PCB</v>
      </c>
      <c r="FB521" t="str">
        <f t="shared" si="336"/>
        <v>LDPE</v>
      </c>
      <c r="FC521" t="str">
        <f t="shared" si="337"/>
        <v>Immersion</v>
      </c>
      <c r="FD521" t="str">
        <f t="shared" si="338"/>
        <v>room ??</v>
      </c>
      <c r="FE521" t="str">
        <f t="shared" si="339"/>
        <v>water</v>
      </c>
      <c r="FF521" t="str">
        <f t="shared" si="340"/>
        <v xml:space="preserve"> </v>
      </c>
      <c r="FG521" s="408" t="str">
        <f t="shared" si="333"/>
        <v/>
      </c>
      <c r="FH521" s="138">
        <f t="shared" si="341"/>
        <v>7.1</v>
      </c>
      <c r="FI521" s="106">
        <f t="shared" si="327"/>
        <v>7.0054211055704698</v>
      </c>
      <c r="FJ521" s="138" t="str">
        <f t="shared" si="342"/>
        <v/>
      </c>
      <c r="FK521" s="138" t="str">
        <f t="shared" si="343"/>
        <v>**</v>
      </c>
    </row>
    <row r="522" spans="1:167" ht="12.75" hidden="1" customHeight="1" x14ac:dyDescent="0.2">
      <c r="A522">
        <v>487</v>
      </c>
      <c r="B522" t="s">
        <v>1594</v>
      </c>
      <c r="C522" s="4"/>
      <c r="D522" s="4" t="s">
        <v>981</v>
      </c>
      <c r="E522" s="4">
        <v>-1706</v>
      </c>
      <c r="F522" t="str">
        <f>VLOOKUP(E522,CompDbase!B:L,4,FALSE)</f>
        <v>PCB 28</v>
      </c>
      <c r="G522" s="95" t="str">
        <f>VLOOKUP(E522,CompDbase!B:M,12,FALSE)</f>
        <v>PCB</v>
      </c>
      <c r="H522" s="95">
        <f>VLOOKUP(E522,CompDbase!B:L,8,FALSE)</f>
        <v>257.5</v>
      </c>
      <c r="I522" s="95">
        <f>VLOOKUP(E522,CompDbase!B:L,11,FALSE)</f>
        <v>257.5</v>
      </c>
      <c r="J522" s="95">
        <f>VLOOKUP(E522,CompDbase!B:L,9,FALSE)</f>
        <v>0.20453952044150236</v>
      </c>
      <c r="K522" s="95">
        <f>VLOOKUP(E522,CompDbase!B:L,10,FALSE)</f>
        <v>5.65</v>
      </c>
      <c r="L522" s="4" t="s">
        <v>769</v>
      </c>
      <c r="M522" s="420"/>
      <c r="N522" s="420"/>
      <c r="O522" s="4" t="s">
        <v>1044</v>
      </c>
      <c r="P522" s="4" t="s">
        <v>1987</v>
      </c>
      <c r="Q522" s="4" t="s">
        <v>1049</v>
      </c>
      <c r="S522" s="4"/>
      <c r="T522" s="95"/>
      <c r="W522" s="199">
        <f t="shared" si="344"/>
        <v>251188.64315095844</v>
      </c>
      <c r="X522">
        <v>5.4</v>
      </c>
      <c r="AC522" t="s">
        <v>68</v>
      </c>
      <c r="AG522" s="138">
        <f t="shared" si="325"/>
        <v>5.4</v>
      </c>
      <c r="AH522">
        <f t="shared" si="326"/>
        <v>5.65</v>
      </c>
      <c r="AI522">
        <f t="shared" si="326"/>
        <v>5.65</v>
      </c>
      <c r="AM522">
        <f t="shared" si="347"/>
        <v>5.65</v>
      </c>
      <c r="BW522" s="138"/>
      <c r="BX522">
        <f t="shared" si="345"/>
        <v>-0.68922276662279047</v>
      </c>
      <c r="BY522">
        <f t="shared" si="348"/>
        <v>-0.68922276662279047</v>
      </c>
      <c r="CC522">
        <f t="shared" si="349"/>
        <v>-0.68922276662279047</v>
      </c>
      <c r="DG522" s="138"/>
      <c r="EY522" s="479">
        <f>VLOOKUP(B522,Literatuur!$A:$B,2,FALSE)</f>
        <v>10</v>
      </c>
      <c r="EZ522" t="str">
        <f t="shared" si="334"/>
        <v>PCB 28</v>
      </c>
      <c r="FA522" t="str">
        <f t="shared" si="335"/>
        <v>PCB</v>
      </c>
      <c r="FB522" t="str">
        <f t="shared" si="336"/>
        <v>LDPE</v>
      </c>
      <c r="FC522" t="str">
        <f t="shared" si="337"/>
        <v>Immersion</v>
      </c>
      <c r="FD522" t="str">
        <f t="shared" si="338"/>
        <v>room ??</v>
      </c>
      <c r="FE522" t="str">
        <f t="shared" si="339"/>
        <v>water</v>
      </c>
      <c r="FF522" t="str">
        <f t="shared" si="340"/>
        <v xml:space="preserve"> </v>
      </c>
      <c r="FG522" s="408" t="str">
        <f t="shared" si="333"/>
        <v/>
      </c>
      <c r="FH522" s="138">
        <f t="shared" si="341"/>
        <v>5.4</v>
      </c>
      <c r="FI522" s="106">
        <f t="shared" si="327"/>
        <v>5.3115862224808597</v>
      </c>
      <c r="FJ522" s="138" t="str">
        <f t="shared" si="342"/>
        <v/>
      </c>
      <c r="FK522" s="138" t="str">
        <f t="shared" si="343"/>
        <v>**</v>
      </c>
    </row>
    <row r="523" spans="1:167" ht="12.75" hidden="1" customHeight="1" x14ac:dyDescent="0.2">
      <c r="A523">
        <v>488</v>
      </c>
      <c r="B523" t="s">
        <v>1594</v>
      </c>
      <c r="C523" s="4"/>
      <c r="D523" s="4" t="s">
        <v>985</v>
      </c>
      <c r="E523" s="4">
        <v>-1594</v>
      </c>
      <c r="F523" t="str">
        <f>VLOOKUP(E523,CompDbase!B:L,4,FALSE)</f>
        <v>PCB #44</v>
      </c>
      <c r="G523" s="95" t="str">
        <f>VLOOKUP(E523,CompDbase!B:M,12,FALSE)</f>
        <v>PCB</v>
      </c>
      <c r="H523" s="95">
        <f>VLOOKUP(E523,CompDbase!B:L,8,FALSE)</f>
        <v>292</v>
      </c>
      <c r="I523" s="95">
        <f>VLOOKUP(E523,CompDbase!B:L,11,FALSE)</f>
        <v>199.95</v>
      </c>
      <c r="J523" s="95">
        <f>VLOOKUP(E523,CompDbase!B:L,9,FALSE)</f>
        <v>0.23194384453949005</v>
      </c>
      <c r="K523" s="95">
        <f>VLOOKUP(E523,CompDbase!B:L,10,FALSE)</f>
        <v>5.7833333333333341</v>
      </c>
      <c r="L523" s="4" t="s">
        <v>769</v>
      </c>
      <c r="M523" s="420"/>
      <c r="N523" s="420"/>
      <c r="O523" s="4" t="s">
        <v>1044</v>
      </c>
      <c r="P523" s="4" t="s">
        <v>1987</v>
      </c>
      <c r="Q523" s="4" t="s">
        <v>1049</v>
      </c>
      <c r="S523" s="4"/>
      <c r="T523" s="95"/>
      <c r="W523" s="199">
        <f t="shared" si="344"/>
        <v>316227.7660168382</v>
      </c>
      <c r="X523">
        <v>5.5</v>
      </c>
      <c r="AC523" t="s">
        <v>68</v>
      </c>
      <c r="AG523" s="138">
        <f t="shared" si="325"/>
        <v>5.5</v>
      </c>
      <c r="AH523">
        <f t="shared" si="326"/>
        <v>5.7833333333333341</v>
      </c>
      <c r="AI523">
        <f t="shared" si="326"/>
        <v>5.7833333333333341</v>
      </c>
      <c r="AM523">
        <f t="shared" si="347"/>
        <v>5.7833333333333341</v>
      </c>
      <c r="BW523" s="138"/>
      <c r="BX523">
        <f t="shared" si="345"/>
        <v>-0.63461714855158202</v>
      </c>
      <c r="BY523">
        <f t="shared" si="348"/>
        <v>-0.63461714855158202</v>
      </c>
      <c r="CC523">
        <f t="shared" si="349"/>
        <v>-0.63461714855158202</v>
      </c>
      <c r="DG523" s="138"/>
      <c r="EY523" s="479">
        <f>VLOOKUP(B523,Literatuur!$A:$B,2,FALSE)</f>
        <v>10</v>
      </c>
      <c r="EZ523" t="str">
        <f t="shared" si="334"/>
        <v>PCB 44</v>
      </c>
      <c r="FA523" t="str">
        <f t="shared" si="335"/>
        <v>PCB</v>
      </c>
      <c r="FB523" t="str">
        <f t="shared" si="336"/>
        <v>LDPE</v>
      </c>
      <c r="FC523" t="str">
        <f t="shared" si="337"/>
        <v>Immersion</v>
      </c>
      <c r="FD523" t="str">
        <f t="shared" si="338"/>
        <v>room ??</v>
      </c>
      <c r="FE523" t="str">
        <f t="shared" si="339"/>
        <v>water</v>
      </c>
      <c r="FF523" t="str">
        <f t="shared" si="340"/>
        <v xml:space="preserve"> </v>
      </c>
      <c r="FG523" s="408" t="str">
        <f t="shared" si="333"/>
        <v/>
      </c>
      <c r="FH523" s="138">
        <f t="shared" si="341"/>
        <v>5.5</v>
      </c>
      <c r="FI523" s="106">
        <f t="shared" si="327"/>
        <v>5.4527391294049945</v>
      </c>
      <c r="FJ523" s="138" t="str">
        <f t="shared" si="342"/>
        <v/>
      </c>
      <c r="FK523" s="138" t="str">
        <f t="shared" si="343"/>
        <v>**</v>
      </c>
    </row>
    <row r="524" spans="1:167" ht="12.75" hidden="1" customHeight="1" x14ac:dyDescent="0.2">
      <c r="A524">
        <v>489</v>
      </c>
      <c r="B524" t="s">
        <v>1594</v>
      </c>
      <c r="C524" s="4"/>
      <c r="D524" s="4" t="s">
        <v>989</v>
      </c>
      <c r="E524" s="4">
        <v>-1714</v>
      </c>
      <c r="F524" t="str">
        <f>VLOOKUP(E524,CompDbase!B:L,4,FALSE)</f>
        <v>PCB 52</v>
      </c>
      <c r="G524" s="95" t="str">
        <f>VLOOKUP(E524,CompDbase!B:M,12,FALSE)</f>
        <v>PCB</v>
      </c>
      <c r="H524" s="95">
        <f>VLOOKUP(E524,CompDbase!B:L,8,FALSE)</f>
        <v>292</v>
      </c>
      <c r="I524" s="95" t="e">
        <f>VLOOKUP(E524,CompDbase!B:L,11,FALSE)</f>
        <v>#DIV/0!</v>
      </c>
      <c r="J524" s="95">
        <f>VLOOKUP(E524,CompDbase!B:L,9,FALSE)</f>
        <v>0.11624729380162115</v>
      </c>
      <c r="K524" s="95">
        <f>VLOOKUP(E524,CompDbase!B:L,10,FALSE)</f>
        <v>5.85</v>
      </c>
      <c r="L524" s="4" t="s">
        <v>769</v>
      </c>
      <c r="M524" s="420"/>
      <c r="N524" s="420"/>
      <c r="O524" s="4" t="s">
        <v>1044</v>
      </c>
      <c r="P524" s="4" t="s">
        <v>1987</v>
      </c>
      <c r="Q524" s="4" t="s">
        <v>1049</v>
      </c>
      <c r="S524" s="4"/>
      <c r="T524" s="95"/>
      <c r="W524" s="199">
        <f t="shared" si="344"/>
        <v>316227.7660168382</v>
      </c>
      <c r="X524">
        <v>5.5</v>
      </c>
      <c r="AC524" t="s">
        <v>68</v>
      </c>
      <c r="AG524" s="138">
        <f t="shared" si="325"/>
        <v>5.5</v>
      </c>
      <c r="AH524">
        <f t="shared" si="326"/>
        <v>5.85</v>
      </c>
      <c r="AI524">
        <f t="shared" si="326"/>
        <v>5.85</v>
      </c>
      <c r="AM524">
        <f t="shared" si="347"/>
        <v>5.85</v>
      </c>
      <c r="BW524" s="138"/>
      <c r="BX524">
        <f t="shared" si="345"/>
        <v>-0.93461714855158184</v>
      </c>
      <c r="BY524">
        <f t="shared" si="348"/>
        <v>-0.93461714855158184</v>
      </c>
      <c r="CC524">
        <f t="shared" si="349"/>
        <v>-0.93461714855158184</v>
      </c>
      <c r="DG524" s="138"/>
      <c r="EY524" s="479">
        <f>VLOOKUP(B524,Literatuur!$A:$B,2,FALSE)</f>
        <v>10</v>
      </c>
      <c r="EZ524" t="str">
        <f t="shared" si="334"/>
        <v>PCB 52</v>
      </c>
      <c r="FA524" t="str">
        <f t="shared" si="335"/>
        <v>PCB</v>
      </c>
      <c r="FB524" t="str">
        <f t="shared" si="336"/>
        <v>LDPE</v>
      </c>
      <c r="FC524" t="str">
        <f t="shared" si="337"/>
        <v>Immersion</v>
      </c>
      <c r="FD524" t="str">
        <f t="shared" si="338"/>
        <v>room ??</v>
      </c>
      <c r="FE524" t="str">
        <f t="shared" si="339"/>
        <v>water</v>
      </c>
      <c r="FF524" t="str">
        <f t="shared" si="340"/>
        <v xml:space="preserve"> </v>
      </c>
      <c r="FG524" s="408" t="str">
        <f t="shared" si="333"/>
        <v/>
      </c>
      <c r="FH524" s="138">
        <f t="shared" si="341"/>
        <v>5.5</v>
      </c>
      <c r="FI524" s="106">
        <f t="shared" si="327"/>
        <v>5.5233155828670606</v>
      </c>
      <c r="FJ524" s="138" t="str">
        <f t="shared" si="342"/>
        <v/>
      </c>
      <c r="FK524" s="138" t="str">
        <f t="shared" si="343"/>
        <v>**</v>
      </c>
    </row>
    <row r="525" spans="1:167" ht="12.75" hidden="1" customHeight="1" x14ac:dyDescent="0.2">
      <c r="A525">
        <v>490</v>
      </c>
      <c r="B525" t="s">
        <v>1594</v>
      </c>
      <c r="C525" s="4"/>
      <c r="D525" s="4" t="s">
        <v>992</v>
      </c>
      <c r="E525" s="4">
        <v>-1717</v>
      </c>
      <c r="F525" t="str">
        <f>VLOOKUP(E525,CompDbase!B:L,4,FALSE)</f>
        <v>PCB 66</v>
      </c>
      <c r="G525" s="95" t="str">
        <f>VLOOKUP(E525,CompDbase!B:M,12,FALSE)</f>
        <v>PCB</v>
      </c>
      <c r="H525" s="95">
        <f>VLOOKUP(E525,CompDbase!B:L,8,FALSE)</f>
        <v>292</v>
      </c>
      <c r="I525" s="95" t="e">
        <f>VLOOKUP(E525,CompDbase!B:L,11,FALSE)</f>
        <v>#DIV/0!</v>
      </c>
      <c r="J525" s="95">
        <f>VLOOKUP(E525,CompDbase!B:L,9,FALSE)</f>
        <v>5.8261659597091175E-2</v>
      </c>
      <c r="K525" s="95">
        <f>VLOOKUP(E525,CompDbase!B:L,10,FALSE)</f>
        <v>6.25</v>
      </c>
      <c r="L525" s="4" t="s">
        <v>769</v>
      </c>
      <c r="M525" s="420"/>
      <c r="N525" s="420"/>
      <c r="O525" s="4" t="s">
        <v>1044</v>
      </c>
      <c r="P525" s="4" t="s">
        <v>1987</v>
      </c>
      <c r="Q525" s="4" t="s">
        <v>1049</v>
      </c>
      <c r="S525" s="4"/>
      <c r="T525" s="95"/>
      <c r="W525" s="199">
        <f t="shared" si="344"/>
        <v>794328.23472428333</v>
      </c>
      <c r="X525">
        <v>5.9</v>
      </c>
      <c r="AC525" t="s">
        <v>68</v>
      </c>
      <c r="AG525" s="138">
        <f t="shared" si="325"/>
        <v>5.9</v>
      </c>
      <c r="AH525">
        <f t="shared" si="326"/>
        <v>6.25</v>
      </c>
      <c r="AI525">
        <f t="shared" si="326"/>
        <v>6.25</v>
      </c>
      <c r="AM525">
        <f t="shared" si="347"/>
        <v>6.25</v>
      </c>
      <c r="BW525" s="138"/>
      <c r="BX525">
        <f t="shared" si="345"/>
        <v>-1.2346171485515824</v>
      </c>
      <c r="BY525">
        <f t="shared" si="348"/>
        <v>-1.2346171485515824</v>
      </c>
      <c r="CC525">
        <f t="shared" si="349"/>
        <v>-1.2346171485515824</v>
      </c>
      <c r="DG525" s="138"/>
      <c r="EY525" s="479">
        <f>VLOOKUP(B525,Literatuur!$A:$B,2,FALSE)</f>
        <v>10</v>
      </c>
      <c r="EZ525" t="str">
        <f t="shared" si="334"/>
        <v>PCB 66</v>
      </c>
      <c r="FA525" t="str">
        <f t="shared" si="335"/>
        <v>PCB</v>
      </c>
      <c r="FB525" t="str">
        <f t="shared" si="336"/>
        <v>LDPE</v>
      </c>
      <c r="FC525" t="str">
        <f t="shared" si="337"/>
        <v>Immersion</v>
      </c>
      <c r="FD525" t="str">
        <f t="shared" si="338"/>
        <v>room ??</v>
      </c>
      <c r="FE525" t="str">
        <f t="shared" si="339"/>
        <v>water</v>
      </c>
      <c r="FF525" t="str">
        <f t="shared" si="340"/>
        <v xml:space="preserve"> </v>
      </c>
      <c r="FG525" s="408" t="str">
        <f t="shared" si="333"/>
        <v/>
      </c>
      <c r="FH525" s="138">
        <f t="shared" si="341"/>
        <v>5.9</v>
      </c>
      <c r="FI525" s="106">
        <f t="shared" si="327"/>
        <v>5.9467743036394634</v>
      </c>
      <c r="FJ525" s="138" t="str">
        <f t="shared" si="342"/>
        <v/>
      </c>
      <c r="FK525" s="138" t="str">
        <f t="shared" si="343"/>
        <v>**</v>
      </c>
    </row>
    <row r="526" spans="1:167" ht="12.75" hidden="1" customHeight="1" x14ac:dyDescent="0.2">
      <c r="A526">
        <v>491</v>
      </c>
      <c r="B526" t="s">
        <v>1596</v>
      </c>
      <c r="C526" s="4" t="s">
        <v>1557</v>
      </c>
      <c r="D526" s="4" t="s">
        <v>999</v>
      </c>
      <c r="E526" s="4">
        <v>-1616</v>
      </c>
      <c r="F526" t="str">
        <f>VLOOKUP(E526,CompDbase!B:L,4,FALSE)</f>
        <v>PCB #101</v>
      </c>
      <c r="G526" s="95" t="str">
        <f>VLOOKUP(E526,CompDbase!B:M,12,FALSE)</f>
        <v>PCB</v>
      </c>
      <c r="H526" s="95">
        <f>VLOOKUP(E526,CompDbase!B:L,8,FALSE)</f>
        <v>326.39999999999998</v>
      </c>
      <c r="I526" s="95">
        <f>VLOOKUP(E526,CompDbase!B:L,11,FALSE)</f>
        <v>212.15</v>
      </c>
      <c r="J526" s="95">
        <f>VLOOKUP(E526,CompDbase!B:L,9,FALSE)</f>
        <v>3.2640000000000002E-2</v>
      </c>
      <c r="K526" s="95">
        <f>VLOOKUP(E526,CompDbase!B:L,10,FALSE)</f>
        <v>6.3933333333333335</v>
      </c>
      <c r="L526" s="4" t="s">
        <v>769</v>
      </c>
      <c r="M526" s="420"/>
      <c r="N526" s="420"/>
      <c r="P526" s="4" t="s">
        <v>1987</v>
      </c>
      <c r="Q526" s="4" t="s">
        <v>1049</v>
      </c>
      <c r="S526" s="4"/>
      <c r="T526" s="95"/>
      <c r="W526" s="199">
        <f t="shared" si="344"/>
        <v>1995262.31496888</v>
      </c>
      <c r="X526">
        <v>6.3</v>
      </c>
      <c r="AC526" t="s">
        <v>68</v>
      </c>
      <c r="AG526" s="138">
        <f t="shared" si="325"/>
        <v>6.3</v>
      </c>
      <c r="AH526">
        <f t="shared" si="326"/>
        <v>6.3933333333333335</v>
      </c>
      <c r="BW526" s="138"/>
      <c r="BX526">
        <f t="shared" si="345"/>
        <v>-1.4862498499181764</v>
      </c>
      <c r="DG526" s="138"/>
      <c r="EY526" s="479">
        <f>VLOOKUP(B526,Literatuur!$A:$B,2,FALSE)</f>
        <v>20</v>
      </c>
      <c r="EZ526" t="str">
        <f t="shared" si="334"/>
        <v>PCB 101</v>
      </c>
      <c r="FA526" t="str">
        <f t="shared" si="335"/>
        <v>PCB</v>
      </c>
      <c r="FB526" t="str">
        <f t="shared" si="336"/>
        <v>LDPE</v>
      </c>
      <c r="FC526" t="str">
        <f t="shared" si="337"/>
        <v/>
      </c>
      <c r="FD526" t="str">
        <f t="shared" si="338"/>
        <v>room ??</v>
      </c>
      <c r="FE526" t="str">
        <f t="shared" si="339"/>
        <v>water</v>
      </c>
      <c r="FF526" t="str">
        <f t="shared" si="340"/>
        <v xml:space="preserve"> </v>
      </c>
      <c r="FG526" s="408" t="str">
        <f t="shared" si="333"/>
        <v/>
      </c>
      <c r="FH526" s="138">
        <f t="shared" si="341"/>
        <v>6.3</v>
      </c>
      <c r="FI526" s="106" t="str">
        <f t="shared" si="327"/>
        <v>**</v>
      </c>
      <c r="FJ526" s="138" t="str">
        <f t="shared" si="342"/>
        <v/>
      </c>
      <c r="FK526" s="138" t="str">
        <f t="shared" si="343"/>
        <v>**</v>
      </c>
    </row>
    <row r="527" spans="1:167" ht="12.75" hidden="1" customHeight="1" x14ac:dyDescent="0.2">
      <c r="A527">
        <v>492</v>
      </c>
      <c r="B527" t="s">
        <v>1596</v>
      </c>
      <c r="C527" s="4" t="s">
        <v>1557</v>
      </c>
      <c r="D527" s="4" t="s">
        <v>1001</v>
      </c>
      <c r="E527" s="4">
        <v>-1618</v>
      </c>
      <c r="F527" t="str">
        <f>VLOOKUP(E527,CompDbase!B:L,4,FALSE)</f>
        <v>PCB #105</v>
      </c>
      <c r="G527" s="95" t="str">
        <f>VLOOKUP(E527,CompDbase!B:M,12,FALSE)</f>
        <v>PCB</v>
      </c>
      <c r="H527" s="95">
        <f>VLOOKUP(E527,CompDbase!B:L,8,FALSE)</f>
        <v>326.39999999999998</v>
      </c>
      <c r="I527" s="95">
        <f>VLOOKUP(E527,CompDbase!B:L,11,FALSE)</f>
        <v>209.9</v>
      </c>
      <c r="J527" s="95">
        <f>VLOOKUP(E527,CompDbase!B:L,9,FALSE)</f>
        <v>2.5926873581400549E-2</v>
      </c>
      <c r="K527" s="95">
        <f>VLOOKUP(E527,CompDbase!B:L,10,FALSE)</f>
        <v>6.7166666666666659</v>
      </c>
      <c r="L527" s="4" t="s">
        <v>769</v>
      </c>
      <c r="M527" s="420"/>
      <c r="N527" s="420"/>
      <c r="P527" s="4" t="s">
        <v>1987</v>
      </c>
      <c r="Q527" s="4" t="s">
        <v>1049</v>
      </c>
      <c r="S527" s="4"/>
      <c r="T527" s="95"/>
      <c r="W527" s="199">
        <f t="shared" si="344"/>
        <v>6309573.4448019378</v>
      </c>
      <c r="X527">
        <v>6.8</v>
      </c>
      <c r="Z527" s="190"/>
      <c r="AC527" t="s">
        <v>68</v>
      </c>
      <c r="AG527" s="138">
        <f t="shared" si="325"/>
        <v>6.8</v>
      </c>
      <c r="AH527">
        <f t="shared" si="326"/>
        <v>6.7166666666666659</v>
      </c>
      <c r="BW527" s="138"/>
      <c r="BX527">
        <f t="shared" si="345"/>
        <v>-1.5862498499181765</v>
      </c>
      <c r="DG527" s="138"/>
      <c r="EY527" s="479">
        <f>VLOOKUP(B527,Literatuur!$A:$B,2,FALSE)</f>
        <v>20</v>
      </c>
      <c r="EZ527" t="str">
        <f t="shared" si="334"/>
        <v>PCB 105</v>
      </c>
      <c r="FA527" t="str">
        <f t="shared" si="335"/>
        <v>PCB</v>
      </c>
      <c r="FB527" t="str">
        <f t="shared" si="336"/>
        <v>LDPE</v>
      </c>
      <c r="FC527" t="str">
        <f t="shared" si="337"/>
        <v/>
      </c>
      <c r="FD527" t="str">
        <f t="shared" si="338"/>
        <v>room ??</v>
      </c>
      <c r="FE527" t="str">
        <f t="shared" si="339"/>
        <v>water</v>
      </c>
      <c r="FF527" t="str">
        <f t="shared" si="340"/>
        <v xml:space="preserve"> </v>
      </c>
      <c r="FG527" s="408" t="str">
        <f t="shared" si="333"/>
        <v/>
      </c>
      <c r="FH527" s="138">
        <f t="shared" si="341"/>
        <v>6.8</v>
      </c>
      <c r="FI527" s="106" t="str">
        <f t="shared" si="327"/>
        <v>**</v>
      </c>
      <c r="FJ527" s="138" t="str">
        <f t="shared" si="342"/>
        <v/>
      </c>
      <c r="FK527" s="138" t="str">
        <f t="shared" si="343"/>
        <v>**</v>
      </c>
    </row>
    <row r="528" spans="1:167" ht="12.75" hidden="1" customHeight="1" x14ac:dyDescent="0.2">
      <c r="A528">
        <v>493</v>
      </c>
      <c r="B528" t="s">
        <v>1596</v>
      </c>
      <c r="C528" s="4" t="s">
        <v>1557</v>
      </c>
      <c r="D528" s="4" t="s">
        <v>1002</v>
      </c>
      <c r="E528" s="4">
        <v>-1620</v>
      </c>
      <c r="F528" t="str">
        <f>VLOOKUP(E528,CompDbase!B:L,4,FALSE)</f>
        <v>PCB #110</v>
      </c>
      <c r="G528" s="95" t="str">
        <f>VLOOKUP(E528,CompDbase!B:M,12,FALSE)</f>
        <v>PCB</v>
      </c>
      <c r="H528" s="95">
        <f>VLOOKUP(E528,CompDbase!B:L,8,FALSE)</f>
        <v>326.39999999999998</v>
      </c>
      <c r="I528" s="95">
        <f>VLOOKUP(E528,CompDbase!B:L,11,FALSE)</f>
        <v>209.7</v>
      </c>
      <c r="J528" s="95">
        <f>VLOOKUP(E528,CompDbase!B:L,9,FALSE)</f>
        <v>3.2640000000000002E-2</v>
      </c>
      <c r="K528" s="95">
        <f>VLOOKUP(E528,CompDbase!B:L,10,FALSE)</f>
        <v>6.5266666666666664</v>
      </c>
      <c r="L528" s="4" t="s">
        <v>769</v>
      </c>
      <c r="M528" s="420"/>
      <c r="N528" s="420"/>
      <c r="P528" s="4" t="s">
        <v>1987</v>
      </c>
      <c r="Q528" s="4" t="s">
        <v>1049</v>
      </c>
      <c r="S528" s="4"/>
      <c r="T528" s="95"/>
      <c r="W528" s="199">
        <f t="shared" si="344"/>
        <v>2511886.431509587</v>
      </c>
      <c r="X528">
        <v>6.4</v>
      </c>
      <c r="AC528" t="s">
        <v>68</v>
      </c>
      <c r="AG528" s="138">
        <f t="shared" si="325"/>
        <v>6.4</v>
      </c>
      <c r="AH528">
        <f t="shared" si="326"/>
        <v>6.5266666666666664</v>
      </c>
      <c r="BW528" s="138"/>
      <c r="BX528">
        <f t="shared" si="345"/>
        <v>-1.4862498499181764</v>
      </c>
      <c r="DG528" s="138"/>
      <c r="EY528" s="479">
        <f>VLOOKUP(B528,Literatuur!$A:$B,2,FALSE)</f>
        <v>20</v>
      </c>
      <c r="EZ528" t="str">
        <f t="shared" si="334"/>
        <v>PCB 110</v>
      </c>
      <c r="FA528" t="str">
        <f t="shared" si="335"/>
        <v>PCB</v>
      </c>
      <c r="FB528" t="str">
        <f t="shared" si="336"/>
        <v>LDPE</v>
      </c>
      <c r="FC528" t="str">
        <f t="shared" si="337"/>
        <v/>
      </c>
      <c r="FD528" t="str">
        <f t="shared" si="338"/>
        <v>room ??</v>
      </c>
      <c r="FE528" t="str">
        <f t="shared" si="339"/>
        <v>water</v>
      </c>
      <c r="FF528" t="str">
        <f t="shared" si="340"/>
        <v xml:space="preserve"> </v>
      </c>
      <c r="FG528" s="408" t="str">
        <f t="shared" si="333"/>
        <v/>
      </c>
      <c r="FH528" s="138">
        <f t="shared" si="341"/>
        <v>6.4</v>
      </c>
      <c r="FI528" s="106" t="str">
        <f t="shared" si="327"/>
        <v>**</v>
      </c>
      <c r="FJ528" s="138" t="str">
        <f t="shared" si="342"/>
        <v/>
      </c>
      <c r="FK528" s="138" t="str">
        <f t="shared" si="343"/>
        <v>**</v>
      </c>
    </row>
    <row r="529" spans="1:167" ht="12.75" hidden="1" customHeight="1" x14ac:dyDescent="0.2">
      <c r="A529">
        <v>494</v>
      </c>
      <c r="B529" t="s">
        <v>1596</v>
      </c>
      <c r="C529" s="4" t="s">
        <v>1557</v>
      </c>
      <c r="D529" s="4" t="s">
        <v>1003</v>
      </c>
      <c r="E529" s="4">
        <v>-1621</v>
      </c>
      <c r="F529" t="str">
        <f>VLOOKUP(E529,CompDbase!B:L,4,FALSE)</f>
        <v>PCB #118</v>
      </c>
      <c r="G529" s="95" t="str">
        <f>VLOOKUP(E529,CompDbase!B:M,12,FALSE)</f>
        <v>PCB</v>
      </c>
      <c r="H529" s="95">
        <f>VLOOKUP(E529,CompDbase!B:L,8,FALSE)</f>
        <v>326.39999999999998</v>
      </c>
      <c r="I529" s="95">
        <f>VLOOKUP(E529,CompDbase!B:L,11,FALSE)</f>
        <v>210.25</v>
      </c>
      <c r="J529" s="95">
        <f>VLOOKUP(E529,CompDbase!B:L,9,FALSE)</f>
        <v>2.5926873581400549E-2</v>
      </c>
      <c r="K529" s="95">
        <f>VLOOKUP(E529,CompDbase!B:L,10,FALSE)</f>
        <v>6.7133333333333338</v>
      </c>
      <c r="L529" s="4" t="s">
        <v>769</v>
      </c>
      <c r="M529" s="420"/>
      <c r="N529" s="420"/>
      <c r="P529" s="4" t="s">
        <v>1987</v>
      </c>
      <c r="Q529" s="4" t="s">
        <v>1049</v>
      </c>
      <c r="S529" s="4"/>
      <c r="T529" s="95"/>
      <c r="W529" s="199">
        <f t="shared" si="344"/>
        <v>10000000</v>
      </c>
      <c r="X529">
        <v>7</v>
      </c>
      <c r="Z529" s="190"/>
      <c r="AC529" t="s">
        <v>68</v>
      </c>
      <c r="AG529" s="138">
        <f t="shared" si="325"/>
        <v>7</v>
      </c>
      <c r="AH529">
        <f t="shared" si="326"/>
        <v>6.7133333333333338</v>
      </c>
      <c r="BW529" s="138"/>
      <c r="BX529">
        <f t="shared" si="345"/>
        <v>-1.5862498499181765</v>
      </c>
      <c r="DG529" s="138"/>
      <c r="EY529" s="479">
        <f>VLOOKUP(B529,Literatuur!$A:$B,2,FALSE)</f>
        <v>20</v>
      </c>
      <c r="EZ529" t="str">
        <f t="shared" si="334"/>
        <v>PCB 118</v>
      </c>
      <c r="FA529" t="str">
        <f t="shared" si="335"/>
        <v>PCB</v>
      </c>
      <c r="FB529" t="str">
        <f t="shared" si="336"/>
        <v>LDPE</v>
      </c>
      <c r="FC529" t="str">
        <f t="shared" si="337"/>
        <v/>
      </c>
      <c r="FD529" t="str">
        <f t="shared" si="338"/>
        <v>room ??</v>
      </c>
      <c r="FE529" t="str">
        <f t="shared" si="339"/>
        <v>water</v>
      </c>
      <c r="FF529" t="str">
        <f t="shared" si="340"/>
        <v xml:space="preserve"> </v>
      </c>
      <c r="FG529" s="408" t="str">
        <f t="shared" si="333"/>
        <v/>
      </c>
      <c r="FH529" s="138">
        <f t="shared" si="341"/>
        <v>7</v>
      </c>
      <c r="FI529" s="106" t="str">
        <f t="shared" si="327"/>
        <v>**</v>
      </c>
      <c r="FJ529" s="138" t="str">
        <f t="shared" si="342"/>
        <v/>
      </c>
      <c r="FK529" s="138" t="str">
        <f t="shared" si="343"/>
        <v>**</v>
      </c>
    </row>
    <row r="530" spans="1:167" ht="12.75" hidden="1" customHeight="1" x14ac:dyDescent="0.2">
      <c r="A530">
        <v>495</v>
      </c>
      <c r="B530" t="s">
        <v>1596</v>
      </c>
      <c r="C530" s="4" t="s">
        <v>1557</v>
      </c>
      <c r="D530" s="4" t="s">
        <v>1004</v>
      </c>
      <c r="E530" s="4">
        <v>-1623</v>
      </c>
      <c r="F530" t="str">
        <f>VLOOKUP(E530,CompDbase!B:L,4,FALSE)</f>
        <v>PCB #128</v>
      </c>
      <c r="G530" s="95" t="str">
        <f>VLOOKUP(E530,CompDbase!B:M,12,FALSE)</f>
        <v>PCB</v>
      </c>
      <c r="H530" s="95">
        <f>VLOOKUP(E530,CompDbase!B:L,8,FALSE)</f>
        <v>360.9</v>
      </c>
      <c r="I530" s="95">
        <f>VLOOKUP(E530,CompDbase!B:L,11,FALSE)</f>
        <v>222.6</v>
      </c>
      <c r="J530" s="95">
        <f>VLOOKUP(E530,CompDbase!B:L,9,FALSE)</f>
        <v>1.808784726160826E-2</v>
      </c>
      <c r="K530" s="95">
        <f>VLOOKUP(E530,CompDbase!B:L,10,FALSE)</f>
        <v>6.746666666666667</v>
      </c>
      <c r="L530" s="4" t="s">
        <v>769</v>
      </c>
      <c r="M530" s="420"/>
      <c r="N530" s="420"/>
      <c r="P530" s="4" t="s">
        <v>1987</v>
      </c>
      <c r="Q530" s="4" t="s">
        <v>1049</v>
      </c>
      <c r="S530" s="4"/>
      <c r="T530" s="95"/>
      <c r="W530" s="199">
        <f t="shared" si="344"/>
        <v>10000000</v>
      </c>
      <c r="X530">
        <v>7</v>
      </c>
      <c r="Z530" s="190"/>
      <c r="AC530" t="s">
        <v>68</v>
      </c>
      <c r="AG530" s="138">
        <f t="shared" si="325"/>
        <v>7</v>
      </c>
      <c r="AH530">
        <f t="shared" si="326"/>
        <v>6.746666666666667</v>
      </c>
      <c r="BW530" s="138"/>
      <c r="BX530">
        <f t="shared" si="345"/>
        <v>-1.7426131179404927</v>
      </c>
      <c r="DG530" s="138"/>
      <c r="EY530" s="479">
        <f>VLOOKUP(B530,Literatuur!$A:$B,2,FALSE)</f>
        <v>20</v>
      </c>
      <c r="EZ530" t="str">
        <f t="shared" si="334"/>
        <v>PCB 128</v>
      </c>
      <c r="FA530" t="str">
        <f t="shared" si="335"/>
        <v>PCB</v>
      </c>
      <c r="FB530" t="str">
        <f t="shared" si="336"/>
        <v>LDPE</v>
      </c>
      <c r="FC530" t="str">
        <f t="shared" si="337"/>
        <v/>
      </c>
      <c r="FD530" t="str">
        <f t="shared" si="338"/>
        <v>room ??</v>
      </c>
      <c r="FE530" t="str">
        <f t="shared" si="339"/>
        <v>water</v>
      </c>
      <c r="FF530" t="str">
        <f t="shared" si="340"/>
        <v xml:space="preserve"> </v>
      </c>
      <c r="FG530" s="408" t="str">
        <f t="shared" si="333"/>
        <v/>
      </c>
      <c r="FH530" s="138">
        <f t="shared" si="341"/>
        <v>7</v>
      </c>
      <c r="FI530" s="106" t="str">
        <f t="shared" si="327"/>
        <v>**</v>
      </c>
      <c r="FJ530" s="138" t="str">
        <f t="shared" si="342"/>
        <v/>
      </c>
      <c r="FK530" s="138" t="str">
        <f t="shared" si="343"/>
        <v>**</v>
      </c>
    </row>
    <row r="531" spans="1:167" ht="12.75" hidden="1" customHeight="1" x14ac:dyDescent="0.2">
      <c r="A531">
        <v>496</v>
      </c>
      <c r="B531" t="s">
        <v>1596</v>
      </c>
      <c r="C531" s="4" t="s">
        <v>1557</v>
      </c>
      <c r="D531" s="4" t="s">
        <v>1007</v>
      </c>
      <c r="E531" s="4">
        <v>-1628</v>
      </c>
      <c r="F531" t="str">
        <f>VLOOKUP(E531,CompDbase!B:L,4,FALSE)</f>
        <v>PCB #138</v>
      </c>
      <c r="G531" s="95" t="str">
        <f>VLOOKUP(E531,CompDbase!B:M,12,FALSE)</f>
        <v>PCB</v>
      </c>
      <c r="H531" s="95">
        <f>VLOOKUP(E531,CompDbase!B:L,8,FALSE)</f>
        <v>360.9</v>
      </c>
      <c r="I531" s="95">
        <f>VLOOKUP(E531,CompDbase!B:L,11,FALSE)</f>
        <v>223.25</v>
      </c>
      <c r="J531" s="95">
        <f>VLOOKUP(E531,CompDbase!B:L,9,FALSE)</f>
        <v>7.2009016947226761E-3</v>
      </c>
      <c r="K531" s="95">
        <f>VLOOKUP(E531,CompDbase!B:L,10,FALSE)</f>
        <v>6.9433333333333325</v>
      </c>
      <c r="L531" s="4" t="s">
        <v>769</v>
      </c>
      <c r="M531" s="420"/>
      <c r="N531" s="420"/>
      <c r="P531" s="4" t="s">
        <v>1987</v>
      </c>
      <c r="Q531" s="4" t="s">
        <v>1049</v>
      </c>
      <c r="S531" s="4"/>
      <c r="T531" s="95"/>
      <c r="W531" s="199">
        <f t="shared" si="344"/>
        <v>7943282.3472428275</v>
      </c>
      <c r="X531">
        <v>6.9</v>
      </c>
      <c r="Z531" s="190"/>
      <c r="AC531" t="s">
        <v>68</v>
      </c>
      <c r="AG531" s="138">
        <f t="shared" si="325"/>
        <v>6.9</v>
      </c>
      <c r="AH531">
        <f t="shared" si="326"/>
        <v>6.9433333333333325</v>
      </c>
      <c r="BW531" s="138"/>
      <c r="BX531">
        <f t="shared" si="345"/>
        <v>-2.1426131179404933</v>
      </c>
      <c r="DG531" s="138"/>
      <c r="EY531" s="479">
        <f>VLOOKUP(B531,Literatuur!$A:$B,2,FALSE)</f>
        <v>20</v>
      </c>
      <c r="EZ531" t="str">
        <f t="shared" si="334"/>
        <v>PCB 138</v>
      </c>
      <c r="FA531" t="str">
        <f t="shared" si="335"/>
        <v>PCB</v>
      </c>
      <c r="FB531" t="str">
        <f t="shared" si="336"/>
        <v>LDPE</v>
      </c>
      <c r="FC531" t="str">
        <f t="shared" si="337"/>
        <v/>
      </c>
      <c r="FD531" t="str">
        <f t="shared" si="338"/>
        <v>room ??</v>
      </c>
      <c r="FE531" t="str">
        <f t="shared" si="339"/>
        <v>water</v>
      </c>
      <c r="FF531" t="str">
        <f t="shared" si="340"/>
        <v xml:space="preserve"> </v>
      </c>
      <c r="FG531" s="408" t="str">
        <f t="shared" si="333"/>
        <v/>
      </c>
      <c r="FH531" s="138">
        <f t="shared" si="341"/>
        <v>6.9</v>
      </c>
      <c r="FI531" s="106" t="str">
        <f t="shared" si="327"/>
        <v>**</v>
      </c>
      <c r="FJ531" s="138" t="str">
        <f t="shared" si="342"/>
        <v/>
      </c>
      <c r="FK531" s="138" t="str">
        <f t="shared" si="343"/>
        <v>**</v>
      </c>
    </row>
    <row r="532" spans="1:167" ht="12.75" hidden="1" customHeight="1" x14ac:dyDescent="0.2">
      <c r="A532">
        <v>497</v>
      </c>
      <c r="B532" t="s">
        <v>1596</v>
      </c>
      <c r="C532" s="4" t="s">
        <v>1557</v>
      </c>
      <c r="D532" s="4" t="s">
        <v>1013</v>
      </c>
      <c r="E532" s="4">
        <v>-1632</v>
      </c>
      <c r="F532" t="str">
        <f>VLOOKUP(E532,CompDbase!B:L,4,FALSE)</f>
        <v>PCB #153</v>
      </c>
      <c r="G532" s="95" t="str">
        <f>VLOOKUP(E532,CompDbase!B:M,12,FALSE)</f>
        <v>PCB</v>
      </c>
      <c r="H532" s="95">
        <f>VLOOKUP(E532,CompDbase!B:L,8,FALSE)</f>
        <v>360.9</v>
      </c>
      <c r="I532" s="95">
        <f>VLOOKUP(E532,CompDbase!B:L,11,FALSE)</f>
        <v>223.75</v>
      </c>
      <c r="J532" s="95">
        <f>VLOOKUP(E532,CompDbase!B:L,9,FALSE)</f>
        <v>1.1412660075547663E-2</v>
      </c>
      <c r="K532" s="95">
        <f>VLOOKUP(E532,CompDbase!B:L,10,FALSE)</f>
        <v>6.9066666666666663</v>
      </c>
      <c r="L532" s="4" t="s">
        <v>769</v>
      </c>
      <c r="M532" s="420"/>
      <c r="N532" s="420"/>
      <c r="P532" s="4" t="s">
        <v>1987</v>
      </c>
      <c r="Q532" s="4" t="s">
        <v>1049</v>
      </c>
      <c r="S532" s="4"/>
      <c r="T532" s="95"/>
      <c r="W532" s="199">
        <f t="shared" si="344"/>
        <v>6309573.4448019378</v>
      </c>
      <c r="X532">
        <v>6.8</v>
      </c>
      <c r="Z532" s="190"/>
      <c r="AC532" t="s">
        <v>68</v>
      </c>
      <c r="AG532" s="138">
        <f t="shared" si="325"/>
        <v>6.8</v>
      </c>
      <c r="AH532">
        <f t="shared" si="326"/>
        <v>6.9066666666666663</v>
      </c>
      <c r="BW532" s="138"/>
      <c r="BX532">
        <f t="shared" si="345"/>
        <v>-1.9426131179404935</v>
      </c>
      <c r="DG532" s="138"/>
      <c r="EY532" s="479">
        <f>VLOOKUP(B532,Literatuur!$A:$B,2,FALSE)</f>
        <v>20</v>
      </c>
      <c r="EZ532" t="str">
        <f t="shared" si="334"/>
        <v>PCB 153</v>
      </c>
      <c r="FA532" t="str">
        <f t="shared" si="335"/>
        <v>PCB</v>
      </c>
      <c r="FB532" t="str">
        <f t="shared" si="336"/>
        <v>LDPE</v>
      </c>
      <c r="FC532" t="str">
        <f t="shared" si="337"/>
        <v/>
      </c>
      <c r="FD532" t="str">
        <f t="shared" si="338"/>
        <v>room ??</v>
      </c>
      <c r="FE532" t="str">
        <f t="shared" si="339"/>
        <v>water</v>
      </c>
      <c r="FF532" t="str">
        <f t="shared" si="340"/>
        <v xml:space="preserve"> </v>
      </c>
      <c r="FG532" s="408" t="str">
        <f t="shared" si="333"/>
        <v/>
      </c>
      <c r="FH532" s="138">
        <f t="shared" si="341"/>
        <v>6.8</v>
      </c>
      <c r="FI532" s="106" t="str">
        <f t="shared" si="327"/>
        <v>**</v>
      </c>
      <c r="FJ532" s="138" t="str">
        <f t="shared" si="342"/>
        <v/>
      </c>
      <c r="FK532" s="138" t="str">
        <f t="shared" si="343"/>
        <v>**</v>
      </c>
    </row>
    <row r="533" spans="1:167" ht="12.75" hidden="1" customHeight="1" x14ac:dyDescent="0.2">
      <c r="A533">
        <v>498</v>
      </c>
      <c r="B533" t="s">
        <v>1596</v>
      </c>
      <c r="C533" s="4" t="s">
        <v>1557</v>
      </c>
      <c r="D533" s="4" t="s">
        <v>979</v>
      </c>
      <c r="E533" s="4">
        <v>-1581</v>
      </c>
      <c r="F533" t="str">
        <f>VLOOKUP(E533,CompDbase!B:L,4,FALSE)</f>
        <v>PCB #18</v>
      </c>
      <c r="G533" s="95" t="str">
        <f>VLOOKUP(E533,CompDbase!B:M,12,FALSE)</f>
        <v>PCB</v>
      </c>
      <c r="H533" s="95">
        <f>VLOOKUP(E533,CompDbase!B:L,8,FALSE)</f>
        <v>257.5</v>
      </c>
      <c r="I533" s="95">
        <f>VLOOKUP(E533,CompDbase!B:L,11,FALSE)</f>
        <v>188.35</v>
      </c>
      <c r="J533" s="95">
        <f>VLOOKUP(E533,CompDbase!B:L,9,FALSE)</f>
        <v>0.81428649749335691</v>
      </c>
      <c r="K533" s="95">
        <f>VLOOKUP(E533,CompDbase!B:L,10,FALSE)</f>
        <v>5.246666666666667</v>
      </c>
      <c r="L533" s="4" t="s">
        <v>769</v>
      </c>
      <c r="M533" s="420"/>
      <c r="N533" s="420"/>
      <c r="P533" s="4" t="s">
        <v>1987</v>
      </c>
      <c r="Q533" s="4" t="s">
        <v>1049</v>
      </c>
      <c r="S533" s="4"/>
      <c r="T533" s="95"/>
      <c r="W533" s="199">
        <f t="shared" si="344"/>
        <v>50118.723362727294</v>
      </c>
      <c r="X533">
        <v>4.7</v>
      </c>
      <c r="AC533" t="s">
        <v>68</v>
      </c>
      <c r="AG533" s="138">
        <f t="shared" si="325"/>
        <v>4.7</v>
      </c>
      <c r="AH533">
        <f t="shared" si="326"/>
        <v>5.246666666666667</v>
      </c>
      <c r="BW533" s="138"/>
      <c r="BX533">
        <f t="shared" si="345"/>
        <v>-8.9222766622790592E-2</v>
      </c>
      <c r="DG533" s="138"/>
      <c r="EY533" s="479">
        <f>VLOOKUP(B533,Literatuur!$A:$B,2,FALSE)</f>
        <v>20</v>
      </c>
      <c r="EZ533" t="str">
        <f t="shared" si="334"/>
        <v>PCB 18</v>
      </c>
      <c r="FA533" t="str">
        <f t="shared" si="335"/>
        <v>PCB</v>
      </c>
      <c r="FB533" t="str">
        <f t="shared" si="336"/>
        <v>LDPE</v>
      </c>
      <c r="FC533" t="str">
        <f t="shared" si="337"/>
        <v/>
      </c>
      <c r="FD533" t="str">
        <f t="shared" si="338"/>
        <v>room ??</v>
      </c>
      <c r="FE533" t="str">
        <f t="shared" si="339"/>
        <v>water</v>
      </c>
      <c r="FF533" t="str">
        <f t="shared" si="340"/>
        <v xml:space="preserve"> </v>
      </c>
      <c r="FG533" s="408" t="str">
        <f t="shared" si="333"/>
        <v/>
      </c>
      <c r="FH533" s="138">
        <f t="shared" si="341"/>
        <v>4.7</v>
      </c>
      <c r="FI533" s="106" t="str">
        <f t="shared" si="327"/>
        <v>**</v>
      </c>
      <c r="FJ533" s="138" t="str">
        <f t="shared" si="342"/>
        <v/>
      </c>
      <c r="FK533" s="138" t="str">
        <f t="shared" si="343"/>
        <v>**</v>
      </c>
    </row>
    <row r="534" spans="1:167" ht="12.75" hidden="1" customHeight="1" x14ac:dyDescent="0.2">
      <c r="A534">
        <v>499</v>
      </c>
      <c r="B534" t="s">
        <v>1596</v>
      </c>
      <c r="C534" s="4" t="s">
        <v>1557</v>
      </c>
      <c r="D534" s="4" t="s">
        <v>1017</v>
      </c>
      <c r="E534" s="4">
        <v>-1742</v>
      </c>
      <c r="F534" t="str">
        <f>VLOOKUP(E534,CompDbase!B:L,4,FALSE)</f>
        <v>PCB 180</v>
      </c>
      <c r="G534" s="95" t="str">
        <f>VLOOKUP(E534,CompDbase!B:M,12,FALSE)</f>
        <v>PCB</v>
      </c>
      <c r="H534" s="95">
        <f>VLOOKUP(E534,CompDbase!B:L,8,FALSE)</f>
        <v>395.3</v>
      </c>
      <c r="I534" s="95">
        <f>VLOOKUP(E534,CompDbase!B:L,11,FALSE)</f>
        <v>360.9</v>
      </c>
      <c r="J534" s="95">
        <f>VLOOKUP(E534,CompDbase!B:L,9,FALSE)</f>
        <v>6.2650827897987801E-3</v>
      </c>
      <c r="K534" s="95">
        <f>VLOOKUP(E534,CompDbase!B:L,10,FALSE)</f>
        <v>7.3000000000000007</v>
      </c>
      <c r="L534" s="4" t="s">
        <v>769</v>
      </c>
      <c r="M534" s="420"/>
      <c r="N534" s="420"/>
      <c r="P534" s="4" t="s">
        <v>1987</v>
      </c>
      <c r="Q534" s="4" t="s">
        <v>1049</v>
      </c>
      <c r="S534" s="4"/>
      <c r="T534" s="95"/>
      <c r="W534" s="199">
        <f t="shared" si="344"/>
        <v>39810717.055349804</v>
      </c>
      <c r="X534">
        <v>7.6</v>
      </c>
      <c r="Z534" s="190"/>
      <c r="AC534" t="s">
        <v>68</v>
      </c>
      <c r="AG534" s="138">
        <f t="shared" si="325"/>
        <v>7.6</v>
      </c>
      <c r="AH534">
        <f t="shared" si="326"/>
        <v>7.3000000000000007</v>
      </c>
      <c r="BW534" s="138"/>
      <c r="BX534">
        <f t="shared" si="345"/>
        <v>-2.2030731856570296</v>
      </c>
      <c r="DG534" s="138"/>
      <c r="EY534" s="479">
        <f>VLOOKUP(B534,Literatuur!$A:$B,2,FALSE)</f>
        <v>20</v>
      </c>
      <c r="EZ534" t="str">
        <f t="shared" si="334"/>
        <v>PCB 180</v>
      </c>
      <c r="FA534" t="str">
        <f t="shared" si="335"/>
        <v>PCB</v>
      </c>
      <c r="FB534" t="str">
        <f t="shared" si="336"/>
        <v>LDPE</v>
      </c>
      <c r="FC534" t="str">
        <f t="shared" si="337"/>
        <v/>
      </c>
      <c r="FD534" t="str">
        <f t="shared" si="338"/>
        <v>room ??</v>
      </c>
      <c r="FE534" t="str">
        <f t="shared" si="339"/>
        <v>water</v>
      </c>
      <c r="FF534" t="str">
        <f t="shared" si="340"/>
        <v xml:space="preserve"> </v>
      </c>
      <c r="FG534" s="408" t="str">
        <f t="shared" si="333"/>
        <v/>
      </c>
      <c r="FH534" s="138">
        <f t="shared" si="341"/>
        <v>7.6</v>
      </c>
      <c r="FI534" s="106" t="str">
        <f t="shared" si="327"/>
        <v>**</v>
      </c>
      <c r="FJ534" s="138" t="str">
        <f t="shared" si="342"/>
        <v/>
      </c>
      <c r="FK534" s="138" t="str">
        <f t="shared" si="343"/>
        <v>**</v>
      </c>
    </row>
    <row r="535" spans="1:167" ht="12.75" hidden="1" customHeight="1" x14ac:dyDescent="0.2">
      <c r="A535">
        <v>500</v>
      </c>
      <c r="B535" t="s">
        <v>1596</v>
      </c>
      <c r="C535" s="4" t="s">
        <v>1557</v>
      </c>
      <c r="D535" s="4" t="s">
        <v>981</v>
      </c>
      <c r="E535" s="4">
        <v>-1706</v>
      </c>
      <c r="F535" t="str">
        <f>VLOOKUP(E535,CompDbase!B:L,4,FALSE)</f>
        <v>PCB 28</v>
      </c>
      <c r="G535" s="95" t="str">
        <f>VLOOKUP(E535,CompDbase!B:M,12,FALSE)</f>
        <v>PCB</v>
      </c>
      <c r="H535" s="95">
        <f>VLOOKUP(E535,CompDbase!B:L,8,FALSE)</f>
        <v>257.5</v>
      </c>
      <c r="I535" s="95">
        <f>VLOOKUP(E535,CompDbase!B:L,11,FALSE)</f>
        <v>257.5</v>
      </c>
      <c r="J535" s="95">
        <f>VLOOKUP(E535,CompDbase!B:L,9,FALSE)</f>
        <v>0.20453952044150236</v>
      </c>
      <c r="K535" s="95">
        <f>VLOOKUP(E535,CompDbase!B:L,10,FALSE)</f>
        <v>5.65</v>
      </c>
      <c r="L535" s="4" t="s">
        <v>769</v>
      </c>
      <c r="M535" s="420"/>
      <c r="N535" s="420"/>
      <c r="P535" s="4" t="s">
        <v>1987</v>
      </c>
      <c r="Q535" s="4" t="s">
        <v>1049</v>
      </c>
      <c r="S535" s="4"/>
      <c r="T535" s="95"/>
      <c r="W535" s="199">
        <f t="shared" si="344"/>
        <v>794328.23472428333</v>
      </c>
      <c r="X535">
        <v>5.9</v>
      </c>
      <c r="AC535" t="s">
        <v>68</v>
      </c>
      <c r="AG535" s="138">
        <f t="shared" si="325"/>
        <v>5.9</v>
      </c>
      <c r="AH535">
        <f t="shared" si="326"/>
        <v>5.65</v>
      </c>
      <c r="BW535" s="138"/>
      <c r="BX535">
        <f t="shared" si="345"/>
        <v>-0.68922276662279047</v>
      </c>
      <c r="DG535" s="138"/>
      <c r="EY535" s="479">
        <f>VLOOKUP(B535,Literatuur!$A:$B,2,FALSE)</f>
        <v>20</v>
      </c>
      <c r="EZ535" t="str">
        <f t="shared" si="334"/>
        <v>PCB 28</v>
      </c>
      <c r="FA535" t="str">
        <f t="shared" si="335"/>
        <v>PCB</v>
      </c>
      <c r="FB535" t="str">
        <f t="shared" si="336"/>
        <v>LDPE</v>
      </c>
      <c r="FC535" t="str">
        <f t="shared" si="337"/>
        <v/>
      </c>
      <c r="FD535" t="str">
        <f t="shared" si="338"/>
        <v>room ??</v>
      </c>
      <c r="FE535" t="str">
        <f t="shared" si="339"/>
        <v>water</v>
      </c>
      <c r="FF535" t="str">
        <f t="shared" si="340"/>
        <v xml:space="preserve"> </v>
      </c>
      <c r="FG535" s="408" t="str">
        <f t="shared" si="333"/>
        <v/>
      </c>
      <c r="FH535" s="138">
        <f t="shared" si="341"/>
        <v>5.9</v>
      </c>
      <c r="FI535" s="106" t="str">
        <f t="shared" si="327"/>
        <v>**</v>
      </c>
      <c r="FJ535" s="138" t="str">
        <f t="shared" si="342"/>
        <v/>
      </c>
      <c r="FK535" s="138" t="str">
        <f t="shared" si="343"/>
        <v>**</v>
      </c>
    </row>
    <row r="536" spans="1:167" s="13" customFormat="1" ht="12.75" hidden="1" customHeight="1" x14ac:dyDescent="0.2">
      <c r="A536">
        <v>501</v>
      </c>
      <c r="B536" s="13" t="s">
        <v>1596</v>
      </c>
      <c r="C536" s="14" t="s">
        <v>1557</v>
      </c>
      <c r="D536" s="14" t="s">
        <v>985</v>
      </c>
      <c r="E536" s="14">
        <v>-1594</v>
      </c>
      <c r="F536" s="13" t="str">
        <f>VLOOKUP(E536,CompDbase!B:L,4,FALSE)</f>
        <v>PCB #44</v>
      </c>
      <c r="G536" s="182" t="str">
        <f>VLOOKUP(E536,CompDbase!B:M,12,FALSE)</f>
        <v>PCB</v>
      </c>
      <c r="H536" s="182">
        <f>VLOOKUP(E536,CompDbase!B:L,8,FALSE)</f>
        <v>292</v>
      </c>
      <c r="I536" s="182">
        <f>VLOOKUP(E536,CompDbase!B:L,11,FALSE)</f>
        <v>199.95</v>
      </c>
      <c r="J536" s="182">
        <f>VLOOKUP(E536,CompDbase!B:L,9,FALSE)</f>
        <v>0.23194384453949005</v>
      </c>
      <c r="K536" s="182">
        <f>VLOOKUP(E536,CompDbase!B:L,10,FALSE)</f>
        <v>5.7833333333333341</v>
      </c>
      <c r="L536" s="14" t="s">
        <v>769</v>
      </c>
      <c r="M536" s="421"/>
      <c r="N536" s="420"/>
      <c r="O536"/>
      <c r="P536" s="14" t="s">
        <v>1987</v>
      </c>
      <c r="Q536" s="14" t="s">
        <v>1049</v>
      </c>
      <c r="R536" s="289"/>
      <c r="S536" s="4"/>
      <c r="T536" s="95"/>
      <c r="W536" s="200">
        <f t="shared" si="344"/>
        <v>316227.7660168382</v>
      </c>
      <c r="X536" s="13">
        <v>5.5</v>
      </c>
      <c r="AC536" s="13" t="s">
        <v>68</v>
      </c>
      <c r="AF536"/>
      <c r="AG536" s="138">
        <f t="shared" si="325"/>
        <v>5.5</v>
      </c>
      <c r="AH536">
        <f t="shared" si="326"/>
        <v>5.7833333333333341</v>
      </c>
      <c r="AI536"/>
      <c r="AP536"/>
      <c r="BW536" s="138"/>
      <c r="BX536">
        <f t="shared" si="345"/>
        <v>-0.63461714855158202</v>
      </c>
      <c r="BY536"/>
      <c r="CF536"/>
      <c r="DF536"/>
      <c r="DG536" s="138"/>
      <c r="DH536"/>
      <c r="DI536"/>
      <c r="DP536"/>
      <c r="EY536" s="479">
        <f>VLOOKUP(B536,Literatuur!$A:$B,2,FALSE)</f>
        <v>20</v>
      </c>
      <c r="EZ536" t="str">
        <f t="shared" si="334"/>
        <v>PCB 44</v>
      </c>
      <c r="FA536" t="str">
        <f t="shared" si="335"/>
        <v>PCB</v>
      </c>
      <c r="FB536" t="str">
        <f t="shared" si="336"/>
        <v>LDPE</v>
      </c>
      <c r="FC536" t="str">
        <f t="shared" si="337"/>
        <v/>
      </c>
      <c r="FD536" t="str">
        <f t="shared" si="338"/>
        <v>room ??</v>
      </c>
      <c r="FE536" t="str">
        <f t="shared" si="339"/>
        <v>water</v>
      </c>
      <c r="FF536" t="str">
        <f t="shared" si="340"/>
        <v xml:space="preserve"> </v>
      </c>
      <c r="FG536" s="408" t="str">
        <f t="shared" si="333"/>
        <v/>
      </c>
      <c r="FH536" s="138">
        <f t="shared" si="341"/>
        <v>5.5</v>
      </c>
      <c r="FI536" s="106" t="str">
        <f t="shared" si="327"/>
        <v>**</v>
      </c>
      <c r="FJ536" s="138" t="str">
        <f t="shared" si="342"/>
        <v/>
      </c>
      <c r="FK536" s="138" t="str">
        <f t="shared" si="343"/>
        <v>**</v>
      </c>
    </row>
    <row r="537" spans="1:167" ht="12.75" hidden="1" customHeight="1" x14ac:dyDescent="0.2">
      <c r="A537">
        <v>502</v>
      </c>
      <c r="B537" t="s">
        <v>1596</v>
      </c>
      <c r="C537" s="4" t="s">
        <v>1557</v>
      </c>
      <c r="D537" s="4" t="s">
        <v>989</v>
      </c>
      <c r="E537" s="4">
        <v>-1714</v>
      </c>
      <c r="F537" t="str">
        <f>VLOOKUP(E537,CompDbase!B:L,4,FALSE)</f>
        <v>PCB 52</v>
      </c>
      <c r="G537" s="95" t="str">
        <f>VLOOKUP(E537,CompDbase!B:M,12,FALSE)</f>
        <v>PCB</v>
      </c>
      <c r="H537" s="95">
        <f>VLOOKUP(E537,CompDbase!B:L,8,FALSE)</f>
        <v>292</v>
      </c>
      <c r="I537" s="95" t="e">
        <f>VLOOKUP(E537,CompDbase!B:L,11,FALSE)</f>
        <v>#DIV/0!</v>
      </c>
      <c r="J537" s="95">
        <f>VLOOKUP(E537,CompDbase!B:L,9,FALSE)</f>
        <v>0.11624729380162115</v>
      </c>
      <c r="K537" s="95">
        <f>VLOOKUP(E537,CompDbase!B:L,10,FALSE)</f>
        <v>5.85</v>
      </c>
      <c r="L537" s="4" t="s">
        <v>769</v>
      </c>
      <c r="M537" s="420"/>
      <c r="N537" s="420"/>
      <c r="P537" s="4" t="s">
        <v>1987</v>
      </c>
      <c r="Q537" s="4" t="s">
        <v>1049</v>
      </c>
      <c r="S537" s="4"/>
      <c r="T537" s="95"/>
      <c r="W537" s="199">
        <f t="shared" si="344"/>
        <v>316227.7660168382</v>
      </c>
      <c r="X537">
        <v>5.5</v>
      </c>
      <c r="Z537" s="9"/>
      <c r="AC537" t="s">
        <v>68</v>
      </c>
      <c r="AG537" s="138">
        <f t="shared" si="325"/>
        <v>5.5</v>
      </c>
      <c r="AH537">
        <f t="shared" si="326"/>
        <v>5.85</v>
      </c>
      <c r="BW537" s="138"/>
      <c r="BX537">
        <f t="shared" si="345"/>
        <v>-0.93461714855158184</v>
      </c>
      <c r="DG537" s="138"/>
      <c r="EY537" s="479">
        <f>VLOOKUP(B537,Literatuur!$A:$B,2,FALSE)</f>
        <v>20</v>
      </c>
      <c r="EZ537" t="str">
        <f t="shared" si="334"/>
        <v>PCB 52</v>
      </c>
      <c r="FA537" t="str">
        <f t="shared" si="335"/>
        <v>PCB</v>
      </c>
      <c r="FB537" t="str">
        <f t="shared" si="336"/>
        <v>LDPE</v>
      </c>
      <c r="FC537" t="str">
        <f t="shared" si="337"/>
        <v/>
      </c>
      <c r="FD537" t="str">
        <f t="shared" si="338"/>
        <v>room ??</v>
      </c>
      <c r="FE537" t="str">
        <f t="shared" si="339"/>
        <v>water</v>
      </c>
      <c r="FF537" t="str">
        <f t="shared" si="340"/>
        <v xml:space="preserve"> </v>
      </c>
      <c r="FG537" s="408" t="str">
        <f t="shared" si="333"/>
        <v/>
      </c>
      <c r="FH537" s="138">
        <f t="shared" si="341"/>
        <v>5.5</v>
      </c>
      <c r="FI537" s="106" t="str">
        <f t="shared" si="327"/>
        <v>**</v>
      </c>
      <c r="FJ537" s="138" t="str">
        <f t="shared" si="342"/>
        <v/>
      </c>
      <c r="FK537" s="138" t="str">
        <f t="shared" si="343"/>
        <v>**</v>
      </c>
    </row>
    <row r="538" spans="1:167" ht="12.75" hidden="1" customHeight="1" x14ac:dyDescent="0.2">
      <c r="A538">
        <v>503</v>
      </c>
      <c r="B538" t="s">
        <v>1596</v>
      </c>
      <c r="C538" s="4" t="s">
        <v>1557</v>
      </c>
      <c r="D538" s="4" t="s">
        <v>992</v>
      </c>
      <c r="E538" s="4">
        <v>-1717</v>
      </c>
      <c r="F538" t="str">
        <f>VLOOKUP(E538,CompDbase!B:L,4,FALSE)</f>
        <v>PCB 66</v>
      </c>
      <c r="G538" s="95" t="str">
        <f>VLOOKUP(E538,CompDbase!B:M,12,FALSE)</f>
        <v>PCB</v>
      </c>
      <c r="H538" s="95">
        <f>VLOOKUP(E538,CompDbase!B:L,8,FALSE)</f>
        <v>292</v>
      </c>
      <c r="I538" s="95" t="e">
        <f>VLOOKUP(E538,CompDbase!B:L,11,FALSE)</f>
        <v>#DIV/0!</v>
      </c>
      <c r="J538" s="95">
        <f>VLOOKUP(E538,CompDbase!B:L,9,FALSE)</f>
        <v>5.8261659597091175E-2</v>
      </c>
      <c r="K538" s="95">
        <f>VLOOKUP(E538,CompDbase!B:L,10,FALSE)</f>
        <v>6.25</v>
      </c>
      <c r="L538" s="4" t="s">
        <v>769</v>
      </c>
      <c r="M538" s="420"/>
      <c r="N538" s="420"/>
      <c r="P538" s="4" t="s">
        <v>1987</v>
      </c>
      <c r="Q538" s="4" t="s">
        <v>1049</v>
      </c>
      <c r="S538" s="4"/>
      <c r="T538" s="95"/>
      <c r="W538" s="199">
        <f t="shared" si="344"/>
        <v>3162277.6601683851</v>
      </c>
      <c r="X538">
        <v>6.5</v>
      </c>
      <c r="Z538" s="190"/>
      <c r="AC538" t="s">
        <v>68</v>
      </c>
      <c r="AG538" s="138">
        <f t="shared" si="325"/>
        <v>6.5</v>
      </c>
      <c r="AH538">
        <f t="shared" si="326"/>
        <v>6.25</v>
      </c>
      <c r="BW538" s="138"/>
      <c r="BX538">
        <f t="shared" si="345"/>
        <v>-1.2346171485515824</v>
      </c>
      <c r="DG538" s="138"/>
      <c r="EY538" s="479">
        <f>VLOOKUP(B538,Literatuur!$A:$B,2,FALSE)</f>
        <v>20</v>
      </c>
      <c r="EZ538" t="str">
        <f t="shared" si="334"/>
        <v>PCB 66</v>
      </c>
      <c r="FA538" t="str">
        <f t="shared" si="335"/>
        <v>PCB</v>
      </c>
      <c r="FB538" t="str">
        <f t="shared" si="336"/>
        <v>LDPE</v>
      </c>
      <c r="FC538" t="str">
        <f t="shared" si="337"/>
        <v/>
      </c>
      <c r="FD538" t="str">
        <f t="shared" si="338"/>
        <v>room ??</v>
      </c>
      <c r="FE538" t="str">
        <f t="shared" si="339"/>
        <v>water</v>
      </c>
      <c r="FF538" t="str">
        <f t="shared" si="340"/>
        <v xml:space="preserve"> </v>
      </c>
      <c r="FG538" s="408" t="str">
        <f t="shared" si="333"/>
        <v/>
      </c>
      <c r="FH538" s="138">
        <f t="shared" si="341"/>
        <v>6.5</v>
      </c>
      <c r="FI538" s="106" t="str">
        <f t="shared" si="327"/>
        <v>**</v>
      </c>
      <c r="FJ538" s="138" t="str">
        <f t="shared" si="342"/>
        <v/>
      </c>
      <c r="FK538" s="138" t="str">
        <f t="shared" si="343"/>
        <v>**</v>
      </c>
    </row>
    <row r="539" spans="1:167" ht="12.75" hidden="1" customHeight="1" x14ac:dyDescent="0.2">
      <c r="A539">
        <v>504</v>
      </c>
      <c r="B539" t="s">
        <v>1596</v>
      </c>
      <c r="C539" s="4" t="s">
        <v>1557</v>
      </c>
      <c r="D539" s="4" t="s">
        <v>976</v>
      </c>
      <c r="E539" s="4">
        <v>-1701</v>
      </c>
      <c r="F539" t="str">
        <f>VLOOKUP(E539,CompDbase!B:L,4,FALSE)</f>
        <v>PCB 8</v>
      </c>
      <c r="G539" s="95" t="str">
        <f>VLOOKUP(E539,CompDbase!B:M,12,FALSE)</f>
        <v>PCB</v>
      </c>
      <c r="H539" s="95">
        <f>VLOOKUP(E539,CompDbase!B:L,8,FALSE)</f>
        <v>223.1</v>
      </c>
      <c r="I539" s="95" t="e">
        <f>VLOOKUP(E539,CompDbase!B:L,11,FALSE)</f>
        <v>#DIV/0!</v>
      </c>
      <c r="J539" s="95">
        <f>VLOOKUP(E539,CompDbase!B:L,9,FALSE)</f>
        <v>1.4076658355353096</v>
      </c>
      <c r="K539" s="95">
        <f>VLOOKUP(E539,CompDbase!B:L,10,FALSE)</f>
        <v>5.0999999999999996</v>
      </c>
      <c r="L539" s="4" t="s">
        <v>769</v>
      </c>
      <c r="M539" s="420"/>
      <c r="N539" s="420"/>
      <c r="P539" s="4" t="s">
        <v>1987</v>
      </c>
      <c r="Q539" s="4" t="s">
        <v>1049</v>
      </c>
      <c r="S539" s="4"/>
      <c r="T539" s="95"/>
      <c r="W539" s="199">
        <f t="shared" si="344"/>
        <v>39810.717055349742</v>
      </c>
      <c r="X539">
        <v>4.5999999999999996</v>
      </c>
      <c r="AC539" t="s">
        <v>68</v>
      </c>
      <c r="AG539" s="138">
        <f t="shared" si="325"/>
        <v>4.5999999999999996</v>
      </c>
      <c r="AH539">
        <f t="shared" si="326"/>
        <v>5.0999999999999996</v>
      </c>
      <c r="BW539" s="138"/>
      <c r="BX539">
        <f t="shared" si="345"/>
        <v>0.14849957028383723</v>
      </c>
      <c r="DG539" s="138"/>
      <c r="EY539" s="479">
        <f>VLOOKUP(B539,Literatuur!$A:$B,2,FALSE)</f>
        <v>20</v>
      </c>
      <c r="EZ539" t="str">
        <f t="shared" si="334"/>
        <v>PCB 8</v>
      </c>
      <c r="FA539" t="str">
        <f t="shared" si="335"/>
        <v>PCB</v>
      </c>
      <c r="FB539" t="str">
        <f t="shared" si="336"/>
        <v>LDPE</v>
      </c>
      <c r="FC539" t="str">
        <f t="shared" si="337"/>
        <v/>
      </c>
      <c r="FD539" t="str">
        <f t="shared" si="338"/>
        <v>room ??</v>
      </c>
      <c r="FE539" t="str">
        <f t="shared" si="339"/>
        <v>water</v>
      </c>
      <c r="FF539" t="str">
        <f t="shared" si="340"/>
        <v xml:space="preserve"> </v>
      </c>
      <c r="FG539" s="408" t="str">
        <f t="shared" si="333"/>
        <v/>
      </c>
      <c r="FH539" s="138">
        <f t="shared" si="341"/>
        <v>4.5999999999999996</v>
      </c>
      <c r="FI539" s="106" t="str">
        <f t="shared" si="327"/>
        <v>**</v>
      </c>
      <c r="FJ539" s="138" t="str">
        <f t="shared" si="342"/>
        <v/>
      </c>
      <c r="FK539" s="138" t="str">
        <f t="shared" si="343"/>
        <v>**</v>
      </c>
    </row>
    <row r="540" spans="1:167" ht="12.75" hidden="1" customHeight="1" x14ac:dyDescent="0.2">
      <c r="A540">
        <v>505</v>
      </c>
      <c r="B540" t="s">
        <v>1596</v>
      </c>
      <c r="C540" s="4" t="s">
        <v>1557</v>
      </c>
      <c r="D540" s="4" t="s">
        <v>998</v>
      </c>
      <c r="E540" s="4">
        <v>-1723</v>
      </c>
      <c r="F540" t="str">
        <f>VLOOKUP(E540,CompDbase!B:L,4,FALSE)</f>
        <v>PCB 99</v>
      </c>
      <c r="G540" s="95" t="str">
        <f>VLOOKUP(E540,CompDbase!B:M,12,FALSE)</f>
        <v>PCB</v>
      </c>
      <c r="H540" s="95">
        <f>VLOOKUP(E540,CompDbase!B:L,8,FALSE)</f>
        <v>326.39999999999998</v>
      </c>
      <c r="I540" s="95">
        <f>VLOOKUP(E540,CompDbase!B:L,11,FALSE)</f>
        <v>326.39999999999998</v>
      </c>
      <c r="J540" s="95">
        <f>VLOOKUP(E540,CompDbase!B:L,9,FALSE)</f>
        <v>4.1091325440961612E-2</v>
      </c>
      <c r="K540" s="95">
        <f>VLOOKUP(E540,CompDbase!B:L,10,FALSE)</f>
        <v>6.45</v>
      </c>
      <c r="L540" s="4" t="s">
        <v>769</v>
      </c>
      <c r="M540" s="420"/>
      <c r="N540" s="420"/>
      <c r="P540" s="4" t="s">
        <v>1987</v>
      </c>
      <c r="Q540" s="4" t="s">
        <v>1049</v>
      </c>
      <c r="S540" s="4"/>
      <c r="T540" s="95"/>
      <c r="W540" s="199">
        <f t="shared" si="344"/>
        <v>5011872.3362727314</v>
      </c>
      <c r="X540">
        <v>6.7</v>
      </c>
      <c r="Z540" s="190"/>
      <c r="AC540" t="s">
        <v>68</v>
      </c>
      <c r="AG540" s="138">
        <f t="shared" si="325"/>
        <v>6.7</v>
      </c>
      <c r="AH540">
        <f t="shared" si="326"/>
        <v>6.45</v>
      </c>
      <c r="BW540" s="138"/>
      <c r="BX540">
        <f t="shared" si="345"/>
        <v>-1.3862498499181766</v>
      </c>
      <c r="DG540" s="138"/>
      <c r="EY540" s="479">
        <f>VLOOKUP(B540,Literatuur!$A:$B,2,FALSE)</f>
        <v>20</v>
      </c>
      <c r="EZ540" t="str">
        <f t="shared" si="334"/>
        <v>PCB 99</v>
      </c>
      <c r="FA540" t="str">
        <f t="shared" si="335"/>
        <v>PCB</v>
      </c>
      <c r="FB540" t="str">
        <f t="shared" si="336"/>
        <v>LDPE</v>
      </c>
      <c r="FC540" t="str">
        <f t="shared" si="337"/>
        <v/>
      </c>
      <c r="FD540" t="str">
        <f t="shared" si="338"/>
        <v>room ??</v>
      </c>
      <c r="FE540" t="str">
        <f t="shared" si="339"/>
        <v>water</v>
      </c>
      <c r="FF540" t="str">
        <f t="shared" si="340"/>
        <v xml:space="preserve"> </v>
      </c>
      <c r="FG540" s="408" t="str">
        <f t="shared" si="333"/>
        <v/>
      </c>
      <c r="FH540" s="138">
        <f t="shared" si="341"/>
        <v>6.7</v>
      </c>
      <c r="FI540" s="106" t="str">
        <f t="shared" si="327"/>
        <v>**</v>
      </c>
      <c r="FJ540" s="138" t="str">
        <f t="shared" si="342"/>
        <v/>
      </c>
      <c r="FK540" s="138" t="str">
        <f t="shared" si="343"/>
        <v>**</v>
      </c>
    </row>
    <row r="541" spans="1:167" ht="12.75" hidden="1" customHeight="1" x14ac:dyDescent="0.2">
      <c r="A541">
        <v>506</v>
      </c>
      <c r="B541" t="s">
        <v>1680</v>
      </c>
      <c r="C541" s="4"/>
      <c r="D541" t="s">
        <v>1123</v>
      </c>
      <c r="E541">
        <v>-1616</v>
      </c>
      <c r="F541" t="str">
        <f>VLOOKUP(E541,CompDbase!B:L,4,FALSE)</f>
        <v>PCB #101</v>
      </c>
      <c r="G541" s="95" t="str">
        <f>VLOOKUP(E541,CompDbase!B:M,12,FALSE)</f>
        <v>PCB</v>
      </c>
      <c r="H541" s="95">
        <f>VLOOKUP(E541,CompDbase!B:L,8,FALSE)</f>
        <v>326.39999999999998</v>
      </c>
      <c r="I541" s="95">
        <f>VLOOKUP(E541,CompDbase!B:L,11,FALSE)</f>
        <v>212.15</v>
      </c>
      <c r="J541" s="95">
        <f>VLOOKUP(E541,CompDbase!B:L,9,FALSE)</f>
        <v>3.2640000000000002E-2</v>
      </c>
      <c r="K541" s="95">
        <f>VLOOKUP(E541,CompDbase!B:L,10,FALSE)</f>
        <v>6.3933333333333335</v>
      </c>
      <c r="L541" s="4" t="s">
        <v>769</v>
      </c>
      <c r="M541" s="426">
        <v>910000</v>
      </c>
      <c r="N541" s="426"/>
      <c r="O541" s="4" t="s">
        <v>1740</v>
      </c>
      <c r="P541" s="4" t="s">
        <v>1980</v>
      </c>
      <c r="Q541" s="4" t="s">
        <v>1049</v>
      </c>
      <c r="S541" s="4"/>
      <c r="T541" s="95"/>
      <c r="W541" s="199"/>
      <c r="Z541" s="4">
        <v>-13.06</v>
      </c>
      <c r="AC541" t="s">
        <v>68</v>
      </c>
      <c r="DG541">
        <f t="shared" ref="DG541:DG579" si="350">Z541</f>
        <v>-13.06</v>
      </c>
      <c r="DH541">
        <f t="shared" ref="DH541:DH579" si="351">$H541</f>
        <v>326.39999999999998</v>
      </c>
      <c r="DL541">
        <f t="shared" ref="DL541:DN579" si="352">$H541</f>
        <v>326.39999999999998</v>
      </c>
      <c r="DN541">
        <f t="shared" si="352"/>
        <v>326.39999999999998</v>
      </c>
      <c r="EY541" s="479">
        <f>VLOOKUP(B541,Literatuur!$A:$B,2,FALSE)</f>
        <v>23</v>
      </c>
      <c r="EZ541" t="str">
        <f t="shared" si="334"/>
        <v>PCB #101</v>
      </c>
      <c r="FA541" t="str">
        <f t="shared" si="335"/>
        <v>PCB</v>
      </c>
      <c r="FB541" t="str">
        <f t="shared" si="336"/>
        <v>LDPE</v>
      </c>
      <c r="FC541" t="str">
        <f t="shared" si="337"/>
        <v>Filmstacking</v>
      </c>
      <c r="FD541" t="str">
        <f t="shared" si="338"/>
        <v>room</v>
      </c>
      <c r="FE541" t="str">
        <f t="shared" si="339"/>
        <v>water</v>
      </c>
      <c r="FF541" t="str">
        <f t="shared" si="340"/>
        <v xml:space="preserve"> </v>
      </c>
      <c r="FG541" s="408" t="str">
        <f t="shared" si="333"/>
        <v/>
      </c>
      <c r="FH541" s="138" t="str">
        <f t="shared" si="341"/>
        <v/>
      </c>
      <c r="FI541" s="106" t="str">
        <f t="shared" si="327"/>
        <v>**</v>
      </c>
      <c r="FJ541" s="138">
        <f t="shared" si="342"/>
        <v>-13.06</v>
      </c>
      <c r="FK541" s="138">
        <f t="shared" si="343"/>
        <v>-13.054789202410257</v>
      </c>
    </row>
    <row r="542" spans="1:167" ht="12.75" hidden="1" customHeight="1" x14ac:dyDescent="0.2">
      <c r="A542">
        <v>507</v>
      </c>
      <c r="B542" t="s">
        <v>1680</v>
      </c>
      <c r="C542" s="4"/>
      <c r="D542" t="s">
        <v>1125</v>
      </c>
      <c r="E542">
        <v>-1618</v>
      </c>
      <c r="F542" t="str">
        <f>VLOOKUP(E542,CompDbase!B:L,4,FALSE)</f>
        <v>PCB #105</v>
      </c>
      <c r="G542" s="95" t="str">
        <f>VLOOKUP(E542,CompDbase!B:M,12,FALSE)</f>
        <v>PCB</v>
      </c>
      <c r="H542" s="95">
        <f>VLOOKUP(E542,CompDbase!B:L,8,FALSE)</f>
        <v>326.39999999999998</v>
      </c>
      <c r="I542" s="95">
        <f>VLOOKUP(E542,CompDbase!B:L,11,FALSE)</f>
        <v>209.9</v>
      </c>
      <c r="J542" s="95">
        <f>VLOOKUP(E542,CompDbase!B:L,9,FALSE)</f>
        <v>2.5926873581400549E-2</v>
      </c>
      <c r="K542" s="95">
        <f>VLOOKUP(E542,CompDbase!B:L,10,FALSE)</f>
        <v>6.7166666666666659</v>
      </c>
      <c r="L542" s="4" t="s">
        <v>769</v>
      </c>
      <c r="M542" s="426">
        <v>910000</v>
      </c>
      <c r="N542" s="426"/>
      <c r="O542" s="4" t="s">
        <v>1740</v>
      </c>
      <c r="P542" s="4" t="s">
        <v>1980</v>
      </c>
      <c r="Q542" s="4" t="s">
        <v>1049</v>
      </c>
      <c r="S542" s="4"/>
      <c r="T542" s="95"/>
      <c r="W542" s="199"/>
      <c r="Z542" s="4">
        <v>-13.02</v>
      </c>
      <c r="AC542" t="s">
        <v>68</v>
      </c>
      <c r="DG542">
        <f t="shared" si="350"/>
        <v>-13.02</v>
      </c>
      <c r="DH542">
        <f t="shared" si="351"/>
        <v>326.39999999999998</v>
      </c>
      <c r="DL542">
        <f t="shared" si="352"/>
        <v>326.39999999999998</v>
      </c>
      <c r="DN542">
        <f t="shared" si="352"/>
        <v>326.39999999999998</v>
      </c>
      <c r="EY542" s="479">
        <f>VLOOKUP(B542,Literatuur!$A:$B,2,FALSE)</f>
        <v>23</v>
      </c>
      <c r="EZ542" t="str">
        <f t="shared" si="334"/>
        <v>PCB #105</v>
      </c>
      <c r="FA542" t="str">
        <f t="shared" si="335"/>
        <v>PCB</v>
      </c>
      <c r="FB542" t="str">
        <f t="shared" si="336"/>
        <v>LDPE</v>
      </c>
      <c r="FC542" t="str">
        <f t="shared" si="337"/>
        <v>Filmstacking</v>
      </c>
      <c r="FD542" t="str">
        <f t="shared" si="338"/>
        <v>room</v>
      </c>
      <c r="FE542" t="str">
        <f t="shared" si="339"/>
        <v>water</v>
      </c>
      <c r="FF542" t="str">
        <f t="shared" si="340"/>
        <v xml:space="preserve"> </v>
      </c>
      <c r="FG542" s="408" t="str">
        <f t="shared" si="333"/>
        <v/>
      </c>
      <c r="FH542" s="138" t="str">
        <f t="shared" si="341"/>
        <v/>
      </c>
      <c r="FI542" s="106" t="str">
        <f t="shared" si="327"/>
        <v>**</v>
      </c>
      <c r="FJ542" s="138">
        <f t="shared" si="342"/>
        <v>-13.02</v>
      </c>
      <c r="FK542" s="138">
        <f t="shared" si="343"/>
        <v>-13.054789202410257</v>
      </c>
    </row>
    <row r="543" spans="1:167" ht="12.75" hidden="1" customHeight="1" x14ac:dyDescent="0.2">
      <c r="A543">
        <v>508</v>
      </c>
      <c r="B543" t="s">
        <v>1680</v>
      </c>
      <c r="C543" s="4"/>
      <c r="D543" t="s">
        <v>1127</v>
      </c>
      <c r="E543">
        <v>-1620</v>
      </c>
      <c r="F543" t="str">
        <f>VLOOKUP(E543,CompDbase!B:L,4,FALSE)</f>
        <v>PCB #110</v>
      </c>
      <c r="G543" s="95" t="str">
        <f>VLOOKUP(E543,CompDbase!B:M,12,FALSE)</f>
        <v>PCB</v>
      </c>
      <c r="H543" s="95">
        <f>VLOOKUP(E543,CompDbase!B:L,8,FALSE)</f>
        <v>326.39999999999998</v>
      </c>
      <c r="I543" s="95">
        <f>VLOOKUP(E543,CompDbase!B:L,11,FALSE)</f>
        <v>209.7</v>
      </c>
      <c r="J543" s="95">
        <f>VLOOKUP(E543,CompDbase!B:L,9,FALSE)</f>
        <v>3.2640000000000002E-2</v>
      </c>
      <c r="K543" s="95">
        <f>VLOOKUP(E543,CompDbase!B:L,10,FALSE)</f>
        <v>6.5266666666666664</v>
      </c>
      <c r="L543" s="4" t="s">
        <v>769</v>
      </c>
      <c r="M543" s="426">
        <v>910000</v>
      </c>
      <c r="N543" s="426"/>
      <c r="O543" s="4" t="s">
        <v>1740</v>
      </c>
      <c r="P543" s="4" t="s">
        <v>1980</v>
      </c>
      <c r="Q543" s="4" t="s">
        <v>1049</v>
      </c>
      <c r="S543" s="4"/>
      <c r="T543" s="95"/>
      <c r="W543" s="199"/>
      <c r="Z543" s="4">
        <v>-13.04</v>
      </c>
      <c r="AC543" t="s">
        <v>68</v>
      </c>
      <c r="DG543">
        <f t="shared" si="350"/>
        <v>-13.04</v>
      </c>
      <c r="DH543">
        <f t="shared" si="351"/>
        <v>326.39999999999998</v>
      </c>
      <c r="DL543">
        <f t="shared" si="352"/>
        <v>326.39999999999998</v>
      </c>
      <c r="DN543">
        <f t="shared" si="352"/>
        <v>326.39999999999998</v>
      </c>
      <c r="EY543" s="479">
        <f>VLOOKUP(B543,Literatuur!$A:$B,2,FALSE)</f>
        <v>23</v>
      </c>
      <c r="EZ543" t="str">
        <f t="shared" si="334"/>
        <v>PCB #110</v>
      </c>
      <c r="FA543" t="str">
        <f t="shared" si="335"/>
        <v>PCB</v>
      </c>
      <c r="FB543" t="str">
        <f t="shared" si="336"/>
        <v>LDPE</v>
      </c>
      <c r="FC543" t="str">
        <f t="shared" si="337"/>
        <v>Filmstacking</v>
      </c>
      <c r="FD543" t="str">
        <f t="shared" si="338"/>
        <v>room</v>
      </c>
      <c r="FE543" t="str">
        <f t="shared" si="339"/>
        <v>water</v>
      </c>
      <c r="FF543" t="str">
        <f t="shared" si="340"/>
        <v xml:space="preserve"> </v>
      </c>
      <c r="FG543" s="408" t="str">
        <f t="shared" si="333"/>
        <v/>
      </c>
      <c r="FH543" s="138" t="str">
        <f t="shared" si="341"/>
        <v/>
      </c>
      <c r="FI543" s="106" t="str">
        <f t="shared" si="327"/>
        <v>**</v>
      </c>
      <c r="FJ543" s="138">
        <f t="shared" si="342"/>
        <v>-13.04</v>
      </c>
      <c r="FK543" s="138">
        <f t="shared" si="343"/>
        <v>-13.054789202410257</v>
      </c>
    </row>
    <row r="544" spans="1:167" ht="12.75" hidden="1" customHeight="1" x14ac:dyDescent="0.2">
      <c r="A544">
        <v>509</v>
      </c>
      <c r="B544" t="s">
        <v>1680</v>
      </c>
      <c r="C544" s="4"/>
      <c r="D544" t="s">
        <v>1128</v>
      </c>
      <c r="E544">
        <v>-1621</v>
      </c>
      <c r="F544" t="str">
        <f>VLOOKUP(E544,CompDbase!B:L,4,FALSE)</f>
        <v>PCB #118</v>
      </c>
      <c r="G544" s="95" t="str">
        <f>VLOOKUP(E544,CompDbase!B:M,12,FALSE)</f>
        <v>PCB</v>
      </c>
      <c r="H544" s="95">
        <f>VLOOKUP(E544,CompDbase!B:L,8,FALSE)</f>
        <v>326.39999999999998</v>
      </c>
      <c r="I544" s="95">
        <f>VLOOKUP(E544,CompDbase!B:L,11,FALSE)</f>
        <v>210.25</v>
      </c>
      <c r="J544" s="95">
        <f>VLOOKUP(E544,CompDbase!B:L,9,FALSE)</f>
        <v>2.5926873581400549E-2</v>
      </c>
      <c r="K544" s="95">
        <f>VLOOKUP(E544,CompDbase!B:L,10,FALSE)</f>
        <v>6.7133333333333338</v>
      </c>
      <c r="L544" s="4" t="s">
        <v>769</v>
      </c>
      <c r="M544" s="426">
        <v>910000</v>
      </c>
      <c r="N544" s="426"/>
      <c r="O544" s="4" t="s">
        <v>1740</v>
      </c>
      <c r="P544" s="4" t="s">
        <v>1980</v>
      </c>
      <c r="Q544" s="4" t="s">
        <v>1049</v>
      </c>
      <c r="S544" s="4"/>
      <c r="T544" s="95"/>
      <c r="W544" s="199"/>
      <c r="Z544" s="4">
        <v>-13.05</v>
      </c>
      <c r="AC544" t="s">
        <v>68</v>
      </c>
      <c r="DG544">
        <f t="shared" si="350"/>
        <v>-13.05</v>
      </c>
      <c r="DH544">
        <f t="shared" si="351"/>
        <v>326.39999999999998</v>
      </c>
      <c r="DL544">
        <f t="shared" si="352"/>
        <v>326.39999999999998</v>
      </c>
      <c r="DN544">
        <f t="shared" si="352"/>
        <v>326.39999999999998</v>
      </c>
      <c r="EY544" s="479">
        <f>VLOOKUP(B544,Literatuur!$A:$B,2,FALSE)</f>
        <v>23</v>
      </c>
      <c r="EZ544" t="str">
        <f t="shared" si="334"/>
        <v>PCB #118</v>
      </c>
      <c r="FA544" t="str">
        <f t="shared" si="335"/>
        <v>PCB</v>
      </c>
      <c r="FB544" t="str">
        <f t="shared" si="336"/>
        <v>LDPE</v>
      </c>
      <c r="FC544" t="str">
        <f t="shared" si="337"/>
        <v>Filmstacking</v>
      </c>
      <c r="FD544" t="str">
        <f t="shared" si="338"/>
        <v>room</v>
      </c>
      <c r="FE544" t="str">
        <f t="shared" si="339"/>
        <v>water</v>
      </c>
      <c r="FF544" t="str">
        <f t="shared" si="340"/>
        <v xml:space="preserve"> </v>
      </c>
      <c r="FG544" s="408" t="str">
        <f t="shared" si="333"/>
        <v/>
      </c>
      <c r="FH544" s="138" t="str">
        <f t="shared" si="341"/>
        <v/>
      </c>
      <c r="FI544" s="106" t="str">
        <f t="shared" ref="FI544:FI607" si="353">IF(ISNUMBER(AL544),AL544*AL$19+AL$21,IF(ISNUMBER(AM544),AM544*AM$19+AM$21,IF(ISNUMBER(AN544),AN544*AN$19+AN$21,"**")))</f>
        <v>**</v>
      </c>
      <c r="FJ544" s="138">
        <f t="shared" si="342"/>
        <v>-13.05</v>
      </c>
      <c r="FK544" s="138">
        <f t="shared" si="343"/>
        <v>-13.054789202410257</v>
      </c>
    </row>
    <row r="545" spans="1:167" ht="12.75" hidden="1" customHeight="1" x14ac:dyDescent="0.2">
      <c r="A545">
        <v>510</v>
      </c>
      <c r="B545" t="s">
        <v>1680</v>
      </c>
      <c r="C545" s="4"/>
      <c r="D545" t="s">
        <v>1130</v>
      </c>
      <c r="E545">
        <v>-1623</v>
      </c>
      <c r="F545" t="str">
        <f>VLOOKUP(E545,CompDbase!B:L,4,FALSE)</f>
        <v>PCB #128</v>
      </c>
      <c r="G545" s="95" t="str">
        <f>VLOOKUP(E545,CompDbase!B:M,12,FALSE)</f>
        <v>PCB</v>
      </c>
      <c r="H545" s="95">
        <f>VLOOKUP(E545,CompDbase!B:L,8,FALSE)</f>
        <v>360.9</v>
      </c>
      <c r="I545" s="95">
        <f>VLOOKUP(E545,CompDbase!B:L,11,FALSE)</f>
        <v>222.6</v>
      </c>
      <c r="J545" s="95">
        <f>VLOOKUP(E545,CompDbase!B:L,9,FALSE)</f>
        <v>1.808784726160826E-2</v>
      </c>
      <c r="K545" s="95">
        <f>VLOOKUP(E545,CompDbase!B:L,10,FALSE)</f>
        <v>6.746666666666667</v>
      </c>
      <c r="L545" s="4" t="s">
        <v>769</v>
      </c>
      <c r="M545" s="426">
        <v>910000</v>
      </c>
      <c r="N545" s="426"/>
      <c r="O545" s="4" t="s">
        <v>1740</v>
      </c>
      <c r="P545" s="4" t="s">
        <v>1980</v>
      </c>
      <c r="Q545" s="4" t="s">
        <v>1049</v>
      </c>
      <c r="S545" s="4"/>
      <c r="T545" s="95"/>
      <c r="W545" s="199"/>
      <c r="Z545" s="4">
        <v>-13.25</v>
      </c>
      <c r="AC545" t="s">
        <v>68</v>
      </c>
      <c r="DG545">
        <f t="shared" si="350"/>
        <v>-13.25</v>
      </c>
      <c r="DH545">
        <f t="shared" si="351"/>
        <v>360.9</v>
      </c>
      <c r="DL545">
        <f t="shared" si="352"/>
        <v>360.9</v>
      </c>
      <c r="DN545">
        <f t="shared" si="352"/>
        <v>360.9</v>
      </c>
      <c r="EY545" s="479">
        <f>VLOOKUP(B545,Literatuur!$A:$B,2,FALSE)</f>
        <v>23</v>
      </c>
      <c r="EZ545" t="str">
        <f t="shared" si="334"/>
        <v>PCB #128</v>
      </c>
      <c r="FA545" t="str">
        <f t="shared" si="335"/>
        <v>PCB</v>
      </c>
      <c r="FB545" t="str">
        <f t="shared" si="336"/>
        <v>LDPE</v>
      </c>
      <c r="FC545" t="str">
        <f t="shared" si="337"/>
        <v>Filmstacking</v>
      </c>
      <c r="FD545" t="str">
        <f t="shared" si="338"/>
        <v>room</v>
      </c>
      <c r="FE545" t="str">
        <f t="shared" si="339"/>
        <v>water</v>
      </c>
      <c r="FF545" t="str">
        <f t="shared" si="340"/>
        <v xml:space="preserve"> </v>
      </c>
      <c r="FG545" s="408" t="str">
        <f t="shared" si="333"/>
        <v/>
      </c>
      <c r="FH545" s="138" t="str">
        <f t="shared" si="341"/>
        <v/>
      </c>
      <c r="FI545" s="106" t="str">
        <f t="shared" si="353"/>
        <v>**</v>
      </c>
      <c r="FJ545" s="138">
        <f t="shared" si="342"/>
        <v>-13.25</v>
      </c>
      <c r="FK545" s="138">
        <f t="shared" si="343"/>
        <v>-13.271955453781915</v>
      </c>
    </row>
    <row r="546" spans="1:167" ht="12.75" hidden="1" customHeight="1" x14ac:dyDescent="0.2">
      <c r="A546">
        <v>511</v>
      </c>
      <c r="B546" t="s">
        <v>1680</v>
      </c>
      <c r="C546" s="4"/>
      <c r="D546" t="s">
        <v>1135</v>
      </c>
      <c r="E546">
        <v>-1628</v>
      </c>
      <c r="F546" t="str">
        <f>VLOOKUP(E546,CompDbase!B:L,4,FALSE)</f>
        <v>PCB #138</v>
      </c>
      <c r="G546" s="95" t="str">
        <f>VLOOKUP(E546,CompDbase!B:M,12,FALSE)</f>
        <v>PCB</v>
      </c>
      <c r="H546" s="95">
        <f>VLOOKUP(E546,CompDbase!B:L,8,FALSE)</f>
        <v>360.9</v>
      </c>
      <c r="I546" s="95">
        <f>VLOOKUP(E546,CompDbase!B:L,11,FALSE)</f>
        <v>223.25</v>
      </c>
      <c r="J546" s="95">
        <f>VLOOKUP(E546,CompDbase!B:L,9,FALSE)</f>
        <v>7.2009016947226761E-3</v>
      </c>
      <c r="K546" s="95">
        <f>VLOOKUP(E546,CompDbase!B:L,10,FALSE)</f>
        <v>6.9433333333333325</v>
      </c>
      <c r="L546" s="4" t="s">
        <v>769</v>
      </c>
      <c r="M546" s="426">
        <v>910000</v>
      </c>
      <c r="N546" s="426"/>
      <c r="O546" s="4" t="s">
        <v>1740</v>
      </c>
      <c r="P546" s="4" t="s">
        <v>1980</v>
      </c>
      <c r="Q546" s="4" t="s">
        <v>1049</v>
      </c>
      <c r="S546" s="4"/>
      <c r="T546" s="95"/>
      <c r="W546" s="199"/>
      <c r="Z546" s="4">
        <v>-13.28</v>
      </c>
      <c r="AC546" t="s">
        <v>68</v>
      </c>
      <c r="DG546">
        <f t="shared" si="350"/>
        <v>-13.28</v>
      </c>
      <c r="DH546">
        <f t="shared" si="351"/>
        <v>360.9</v>
      </c>
      <c r="DL546">
        <f t="shared" si="352"/>
        <v>360.9</v>
      </c>
      <c r="DN546">
        <f t="shared" si="352"/>
        <v>360.9</v>
      </c>
      <c r="EY546" s="479">
        <f>VLOOKUP(B546,Literatuur!$A:$B,2,FALSE)</f>
        <v>23</v>
      </c>
      <c r="EZ546" t="str">
        <f t="shared" si="334"/>
        <v>PCB #138</v>
      </c>
      <c r="FA546" t="str">
        <f t="shared" si="335"/>
        <v>PCB</v>
      </c>
      <c r="FB546" t="str">
        <f t="shared" si="336"/>
        <v>LDPE</v>
      </c>
      <c r="FC546" t="str">
        <f t="shared" si="337"/>
        <v>Filmstacking</v>
      </c>
      <c r="FD546" t="str">
        <f t="shared" si="338"/>
        <v>room</v>
      </c>
      <c r="FE546" t="str">
        <f t="shared" si="339"/>
        <v>water</v>
      </c>
      <c r="FF546" t="str">
        <f t="shared" si="340"/>
        <v xml:space="preserve"> </v>
      </c>
      <c r="FG546" s="408" t="str">
        <f t="shared" si="333"/>
        <v/>
      </c>
      <c r="FH546" s="138" t="str">
        <f t="shared" si="341"/>
        <v/>
      </c>
      <c r="FI546" s="106" t="str">
        <f t="shared" si="353"/>
        <v>**</v>
      </c>
      <c r="FJ546" s="138">
        <f t="shared" si="342"/>
        <v>-13.28</v>
      </c>
      <c r="FK546" s="138">
        <f t="shared" si="343"/>
        <v>-13.271955453781915</v>
      </c>
    </row>
    <row r="547" spans="1:167" ht="12.75" hidden="1" customHeight="1" x14ac:dyDescent="0.2">
      <c r="A547">
        <v>512</v>
      </c>
      <c r="B547" t="s">
        <v>1680</v>
      </c>
      <c r="C547" s="4"/>
      <c r="D547" t="s">
        <v>1136</v>
      </c>
      <c r="E547">
        <v>-1629</v>
      </c>
      <c r="F547" t="str">
        <f>VLOOKUP(E547,CompDbase!B:L,4,FALSE)</f>
        <v>PCB #141</v>
      </c>
      <c r="G547" s="95" t="str">
        <f>VLOOKUP(E547,CompDbase!B:M,12,FALSE)</f>
        <v>PCB</v>
      </c>
      <c r="H547" s="95">
        <f>VLOOKUP(E547,CompDbase!B:L,8,FALSE)</f>
        <v>360.9</v>
      </c>
      <c r="I547" s="95">
        <f>VLOOKUP(E547,CompDbase!B:L,11,FALSE)</f>
        <v>223.55</v>
      </c>
      <c r="J547" s="95">
        <f>VLOOKUP(E547,CompDbase!B:L,9,FALSE)</f>
        <v>1.4367687785275682E-2</v>
      </c>
      <c r="K547" s="95">
        <f>VLOOKUP(E547,CompDbase!B:L,10,FALSE)</f>
        <v>6.84</v>
      </c>
      <c r="L547" s="4" t="s">
        <v>769</v>
      </c>
      <c r="M547" s="426">
        <v>910000</v>
      </c>
      <c r="N547" s="426"/>
      <c r="O547" s="4" t="s">
        <v>1740</v>
      </c>
      <c r="P547" s="4" t="s">
        <v>1980</v>
      </c>
      <c r="Q547" s="4" t="s">
        <v>1049</v>
      </c>
      <c r="S547" s="4"/>
      <c r="T547" s="95"/>
      <c r="W547" s="199"/>
      <c r="Z547" s="4">
        <v>-13.29</v>
      </c>
      <c r="AC547" t="s">
        <v>68</v>
      </c>
      <c r="DG547">
        <f t="shared" si="350"/>
        <v>-13.29</v>
      </c>
      <c r="DH547">
        <f t="shared" si="351"/>
        <v>360.9</v>
      </c>
      <c r="DL547">
        <f t="shared" si="352"/>
        <v>360.9</v>
      </c>
      <c r="DN547">
        <f t="shared" si="352"/>
        <v>360.9</v>
      </c>
      <c r="EY547" s="479">
        <f>VLOOKUP(B547,Literatuur!$A:$B,2,FALSE)</f>
        <v>23</v>
      </c>
      <c r="EZ547" t="str">
        <f t="shared" si="334"/>
        <v>PCB #141</v>
      </c>
      <c r="FA547" t="str">
        <f t="shared" si="335"/>
        <v>PCB</v>
      </c>
      <c r="FB547" t="str">
        <f t="shared" si="336"/>
        <v>LDPE</v>
      </c>
      <c r="FC547" t="str">
        <f t="shared" si="337"/>
        <v>Filmstacking</v>
      </c>
      <c r="FD547" t="str">
        <f t="shared" si="338"/>
        <v>room</v>
      </c>
      <c r="FE547" t="str">
        <f t="shared" si="339"/>
        <v>water</v>
      </c>
      <c r="FF547" t="str">
        <f t="shared" si="340"/>
        <v xml:space="preserve"> </v>
      </c>
      <c r="FG547" s="408" t="str">
        <f t="shared" si="333"/>
        <v/>
      </c>
      <c r="FH547" s="138" t="str">
        <f t="shared" si="341"/>
        <v/>
      </c>
      <c r="FI547" s="106" t="str">
        <f t="shared" si="353"/>
        <v>**</v>
      </c>
      <c r="FJ547" s="138">
        <f t="shared" si="342"/>
        <v>-13.29</v>
      </c>
      <c r="FK547" s="138">
        <f t="shared" si="343"/>
        <v>-13.271955453781915</v>
      </c>
    </row>
    <row r="548" spans="1:167" ht="12.75" hidden="1" customHeight="1" x14ac:dyDescent="0.2">
      <c r="A548">
        <v>513</v>
      </c>
      <c r="B548" s="4" t="s">
        <v>1680</v>
      </c>
      <c r="C548" s="4"/>
      <c r="D548" t="s">
        <v>1138</v>
      </c>
      <c r="E548">
        <v>-1631</v>
      </c>
      <c r="F548" t="str">
        <f>VLOOKUP(E548,CompDbase!B:L,4,FALSE)</f>
        <v>PCB #151</v>
      </c>
      <c r="G548" s="95" t="str">
        <f>VLOOKUP(E548,CompDbase!B:M,12,FALSE)</f>
        <v>PCB</v>
      </c>
      <c r="H548" s="95">
        <f>VLOOKUP(E548,CompDbase!B:L,8,FALSE)</f>
        <v>360.9</v>
      </c>
      <c r="I548" s="95">
        <f>VLOOKUP(E548,CompDbase!B:L,11,FALSE)</f>
        <v>223.15</v>
      </c>
      <c r="J548" s="95">
        <f>VLOOKUP(E548,CompDbase!B:L,9,FALSE)</f>
        <v>2.2771250562290155E-2</v>
      </c>
      <c r="K548" s="95">
        <f>VLOOKUP(E548,CompDbase!B:L,10,FALSE)</f>
        <v>6.6466666666666674</v>
      </c>
      <c r="L548" s="4" t="s">
        <v>769</v>
      </c>
      <c r="M548" s="426">
        <v>910000</v>
      </c>
      <c r="N548" s="426"/>
      <c r="O548" s="4" t="s">
        <v>1740</v>
      </c>
      <c r="P548" s="4" t="s">
        <v>1980</v>
      </c>
      <c r="Q548" s="4" t="s">
        <v>1049</v>
      </c>
      <c r="S548" s="4"/>
      <c r="T548" s="95"/>
      <c r="W548" s="199"/>
      <c r="Z548" s="4">
        <v>-13.26</v>
      </c>
      <c r="AC548" t="s">
        <v>68</v>
      </c>
      <c r="DG548">
        <f t="shared" si="350"/>
        <v>-13.26</v>
      </c>
      <c r="DH548">
        <f t="shared" si="351"/>
        <v>360.9</v>
      </c>
      <c r="DL548">
        <f t="shared" si="352"/>
        <v>360.9</v>
      </c>
      <c r="DN548">
        <f t="shared" si="352"/>
        <v>360.9</v>
      </c>
      <c r="EY548" s="479">
        <f>VLOOKUP(B548,Literatuur!$A:$B,2,FALSE)</f>
        <v>23</v>
      </c>
      <c r="EZ548" t="str">
        <f t="shared" si="334"/>
        <v>PCB #151</v>
      </c>
      <c r="FA548" t="str">
        <f t="shared" si="335"/>
        <v>PCB</v>
      </c>
      <c r="FB548" t="str">
        <f t="shared" si="336"/>
        <v>LDPE</v>
      </c>
      <c r="FC548" t="str">
        <f t="shared" si="337"/>
        <v>Filmstacking</v>
      </c>
      <c r="FD548" t="str">
        <f t="shared" si="338"/>
        <v>room</v>
      </c>
      <c r="FE548" t="str">
        <f t="shared" si="339"/>
        <v>water</v>
      </c>
      <c r="FF548" t="str">
        <f t="shared" si="340"/>
        <v xml:space="preserve"> </v>
      </c>
      <c r="FG548" s="408" t="str">
        <f t="shared" si="333"/>
        <v/>
      </c>
      <c r="FH548" s="138" t="str">
        <f t="shared" si="341"/>
        <v/>
      </c>
      <c r="FI548" s="106" t="str">
        <f t="shared" si="353"/>
        <v>**</v>
      </c>
      <c r="FJ548" s="138">
        <f t="shared" si="342"/>
        <v>-13.26</v>
      </c>
      <c r="FK548" s="138">
        <f t="shared" si="343"/>
        <v>-13.271955453781915</v>
      </c>
    </row>
    <row r="549" spans="1:167" ht="12.75" hidden="1" customHeight="1" x14ac:dyDescent="0.2">
      <c r="A549">
        <v>514</v>
      </c>
      <c r="B549" s="4" t="s">
        <v>1680</v>
      </c>
      <c r="C549" s="4"/>
      <c r="D549" t="s">
        <v>1139</v>
      </c>
      <c r="E549">
        <v>-1632</v>
      </c>
      <c r="F549" t="str">
        <f>VLOOKUP(E549,CompDbase!B:L,4,FALSE)</f>
        <v>PCB #153</v>
      </c>
      <c r="G549" s="95" t="str">
        <f>VLOOKUP(E549,CompDbase!B:M,12,FALSE)</f>
        <v>PCB</v>
      </c>
      <c r="H549" s="95">
        <f>VLOOKUP(E549,CompDbase!B:L,8,FALSE)</f>
        <v>360.9</v>
      </c>
      <c r="I549" s="95">
        <f>VLOOKUP(E549,CompDbase!B:L,11,FALSE)</f>
        <v>223.75</v>
      </c>
      <c r="J549" s="95">
        <f>VLOOKUP(E549,CompDbase!B:L,9,FALSE)</f>
        <v>1.1412660075547663E-2</v>
      </c>
      <c r="K549" s="95">
        <f>VLOOKUP(E549,CompDbase!B:L,10,FALSE)</f>
        <v>6.9066666666666663</v>
      </c>
      <c r="L549" s="4" t="s">
        <v>769</v>
      </c>
      <c r="M549" s="426">
        <v>910000</v>
      </c>
      <c r="N549" s="426"/>
      <c r="O549" s="4" t="s">
        <v>1740</v>
      </c>
      <c r="P549" s="4" t="s">
        <v>1980</v>
      </c>
      <c r="Q549" s="4" t="s">
        <v>1049</v>
      </c>
      <c r="S549" s="4"/>
      <c r="T549" s="95"/>
      <c r="W549" s="199"/>
      <c r="Z549" s="4">
        <v>-13.28</v>
      </c>
      <c r="AC549" t="s">
        <v>68</v>
      </c>
      <c r="DG549">
        <f t="shared" si="350"/>
        <v>-13.28</v>
      </c>
      <c r="DH549">
        <f t="shared" si="351"/>
        <v>360.9</v>
      </c>
      <c r="DL549">
        <f t="shared" si="352"/>
        <v>360.9</v>
      </c>
      <c r="DN549">
        <f t="shared" si="352"/>
        <v>360.9</v>
      </c>
      <c r="EY549" s="479">
        <f>VLOOKUP(B549,Literatuur!$A:$B,2,FALSE)</f>
        <v>23</v>
      </c>
      <c r="EZ549" t="str">
        <f t="shared" si="334"/>
        <v>PCB #153</v>
      </c>
      <c r="FA549" t="str">
        <f t="shared" si="335"/>
        <v>PCB</v>
      </c>
      <c r="FB549" t="str">
        <f t="shared" si="336"/>
        <v>LDPE</v>
      </c>
      <c r="FC549" t="str">
        <f t="shared" si="337"/>
        <v>Filmstacking</v>
      </c>
      <c r="FD549" t="str">
        <f t="shared" si="338"/>
        <v>room</v>
      </c>
      <c r="FE549" t="str">
        <f t="shared" si="339"/>
        <v>water</v>
      </c>
      <c r="FF549" t="str">
        <f t="shared" si="340"/>
        <v xml:space="preserve"> </v>
      </c>
      <c r="FG549" s="408" t="str">
        <f t="shared" si="333"/>
        <v/>
      </c>
      <c r="FH549" s="138" t="str">
        <f t="shared" si="341"/>
        <v/>
      </c>
      <c r="FI549" s="106" t="str">
        <f t="shared" si="353"/>
        <v>**</v>
      </c>
      <c r="FJ549" s="138">
        <f t="shared" si="342"/>
        <v>-13.28</v>
      </c>
      <c r="FK549" s="138">
        <f t="shared" si="343"/>
        <v>-13.271955453781915</v>
      </c>
    </row>
    <row r="550" spans="1:167" ht="12.75" hidden="1" customHeight="1" x14ac:dyDescent="0.2">
      <c r="A550">
        <v>515</v>
      </c>
      <c r="B550" s="4" t="s">
        <v>1680</v>
      </c>
      <c r="C550" s="4"/>
      <c r="D550" t="s">
        <v>1140</v>
      </c>
      <c r="E550">
        <v>-1633</v>
      </c>
      <c r="F550" t="str">
        <f>VLOOKUP(E550,CompDbase!B:L,4,FALSE)</f>
        <v>PCB #155</v>
      </c>
      <c r="G550" s="95" t="str">
        <f>VLOOKUP(E550,CompDbase!B:M,12,FALSE)</f>
        <v>PCB</v>
      </c>
      <c r="H550" s="95">
        <f>VLOOKUP(E550,CompDbase!B:L,8,FALSE)</f>
        <v>360.9</v>
      </c>
      <c r="I550" s="95">
        <f>VLOOKUP(E550,CompDbase!B:L,11,FALSE)</f>
        <v>223.85</v>
      </c>
      <c r="J550" s="95">
        <f>VLOOKUP(E550,CompDbase!B:L,9,FALSE)</f>
        <v>1.1412660075547663E-2</v>
      </c>
      <c r="K550" s="95">
        <f>VLOOKUP(E550,CompDbase!B:L,10,FALSE)</f>
        <v>6.6700000000000008</v>
      </c>
      <c r="L550" s="4" t="s">
        <v>769</v>
      </c>
      <c r="M550" s="426">
        <v>910000</v>
      </c>
      <c r="N550" s="426"/>
      <c r="O550" s="4" t="s">
        <v>1740</v>
      </c>
      <c r="P550" s="4" t="s">
        <v>1980</v>
      </c>
      <c r="Q550" s="4" t="s">
        <v>1049</v>
      </c>
      <c r="S550" s="4"/>
      <c r="T550" s="95"/>
      <c r="W550" s="199"/>
      <c r="Z550" s="4">
        <v>-13.24</v>
      </c>
      <c r="AC550" t="s">
        <v>68</v>
      </c>
      <c r="DG550">
        <f t="shared" si="350"/>
        <v>-13.24</v>
      </c>
      <c r="DH550">
        <f t="shared" si="351"/>
        <v>360.9</v>
      </c>
      <c r="DL550">
        <f t="shared" si="352"/>
        <v>360.9</v>
      </c>
      <c r="DN550">
        <f t="shared" si="352"/>
        <v>360.9</v>
      </c>
      <c r="EY550" s="479">
        <f>VLOOKUP(B550,Literatuur!$A:$B,2,FALSE)</f>
        <v>23</v>
      </c>
      <c r="EZ550" t="str">
        <f t="shared" si="334"/>
        <v>PCB #155</v>
      </c>
      <c r="FA550" t="str">
        <f t="shared" si="335"/>
        <v>PCB</v>
      </c>
      <c r="FB550" t="str">
        <f t="shared" si="336"/>
        <v>LDPE</v>
      </c>
      <c r="FC550" t="str">
        <f t="shared" si="337"/>
        <v>Filmstacking</v>
      </c>
      <c r="FD550" t="str">
        <f t="shared" si="338"/>
        <v>room</v>
      </c>
      <c r="FE550" t="str">
        <f t="shared" si="339"/>
        <v>water</v>
      </c>
      <c r="FF550" t="str">
        <f t="shared" si="340"/>
        <v xml:space="preserve"> </v>
      </c>
      <c r="FG550" s="408" t="str">
        <f t="shared" si="333"/>
        <v/>
      </c>
      <c r="FH550" s="138" t="str">
        <f t="shared" si="341"/>
        <v/>
      </c>
      <c r="FI550" s="106" t="str">
        <f t="shared" si="353"/>
        <v>**</v>
      </c>
      <c r="FJ550" s="138">
        <f t="shared" si="342"/>
        <v>-13.24</v>
      </c>
      <c r="FK550" s="138">
        <f t="shared" si="343"/>
        <v>-13.271955453781915</v>
      </c>
    </row>
    <row r="551" spans="1:167" ht="12.75" hidden="1" customHeight="1" x14ac:dyDescent="0.2">
      <c r="A551">
        <v>516</v>
      </c>
      <c r="B551" s="4" t="s">
        <v>1680</v>
      </c>
      <c r="C551" s="4"/>
      <c r="D551" t="s">
        <v>1141</v>
      </c>
      <c r="E551">
        <v>-1634</v>
      </c>
      <c r="F551" t="str">
        <f>VLOOKUP(E551,CompDbase!B:L,4,FALSE)</f>
        <v>PCB #156</v>
      </c>
      <c r="G551" s="95" t="str">
        <f>VLOOKUP(E551,CompDbase!B:M,12,FALSE)</f>
        <v>PCB</v>
      </c>
      <c r="H551" s="95">
        <f>VLOOKUP(E551,CompDbase!B:L,8,FALSE)</f>
        <v>360.9</v>
      </c>
      <c r="I551" s="95">
        <f>VLOOKUP(E551,CompDbase!B:L,11,FALSE)</f>
        <v>222.05</v>
      </c>
      <c r="J551" s="95">
        <f>VLOOKUP(E551,CompDbase!B:L,9,FALSE)</f>
        <v>5.7198795315921572E-3</v>
      </c>
      <c r="K551" s="95">
        <f>VLOOKUP(E551,CompDbase!B:L,10,FALSE)</f>
        <v>7.2266666666666666</v>
      </c>
      <c r="L551" s="4" t="s">
        <v>769</v>
      </c>
      <c r="M551" s="426">
        <v>910000</v>
      </c>
      <c r="N551" s="426"/>
      <c r="O551" s="4" t="s">
        <v>1740</v>
      </c>
      <c r="P551" s="4" t="s">
        <v>1980</v>
      </c>
      <c r="Q551" s="4" t="s">
        <v>1049</v>
      </c>
      <c r="S551" s="4"/>
      <c r="T551" s="95"/>
      <c r="W551" s="199"/>
      <c r="Z551" s="4">
        <v>-13.34</v>
      </c>
      <c r="AC551" t="s">
        <v>68</v>
      </c>
      <c r="DG551">
        <f t="shared" si="350"/>
        <v>-13.34</v>
      </c>
      <c r="DH551">
        <f t="shared" si="351"/>
        <v>360.9</v>
      </c>
      <c r="DL551">
        <f t="shared" si="352"/>
        <v>360.9</v>
      </c>
      <c r="DN551">
        <f t="shared" si="352"/>
        <v>360.9</v>
      </c>
      <c r="EY551" s="479">
        <f>VLOOKUP(B551,Literatuur!$A:$B,2,FALSE)</f>
        <v>23</v>
      </c>
      <c r="EZ551" t="str">
        <f t="shared" si="334"/>
        <v>PCB #156</v>
      </c>
      <c r="FA551" t="str">
        <f t="shared" si="335"/>
        <v>PCB</v>
      </c>
      <c r="FB551" t="str">
        <f t="shared" si="336"/>
        <v>LDPE</v>
      </c>
      <c r="FC551" t="str">
        <f t="shared" si="337"/>
        <v>Filmstacking</v>
      </c>
      <c r="FD551" t="str">
        <f t="shared" si="338"/>
        <v>room</v>
      </c>
      <c r="FE551" t="str">
        <f t="shared" si="339"/>
        <v>water</v>
      </c>
      <c r="FF551" t="str">
        <f t="shared" si="340"/>
        <v xml:space="preserve"> </v>
      </c>
      <c r="FG551" s="408" t="str">
        <f t="shared" si="333"/>
        <v/>
      </c>
      <c r="FH551" s="138" t="str">
        <f t="shared" si="341"/>
        <v/>
      </c>
      <c r="FI551" s="106" t="str">
        <f t="shared" si="353"/>
        <v>**</v>
      </c>
      <c r="FJ551" s="138">
        <f t="shared" si="342"/>
        <v>-13.34</v>
      </c>
      <c r="FK551" s="138">
        <f t="shared" si="343"/>
        <v>-13.271955453781915</v>
      </c>
    </row>
    <row r="552" spans="1:167" ht="12.75" hidden="1" customHeight="1" x14ac:dyDescent="0.2">
      <c r="A552">
        <v>517</v>
      </c>
      <c r="B552" t="s">
        <v>1680</v>
      </c>
      <c r="C552" s="4"/>
      <c r="D552" t="s">
        <v>1088</v>
      </c>
      <c r="E552">
        <v>-1581</v>
      </c>
      <c r="F552" t="str">
        <f>VLOOKUP(E552,CompDbase!B:L,4,FALSE)</f>
        <v>PCB #18</v>
      </c>
      <c r="G552" s="95" t="str">
        <f>VLOOKUP(E552,CompDbase!B:M,12,FALSE)</f>
        <v>PCB</v>
      </c>
      <c r="H552" s="95">
        <f>VLOOKUP(E552,CompDbase!B:L,8,FALSE)</f>
        <v>257.5</v>
      </c>
      <c r="I552" s="95">
        <f>VLOOKUP(E552,CompDbase!B:L,11,FALSE)</f>
        <v>188.35</v>
      </c>
      <c r="J552" s="95">
        <f>VLOOKUP(E552,CompDbase!B:L,9,FALSE)</f>
        <v>0.81428649749335691</v>
      </c>
      <c r="K552" s="95">
        <f>VLOOKUP(E552,CompDbase!B:L,10,FALSE)</f>
        <v>5.246666666666667</v>
      </c>
      <c r="L552" s="4" t="s">
        <v>769</v>
      </c>
      <c r="M552" s="426">
        <v>910000</v>
      </c>
      <c r="N552" s="426"/>
      <c r="O552" s="4" t="s">
        <v>1740</v>
      </c>
      <c r="P552" s="4" t="s">
        <v>1980</v>
      </c>
      <c r="Q552" s="4" t="s">
        <v>1049</v>
      </c>
      <c r="S552" s="4"/>
      <c r="T552" s="95"/>
      <c r="W552" s="199"/>
      <c r="Z552" s="4">
        <v>-12.68</v>
      </c>
      <c r="AC552" t="s">
        <v>68</v>
      </c>
      <c r="DG552">
        <f t="shared" si="350"/>
        <v>-12.68</v>
      </c>
      <c r="DH552">
        <f t="shared" si="351"/>
        <v>257.5</v>
      </c>
      <c r="DL552">
        <f t="shared" si="352"/>
        <v>257.5</v>
      </c>
      <c r="DN552">
        <f t="shared" si="352"/>
        <v>257.5</v>
      </c>
      <c r="EY552" s="479">
        <f>VLOOKUP(B552,Literatuur!$A:$B,2,FALSE)</f>
        <v>23</v>
      </c>
      <c r="EZ552" t="str">
        <f t="shared" si="334"/>
        <v>PCB #18</v>
      </c>
      <c r="FA552" t="str">
        <f t="shared" si="335"/>
        <v>PCB</v>
      </c>
      <c r="FB552" t="str">
        <f t="shared" si="336"/>
        <v>LDPE</v>
      </c>
      <c r="FC552" t="str">
        <f t="shared" si="337"/>
        <v>Filmstacking</v>
      </c>
      <c r="FD552" t="str">
        <f t="shared" si="338"/>
        <v>room</v>
      </c>
      <c r="FE552" t="str">
        <f t="shared" si="339"/>
        <v>water</v>
      </c>
      <c r="FF552" t="str">
        <f t="shared" si="340"/>
        <v xml:space="preserve"> </v>
      </c>
      <c r="FG552" s="408" t="str">
        <f t="shared" si="333"/>
        <v/>
      </c>
      <c r="FH552" s="138" t="str">
        <f t="shared" si="341"/>
        <v/>
      </c>
      <c r="FI552" s="106" t="str">
        <f t="shared" si="353"/>
        <v>**</v>
      </c>
      <c r="FJ552" s="138">
        <f t="shared" si="342"/>
        <v>-12.68</v>
      </c>
      <c r="FK552" s="138">
        <f t="shared" si="343"/>
        <v>-12.62108616706222</v>
      </c>
    </row>
    <row r="553" spans="1:167" ht="12.75" hidden="1" customHeight="1" x14ac:dyDescent="0.2">
      <c r="A553">
        <v>518</v>
      </c>
      <c r="B553" t="s">
        <v>1680</v>
      </c>
      <c r="C553" s="4"/>
      <c r="D553" t="s">
        <v>1094</v>
      </c>
      <c r="E553">
        <v>-1587</v>
      </c>
      <c r="F553" t="str">
        <f>VLOOKUP(E553,CompDbase!B:L,4,FALSE)</f>
        <v>PCB #29</v>
      </c>
      <c r="G553" s="95" t="str">
        <f>VLOOKUP(E553,CompDbase!B:M,12,FALSE)</f>
        <v>PCB</v>
      </c>
      <c r="H553" s="95">
        <f>VLOOKUP(E553,CompDbase!B:L,8,FALSE)</f>
        <v>257.5</v>
      </c>
      <c r="I553" s="95">
        <f>VLOOKUP(E553,CompDbase!B:L,11,FALSE)</f>
        <v>187.5</v>
      </c>
      <c r="J553" s="95">
        <f>VLOOKUP(E553,CompDbase!B:L,9,FALSE)</f>
        <v>0.32417329353699781</v>
      </c>
      <c r="K553" s="95">
        <f>VLOOKUP(E553,CompDbase!B:L,10,FALSE)</f>
        <v>5.6333333333333329</v>
      </c>
      <c r="L553" s="4" t="s">
        <v>769</v>
      </c>
      <c r="M553" s="426">
        <v>910000</v>
      </c>
      <c r="N553" s="426"/>
      <c r="O553" s="4" t="s">
        <v>1740</v>
      </c>
      <c r="P553" s="4" t="s">
        <v>1980</v>
      </c>
      <c r="Q553" s="4" t="s">
        <v>1049</v>
      </c>
      <c r="S553" s="4"/>
      <c r="T553" s="95"/>
      <c r="W553" s="199"/>
      <c r="Z553" s="4">
        <v>-12.56</v>
      </c>
      <c r="AC553" t="s">
        <v>68</v>
      </c>
      <c r="DG553">
        <f t="shared" si="350"/>
        <v>-12.56</v>
      </c>
      <c r="DH553">
        <f t="shared" si="351"/>
        <v>257.5</v>
      </c>
      <c r="DL553">
        <f t="shared" si="352"/>
        <v>257.5</v>
      </c>
      <c r="DN553">
        <f t="shared" si="352"/>
        <v>257.5</v>
      </c>
      <c r="EY553" s="479">
        <f>VLOOKUP(B553,Literatuur!$A:$B,2,FALSE)</f>
        <v>23</v>
      </c>
      <c r="EZ553" t="str">
        <f t="shared" si="334"/>
        <v>PCB #29</v>
      </c>
      <c r="FA553" t="str">
        <f t="shared" si="335"/>
        <v>PCB</v>
      </c>
      <c r="FB553" t="str">
        <f t="shared" si="336"/>
        <v>LDPE</v>
      </c>
      <c r="FC553" t="str">
        <f t="shared" si="337"/>
        <v>Filmstacking</v>
      </c>
      <c r="FD553" t="str">
        <f t="shared" si="338"/>
        <v>room</v>
      </c>
      <c r="FE553" t="str">
        <f t="shared" si="339"/>
        <v>water</v>
      </c>
      <c r="FF553" t="str">
        <f t="shared" si="340"/>
        <v xml:space="preserve"> </v>
      </c>
      <c r="FG553" s="408" t="str">
        <f t="shared" si="333"/>
        <v/>
      </c>
      <c r="FH553" s="138" t="str">
        <f t="shared" si="341"/>
        <v/>
      </c>
      <c r="FI553" s="106" t="str">
        <f t="shared" si="353"/>
        <v>**</v>
      </c>
      <c r="FJ553" s="138">
        <f t="shared" si="342"/>
        <v>-12.56</v>
      </c>
      <c r="FK553" s="138">
        <f t="shared" si="343"/>
        <v>-12.62108616706222</v>
      </c>
    </row>
    <row r="554" spans="1:167" ht="12.75" hidden="1" customHeight="1" x14ac:dyDescent="0.2">
      <c r="A554">
        <v>519</v>
      </c>
      <c r="B554" t="s">
        <v>1680</v>
      </c>
      <c r="C554" s="4"/>
      <c r="D554" t="s">
        <v>1101</v>
      </c>
      <c r="E554">
        <v>-1594</v>
      </c>
      <c r="F554" t="str">
        <f>VLOOKUP(E554,CompDbase!B:L,4,FALSE)</f>
        <v>PCB #44</v>
      </c>
      <c r="G554" s="95" t="str">
        <f>VLOOKUP(E554,CompDbase!B:M,12,FALSE)</f>
        <v>PCB</v>
      </c>
      <c r="H554" s="95">
        <f>VLOOKUP(E554,CompDbase!B:L,8,FALSE)</f>
        <v>292</v>
      </c>
      <c r="I554" s="95">
        <f>VLOOKUP(E554,CompDbase!B:L,11,FALSE)</f>
        <v>199.95</v>
      </c>
      <c r="J554" s="95">
        <f>VLOOKUP(E554,CompDbase!B:L,9,FALSE)</f>
        <v>0.23194384453949005</v>
      </c>
      <c r="K554" s="95">
        <f>VLOOKUP(E554,CompDbase!B:L,10,FALSE)</f>
        <v>5.7833333333333341</v>
      </c>
      <c r="L554" s="4" t="s">
        <v>769</v>
      </c>
      <c r="M554" s="426">
        <v>910000</v>
      </c>
      <c r="N554" s="426"/>
      <c r="O554" s="4" t="s">
        <v>1740</v>
      </c>
      <c r="P554" s="4" t="s">
        <v>1980</v>
      </c>
      <c r="Q554" s="4" t="s">
        <v>1049</v>
      </c>
      <c r="S554" s="4"/>
      <c r="T554" s="95"/>
      <c r="W554" s="199"/>
      <c r="Z554" s="4">
        <v>-12.86</v>
      </c>
      <c r="AC554" t="s">
        <v>68</v>
      </c>
      <c r="DG554">
        <f t="shared" si="350"/>
        <v>-12.86</v>
      </c>
      <c r="DH554">
        <f t="shared" si="351"/>
        <v>292</v>
      </c>
      <c r="DL554">
        <f t="shared" si="352"/>
        <v>292</v>
      </c>
      <c r="DN554">
        <f t="shared" si="352"/>
        <v>292</v>
      </c>
      <c r="EY554" s="479">
        <f>VLOOKUP(B554,Literatuur!$A:$B,2,FALSE)</f>
        <v>23</v>
      </c>
      <c r="EZ554" t="str">
        <f t="shared" si="334"/>
        <v>PCB #44</v>
      </c>
      <c r="FA554" t="str">
        <f t="shared" si="335"/>
        <v>PCB</v>
      </c>
      <c r="FB554" t="str">
        <f t="shared" si="336"/>
        <v>LDPE</v>
      </c>
      <c r="FC554" t="str">
        <f t="shared" si="337"/>
        <v>Filmstacking</v>
      </c>
      <c r="FD554" t="str">
        <f t="shared" si="338"/>
        <v>room</v>
      </c>
      <c r="FE554" t="str">
        <f t="shared" si="339"/>
        <v>water</v>
      </c>
      <c r="FF554" t="str">
        <f t="shared" si="340"/>
        <v xml:space="preserve"> </v>
      </c>
      <c r="FG554" s="408" t="str">
        <f t="shared" si="333"/>
        <v/>
      </c>
      <c r="FH554" s="138" t="str">
        <f t="shared" si="341"/>
        <v/>
      </c>
      <c r="FI554" s="106" t="str">
        <f t="shared" si="353"/>
        <v>**</v>
      </c>
      <c r="FJ554" s="138">
        <f t="shared" si="342"/>
        <v>-12.86</v>
      </c>
      <c r="FK554" s="138">
        <f t="shared" si="343"/>
        <v>-12.838252418433878</v>
      </c>
    </row>
    <row r="555" spans="1:167" ht="12.75" hidden="1" customHeight="1" x14ac:dyDescent="0.2">
      <c r="A555">
        <v>520</v>
      </c>
      <c r="B555" t="s">
        <v>1680</v>
      </c>
      <c r="C555" s="4"/>
      <c r="D555" t="s">
        <v>1105</v>
      </c>
      <c r="E555">
        <v>-1598</v>
      </c>
      <c r="F555" t="str">
        <f>VLOOKUP(E555,CompDbase!B:L,4,FALSE)</f>
        <v>PCB #56</v>
      </c>
      <c r="G555" s="95" t="str">
        <f>VLOOKUP(E555,CompDbase!B:M,12,FALSE)</f>
        <v>PCB</v>
      </c>
      <c r="H555" s="95">
        <f>VLOOKUP(E555,CompDbase!B:L,8,FALSE)</f>
        <v>292</v>
      </c>
      <c r="I555" s="95">
        <f>VLOOKUP(E555,CompDbase!B:L,11,FALSE)</f>
        <v>198.35</v>
      </c>
      <c r="J555" s="95">
        <f>VLOOKUP(E555,CompDbase!B:L,9,FALSE)</f>
        <v>7.3347083800079663E-2</v>
      </c>
      <c r="K555" s="95">
        <f>VLOOKUP(E555,CompDbase!B:L,10,FALSE)</f>
        <v>6.1366666666666667</v>
      </c>
      <c r="L555" s="4" t="s">
        <v>769</v>
      </c>
      <c r="M555" s="426">
        <v>910000</v>
      </c>
      <c r="N555" s="426"/>
      <c r="O555" s="4" t="s">
        <v>1740</v>
      </c>
      <c r="P555" s="4" t="s">
        <v>1980</v>
      </c>
      <c r="Q555" s="4" t="s">
        <v>1049</v>
      </c>
      <c r="S555" s="4"/>
      <c r="T555" s="95"/>
      <c r="W555" s="199"/>
      <c r="Z555" s="4">
        <v>-12.81</v>
      </c>
      <c r="AC555" t="s">
        <v>68</v>
      </c>
      <c r="DG555">
        <f t="shared" si="350"/>
        <v>-12.81</v>
      </c>
      <c r="DH555">
        <f t="shared" si="351"/>
        <v>292</v>
      </c>
      <c r="DL555">
        <f t="shared" si="352"/>
        <v>292</v>
      </c>
      <c r="DN555">
        <f t="shared" si="352"/>
        <v>292</v>
      </c>
      <c r="EY555" s="479">
        <f>VLOOKUP(B555,Literatuur!$A:$B,2,FALSE)</f>
        <v>23</v>
      </c>
      <c r="EZ555" t="str">
        <f t="shared" si="334"/>
        <v>PCB #56</v>
      </c>
      <c r="FA555" t="str">
        <f t="shared" si="335"/>
        <v>PCB</v>
      </c>
      <c r="FB555" t="str">
        <f t="shared" si="336"/>
        <v>LDPE</v>
      </c>
      <c r="FC555" t="str">
        <f t="shared" si="337"/>
        <v>Filmstacking</v>
      </c>
      <c r="FD555" t="str">
        <f t="shared" si="338"/>
        <v>room</v>
      </c>
      <c r="FE555" t="str">
        <f t="shared" si="339"/>
        <v>water</v>
      </c>
      <c r="FF555" t="str">
        <f t="shared" si="340"/>
        <v xml:space="preserve"> </v>
      </c>
      <c r="FG555" s="408" t="str">
        <f t="shared" si="333"/>
        <v/>
      </c>
      <c r="FH555" s="138" t="str">
        <f t="shared" si="341"/>
        <v/>
      </c>
      <c r="FI555" s="106" t="str">
        <f t="shared" si="353"/>
        <v>**</v>
      </c>
      <c r="FJ555" s="138">
        <f t="shared" si="342"/>
        <v>-12.81</v>
      </c>
      <c r="FK555" s="138">
        <f t="shared" si="343"/>
        <v>-12.838252418433878</v>
      </c>
    </row>
    <row r="556" spans="1:167" ht="12.75" hidden="1" customHeight="1" x14ac:dyDescent="0.2">
      <c r="A556">
        <v>521</v>
      </c>
      <c r="B556" t="s">
        <v>1680</v>
      </c>
      <c r="C556" s="4"/>
      <c r="D556" t="s">
        <v>1111</v>
      </c>
      <c r="E556">
        <v>-1604</v>
      </c>
      <c r="F556" t="str">
        <f>VLOOKUP(E556,CompDbase!B:L,4,FALSE)</f>
        <v>PCB #74</v>
      </c>
      <c r="G556" s="95" t="str">
        <f>VLOOKUP(E556,CompDbase!B:M,12,FALSE)</f>
        <v>PCB</v>
      </c>
      <c r="H556" s="95">
        <f>VLOOKUP(E556,CompDbase!B:L,8,FALSE)</f>
        <v>292</v>
      </c>
      <c r="I556" s="95">
        <f>VLOOKUP(E556,CompDbase!B:L,11,FALSE)</f>
        <v>199.25</v>
      </c>
      <c r="J556" s="95" t="e">
        <f>VLOOKUP(E556,CompDbase!B:L,9,FALSE)</f>
        <v>#DIV/0!</v>
      </c>
      <c r="K556" s="95">
        <f>VLOOKUP(E556,CompDbase!B:L,10,FALSE)</f>
        <v>6.2</v>
      </c>
      <c r="L556" s="4" t="s">
        <v>769</v>
      </c>
      <c r="M556" s="426">
        <v>910000</v>
      </c>
      <c r="N556" s="426"/>
      <c r="O556" s="4" t="s">
        <v>1740</v>
      </c>
      <c r="P556" s="4" t="s">
        <v>1980</v>
      </c>
      <c r="Q556" s="4" t="s">
        <v>1049</v>
      </c>
      <c r="S556" s="4"/>
      <c r="T556" s="95"/>
      <c r="W556" s="199"/>
      <c r="Z556" s="4">
        <v>-12.91</v>
      </c>
      <c r="AC556" t="s">
        <v>68</v>
      </c>
      <c r="DG556">
        <f t="shared" si="350"/>
        <v>-12.91</v>
      </c>
      <c r="DH556">
        <f t="shared" si="351"/>
        <v>292</v>
      </c>
      <c r="DL556">
        <f t="shared" si="352"/>
        <v>292</v>
      </c>
      <c r="DN556">
        <f t="shared" si="352"/>
        <v>292</v>
      </c>
      <c r="EY556" s="479">
        <f>VLOOKUP(B556,Literatuur!$A:$B,2,FALSE)</f>
        <v>23</v>
      </c>
      <c r="EZ556" t="str">
        <f t="shared" si="334"/>
        <v>PCB #74</v>
      </c>
      <c r="FA556" t="str">
        <f t="shared" si="335"/>
        <v>PCB</v>
      </c>
      <c r="FB556" t="str">
        <f t="shared" si="336"/>
        <v>LDPE</v>
      </c>
      <c r="FC556" t="str">
        <f t="shared" si="337"/>
        <v>Filmstacking</v>
      </c>
      <c r="FD556" t="str">
        <f t="shared" si="338"/>
        <v>room</v>
      </c>
      <c r="FE556" t="str">
        <f t="shared" si="339"/>
        <v>water</v>
      </c>
      <c r="FF556" t="str">
        <f t="shared" si="340"/>
        <v xml:space="preserve"> </v>
      </c>
      <c r="FG556" s="408" t="str">
        <f t="shared" si="333"/>
        <v/>
      </c>
      <c r="FH556" s="138" t="str">
        <f t="shared" si="341"/>
        <v/>
      </c>
      <c r="FI556" s="106" t="str">
        <f t="shared" si="353"/>
        <v>**</v>
      </c>
      <c r="FJ556" s="138">
        <f t="shared" si="342"/>
        <v>-12.91</v>
      </c>
      <c r="FK556" s="138">
        <f t="shared" si="343"/>
        <v>-12.838252418433878</v>
      </c>
    </row>
    <row r="557" spans="1:167" ht="12.75" hidden="1" customHeight="1" x14ac:dyDescent="0.2">
      <c r="A557">
        <v>522</v>
      </c>
      <c r="B557" t="s">
        <v>1680</v>
      </c>
      <c r="C557" s="4"/>
      <c r="D557" t="s">
        <v>1116</v>
      </c>
      <c r="E557">
        <v>-1609</v>
      </c>
      <c r="F557" t="str">
        <f>VLOOKUP(E557,CompDbase!B:L,4,FALSE)</f>
        <v>PCB #85</v>
      </c>
      <c r="G557" s="95" t="str">
        <f>VLOOKUP(E557,CompDbase!B:M,12,FALSE)</f>
        <v>PCB</v>
      </c>
      <c r="H557" s="95">
        <f>VLOOKUP(E557,CompDbase!B:L,8,FALSE)</f>
        <v>326.39999999999998</v>
      </c>
      <c r="I557" s="95">
        <f>VLOOKUP(E557,CompDbase!B:L,11,FALSE)</f>
        <v>211.85</v>
      </c>
      <c r="J557" s="95">
        <f>VLOOKUP(E557,CompDbase!B:L,9,FALSE)</f>
        <v>5.1730913801930692E-2</v>
      </c>
      <c r="K557" s="95">
        <f>VLOOKUP(E557,CompDbase!B:L,10,FALSE)</f>
        <v>6.333333333333333</v>
      </c>
      <c r="L557" s="4" t="s">
        <v>769</v>
      </c>
      <c r="M557" s="426">
        <v>910000</v>
      </c>
      <c r="N557" s="426"/>
      <c r="O557" s="4" t="s">
        <v>1740</v>
      </c>
      <c r="P557" s="4" t="s">
        <v>1980</v>
      </c>
      <c r="Q557" s="4" t="s">
        <v>1049</v>
      </c>
      <c r="S557" s="4"/>
      <c r="T557" s="95"/>
      <c r="W557" s="199"/>
      <c r="Z557" s="4">
        <v>-12.99</v>
      </c>
      <c r="AC557" t="s">
        <v>68</v>
      </c>
      <c r="DG557">
        <f t="shared" si="350"/>
        <v>-12.99</v>
      </c>
      <c r="DH557">
        <f t="shared" si="351"/>
        <v>326.39999999999998</v>
      </c>
      <c r="DL557">
        <f t="shared" si="352"/>
        <v>326.39999999999998</v>
      </c>
      <c r="DN557">
        <f t="shared" si="352"/>
        <v>326.39999999999998</v>
      </c>
      <c r="EY557" s="479">
        <f>VLOOKUP(B557,Literatuur!$A:$B,2,FALSE)</f>
        <v>23</v>
      </c>
      <c r="EZ557" t="str">
        <f t="shared" si="334"/>
        <v>PCB #85</v>
      </c>
      <c r="FA557" t="str">
        <f t="shared" si="335"/>
        <v>PCB</v>
      </c>
      <c r="FB557" t="str">
        <f t="shared" si="336"/>
        <v>LDPE</v>
      </c>
      <c r="FC557" t="str">
        <f t="shared" si="337"/>
        <v>Filmstacking</v>
      </c>
      <c r="FD557" t="str">
        <f t="shared" si="338"/>
        <v>room</v>
      </c>
      <c r="FE557" t="str">
        <f t="shared" si="339"/>
        <v>water</v>
      </c>
      <c r="FF557" t="str">
        <f t="shared" si="340"/>
        <v xml:space="preserve"> </v>
      </c>
      <c r="FG557" s="408" t="str">
        <f t="shared" si="333"/>
        <v/>
      </c>
      <c r="FH557" s="138" t="str">
        <f t="shared" si="341"/>
        <v/>
      </c>
      <c r="FI557" s="106" t="str">
        <f t="shared" si="353"/>
        <v>**</v>
      </c>
      <c r="FJ557" s="138">
        <f t="shared" si="342"/>
        <v>-12.99</v>
      </c>
      <c r="FK557" s="138">
        <f t="shared" si="343"/>
        <v>-13.054789202410257</v>
      </c>
    </row>
    <row r="558" spans="1:167" ht="12.75" hidden="1" customHeight="1" x14ac:dyDescent="0.2">
      <c r="A558">
        <v>523</v>
      </c>
      <c r="B558" t="s">
        <v>1680</v>
      </c>
      <c r="C558" s="4"/>
      <c r="D558" t="s">
        <v>1117</v>
      </c>
      <c r="E558">
        <v>-1610</v>
      </c>
      <c r="F558" t="str">
        <f>VLOOKUP(E558,CompDbase!B:L,4,FALSE)</f>
        <v>PCB #87</v>
      </c>
      <c r="G558" s="95" t="str">
        <f>VLOOKUP(E558,CompDbase!B:M,12,FALSE)</f>
        <v>PCB</v>
      </c>
      <c r="H558" s="95">
        <f>VLOOKUP(E558,CompDbase!B:L,8,FALSE)</f>
        <v>326.39999999999998</v>
      </c>
      <c r="I558" s="95">
        <f>VLOOKUP(E558,CompDbase!B:L,11,FALSE)</f>
        <v>211.7</v>
      </c>
      <c r="J558" s="95">
        <f>VLOOKUP(E558,CompDbase!B:L,9,FALSE)</f>
        <v>5.1730913801930692E-2</v>
      </c>
      <c r="K558" s="95">
        <f>VLOOKUP(E558,CompDbase!B:L,10,FALSE)</f>
        <v>6.3299999999999992</v>
      </c>
      <c r="L558" s="4" t="s">
        <v>769</v>
      </c>
      <c r="M558" s="426">
        <v>910000</v>
      </c>
      <c r="N558" s="426"/>
      <c r="O558" s="4" t="s">
        <v>1740</v>
      </c>
      <c r="P558" s="4" t="s">
        <v>1980</v>
      </c>
      <c r="Q558" s="4" t="s">
        <v>1049</v>
      </c>
      <c r="S558" s="4"/>
      <c r="T558" s="95"/>
      <c r="W558" s="199"/>
      <c r="Z558" s="4">
        <v>-13.03</v>
      </c>
      <c r="AC558" t="s">
        <v>68</v>
      </c>
      <c r="DG558">
        <f t="shared" si="350"/>
        <v>-13.03</v>
      </c>
      <c r="DH558">
        <f t="shared" si="351"/>
        <v>326.39999999999998</v>
      </c>
      <c r="DL558">
        <f t="shared" si="352"/>
        <v>326.39999999999998</v>
      </c>
      <c r="DN558">
        <f t="shared" si="352"/>
        <v>326.39999999999998</v>
      </c>
      <c r="EY558" s="479">
        <f>VLOOKUP(B558,Literatuur!$A:$B,2,FALSE)</f>
        <v>23</v>
      </c>
      <c r="EZ558" t="str">
        <f t="shared" si="334"/>
        <v>PCB #87</v>
      </c>
      <c r="FA558" t="str">
        <f t="shared" si="335"/>
        <v>PCB</v>
      </c>
      <c r="FB558" t="str">
        <f t="shared" si="336"/>
        <v>LDPE</v>
      </c>
      <c r="FC558" t="str">
        <f t="shared" si="337"/>
        <v>Filmstacking</v>
      </c>
      <c r="FD558" t="str">
        <f t="shared" si="338"/>
        <v>room</v>
      </c>
      <c r="FE558" t="str">
        <f t="shared" si="339"/>
        <v>water</v>
      </c>
      <c r="FF558" t="str">
        <f t="shared" si="340"/>
        <v xml:space="preserve"> </v>
      </c>
      <c r="FG558" s="408" t="str">
        <f t="shared" si="333"/>
        <v/>
      </c>
      <c r="FH558" s="138" t="str">
        <f t="shared" si="341"/>
        <v/>
      </c>
      <c r="FI558" s="106" t="str">
        <f t="shared" si="353"/>
        <v>**</v>
      </c>
      <c r="FJ558" s="138">
        <f t="shared" si="342"/>
        <v>-13.03</v>
      </c>
      <c r="FK558" s="138">
        <f t="shared" si="343"/>
        <v>-13.054789202410257</v>
      </c>
    </row>
    <row r="559" spans="1:167" ht="12.75" hidden="1" customHeight="1" x14ac:dyDescent="0.2">
      <c r="A559">
        <v>524</v>
      </c>
      <c r="B559" t="s">
        <v>1680</v>
      </c>
      <c r="C559" s="4"/>
      <c r="D559" t="s">
        <v>1120</v>
      </c>
      <c r="E559">
        <v>-1613</v>
      </c>
      <c r="F559" t="str">
        <f>VLOOKUP(E559,CompDbase!B:L,4,FALSE)</f>
        <v>PCB #97</v>
      </c>
      <c r="G559" s="95" t="str">
        <f>VLOOKUP(E559,CompDbase!B:M,12,FALSE)</f>
        <v>PCB</v>
      </c>
      <c r="H559" s="95">
        <f>VLOOKUP(E559,CompDbase!B:L,8,FALSE)</f>
        <v>326.39999999999998</v>
      </c>
      <c r="I559" s="95">
        <f>VLOOKUP(E559,CompDbase!B:L,11,FALSE)</f>
        <v>211.45</v>
      </c>
      <c r="J559" s="95">
        <f>VLOOKUP(E559,CompDbase!B:L,9,FALSE)</f>
        <v>5.1730913801930692E-2</v>
      </c>
      <c r="K559" s="95">
        <f>VLOOKUP(E559,CompDbase!B:L,10,FALSE)</f>
        <v>6.3299999999999992</v>
      </c>
      <c r="L559" s="4" t="s">
        <v>769</v>
      </c>
      <c r="M559" s="426">
        <v>910000</v>
      </c>
      <c r="N559" s="426"/>
      <c r="O559" s="4" t="s">
        <v>1740</v>
      </c>
      <c r="P559" s="4" t="s">
        <v>1980</v>
      </c>
      <c r="Q559" s="4" t="s">
        <v>1049</v>
      </c>
      <c r="S559" s="4"/>
      <c r="T559" s="95"/>
      <c r="W559" s="199"/>
      <c r="Z559" s="4">
        <v>-13.02</v>
      </c>
      <c r="AC559" t="s">
        <v>68</v>
      </c>
      <c r="DG559">
        <f t="shared" si="350"/>
        <v>-13.02</v>
      </c>
      <c r="DH559">
        <f t="shared" si="351"/>
        <v>326.39999999999998</v>
      </c>
      <c r="DL559">
        <f t="shared" si="352"/>
        <v>326.39999999999998</v>
      </c>
      <c r="DN559">
        <f t="shared" si="352"/>
        <v>326.39999999999998</v>
      </c>
      <c r="EY559" s="479">
        <f>VLOOKUP(B559,Literatuur!$A:$B,2,FALSE)</f>
        <v>23</v>
      </c>
      <c r="EZ559" t="str">
        <f t="shared" si="334"/>
        <v>PCB #97</v>
      </c>
      <c r="FA559" t="str">
        <f t="shared" si="335"/>
        <v>PCB</v>
      </c>
      <c r="FB559" t="str">
        <f t="shared" si="336"/>
        <v>LDPE</v>
      </c>
      <c r="FC559" t="str">
        <f t="shared" si="337"/>
        <v>Filmstacking</v>
      </c>
      <c r="FD559" t="str">
        <f t="shared" si="338"/>
        <v>room</v>
      </c>
      <c r="FE559" t="str">
        <f t="shared" si="339"/>
        <v>water</v>
      </c>
      <c r="FF559" t="str">
        <f t="shared" si="340"/>
        <v xml:space="preserve"> </v>
      </c>
      <c r="FG559" s="408" t="str">
        <f t="shared" ref="FG559:FG622" si="354">IF(ISNUMBER(T559),T559,"")</f>
        <v/>
      </c>
      <c r="FH559" s="138" t="str">
        <f t="shared" si="341"/>
        <v/>
      </c>
      <c r="FI559" s="106" t="str">
        <f t="shared" si="353"/>
        <v>**</v>
      </c>
      <c r="FJ559" s="138">
        <f t="shared" si="342"/>
        <v>-13.02</v>
      </c>
      <c r="FK559" s="138">
        <f t="shared" si="343"/>
        <v>-13.054789202410257</v>
      </c>
    </row>
    <row r="560" spans="1:167" ht="12.75" hidden="1" customHeight="1" x14ac:dyDescent="0.2">
      <c r="A560">
        <v>525</v>
      </c>
      <c r="B560" t="s">
        <v>1680</v>
      </c>
      <c r="C560" s="4"/>
      <c r="D560" t="s">
        <v>1000</v>
      </c>
      <c r="E560">
        <v>-1725</v>
      </c>
      <c r="F560" t="str">
        <f>VLOOKUP(E560,CompDbase!B:L,4,FALSE)</f>
        <v>PCB 104</v>
      </c>
      <c r="G560" s="95" t="str">
        <f>VLOOKUP(E560,CompDbase!B:M,12,FALSE)</f>
        <v>PCB</v>
      </c>
      <c r="H560" s="95">
        <f>VLOOKUP(E560,CompDbase!B:L,8,FALSE)</f>
        <v>326.39999999999998</v>
      </c>
      <c r="I560" s="95">
        <f>VLOOKUP(E560,CompDbase!B:L,11,FALSE)</f>
        <v>360.9</v>
      </c>
      <c r="J560" s="95">
        <f>VLOOKUP(E560,CompDbase!B:L,9,FALSE)</f>
        <v>0.20594447723833481</v>
      </c>
      <c r="K560" s="95">
        <f>VLOOKUP(E560,CompDbase!B:L,10,FALSE)</f>
        <v>5.85</v>
      </c>
      <c r="L560" s="4" t="s">
        <v>769</v>
      </c>
      <c r="M560" s="426">
        <v>910000</v>
      </c>
      <c r="N560" s="426"/>
      <c r="O560" s="4" t="s">
        <v>1740</v>
      </c>
      <c r="P560" s="4" t="s">
        <v>1980</v>
      </c>
      <c r="Q560" s="4" t="s">
        <v>1049</v>
      </c>
      <c r="S560" s="4"/>
      <c r="T560" s="95"/>
      <c r="W560" s="199"/>
      <c r="Z560" s="4">
        <v>-13.04</v>
      </c>
      <c r="AC560" t="s">
        <v>68</v>
      </c>
      <c r="DG560">
        <f t="shared" si="350"/>
        <v>-13.04</v>
      </c>
      <c r="DH560">
        <f t="shared" si="351"/>
        <v>326.39999999999998</v>
      </c>
      <c r="DL560">
        <f t="shared" si="352"/>
        <v>326.39999999999998</v>
      </c>
      <c r="DN560">
        <f t="shared" si="352"/>
        <v>326.39999999999998</v>
      </c>
      <c r="EY560" s="479">
        <f>VLOOKUP(B560,Literatuur!$A:$B,2,FALSE)</f>
        <v>23</v>
      </c>
      <c r="EZ560" t="str">
        <f t="shared" ref="EZ560:EZ623" si="355">D560</f>
        <v>PCB 104</v>
      </c>
      <c r="FA560" t="str">
        <f t="shared" ref="FA560:FA623" si="356">G560</f>
        <v>PCB</v>
      </c>
      <c r="FB560" t="str">
        <f t="shared" ref="FB560:FB623" si="357">L560</f>
        <v>LDPE</v>
      </c>
      <c r="FC560" t="str">
        <f t="shared" ref="FC560:FC623" si="358">CONCATENATE(O560)</f>
        <v>Filmstacking</v>
      </c>
      <c r="FD560" t="str">
        <f t="shared" ref="FD560:FD623" si="359">P560</f>
        <v>room</v>
      </c>
      <c r="FE560" t="str">
        <f t="shared" ref="FE560:FE623" si="360">Q560</f>
        <v>water</v>
      </c>
      <c r="FF560" t="str">
        <f t="shared" ref="FF560:FF623" si="361">CONCATENATE(R560," ",S560)</f>
        <v xml:space="preserve"> </v>
      </c>
      <c r="FG560" s="408" t="str">
        <f t="shared" si="354"/>
        <v/>
      </c>
      <c r="FH560" s="138" t="str">
        <f t="shared" ref="FH560:FH623" si="362">IF(ISNUMBER(X560),X560,"")</f>
        <v/>
      </c>
      <c r="FI560" s="106" t="str">
        <f t="shared" si="353"/>
        <v>**</v>
      </c>
      <c r="FJ560" s="138">
        <f t="shared" ref="FJ560:FJ623" si="363">IF(ISNUMBER(Z560),Z560,"")</f>
        <v>-13.04</v>
      </c>
      <c r="FK560" s="138">
        <f t="shared" ref="FK560:FK591" si="364">IF(ISNUMBER(DM560),DM560*DM$19+DM$21,IF(ISNUMBER(DN560),DN560*DN$19+DN$21,IF(ISNUMBER(DO560),DO560*DO$19+DO$21,"**")))</f>
        <v>-13.054789202410257</v>
      </c>
    </row>
    <row r="561" spans="1:167" ht="12.75" hidden="1" customHeight="1" x14ac:dyDescent="0.2">
      <c r="A561">
        <v>526</v>
      </c>
      <c r="B561" t="s">
        <v>1680</v>
      </c>
      <c r="C561" s="4"/>
      <c r="D561" t="s">
        <v>1006</v>
      </c>
      <c r="E561">
        <v>-1731</v>
      </c>
      <c r="F561" t="str">
        <f>VLOOKUP(E561,CompDbase!B:L,4,FALSE)</f>
        <v>PCB 137</v>
      </c>
      <c r="G561" s="95" t="str">
        <f>VLOOKUP(E561,CompDbase!B:M,12,FALSE)</f>
        <v>PCB</v>
      </c>
      <c r="H561" s="95">
        <f>VLOOKUP(E561,CompDbase!B:L,8,FALSE)</f>
        <v>360.9</v>
      </c>
      <c r="I561" s="95">
        <f>VLOOKUP(E561,CompDbase!B:L,11,FALSE)</f>
        <v>360.9</v>
      </c>
      <c r="J561" s="95">
        <f>VLOOKUP(E561,CompDbase!B:L,9,FALSE)</f>
        <v>1.4367687785275682E-2</v>
      </c>
      <c r="K561" s="95">
        <f>VLOOKUP(E561,CompDbase!B:L,10,FALSE)</f>
        <v>6.85</v>
      </c>
      <c r="L561" s="4" t="s">
        <v>769</v>
      </c>
      <c r="M561" s="426">
        <v>910000</v>
      </c>
      <c r="N561" s="426"/>
      <c r="O561" s="4" t="s">
        <v>1740</v>
      </c>
      <c r="P561" s="4" t="s">
        <v>1980</v>
      </c>
      <c r="Q561" s="4" t="s">
        <v>1049</v>
      </c>
      <c r="S561" s="4"/>
      <c r="T561" s="95"/>
      <c r="W561" s="199"/>
      <c r="Z561" s="4">
        <v>-13.28</v>
      </c>
      <c r="AC561" t="s">
        <v>68</v>
      </c>
      <c r="DG561">
        <f t="shared" si="350"/>
        <v>-13.28</v>
      </c>
      <c r="DH561">
        <f t="shared" si="351"/>
        <v>360.9</v>
      </c>
      <c r="DL561">
        <f t="shared" si="352"/>
        <v>360.9</v>
      </c>
      <c r="DN561">
        <f t="shared" si="352"/>
        <v>360.9</v>
      </c>
      <c r="EY561" s="479">
        <f>VLOOKUP(B561,Literatuur!$A:$B,2,FALSE)</f>
        <v>23</v>
      </c>
      <c r="EZ561" t="str">
        <f t="shared" si="355"/>
        <v>PCB 137</v>
      </c>
      <c r="FA561" t="str">
        <f t="shared" si="356"/>
        <v>PCB</v>
      </c>
      <c r="FB561" t="str">
        <f t="shared" si="357"/>
        <v>LDPE</v>
      </c>
      <c r="FC561" t="str">
        <f t="shared" si="358"/>
        <v>Filmstacking</v>
      </c>
      <c r="FD561" t="str">
        <f t="shared" si="359"/>
        <v>room</v>
      </c>
      <c r="FE561" t="str">
        <f t="shared" si="360"/>
        <v>water</v>
      </c>
      <c r="FF561" t="str">
        <f t="shared" si="361"/>
        <v xml:space="preserve"> </v>
      </c>
      <c r="FG561" s="408" t="str">
        <f t="shared" si="354"/>
        <v/>
      </c>
      <c r="FH561" s="138" t="str">
        <f t="shared" si="362"/>
        <v/>
      </c>
      <c r="FI561" s="106" t="str">
        <f t="shared" si="353"/>
        <v>**</v>
      </c>
      <c r="FJ561" s="138">
        <f t="shared" si="363"/>
        <v>-13.28</v>
      </c>
      <c r="FK561" s="138">
        <f t="shared" si="364"/>
        <v>-13.271955453781915</v>
      </c>
    </row>
    <row r="562" spans="1:167" ht="12.75" hidden="1" customHeight="1" x14ac:dyDescent="0.2">
      <c r="A562">
        <v>527</v>
      </c>
      <c r="B562" t="s">
        <v>1680</v>
      </c>
      <c r="C562" s="4"/>
      <c r="D562" t="s">
        <v>978</v>
      </c>
      <c r="E562">
        <v>-1703</v>
      </c>
      <c r="F562" t="str">
        <f>VLOOKUP(E562,CompDbase!B:L,4,FALSE)</f>
        <v>PCB 14</v>
      </c>
      <c r="G562" s="95" t="str">
        <f>VLOOKUP(E562,CompDbase!B:M,12,FALSE)</f>
        <v>PCB</v>
      </c>
      <c r="H562" s="95">
        <f>VLOOKUP(E562,CompDbase!B:L,8,FALSE)</f>
        <v>223.1</v>
      </c>
      <c r="I562" s="95" t="e">
        <f>VLOOKUP(E562,CompDbase!B:L,11,FALSE)</f>
        <v>#DIV/0!</v>
      </c>
      <c r="J562" s="95">
        <f>VLOOKUP(E562,CompDbase!B:L,9,FALSE)</f>
        <v>0.56040186286978677</v>
      </c>
      <c r="K562" s="95">
        <f>VLOOKUP(E562,CompDbase!B:L,10,FALSE)</f>
        <v>5.3</v>
      </c>
      <c r="L562" s="4" t="s">
        <v>769</v>
      </c>
      <c r="M562" s="426">
        <v>910000</v>
      </c>
      <c r="N562" s="426"/>
      <c r="O562" s="4" t="s">
        <v>1740</v>
      </c>
      <c r="P562" s="4" t="s">
        <v>1980</v>
      </c>
      <c r="Q562" s="4" t="s">
        <v>1049</v>
      </c>
      <c r="S562" s="4"/>
      <c r="T562" s="95"/>
      <c r="W562" s="199"/>
      <c r="Z562" s="4">
        <v>-12.42</v>
      </c>
      <c r="AC562" t="s">
        <v>68</v>
      </c>
      <c r="DG562">
        <f t="shared" si="350"/>
        <v>-12.42</v>
      </c>
      <c r="DH562">
        <f t="shared" si="351"/>
        <v>223.1</v>
      </c>
      <c r="DL562">
        <f t="shared" si="352"/>
        <v>223.1</v>
      </c>
      <c r="DN562">
        <f t="shared" si="352"/>
        <v>223.1</v>
      </c>
      <c r="EY562" s="479">
        <f>VLOOKUP(B562,Literatuur!$A:$B,2,FALSE)</f>
        <v>23</v>
      </c>
      <c r="EZ562" t="str">
        <f t="shared" si="355"/>
        <v>PCB 14</v>
      </c>
      <c r="FA562" t="str">
        <f t="shared" si="356"/>
        <v>PCB</v>
      </c>
      <c r="FB562" t="str">
        <f t="shared" si="357"/>
        <v>LDPE</v>
      </c>
      <c r="FC562" t="str">
        <f t="shared" si="358"/>
        <v>Filmstacking</v>
      </c>
      <c r="FD562" t="str">
        <f t="shared" si="359"/>
        <v>room</v>
      </c>
      <c r="FE562" t="str">
        <f t="shared" si="360"/>
        <v>water</v>
      </c>
      <c r="FF562" t="str">
        <f t="shared" si="361"/>
        <v xml:space="preserve"> </v>
      </c>
      <c r="FG562" s="408" t="str">
        <f t="shared" si="354"/>
        <v/>
      </c>
      <c r="FH562" s="138" t="str">
        <f t="shared" si="362"/>
        <v/>
      </c>
      <c r="FI562" s="106" t="str">
        <f t="shared" si="353"/>
        <v>**</v>
      </c>
      <c r="FJ562" s="138">
        <f t="shared" si="363"/>
        <v>-12.42</v>
      </c>
      <c r="FK562" s="138">
        <f t="shared" si="364"/>
        <v>-12.404549383085843</v>
      </c>
    </row>
    <row r="563" spans="1:167" ht="12.75" hidden="1" customHeight="1" x14ac:dyDescent="0.2">
      <c r="A563">
        <v>528</v>
      </c>
      <c r="B563" t="s">
        <v>1680</v>
      </c>
      <c r="C563" s="4"/>
      <c r="D563" t="s">
        <v>1010</v>
      </c>
      <c r="E563">
        <v>-1735</v>
      </c>
      <c r="F563" t="str">
        <f>VLOOKUP(E563,CompDbase!B:L,4,FALSE)</f>
        <v>PCB 145</v>
      </c>
      <c r="G563" s="95" t="str">
        <f>VLOOKUP(E563,CompDbase!B:M,12,FALSE)</f>
        <v>PCB</v>
      </c>
      <c r="H563" s="95">
        <f>VLOOKUP(E563,CompDbase!B:L,8,FALSE)</f>
        <v>360.9</v>
      </c>
      <c r="I563" s="95" t="e">
        <f>VLOOKUP(E563,CompDbase!B:L,11,FALSE)</f>
        <v>#DIV/0!</v>
      </c>
      <c r="J563" s="95">
        <f>VLOOKUP(E563,CompDbase!B:L,9,FALSE)</f>
        <v>7.2009016947226723E-2</v>
      </c>
      <c r="K563" s="95">
        <f>VLOOKUP(E563,CompDbase!B:L,10,FALSE)</f>
        <v>6.3</v>
      </c>
      <c r="L563" s="4" t="s">
        <v>769</v>
      </c>
      <c r="M563" s="426">
        <v>910000</v>
      </c>
      <c r="N563" s="426"/>
      <c r="O563" s="4" t="s">
        <v>1740</v>
      </c>
      <c r="P563" s="4" t="s">
        <v>1980</v>
      </c>
      <c r="Q563" s="4" t="s">
        <v>1049</v>
      </c>
      <c r="S563" s="4"/>
      <c r="T563" s="95"/>
      <c r="W563" s="199"/>
      <c r="Z563" s="4">
        <v>-13.22</v>
      </c>
      <c r="AC563" t="s">
        <v>68</v>
      </c>
      <c r="DG563">
        <f t="shared" si="350"/>
        <v>-13.22</v>
      </c>
      <c r="DH563">
        <f t="shared" si="351"/>
        <v>360.9</v>
      </c>
      <c r="DL563">
        <f t="shared" si="352"/>
        <v>360.9</v>
      </c>
      <c r="DN563">
        <f t="shared" si="352"/>
        <v>360.9</v>
      </c>
      <c r="EY563" s="479">
        <f>VLOOKUP(B563,Literatuur!$A:$B,2,FALSE)</f>
        <v>23</v>
      </c>
      <c r="EZ563" t="str">
        <f t="shared" si="355"/>
        <v>PCB 145</v>
      </c>
      <c r="FA563" t="str">
        <f t="shared" si="356"/>
        <v>PCB</v>
      </c>
      <c r="FB563" t="str">
        <f t="shared" si="357"/>
        <v>LDPE</v>
      </c>
      <c r="FC563" t="str">
        <f t="shared" si="358"/>
        <v>Filmstacking</v>
      </c>
      <c r="FD563" t="str">
        <f t="shared" si="359"/>
        <v>room</v>
      </c>
      <c r="FE563" t="str">
        <f t="shared" si="360"/>
        <v>water</v>
      </c>
      <c r="FF563" t="str">
        <f t="shared" si="361"/>
        <v xml:space="preserve"> </v>
      </c>
      <c r="FG563" s="408" t="str">
        <f t="shared" si="354"/>
        <v/>
      </c>
      <c r="FH563" s="138" t="str">
        <f t="shared" si="362"/>
        <v/>
      </c>
      <c r="FI563" s="106" t="str">
        <f t="shared" si="353"/>
        <v>**</v>
      </c>
      <c r="FJ563" s="138">
        <f t="shared" si="363"/>
        <v>-13.22</v>
      </c>
      <c r="FK563" s="138">
        <f t="shared" si="364"/>
        <v>-13.271955453781915</v>
      </c>
    </row>
    <row r="564" spans="1:167" ht="12.75" hidden="1" customHeight="1" x14ac:dyDescent="0.2">
      <c r="A564">
        <v>529</v>
      </c>
      <c r="B564" t="s">
        <v>1680</v>
      </c>
      <c r="C564" s="4"/>
      <c r="D564" t="s">
        <v>1011</v>
      </c>
      <c r="E564">
        <v>-1736</v>
      </c>
      <c r="F564" t="str">
        <f>VLOOKUP(E564,CompDbase!B:L,4,FALSE)</f>
        <v>PCB 149</v>
      </c>
      <c r="G564" s="95" t="str">
        <f>VLOOKUP(E564,CompDbase!B:M,12,FALSE)</f>
        <v>PCB</v>
      </c>
      <c r="H564" s="95">
        <f>VLOOKUP(E564,CompDbase!B:L,8,FALSE)</f>
        <v>360.9</v>
      </c>
      <c r="I564" s="95">
        <f>VLOOKUP(E564,CompDbase!B:L,11,FALSE)</f>
        <v>360.9</v>
      </c>
      <c r="J564" s="95">
        <f>VLOOKUP(E564,CompDbase!B:L,9,FALSE)</f>
        <v>2.2771250562290155E-2</v>
      </c>
      <c r="K564" s="95">
        <f>VLOOKUP(E564,CompDbase!B:L,10,FALSE)</f>
        <v>6.75</v>
      </c>
      <c r="L564" s="4" t="s">
        <v>769</v>
      </c>
      <c r="M564" s="426">
        <v>910000</v>
      </c>
      <c r="N564" s="426"/>
      <c r="O564" s="4" t="s">
        <v>1740</v>
      </c>
      <c r="P564" s="4" t="s">
        <v>1980</v>
      </c>
      <c r="Q564" s="4" t="s">
        <v>1049</v>
      </c>
      <c r="S564" s="4"/>
      <c r="T564" s="95"/>
      <c r="W564" s="199"/>
      <c r="Z564" s="4">
        <v>-13.25</v>
      </c>
      <c r="AC564" t="s">
        <v>68</v>
      </c>
      <c r="DG564">
        <f t="shared" si="350"/>
        <v>-13.25</v>
      </c>
      <c r="DH564">
        <f t="shared" si="351"/>
        <v>360.9</v>
      </c>
      <c r="DL564">
        <f t="shared" si="352"/>
        <v>360.9</v>
      </c>
      <c r="DN564">
        <f t="shared" si="352"/>
        <v>360.9</v>
      </c>
      <c r="EY564" s="479">
        <f>VLOOKUP(B564,Literatuur!$A:$B,2,FALSE)</f>
        <v>23</v>
      </c>
      <c r="EZ564" t="str">
        <f t="shared" si="355"/>
        <v>PCB 149</v>
      </c>
      <c r="FA564" t="str">
        <f t="shared" si="356"/>
        <v>PCB</v>
      </c>
      <c r="FB564" t="str">
        <f t="shared" si="357"/>
        <v>LDPE</v>
      </c>
      <c r="FC564" t="str">
        <f t="shared" si="358"/>
        <v>Filmstacking</v>
      </c>
      <c r="FD564" t="str">
        <f t="shared" si="359"/>
        <v>room</v>
      </c>
      <c r="FE564" t="str">
        <f t="shared" si="360"/>
        <v>water</v>
      </c>
      <c r="FF564" t="str">
        <f t="shared" si="361"/>
        <v xml:space="preserve"> </v>
      </c>
      <c r="FG564" s="408" t="str">
        <f t="shared" si="354"/>
        <v/>
      </c>
      <c r="FH564" s="138" t="str">
        <f t="shared" si="362"/>
        <v/>
      </c>
      <c r="FI564" s="106" t="str">
        <f t="shared" si="353"/>
        <v>**</v>
      </c>
      <c r="FJ564" s="138">
        <f t="shared" si="363"/>
        <v>-13.25</v>
      </c>
      <c r="FK564" s="138">
        <f t="shared" si="364"/>
        <v>-13.271955453781915</v>
      </c>
    </row>
    <row r="565" spans="1:167" ht="12.75" hidden="1" customHeight="1" x14ac:dyDescent="0.2">
      <c r="A565">
        <v>530</v>
      </c>
      <c r="B565" s="4" t="s">
        <v>1680</v>
      </c>
      <c r="C565" s="4"/>
      <c r="D565" t="s">
        <v>1016</v>
      </c>
      <c r="E565">
        <v>-1741</v>
      </c>
      <c r="F565" t="str">
        <f>VLOOKUP(E565,CompDbase!B:L,4,FALSE)</f>
        <v>PCB 170</v>
      </c>
      <c r="G565" s="95" t="str">
        <f>VLOOKUP(E565,CompDbase!B:M,12,FALSE)</f>
        <v>PCB</v>
      </c>
      <c r="H565" s="95">
        <f>VLOOKUP(E565,CompDbase!B:L,8,FALSE)</f>
        <v>395.3</v>
      </c>
      <c r="I565" s="95">
        <f>VLOOKUP(E565,CompDbase!B:L,11,FALSE)</f>
        <v>360.9</v>
      </c>
      <c r="J565" s="95">
        <f>VLOOKUP(E565,CompDbase!B:L,9,FALSE)</f>
        <v>4.9765321528223378E-3</v>
      </c>
      <c r="K565" s="95">
        <f>VLOOKUP(E565,CompDbase!B:L,10,FALSE)</f>
        <v>7.35</v>
      </c>
      <c r="L565" s="4" t="s">
        <v>769</v>
      </c>
      <c r="M565" s="426">
        <v>910000</v>
      </c>
      <c r="N565" s="426"/>
      <c r="O565" s="4" t="s">
        <v>1740</v>
      </c>
      <c r="P565" s="4" t="s">
        <v>1980</v>
      </c>
      <c r="Q565" s="4" t="s">
        <v>1049</v>
      </c>
      <c r="S565" s="4"/>
      <c r="T565" s="95"/>
      <c r="W565" s="199"/>
      <c r="Z565" s="4">
        <v>-13.56</v>
      </c>
      <c r="AC565" t="s">
        <v>68</v>
      </c>
      <c r="DG565">
        <f t="shared" si="350"/>
        <v>-13.56</v>
      </c>
      <c r="DH565">
        <f t="shared" si="351"/>
        <v>395.3</v>
      </c>
      <c r="DL565">
        <f t="shared" si="352"/>
        <v>395.3</v>
      </c>
      <c r="DN565">
        <f t="shared" si="352"/>
        <v>395.3</v>
      </c>
      <c r="EY565" s="479">
        <f>VLOOKUP(B565,Literatuur!$A:$B,2,FALSE)</f>
        <v>23</v>
      </c>
      <c r="EZ565" t="str">
        <f t="shared" si="355"/>
        <v>PCB 170</v>
      </c>
      <c r="FA565" t="str">
        <f t="shared" si="356"/>
        <v>PCB</v>
      </c>
      <c r="FB565" t="str">
        <f t="shared" si="357"/>
        <v>LDPE</v>
      </c>
      <c r="FC565" t="str">
        <f t="shared" si="358"/>
        <v>Filmstacking</v>
      </c>
      <c r="FD565" t="str">
        <f t="shared" si="359"/>
        <v>room</v>
      </c>
      <c r="FE565" t="str">
        <f t="shared" si="360"/>
        <v>water</v>
      </c>
      <c r="FF565" t="str">
        <f t="shared" si="361"/>
        <v xml:space="preserve"> </v>
      </c>
      <c r="FG565" s="408" t="str">
        <f t="shared" si="354"/>
        <v/>
      </c>
      <c r="FH565" s="138" t="str">
        <f t="shared" si="362"/>
        <v/>
      </c>
      <c r="FI565" s="106" t="str">
        <f t="shared" si="353"/>
        <v>**</v>
      </c>
      <c r="FJ565" s="138">
        <f t="shared" si="363"/>
        <v>-13.56</v>
      </c>
      <c r="FK565" s="138">
        <f t="shared" si="364"/>
        <v>-13.488492237758294</v>
      </c>
    </row>
    <row r="566" spans="1:167" ht="12.75" hidden="1" customHeight="1" x14ac:dyDescent="0.2">
      <c r="A566">
        <v>531</v>
      </c>
      <c r="B566" s="4" t="s">
        <v>1680</v>
      </c>
      <c r="C566" s="4"/>
      <c r="D566" t="s">
        <v>1017</v>
      </c>
      <c r="E566">
        <v>-1742</v>
      </c>
      <c r="F566" t="str">
        <f>VLOOKUP(E566,CompDbase!B:L,4,FALSE)</f>
        <v>PCB 180</v>
      </c>
      <c r="G566" s="95" t="str">
        <f>VLOOKUP(E566,CompDbase!B:M,12,FALSE)</f>
        <v>PCB</v>
      </c>
      <c r="H566" s="95">
        <f>VLOOKUP(E566,CompDbase!B:L,8,FALSE)</f>
        <v>395.3</v>
      </c>
      <c r="I566" s="95">
        <f>VLOOKUP(E566,CompDbase!B:L,11,FALSE)</f>
        <v>360.9</v>
      </c>
      <c r="J566" s="95">
        <f>VLOOKUP(E566,CompDbase!B:L,9,FALSE)</f>
        <v>6.2650827897987801E-3</v>
      </c>
      <c r="K566" s="95">
        <f>VLOOKUP(E566,CompDbase!B:L,10,FALSE)</f>
        <v>7.3000000000000007</v>
      </c>
      <c r="L566" s="4" t="s">
        <v>769</v>
      </c>
      <c r="M566" s="426">
        <v>910000</v>
      </c>
      <c r="N566" s="426"/>
      <c r="O566" s="4" t="s">
        <v>1740</v>
      </c>
      <c r="P566" s="4" t="s">
        <v>1980</v>
      </c>
      <c r="Q566" s="4" t="s">
        <v>1049</v>
      </c>
      <c r="S566" s="4"/>
      <c r="T566" s="95"/>
      <c r="W566" s="199"/>
      <c r="Z566" s="4">
        <v>-13.57</v>
      </c>
      <c r="AC566" t="s">
        <v>68</v>
      </c>
      <c r="DG566">
        <f t="shared" si="350"/>
        <v>-13.57</v>
      </c>
      <c r="DH566">
        <f t="shared" si="351"/>
        <v>395.3</v>
      </c>
      <c r="DL566">
        <f t="shared" si="352"/>
        <v>395.3</v>
      </c>
      <c r="DN566">
        <f t="shared" si="352"/>
        <v>395.3</v>
      </c>
      <c r="EY566" s="479">
        <f>VLOOKUP(B566,Literatuur!$A:$B,2,FALSE)</f>
        <v>23</v>
      </c>
      <c r="EZ566" t="str">
        <f t="shared" si="355"/>
        <v>PCB 180</v>
      </c>
      <c r="FA566" t="str">
        <f t="shared" si="356"/>
        <v>PCB</v>
      </c>
      <c r="FB566" t="str">
        <f t="shared" si="357"/>
        <v>LDPE</v>
      </c>
      <c r="FC566" t="str">
        <f t="shared" si="358"/>
        <v>Filmstacking</v>
      </c>
      <c r="FD566" t="str">
        <f t="shared" si="359"/>
        <v>room</v>
      </c>
      <c r="FE566" t="str">
        <f t="shared" si="360"/>
        <v>water</v>
      </c>
      <c r="FF566" t="str">
        <f t="shared" si="361"/>
        <v xml:space="preserve"> </v>
      </c>
      <c r="FG566" s="408" t="str">
        <f t="shared" si="354"/>
        <v/>
      </c>
      <c r="FH566" s="138" t="str">
        <f t="shared" si="362"/>
        <v/>
      </c>
      <c r="FI566" s="106" t="str">
        <f t="shared" si="353"/>
        <v>**</v>
      </c>
      <c r="FJ566" s="138">
        <f t="shared" si="363"/>
        <v>-13.57</v>
      </c>
      <c r="FK566" s="138">
        <f t="shared" si="364"/>
        <v>-13.488492237758294</v>
      </c>
    </row>
    <row r="567" spans="1:167" ht="12.75" hidden="1" customHeight="1" x14ac:dyDescent="0.2">
      <c r="A567">
        <v>532</v>
      </c>
      <c r="B567" s="4" t="s">
        <v>1680</v>
      </c>
      <c r="C567" s="4"/>
      <c r="D567" t="s">
        <v>1599</v>
      </c>
      <c r="E567">
        <v>-1743</v>
      </c>
      <c r="F567" t="str">
        <f>VLOOKUP(E567,CompDbase!B:L,4,FALSE)</f>
        <v>PCB 187</v>
      </c>
      <c r="G567" s="95" t="str">
        <f>VLOOKUP(E567,CompDbase!B:M,12,FALSE)</f>
        <v>PCB</v>
      </c>
      <c r="H567" s="95">
        <f>VLOOKUP(E567,CompDbase!B:L,8,FALSE)</f>
        <v>395.3</v>
      </c>
      <c r="I567" s="95">
        <f>VLOOKUP(E567,CompDbase!B:L,11,FALSE)</f>
        <v>235</v>
      </c>
      <c r="J567" s="95">
        <f>VLOOKUP(E567,CompDbase!B:L,9,FALSE)</f>
        <v>6.2650827897987801E-3</v>
      </c>
      <c r="K567" s="95">
        <f>VLOOKUP(E567,CompDbase!B:L,10,FALSE)</f>
        <v>7.25</v>
      </c>
      <c r="L567" s="4" t="s">
        <v>769</v>
      </c>
      <c r="M567" s="426">
        <v>910000</v>
      </c>
      <c r="N567" s="426"/>
      <c r="O567" s="4" t="s">
        <v>1740</v>
      </c>
      <c r="P567" s="4" t="s">
        <v>1980</v>
      </c>
      <c r="Q567" s="4" t="s">
        <v>1049</v>
      </c>
      <c r="S567" s="4"/>
      <c r="T567" s="95"/>
      <c r="W567" s="199"/>
      <c r="Z567" s="4">
        <v>-13.5</v>
      </c>
      <c r="AC567" t="s">
        <v>68</v>
      </c>
      <c r="AG567" s="138"/>
      <c r="BW567" s="138"/>
      <c r="DG567">
        <f t="shared" si="350"/>
        <v>-13.5</v>
      </c>
      <c r="DH567">
        <f t="shared" si="351"/>
        <v>395.3</v>
      </c>
      <c r="DL567">
        <f t="shared" si="352"/>
        <v>395.3</v>
      </c>
      <c r="DN567">
        <f t="shared" si="352"/>
        <v>395.3</v>
      </c>
      <c r="EY567" s="479">
        <f>VLOOKUP(B567,Literatuur!$A:$B,2,FALSE)</f>
        <v>23</v>
      </c>
      <c r="EZ567" t="str">
        <f t="shared" si="355"/>
        <v>PCB 187</v>
      </c>
      <c r="FA567" t="str">
        <f t="shared" si="356"/>
        <v>PCB</v>
      </c>
      <c r="FB567" t="str">
        <f t="shared" si="357"/>
        <v>LDPE</v>
      </c>
      <c r="FC567" t="str">
        <f t="shared" si="358"/>
        <v>Filmstacking</v>
      </c>
      <c r="FD567" t="str">
        <f t="shared" si="359"/>
        <v>room</v>
      </c>
      <c r="FE567" t="str">
        <f t="shared" si="360"/>
        <v>water</v>
      </c>
      <c r="FF567" t="str">
        <f t="shared" si="361"/>
        <v xml:space="preserve"> </v>
      </c>
      <c r="FG567" s="408" t="str">
        <f t="shared" si="354"/>
        <v/>
      </c>
      <c r="FH567" s="138" t="str">
        <f t="shared" si="362"/>
        <v/>
      </c>
      <c r="FI567" s="106" t="str">
        <f t="shared" si="353"/>
        <v>**</v>
      </c>
      <c r="FJ567" s="138">
        <f t="shared" si="363"/>
        <v>-13.5</v>
      </c>
      <c r="FK567" s="138">
        <f t="shared" si="364"/>
        <v>-13.488492237758294</v>
      </c>
    </row>
    <row r="568" spans="1:167" ht="12.75" hidden="1" customHeight="1" x14ac:dyDescent="0.2">
      <c r="A568">
        <v>533</v>
      </c>
      <c r="B568" s="4" t="s">
        <v>1680</v>
      </c>
      <c r="C568" s="4"/>
      <c r="D568" t="s">
        <v>1739</v>
      </c>
      <c r="E568">
        <v>-1646</v>
      </c>
      <c r="F568" t="str">
        <f>VLOOKUP(E568,CompDbase!B:L,4,FALSE)</f>
        <v>PCB #194</v>
      </c>
      <c r="G568" s="95" t="str">
        <f>VLOOKUP(E568,CompDbase!B:M,12,FALSE)</f>
        <v>PCB</v>
      </c>
      <c r="H568" s="95">
        <f>VLOOKUP(E568,CompDbase!B:L,8,FALSE)</f>
        <v>429.8</v>
      </c>
      <c r="I568" s="95">
        <f>VLOOKUP(E568,CompDbase!B:L,11,FALSE)</f>
        <v>246.55</v>
      </c>
      <c r="J568" s="95" t="e">
        <f>VLOOKUP(E568,CompDbase!B:L,9,FALSE)</f>
        <v>#DIV/0!</v>
      </c>
      <c r="K568" s="95">
        <f>VLOOKUP(E568,CompDbase!B:L,10,FALSE)</f>
        <v>7.8</v>
      </c>
      <c r="L568" s="4" t="s">
        <v>769</v>
      </c>
      <c r="M568" s="426">
        <v>910000</v>
      </c>
      <c r="N568" s="426"/>
      <c r="O568" s="4" t="s">
        <v>1740</v>
      </c>
      <c r="P568" s="4" t="s">
        <v>1980</v>
      </c>
      <c r="Q568" s="4" t="s">
        <v>1049</v>
      </c>
      <c r="S568" s="4"/>
      <c r="T568" s="95"/>
      <c r="W568" s="199"/>
      <c r="Z568" s="4">
        <v>-13.71</v>
      </c>
      <c r="AC568" t="s">
        <v>68</v>
      </c>
      <c r="DG568">
        <f t="shared" si="350"/>
        <v>-13.71</v>
      </c>
      <c r="DH568">
        <f t="shared" si="351"/>
        <v>429.8</v>
      </c>
      <c r="DL568">
        <f t="shared" si="352"/>
        <v>429.8</v>
      </c>
      <c r="DN568">
        <f t="shared" si="352"/>
        <v>429.8</v>
      </c>
      <c r="EY568" s="479">
        <f>VLOOKUP(B568,Literatuur!$A:$B,2,FALSE)</f>
        <v>23</v>
      </c>
      <c r="EZ568" t="str">
        <f t="shared" si="355"/>
        <v>PCB 194</v>
      </c>
      <c r="FA568" t="str">
        <f t="shared" si="356"/>
        <v>PCB</v>
      </c>
      <c r="FB568" t="str">
        <f t="shared" si="357"/>
        <v>LDPE</v>
      </c>
      <c r="FC568" t="str">
        <f t="shared" si="358"/>
        <v>Filmstacking</v>
      </c>
      <c r="FD568" t="str">
        <f t="shared" si="359"/>
        <v>room</v>
      </c>
      <c r="FE568" t="str">
        <f t="shared" si="360"/>
        <v>water</v>
      </c>
      <c r="FF568" t="str">
        <f t="shared" si="361"/>
        <v xml:space="preserve"> </v>
      </c>
      <c r="FG568" s="408" t="str">
        <f t="shared" si="354"/>
        <v/>
      </c>
      <c r="FH568" s="138" t="str">
        <f t="shared" si="362"/>
        <v/>
      </c>
      <c r="FI568" s="106" t="str">
        <f t="shared" si="353"/>
        <v>**</v>
      </c>
      <c r="FJ568" s="138">
        <f t="shared" si="363"/>
        <v>-13.71</v>
      </c>
      <c r="FK568" s="138">
        <f t="shared" si="364"/>
        <v>-13.705658489129952</v>
      </c>
    </row>
    <row r="569" spans="1:167" ht="12.75" hidden="1" customHeight="1" x14ac:dyDescent="0.2">
      <c r="A569">
        <v>534</v>
      </c>
      <c r="B569" s="4" t="s">
        <v>1680</v>
      </c>
      <c r="C569" s="4"/>
      <c r="D569" t="s">
        <v>1600</v>
      </c>
      <c r="E569">
        <v>-1744</v>
      </c>
      <c r="F569" t="str">
        <f>VLOOKUP(E569,CompDbase!B:L,4,FALSE)</f>
        <v>PCB 204</v>
      </c>
      <c r="G569" s="95" t="str">
        <f>VLOOKUP(E569,CompDbase!B:M,12,FALSE)</f>
        <v>PCB</v>
      </c>
      <c r="H569" s="95">
        <f>VLOOKUP(E569,CompDbase!B:L,8,FALSE)</f>
        <v>429.8</v>
      </c>
      <c r="I569" s="95">
        <f>VLOOKUP(E569,CompDbase!B:L,11,FALSE)</f>
        <v>246.5</v>
      </c>
      <c r="J569" s="95">
        <f>VLOOKUP(E569,CompDbase!B:L,9,FALSE)</f>
        <v>4.2980000000000006E-3</v>
      </c>
      <c r="K569" s="95">
        <f>VLOOKUP(E569,CompDbase!B:L,10,FALSE)</f>
        <v>7.35</v>
      </c>
      <c r="L569" s="4" t="s">
        <v>769</v>
      </c>
      <c r="M569" s="426">
        <v>910000</v>
      </c>
      <c r="N569" s="426"/>
      <c r="O569" s="4" t="s">
        <v>1740</v>
      </c>
      <c r="P569" s="4" t="s">
        <v>1980</v>
      </c>
      <c r="Q569" s="4" t="s">
        <v>1049</v>
      </c>
      <c r="S569" s="4"/>
      <c r="T569" s="95"/>
      <c r="W569" s="199"/>
      <c r="Z569" s="4">
        <v>-13.68</v>
      </c>
      <c r="AC569" t="s">
        <v>68</v>
      </c>
      <c r="AG569" s="138"/>
      <c r="BW569" s="138"/>
      <c r="DG569">
        <f t="shared" si="350"/>
        <v>-13.68</v>
      </c>
      <c r="DH569">
        <f t="shared" si="351"/>
        <v>429.8</v>
      </c>
      <c r="DL569">
        <f t="shared" si="352"/>
        <v>429.8</v>
      </c>
      <c r="DN569">
        <f t="shared" si="352"/>
        <v>429.8</v>
      </c>
      <c r="EY569" s="479">
        <f>VLOOKUP(B569,Literatuur!$A:$B,2,FALSE)</f>
        <v>23</v>
      </c>
      <c r="EZ569" t="str">
        <f t="shared" si="355"/>
        <v>PCB 204</v>
      </c>
      <c r="FA569" t="str">
        <f t="shared" si="356"/>
        <v>PCB</v>
      </c>
      <c r="FB569" t="str">
        <f t="shared" si="357"/>
        <v>LDPE</v>
      </c>
      <c r="FC569" t="str">
        <f t="shared" si="358"/>
        <v>Filmstacking</v>
      </c>
      <c r="FD569" t="str">
        <f t="shared" si="359"/>
        <v>room</v>
      </c>
      <c r="FE569" t="str">
        <f t="shared" si="360"/>
        <v>water</v>
      </c>
      <c r="FF569" t="str">
        <f t="shared" si="361"/>
        <v xml:space="preserve"> </v>
      </c>
      <c r="FG569" s="408" t="str">
        <f t="shared" si="354"/>
        <v/>
      </c>
      <c r="FH569" s="138" t="str">
        <f t="shared" si="362"/>
        <v/>
      </c>
      <c r="FI569" s="106" t="str">
        <f t="shared" si="353"/>
        <v>**</v>
      </c>
      <c r="FJ569" s="138">
        <f t="shared" si="363"/>
        <v>-13.68</v>
      </c>
      <c r="FK569" s="138">
        <f t="shared" si="364"/>
        <v>-13.705658489129952</v>
      </c>
    </row>
    <row r="570" spans="1:167" ht="12.75" hidden="1" customHeight="1" x14ac:dyDescent="0.2">
      <c r="A570">
        <v>535</v>
      </c>
      <c r="B570" t="s">
        <v>1680</v>
      </c>
      <c r="C570" s="4"/>
      <c r="D570" t="s">
        <v>981</v>
      </c>
      <c r="E570">
        <v>-1706</v>
      </c>
      <c r="F570" t="str">
        <f>VLOOKUP(E570,CompDbase!B:L,4,FALSE)</f>
        <v>PCB 28</v>
      </c>
      <c r="G570" s="95" t="str">
        <f>VLOOKUP(E570,CompDbase!B:M,12,FALSE)</f>
        <v>PCB</v>
      </c>
      <c r="H570" s="95">
        <f>VLOOKUP(E570,CompDbase!B:L,8,FALSE)</f>
        <v>257.5</v>
      </c>
      <c r="I570" s="95">
        <f>VLOOKUP(E570,CompDbase!B:L,11,FALSE)</f>
        <v>257.5</v>
      </c>
      <c r="J570" s="95">
        <f>VLOOKUP(E570,CompDbase!B:L,9,FALSE)</f>
        <v>0.20453952044150236</v>
      </c>
      <c r="K570" s="95">
        <f>VLOOKUP(E570,CompDbase!B:L,10,FALSE)</f>
        <v>5.65</v>
      </c>
      <c r="L570" s="4" t="s">
        <v>769</v>
      </c>
      <c r="M570" s="426">
        <v>910000</v>
      </c>
      <c r="N570" s="426"/>
      <c r="O570" s="4" t="s">
        <v>1740</v>
      </c>
      <c r="P570" s="4" t="s">
        <v>1980</v>
      </c>
      <c r="Q570" s="4" t="s">
        <v>1049</v>
      </c>
      <c r="S570" s="4"/>
      <c r="T570" s="95"/>
      <c r="W570" s="199"/>
      <c r="Z570" s="4">
        <v>-12.51</v>
      </c>
      <c r="AC570" t="s">
        <v>68</v>
      </c>
      <c r="DG570">
        <f t="shared" si="350"/>
        <v>-12.51</v>
      </c>
      <c r="DH570">
        <f t="shared" si="351"/>
        <v>257.5</v>
      </c>
      <c r="DL570">
        <f t="shared" si="352"/>
        <v>257.5</v>
      </c>
      <c r="DN570">
        <f t="shared" si="352"/>
        <v>257.5</v>
      </c>
      <c r="EY570" s="479">
        <f>VLOOKUP(B570,Literatuur!$A:$B,2,FALSE)</f>
        <v>23</v>
      </c>
      <c r="EZ570" t="str">
        <f t="shared" si="355"/>
        <v>PCB 28</v>
      </c>
      <c r="FA570" t="str">
        <f t="shared" si="356"/>
        <v>PCB</v>
      </c>
      <c r="FB570" t="str">
        <f t="shared" si="357"/>
        <v>LDPE</v>
      </c>
      <c r="FC570" t="str">
        <f t="shared" si="358"/>
        <v>Filmstacking</v>
      </c>
      <c r="FD570" t="str">
        <f t="shared" si="359"/>
        <v>room</v>
      </c>
      <c r="FE570" t="str">
        <f t="shared" si="360"/>
        <v>water</v>
      </c>
      <c r="FF570" t="str">
        <f t="shared" si="361"/>
        <v xml:space="preserve"> </v>
      </c>
      <c r="FG570" s="408" t="str">
        <f t="shared" si="354"/>
        <v/>
      </c>
      <c r="FH570" s="138" t="str">
        <f t="shared" si="362"/>
        <v/>
      </c>
      <c r="FI570" s="106" t="str">
        <f t="shared" si="353"/>
        <v>**</v>
      </c>
      <c r="FJ570" s="138">
        <f t="shared" si="363"/>
        <v>-12.51</v>
      </c>
      <c r="FK570" s="138">
        <f t="shared" si="364"/>
        <v>-12.62108616706222</v>
      </c>
    </row>
    <row r="571" spans="1:167" ht="12.75" hidden="1" customHeight="1" x14ac:dyDescent="0.2">
      <c r="A571">
        <v>536</v>
      </c>
      <c r="B571" t="s">
        <v>1680</v>
      </c>
      <c r="C571" s="4"/>
      <c r="D571" t="s">
        <v>983</v>
      </c>
      <c r="E571">
        <v>-1708</v>
      </c>
      <c r="F571" t="str">
        <f>VLOOKUP(E571,CompDbase!B:L,4,FALSE)</f>
        <v>PCB 30</v>
      </c>
      <c r="G571" s="95" t="str">
        <f>VLOOKUP(E571,CompDbase!B:M,12,FALSE)</f>
        <v>PCB</v>
      </c>
      <c r="H571" s="95">
        <f>VLOOKUP(E571,CompDbase!B:L,8,FALSE)</f>
        <v>257.5</v>
      </c>
      <c r="I571" s="95">
        <f>VLOOKUP(E571,CompDbase!B:L,11,FALSE)</f>
        <v>257.5</v>
      </c>
      <c r="J571" s="95">
        <f>VLOOKUP(E571,CompDbase!B:L,9,FALSE)</f>
        <v>0.40810999705873668</v>
      </c>
      <c r="K571" s="95">
        <f>VLOOKUP(E571,CompDbase!B:L,10,FALSE)</f>
        <v>5.45</v>
      </c>
      <c r="L571" s="4" t="s">
        <v>769</v>
      </c>
      <c r="M571" s="426">
        <v>910000</v>
      </c>
      <c r="N571" s="426"/>
      <c r="O571" s="4" t="s">
        <v>1740</v>
      </c>
      <c r="P571" s="4" t="s">
        <v>1980</v>
      </c>
      <c r="Q571" s="4" t="s">
        <v>1049</v>
      </c>
      <c r="S571" s="4"/>
      <c r="T571" s="95"/>
      <c r="W571" s="199"/>
      <c r="Z571" s="4">
        <v>-12.64</v>
      </c>
      <c r="AC571" t="s">
        <v>68</v>
      </c>
      <c r="DG571">
        <f t="shared" si="350"/>
        <v>-12.64</v>
      </c>
      <c r="DH571">
        <f t="shared" si="351"/>
        <v>257.5</v>
      </c>
      <c r="DL571">
        <f t="shared" si="352"/>
        <v>257.5</v>
      </c>
      <c r="DN571">
        <f t="shared" si="352"/>
        <v>257.5</v>
      </c>
      <c r="EY571" s="479">
        <f>VLOOKUP(B571,Literatuur!$A:$B,2,FALSE)</f>
        <v>23</v>
      </c>
      <c r="EZ571" t="str">
        <f t="shared" si="355"/>
        <v>PCB 30</v>
      </c>
      <c r="FA571" t="str">
        <f t="shared" si="356"/>
        <v>PCB</v>
      </c>
      <c r="FB571" t="str">
        <f t="shared" si="357"/>
        <v>LDPE</v>
      </c>
      <c r="FC571" t="str">
        <f t="shared" si="358"/>
        <v>Filmstacking</v>
      </c>
      <c r="FD571" t="str">
        <f t="shared" si="359"/>
        <v>room</v>
      </c>
      <c r="FE571" t="str">
        <f t="shared" si="360"/>
        <v>water</v>
      </c>
      <c r="FF571" t="str">
        <f t="shared" si="361"/>
        <v xml:space="preserve"> </v>
      </c>
      <c r="FG571" s="408" t="str">
        <f t="shared" si="354"/>
        <v/>
      </c>
      <c r="FH571" s="138" t="str">
        <f t="shared" si="362"/>
        <v/>
      </c>
      <c r="FI571" s="106" t="str">
        <f t="shared" si="353"/>
        <v>**</v>
      </c>
      <c r="FJ571" s="138">
        <f t="shared" si="363"/>
        <v>-12.64</v>
      </c>
      <c r="FK571" s="138">
        <f t="shared" si="364"/>
        <v>-12.62108616706222</v>
      </c>
    </row>
    <row r="572" spans="1:167" ht="12.75" hidden="1" customHeight="1" x14ac:dyDescent="0.2">
      <c r="A572">
        <v>537</v>
      </c>
      <c r="B572" t="s">
        <v>1680</v>
      </c>
      <c r="C572" s="4"/>
      <c r="D572" t="s">
        <v>984</v>
      </c>
      <c r="E572">
        <v>-1709</v>
      </c>
      <c r="F572" t="str">
        <f>VLOOKUP(E572,CompDbase!B:L,4,FALSE)</f>
        <v>PCB 31</v>
      </c>
      <c r="G572" s="95" t="str">
        <f>VLOOKUP(E572,CompDbase!B:M,12,FALSE)</f>
        <v>PCB</v>
      </c>
      <c r="H572" s="95">
        <f>VLOOKUP(E572,CompDbase!B:L,8,FALSE)</f>
        <v>257.5</v>
      </c>
      <c r="I572" s="95">
        <f>VLOOKUP(E572,CompDbase!B:L,11,FALSE)</f>
        <v>292</v>
      </c>
      <c r="J572" s="95">
        <f>VLOOKUP(E572,CompDbase!B:L,9,FALSE)</f>
        <v>0.20453952044150236</v>
      </c>
      <c r="K572" s="95">
        <f>VLOOKUP(E572,CompDbase!B:L,10,FALSE)</f>
        <v>5.75</v>
      </c>
      <c r="L572" s="4" t="s">
        <v>769</v>
      </c>
      <c r="M572" s="426">
        <v>910000</v>
      </c>
      <c r="N572" s="426"/>
      <c r="O572" s="4" t="s">
        <v>1740</v>
      </c>
      <c r="P572" s="4" t="s">
        <v>1980</v>
      </c>
      <c r="Q572" s="4" t="s">
        <v>1049</v>
      </c>
      <c r="S572" s="4"/>
      <c r="T572" s="95"/>
      <c r="W572" s="199"/>
      <c r="Z572" s="4">
        <v>-12.57</v>
      </c>
      <c r="AC572" t="s">
        <v>68</v>
      </c>
      <c r="DG572">
        <f t="shared" si="350"/>
        <v>-12.57</v>
      </c>
      <c r="DH572">
        <f t="shared" si="351"/>
        <v>257.5</v>
      </c>
      <c r="DL572">
        <f t="shared" si="352"/>
        <v>257.5</v>
      </c>
      <c r="DN572">
        <f t="shared" si="352"/>
        <v>257.5</v>
      </c>
      <c r="EY572" s="479">
        <f>VLOOKUP(B572,Literatuur!$A:$B,2,FALSE)</f>
        <v>23</v>
      </c>
      <c r="EZ572" t="str">
        <f t="shared" si="355"/>
        <v>PCB 31</v>
      </c>
      <c r="FA572" t="str">
        <f t="shared" si="356"/>
        <v>PCB</v>
      </c>
      <c r="FB572" t="str">
        <f t="shared" si="357"/>
        <v>LDPE</v>
      </c>
      <c r="FC572" t="str">
        <f t="shared" si="358"/>
        <v>Filmstacking</v>
      </c>
      <c r="FD572" t="str">
        <f t="shared" si="359"/>
        <v>room</v>
      </c>
      <c r="FE572" t="str">
        <f t="shared" si="360"/>
        <v>water</v>
      </c>
      <c r="FF572" t="str">
        <f t="shared" si="361"/>
        <v xml:space="preserve"> </v>
      </c>
      <c r="FG572" s="408" t="str">
        <f t="shared" si="354"/>
        <v/>
      </c>
      <c r="FH572" s="138" t="str">
        <f t="shared" si="362"/>
        <v/>
      </c>
      <c r="FI572" s="106" t="str">
        <f t="shared" si="353"/>
        <v>**</v>
      </c>
      <c r="FJ572" s="138">
        <f t="shared" si="363"/>
        <v>-12.57</v>
      </c>
      <c r="FK572" s="138">
        <f t="shared" si="364"/>
        <v>-12.62108616706222</v>
      </c>
    </row>
    <row r="573" spans="1:167" ht="12.75" hidden="1" customHeight="1" x14ac:dyDescent="0.2">
      <c r="A573">
        <v>538</v>
      </c>
      <c r="B573" t="s">
        <v>1680</v>
      </c>
      <c r="C573" s="4"/>
      <c r="D573" t="s">
        <v>975</v>
      </c>
      <c r="E573">
        <v>-1700</v>
      </c>
      <c r="F573" t="str">
        <f>VLOOKUP(E573,CompDbase!B:L,4,FALSE)</f>
        <v>PCB 4</v>
      </c>
      <c r="G573" s="95" t="str">
        <f>VLOOKUP(E573,CompDbase!B:M,12,FALSE)</f>
        <v>PCB</v>
      </c>
      <c r="H573" s="95">
        <f>VLOOKUP(E573,CompDbase!B:L,8,FALSE)</f>
        <v>223.1</v>
      </c>
      <c r="I573" s="95" t="e">
        <f>VLOOKUP(E573,CompDbase!B:L,11,FALSE)</f>
        <v>#DIV/0!</v>
      </c>
      <c r="J573" s="95">
        <f>VLOOKUP(E573,CompDbase!B:L,9,FALSE)</f>
        <v>2.8086625937127851</v>
      </c>
      <c r="K573" s="95">
        <f>VLOOKUP(E573,CompDbase!B:L,10,FALSE)</f>
        <v>4.7</v>
      </c>
      <c r="L573" s="4" t="s">
        <v>769</v>
      </c>
      <c r="M573" s="426">
        <v>910000</v>
      </c>
      <c r="N573" s="426"/>
      <c r="O573" s="4" t="s">
        <v>1740</v>
      </c>
      <c r="P573" s="4" t="s">
        <v>1980</v>
      </c>
      <c r="Q573" s="4" t="s">
        <v>1049</v>
      </c>
      <c r="S573" s="4"/>
      <c r="T573" s="95"/>
      <c r="W573" s="199"/>
      <c r="Z573" s="4">
        <v>-12.53</v>
      </c>
      <c r="AC573" t="s">
        <v>68</v>
      </c>
      <c r="DG573">
        <f t="shared" si="350"/>
        <v>-12.53</v>
      </c>
      <c r="DH573">
        <f t="shared" si="351"/>
        <v>223.1</v>
      </c>
      <c r="DL573">
        <f t="shared" si="352"/>
        <v>223.1</v>
      </c>
      <c r="DN573">
        <f t="shared" si="352"/>
        <v>223.1</v>
      </c>
      <c r="EY573" s="479">
        <f>VLOOKUP(B573,Literatuur!$A:$B,2,FALSE)</f>
        <v>23</v>
      </c>
      <c r="EZ573" t="str">
        <f t="shared" si="355"/>
        <v>PCB 4</v>
      </c>
      <c r="FA573" t="str">
        <f t="shared" si="356"/>
        <v>PCB</v>
      </c>
      <c r="FB573" t="str">
        <f t="shared" si="357"/>
        <v>LDPE</v>
      </c>
      <c r="FC573" t="str">
        <f t="shared" si="358"/>
        <v>Filmstacking</v>
      </c>
      <c r="FD573" t="str">
        <f t="shared" si="359"/>
        <v>room</v>
      </c>
      <c r="FE573" t="str">
        <f t="shared" si="360"/>
        <v>water</v>
      </c>
      <c r="FF573" t="str">
        <f t="shared" si="361"/>
        <v xml:space="preserve"> </v>
      </c>
      <c r="FG573" s="408" t="str">
        <f t="shared" si="354"/>
        <v/>
      </c>
      <c r="FH573" s="138" t="str">
        <f t="shared" si="362"/>
        <v/>
      </c>
      <c r="FI573" s="106" t="str">
        <f t="shared" si="353"/>
        <v>**</v>
      </c>
      <c r="FJ573" s="138">
        <f t="shared" si="363"/>
        <v>-12.53</v>
      </c>
      <c r="FK573" s="138">
        <f t="shared" si="364"/>
        <v>-12.404549383085843</v>
      </c>
    </row>
    <row r="574" spans="1:167" ht="12.75" hidden="1" customHeight="1" x14ac:dyDescent="0.2">
      <c r="A574">
        <v>539</v>
      </c>
      <c r="B574" t="s">
        <v>1680</v>
      </c>
      <c r="C574" s="4"/>
      <c r="D574" t="s">
        <v>986</v>
      </c>
      <c r="E574">
        <v>-1711</v>
      </c>
      <c r="F574" t="str">
        <f>VLOOKUP(E574,CompDbase!B:L,4,FALSE)</f>
        <v>PCB 47</v>
      </c>
      <c r="G574" s="95" t="str">
        <f>VLOOKUP(E574,CompDbase!B:M,12,FALSE)</f>
        <v>PCB</v>
      </c>
      <c r="H574" s="95">
        <f>VLOOKUP(E574,CompDbase!B:L,8,FALSE)</f>
        <v>292</v>
      </c>
      <c r="I574" s="95">
        <f>VLOOKUP(E574,CompDbase!B:L,11,FALSE)</f>
        <v>292</v>
      </c>
      <c r="J574" s="95">
        <f>VLOOKUP(E574,CompDbase!B:L,9,FALSE)</f>
        <v>0.14634667221916345</v>
      </c>
      <c r="K574" s="95">
        <f>VLOOKUP(E574,CompDbase!B:L,10,FALSE)</f>
        <v>5.9</v>
      </c>
      <c r="L574" s="4" t="s">
        <v>769</v>
      </c>
      <c r="M574" s="426">
        <v>910000</v>
      </c>
      <c r="N574" s="426"/>
      <c r="O574" s="4" t="s">
        <v>1740</v>
      </c>
      <c r="P574" s="4" t="s">
        <v>1980</v>
      </c>
      <c r="Q574" s="4" t="s">
        <v>1049</v>
      </c>
      <c r="S574" s="4"/>
      <c r="T574" s="95"/>
      <c r="W574" s="199"/>
      <c r="Z574" s="4">
        <v>-12.84</v>
      </c>
      <c r="AC574" t="s">
        <v>68</v>
      </c>
      <c r="DG574">
        <f t="shared" si="350"/>
        <v>-12.84</v>
      </c>
      <c r="DH574">
        <f t="shared" si="351"/>
        <v>292</v>
      </c>
      <c r="DL574">
        <f t="shared" si="352"/>
        <v>292</v>
      </c>
      <c r="DN574">
        <f t="shared" si="352"/>
        <v>292</v>
      </c>
      <c r="EY574" s="479">
        <f>VLOOKUP(B574,Literatuur!$A:$B,2,FALSE)</f>
        <v>23</v>
      </c>
      <c r="EZ574" t="str">
        <f t="shared" si="355"/>
        <v>PCB 47</v>
      </c>
      <c r="FA574" t="str">
        <f t="shared" si="356"/>
        <v>PCB</v>
      </c>
      <c r="FB574" t="str">
        <f t="shared" si="357"/>
        <v>LDPE</v>
      </c>
      <c r="FC574" t="str">
        <f t="shared" si="358"/>
        <v>Filmstacking</v>
      </c>
      <c r="FD574" t="str">
        <f t="shared" si="359"/>
        <v>room</v>
      </c>
      <c r="FE574" t="str">
        <f t="shared" si="360"/>
        <v>water</v>
      </c>
      <c r="FF574" t="str">
        <f t="shared" si="361"/>
        <v xml:space="preserve"> </v>
      </c>
      <c r="FG574" s="408" t="str">
        <f t="shared" si="354"/>
        <v/>
      </c>
      <c r="FH574" s="138" t="str">
        <f t="shared" si="362"/>
        <v/>
      </c>
      <c r="FI574" s="106" t="str">
        <f t="shared" si="353"/>
        <v>**</v>
      </c>
      <c r="FJ574" s="138">
        <f t="shared" si="363"/>
        <v>-12.84</v>
      </c>
      <c r="FK574" s="138">
        <f t="shared" si="364"/>
        <v>-12.838252418433878</v>
      </c>
    </row>
    <row r="575" spans="1:167" ht="12.75" hidden="1" customHeight="1" x14ac:dyDescent="0.2">
      <c r="A575">
        <v>540</v>
      </c>
      <c r="B575" t="s">
        <v>1680</v>
      </c>
      <c r="C575" s="4"/>
      <c r="D575" t="s">
        <v>987</v>
      </c>
      <c r="E575">
        <v>-1712</v>
      </c>
      <c r="F575" t="str">
        <f>VLOOKUP(E575,CompDbase!B:L,4,FALSE)</f>
        <v>PCB 49</v>
      </c>
      <c r="G575" s="95" t="str">
        <f>VLOOKUP(E575,CompDbase!B:M,12,FALSE)</f>
        <v>PCB</v>
      </c>
      <c r="H575" s="95">
        <f>VLOOKUP(E575,CompDbase!B:L,8,FALSE)</f>
        <v>292</v>
      </c>
      <c r="I575" s="95">
        <f>VLOOKUP(E575,CompDbase!B:L,11,FALSE)</f>
        <v>292</v>
      </c>
      <c r="J575" s="95">
        <f>VLOOKUP(E575,CompDbase!B:L,9,FALSE)</f>
        <v>0.14634667221916345</v>
      </c>
      <c r="K575" s="95">
        <f>VLOOKUP(E575,CompDbase!B:L,10,FALSE)</f>
        <v>5.9</v>
      </c>
      <c r="L575" s="4" t="s">
        <v>769</v>
      </c>
      <c r="M575" s="426">
        <v>910000</v>
      </c>
      <c r="N575" s="426"/>
      <c r="O575" s="4" t="s">
        <v>1740</v>
      </c>
      <c r="P575" s="4" t="s">
        <v>1980</v>
      </c>
      <c r="Q575" s="4" t="s">
        <v>1049</v>
      </c>
      <c r="S575" s="4"/>
      <c r="T575" s="95"/>
      <c r="W575" s="199"/>
      <c r="Z575" s="4">
        <v>-12.85</v>
      </c>
      <c r="AC575" t="s">
        <v>68</v>
      </c>
      <c r="DG575">
        <f t="shared" si="350"/>
        <v>-12.85</v>
      </c>
      <c r="DH575">
        <f t="shared" si="351"/>
        <v>292</v>
      </c>
      <c r="DL575">
        <f t="shared" si="352"/>
        <v>292</v>
      </c>
      <c r="DN575">
        <f t="shared" si="352"/>
        <v>292</v>
      </c>
      <c r="EY575" s="479">
        <f>VLOOKUP(B575,Literatuur!$A:$B,2,FALSE)</f>
        <v>23</v>
      </c>
      <c r="EZ575" t="str">
        <f t="shared" si="355"/>
        <v>PCB 49</v>
      </c>
      <c r="FA575" t="str">
        <f t="shared" si="356"/>
        <v>PCB</v>
      </c>
      <c r="FB575" t="str">
        <f t="shared" si="357"/>
        <v>LDPE</v>
      </c>
      <c r="FC575" t="str">
        <f t="shared" si="358"/>
        <v>Filmstacking</v>
      </c>
      <c r="FD575" t="str">
        <f t="shared" si="359"/>
        <v>room</v>
      </c>
      <c r="FE575" t="str">
        <f t="shared" si="360"/>
        <v>water</v>
      </c>
      <c r="FF575" t="str">
        <f t="shared" si="361"/>
        <v xml:space="preserve"> </v>
      </c>
      <c r="FG575" s="408" t="str">
        <f t="shared" si="354"/>
        <v/>
      </c>
      <c r="FH575" s="138" t="str">
        <f t="shared" si="362"/>
        <v/>
      </c>
      <c r="FI575" s="106" t="str">
        <f t="shared" si="353"/>
        <v>**</v>
      </c>
      <c r="FJ575" s="138">
        <f t="shared" si="363"/>
        <v>-12.85</v>
      </c>
      <c r="FK575" s="138">
        <f t="shared" si="364"/>
        <v>-12.838252418433878</v>
      </c>
    </row>
    <row r="576" spans="1:167" ht="12.75" hidden="1" customHeight="1" x14ac:dyDescent="0.2">
      <c r="A576">
        <v>541</v>
      </c>
      <c r="B576" t="s">
        <v>1680</v>
      </c>
      <c r="C576" s="4"/>
      <c r="D576" t="s">
        <v>988</v>
      </c>
      <c r="E576">
        <v>-1713</v>
      </c>
      <c r="F576" t="str">
        <f>VLOOKUP(E576,CompDbase!B:L,4,FALSE)</f>
        <v>PCB 50</v>
      </c>
      <c r="G576" s="95" t="str">
        <f>VLOOKUP(E576,CompDbase!B:M,12,FALSE)</f>
        <v>PCB</v>
      </c>
      <c r="H576" s="95">
        <f>VLOOKUP(E576,CompDbase!B:L,8,FALSE)</f>
        <v>292</v>
      </c>
      <c r="I576" s="95">
        <f>VLOOKUP(E576,CompDbase!B:L,11,FALSE)</f>
        <v>292</v>
      </c>
      <c r="J576" s="95">
        <f>VLOOKUP(E576,CompDbase!B:L,9,FALSE)</f>
        <v>0.29199999999999998</v>
      </c>
      <c r="K576" s="95">
        <f>VLOOKUP(E576,CompDbase!B:L,10,FALSE)</f>
        <v>5.65</v>
      </c>
      <c r="L576" s="4" t="s">
        <v>769</v>
      </c>
      <c r="M576" s="426">
        <v>910000</v>
      </c>
      <c r="N576" s="426"/>
      <c r="O576" s="4" t="s">
        <v>1740</v>
      </c>
      <c r="P576" s="4" t="s">
        <v>1980</v>
      </c>
      <c r="Q576" s="4" t="s">
        <v>1049</v>
      </c>
      <c r="S576" s="4"/>
      <c r="T576" s="95"/>
      <c r="W576" s="199"/>
      <c r="Z576" s="4">
        <v>-12.91</v>
      </c>
      <c r="AC576" t="s">
        <v>68</v>
      </c>
      <c r="DG576">
        <f t="shared" si="350"/>
        <v>-12.91</v>
      </c>
      <c r="DH576">
        <f t="shared" si="351"/>
        <v>292</v>
      </c>
      <c r="DL576">
        <f t="shared" si="352"/>
        <v>292</v>
      </c>
      <c r="DN576">
        <f t="shared" si="352"/>
        <v>292</v>
      </c>
      <c r="EY576" s="479">
        <f>VLOOKUP(B576,Literatuur!$A:$B,2,FALSE)</f>
        <v>23</v>
      </c>
      <c r="EZ576" t="str">
        <f t="shared" si="355"/>
        <v>PCB 50</v>
      </c>
      <c r="FA576" t="str">
        <f t="shared" si="356"/>
        <v>PCB</v>
      </c>
      <c r="FB576" t="str">
        <f t="shared" si="357"/>
        <v>LDPE</v>
      </c>
      <c r="FC576" t="str">
        <f t="shared" si="358"/>
        <v>Filmstacking</v>
      </c>
      <c r="FD576" t="str">
        <f t="shared" si="359"/>
        <v>room</v>
      </c>
      <c r="FE576" t="str">
        <f t="shared" si="360"/>
        <v>water</v>
      </c>
      <c r="FF576" t="str">
        <f t="shared" si="361"/>
        <v xml:space="preserve"> </v>
      </c>
      <c r="FG576" s="408" t="str">
        <f t="shared" si="354"/>
        <v/>
      </c>
      <c r="FH576" s="138" t="str">
        <f t="shared" si="362"/>
        <v/>
      </c>
      <c r="FI576" s="106" t="str">
        <f t="shared" si="353"/>
        <v>**</v>
      </c>
      <c r="FJ576" s="138">
        <f t="shared" si="363"/>
        <v>-12.91</v>
      </c>
      <c r="FK576" s="138">
        <f t="shared" si="364"/>
        <v>-12.838252418433878</v>
      </c>
    </row>
    <row r="577" spans="1:167" ht="12.75" hidden="1" customHeight="1" x14ac:dyDescent="0.2">
      <c r="A577">
        <v>542</v>
      </c>
      <c r="B577" t="s">
        <v>1680</v>
      </c>
      <c r="C577" s="4"/>
      <c r="D577" t="s">
        <v>989</v>
      </c>
      <c r="E577">
        <v>-1714</v>
      </c>
      <c r="F577" t="str">
        <f>VLOOKUP(E577,CompDbase!B:L,4,FALSE)</f>
        <v>PCB 52</v>
      </c>
      <c r="G577" s="95" t="str">
        <f>VLOOKUP(E577,CompDbase!B:M,12,FALSE)</f>
        <v>PCB</v>
      </c>
      <c r="H577" s="95">
        <f>VLOOKUP(E577,CompDbase!B:L,8,FALSE)</f>
        <v>292</v>
      </c>
      <c r="I577" s="95" t="e">
        <f>VLOOKUP(E577,CompDbase!B:L,11,FALSE)</f>
        <v>#DIV/0!</v>
      </c>
      <c r="J577" s="95">
        <f>VLOOKUP(E577,CompDbase!B:L,9,FALSE)</f>
        <v>0.11624729380162115</v>
      </c>
      <c r="K577" s="95">
        <f>VLOOKUP(E577,CompDbase!B:L,10,FALSE)</f>
        <v>5.85</v>
      </c>
      <c r="L577" s="4" t="s">
        <v>769</v>
      </c>
      <c r="M577" s="426">
        <v>910000</v>
      </c>
      <c r="N577" s="426"/>
      <c r="O577" s="4" t="s">
        <v>1740</v>
      </c>
      <c r="P577" s="4" t="s">
        <v>1980</v>
      </c>
      <c r="Q577" s="4" t="s">
        <v>1049</v>
      </c>
      <c r="S577" s="4"/>
      <c r="T577" s="95"/>
      <c r="W577" s="199"/>
      <c r="Z577" s="4">
        <v>-12.88</v>
      </c>
      <c r="AC577" t="s">
        <v>68</v>
      </c>
      <c r="DG577">
        <f t="shared" si="350"/>
        <v>-12.88</v>
      </c>
      <c r="DH577">
        <f t="shared" si="351"/>
        <v>292</v>
      </c>
      <c r="DL577">
        <f t="shared" si="352"/>
        <v>292</v>
      </c>
      <c r="DN577">
        <f t="shared" si="352"/>
        <v>292</v>
      </c>
      <c r="EY577" s="479">
        <f>VLOOKUP(B577,Literatuur!$A:$B,2,FALSE)</f>
        <v>23</v>
      </c>
      <c r="EZ577" t="str">
        <f t="shared" si="355"/>
        <v>PCB 52</v>
      </c>
      <c r="FA577" t="str">
        <f t="shared" si="356"/>
        <v>PCB</v>
      </c>
      <c r="FB577" t="str">
        <f t="shared" si="357"/>
        <v>LDPE</v>
      </c>
      <c r="FC577" t="str">
        <f t="shared" si="358"/>
        <v>Filmstacking</v>
      </c>
      <c r="FD577" t="str">
        <f t="shared" si="359"/>
        <v>room</v>
      </c>
      <c r="FE577" t="str">
        <f t="shared" si="360"/>
        <v>water</v>
      </c>
      <c r="FF577" t="str">
        <f t="shared" si="361"/>
        <v xml:space="preserve"> </v>
      </c>
      <c r="FG577" s="408" t="str">
        <f t="shared" si="354"/>
        <v/>
      </c>
      <c r="FH577" s="138" t="str">
        <f t="shared" si="362"/>
        <v/>
      </c>
      <c r="FI577" s="106" t="str">
        <f t="shared" si="353"/>
        <v>**</v>
      </c>
      <c r="FJ577" s="138">
        <f t="shared" si="363"/>
        <v>-12.88</v>
      </c>
      <c r="FK577" s="138">
        <f t="shared" si="364"/>
        <v>-12.838252418433878</v>
      </c>
    </row>
    <row r="578" spans="1:167" ht="12.75" hidden="1" customHeight="1" x14ac:dyDescent="0.2">
      <c r="A578">
        <v>543</v>
      </c>
      <c r="B578" t="s">
        <v>1680</v>
      </c>
      <c r="C578" s="4"/>
      <c r="D578" t="s">
        <v>992</v>
      </c>
      <c r="E578">
        <v>-1717</v>
      </c>
      <c r="F578" t="str">
        <f>VLOOKUP(E578,CompDbase!B:L,4,FALSE)</f>
        <v>PCB 66</v>
      </c>
      <c r="G578" s="95" t="str">
        <f>VLOOKUP(E578,CompDbase!B:M,12,FALSE)</f>
        <v>PCB</v>
      </c>
      <c r="H578" s="95">
        <f>VLOOKUP(E578,CompDbase!B:L,8,FALSE)</f>
        <v>292</v>
      </c>
      <c r="I578" s="95" t="e">
        <f>VLOOKUP(E578,CompDbase!B:L,11,FALSE)</f>
        <v>#DIV/0!</v>
      </c>
      <c r="J578" s="95">
        <f>VLOOKUP(E578,CompDbase!B:L,9,FALSE)</f>
        <v>5.8261659597091175E-2</v>
      </c>
      <c r="K578" s="95">
        <f>VLOOKUP(E578,CompDbase!B:L,10,FALSE)</f>
        <v>6.25</v>
      </c>
      <c r="L578" s="4" t="s">
        <v>769</v>
      </c>
      <c r="M578" s="426">
        <v>910000</v>
      </c>
      <c r="N578" s="426"/>
      <c r="O578" s="4" t="s">
        <v>1740</v>
      </c>
      <c r="P578" s="4" t="s">
        <v>1980</v>
      </c>
      <c r="Q578" s="4" t="s">
        <v>1049</v>
      </c>
      <c r="S578" s="4"/>
      <c r="T578" s="95"/>
      <c r="W578" s="199"/>
      <c r="Z578" s="4">
        <v>-12.75</v>
      </c>
      <c r="AC578" t="s">
        <v>68</v>
      </c>
      <c r="DG578">
        <f t="shared" si="350"/>
        <v>-12.75</v>
      </c>
      <c r="DH578">
        <f t="shared" si="351"/>
        <v>292</v>
      </c>
      <c r="DL578">
        <f t="shared" si="352"/>
        <v>292</v>
      </c>
      <c r="DN578">
        <f t="shared" si="352"/>
        <v>292</v>
      </c>
      <c r="EY578" s="479">
        <f>VLOOKUP(B578,Literatuur!$A:$B,2,FALSE)</f>
        <v>23</v>
      </c>
      <c r="EZ578" t="str">
        <f t="shared" si="355"/>
        <v>PCB 66</v>
      </c>
      <c r="FA578" t="str">
        <f t="shared" si="356"/>
        <v>PCB</v>
      </c>
      <c r="FB578" t="str">
        <f t="shared" si="357"/>
        <v>LDPE</v>
      </c>
      <c r="FC578" t="str">
        <f t="shared" si="358"/>
        <v>Filmstacking</v>
      </c>
      <c r="FD578" t="str">
        <f t="shared" si="359"/>
        <v>room</v>
      </c>
      <c r="FE578" t="str">
        <f t="shared" si="360"/>
        <v>water</v>
      </c>
      <c r="FF578" t="str">
        <f t="shared" si="361"/>
        <v xml:space="preserve"> </v>
      </c>
      <c r="FG578" s="408" t="str">
        <f t="shared" si="354"/>
        <v/>
      </c>
      <c r="FH578" s="138" t="str">
        <f t="shared" si="362"/>
        <v/>
      </c>
      <c r="FI578" s="106" t="str">
        <f t="shared" si="353"/>
        <v>**</v>
      </c>
      <c r="FJ578" s="138">
        <f t="shared" si="363"/>
        <v>-12.75</v>
      </c>
      <c r="FK578" s="138">
        <f t="shared" si="364"/>
        <v>-12.838252418433878</v>
      </c>
    </row>
    <row r="579" spans="1:167" ht="12.75" hidden="1" customHeight="1" x14ac:dyDescent="0.2">
      <c r="A579">
        <v>544</v>
      </c>
      <c r="B579" t="s">
        <v>1680</v>
      </c>
      <c r="C579" s="4"/>
      <c r="D579" t="s">
        <v>998</v>
      </c>
      <c r="E579">
        <v>-1723</v>
      </c>
      <c r="F579" t="str">
        <f>VLOOKUP(E579,CompDbase!B:L,4,FALSE)</f>
        <v>PCB 99</v>
      </c>
      <c r="G579" s="95" t="str">
        <f>VLOOKUP(E579,CompDbase!B:M,12,FALSE)</f>
        <v>PCB</v>
      </c>
      <c r="H579" s="95">
        <f>VLOOKUP(E579,CompDbase!B:L,8,FALSE)</f>
        <v>326.39999999999998</v>
      </c>
      <c r="I579" s="95">
        <f>VLOOKUP(E579,CompDbase!B:L,11,FALSE)</f>
        <v>326.39999999999998</v>
      </c>
      <c r="J579" s="95">
        <f>VLOOKUP(E579,CompDbase!B:L,9,FALSE)</f>
        <v>4.1091325440961612E-2</v>
      </c>
      <c r="K579" s="95">
        <f>VLOOKUP(E579,CompDbase!B:L,10,FALSE)</f>
        <v>6.45</v>
      </c>
      <c r="L579" s="4" t="s">
        <v>769</v>
      </c>
      <c r="M579" s="426">
        <v>910000</v>
      </c>
      <c r="N579" s="426"/>
      <c r="O579" s="4" t="s">
        <v>1740</v>
      </c>
      <c r="P579" s="4" t="s">
        <v>1980</v>
      </c>
      <c r="Q579" s="4" t="s">
        <v>1049</v>
      </c>
      <c r="S579" s="4"/>
      <c r="T579" s="95"/>
      <c r="W579" s="199"/>
      <c r="Z579" s="4">
        <v>-13.03</v>
      </c>
      <c r="AC579" t="s">
        <v>68</v>
      </c>
      <c r="DG579">
        <f t="shared" si="350"/>
        <v>-13.03</v>
      </c>
      <c r="DH579">
        <f t="shared" si="351"/>
        <v>326.39999999999998</v>
      </c>
      <c r="DL579">
        <f t="shared" si="352"/>
        <v>326.39999999999998</v>
      </c>
      <c r="DN579">
        <f t="shared" si="352"/>
        <v>326.39999999999998</v>
      </c>
      <c r="EY579" s="479">
        <f>VLOOKUP(B579,Literatuur!$A:$B,2,FALSE)</f>
        <v>23</v>
      </c>
      <c r="EZ579" t="str">
        <f t="shared" si="355"/>
        <v>PCB 99</v>
      </c>
      <c r="FA579" t="str">
        <f t="shared" si="356"/>
        <v>PCB</v>
      </c>
      <c r="FB579" t="str">
        <f t="shared" si="357"/>
        <v>LDPE</v>
      </c>
      <c r="FC579" t="str">
        <f t="shared" si="358"/>
        <v>Filmstacking</v>
      </c>
      <c r="FD579" t="str">
        <f t="shared" si="359"/>
        <v>room</v>
      </c>
      <c r="FE579" t="str">
        <f t="shared" si="360"/>
        <v>water</v>
      </c>
      <c r="FF579" t="str">
        <f t="shared" si="361"/>
        <v xml:space="preserve"> </v>
      </c>
      <c r="FG579" s="408" t="str">
        <f t="shared" si="354"/>
        <v/>
      </c>
      <c r="FH579" s="138" t="str">
        <f t="shared" si="362"/>
        <v/>
      </c>
      <c r="FI579" s="106" t="str">
        <f t="shared" si="353"/>
        <v>**</v>
      </c>
      <c r="FJ579" s="138">
        <f t="shared" si="363"/>
        <v>-13.03</v>
      </c>
      <c r="FK579" s="138">
        <f t="shared" si="364"/>
        <v>-13.054789202410257</v>
      </c>
    </row>
    <row r="580" spans="1:167" ht="12.75" hidden="1" customHeight="1" x14ac:dyDescent="0.2">
      <c r="A580">
        <v>545</v>
      </c>
      <c r="B580" t="s">
        <v>1595</v>
      </c>
      <c r="C580" s="4"/>
      <c r="D580" s="4" t="s">
        <v>977</v>
      </c>
      <c r="E580" s="4">
        <v>-1702</v>
      </c>
      <c r="F580" t="str">
        <f>VLOOKUP(E580,CompDbase!B:L,4,FALSE)</f>
        <v>PCB 10</v>
      </c>
      <c r="G580" s="95" t="str">
        <f>VLOOKUP(E580,CompDbase!B:M,12,FALSE)</f>
        <v>PCB</v>
      </c>
      <c r="H580" s="95">
        <f>VLOOKUP(E580,CompDbase!B:L,8,FALSE)</f>
        <v>223.1</v>
      </c>
      <c r="I580" s="95">
        <f>VLOOKUP(E580,CompDbase!B:L,11,FALSE)</f>
        <v>223.1</v>
      </c>
      <c r="J580" s="95">
        <f>VLOOKUP(E580,CompDbase!B:L,9,FALSE)</f>
        <v>1.7721462916698714</v>
      </c>
      <c r="K580" s="95">
        <f>VLOOKUP(E580,CompDbase!B:L,10,FALSE)</f>
        <v>4.8499999999999996</v>
      </c>
      <c r="L580" s="4" t="s">
        <v>769</v>
      </c>
      <c r="M580" s="426">
        <v>900000</v>
      </c>
      <c r="N580" s="426"/>
      <c r="O580" s="4" t="s">
        <v>1985</v>
      </c>
      <c r="P580">
        <f t="shared" ref="P580:P619" si="365">273+20</f>
        <v>293</v>
      </c>
      <c r="Q580" s="4" t="s">
        <v>1049</v>
      </c>
      <c r="S580" s="4"/>
      <c r="T580" s="95"/>
      <c r="W580" s="199">
        <f t="shared" ref="W580:W619" si="366">10^X580</f>
        <v>15848.931924611146</v>
      </c>
      <c r="X580">
        <v>4.2</v>
      </c>
      <c r="AC580" t="s">
        <v>68</v>
      </c>
      <c r="AG580" s="138">
        <f t="shared" ref="AG580:AG619" si="367">X580</f>
        <v>4.2</v>
      </c>
      <c r="AH580">
        <f t="shared" ref="AH580:AI619" si="368">$K580</f>
        <v>4.8499999999999996</v>
      </c>
      <c r="AI580">
        <f t="shared" si="368"/>
        <v>4.8499999999999996</v>
      </c>
      <c r="AM580">
        <f t="shared" ref="AM580:AM619" si="369">$K580</f>
        <v>4.8499999999999996</v>
      </c>
      <c r="BW580" s="138"/>
      <c r="BX580">
        <f t="shared" ref="BX580:BY599" si="370">LOG(1*$J580)</f>
        <v>0.24849957028383757</v>
      </c>
      <c r="BY580">
        <f t="shared" si="370"/>
        <v>0.24849957028383757</v>
      </c>
      <c r="CC580">
        <f t="shared" ref="CC580:CC619" si="371">LOG(1*$J580)</f>
        <v>0.24849957028383757</v>
      </c>
      <c r="DG580" s="138"/>
      <c r="EY580" s="479">
        <f>VLOOKUP(B580,Literatuur!$A:$B,2,FALSE)</f>
        <v>29</v>
      </c>
      <c r="EZ580" t="str">
        <f t="shared" si="355"/>
        <v>PCB 10</v>
      </c>
      <c r="FA580" t="str">
        <f t="shared" si="356"/>
        <v>PCB</v>
      </c>
      <c r="FB580" t="str">
        <f t="shared" si="357"/>
        <v>LDPE</v>
      </c>
      <c r="FC580" t="str">
        <f t="shared" si="358"/>
        <v>Immersion (shaking)</v>
      </c>
      <c r="FD580">
        <f t="shared" si="359"/>
        <v>293</v>
      </c>
      <c r="FE580" t="str">
        <f t="shared" si="360"/>
        <v>water</v>
      </c>
      <c r="FF580" t="str">
        <f t="shared" si="361"/>
        <v xml:space="preserve"> </v>
      </c>
      <c r="FG580" s="408" t="str">
        <f t="shared" si="354"/>
        <v/>
      </c>
      <c r="FH580" s="138">
        <f t="shared" si="362"/>
        <v>4.2</v>
      </c>
      <c r="FI580" s="106">
        <f t="shared" si="353"/>
        <v>4.4646687809360541</v>
      </c>
      <c r="FJ580" s="138" t="str">
        <f t="shared" si="363"/>
        <v/>
      </c>
      <c r="FK580" s="138" t="str">
        <f t="shared" si="364"/>
        <v>**</v>
      </c>
    </row>
    <row r="581" spans="1:167" ht="12.75" hidden="1" customHeight="1" x14ac:dyDescent="0.2">
      <c r="A581">
        <v>546</v>
      </c>
      <c r="B581" t="s">
        <v>1595</v>
      </c>
      <c r="C581" s="4"/>
      <c r="D581" s="4" t="s">
        <v>999</v>
      </c>
      <c r="E581" s="4">
        <v>-1616</v>
      </c>
      <c r="F581" t="str">
        <f>VLOOKUP(E581,CompDbase!B:L,4,FALSE)</f>
        <v>PCB #101</v>
      </c>
      <c r="G581" s="95" t="str">
        <f>VLOOKUP(E581,CompDbase!B:M,12,FALSE)</f>
        <v>PCB</v>
      </c>
      <c r="H581" s="95">
        <f>VLOOKUP(E581,CompDbase!B:L,8,FALSE)</f>
        <v>326.39999999999998</v>
      </c>
      <c r="I581" s="95">
        <f>VLOOKUP(E581,CompDbase!B:L,11,FALSE)</f>
        <v>212.15</v>
      </c>
      <c r="J581" s="95">
        <f>VLOOKUP(E581,CompDbase!B:L,9,FALSE)</f>
        <v>3.2640000000000002E-2</v>
      </c>
      <c r="K581" s="95">
        <f>VLOOKUP(E581,CompDbase!B:L,10,FALSE)</f>
        <v>6.3933333333333335</v>
      </c>
      <c r="L581" s="4" t="s">
        <v>769</v>
      </c>
      <c r="M581" s="426">
        <v>900000</v>
      </c>
      <c r="N581" s="426"/>
      <c r="O581" s="4" t="s">
        <v>1985</v>
      </c>
      <c r="P581">
        <f t="shared" si="365"/>
        <v>293</v>
      </c>
      <c r="Q581" s="4" t="s">
        <v>1049</v>
      </c>
      <c r="S581" s="4"/>
      <c r="T581" s="95"/>
      <c r="W581" s="199">
        <f t="shared" si="366"/>
        <v>1584893.1924611153</v>
      </c>
      <c r="X581">
        <v>6.2</v>
      </c>
      <c r="AC581" t="s">
        <v>68</v>
      </c>
      <c r="AG581" s="138">
        <f t="shared" si="367"/>
        <v>6.2</v>
      </c>
      <c r="AH581">
        <f t="shared" si="368"/>
        <v>6.3933333333333335</v>
      </c>
      <c r="AI581">
        <f t="shared" si="368"/>
        <v>6.3933333333333335</v>
      </c>
      <c r="AM581">
        <f t="shared" si="369"/>
        <v>6.3933333333333335</v>
      </c>
      <c r="BW581" s="138"/>
      <c r="BX581">
        <f t="shared" si="370"/>
        <v>-1.4862498499181764</v>
      </c>
      <c r="BY581">
        <f t="shared" si="370"/>
        <v>-1.4862498499181764</v>
      </c>
      <c r="CC581">
        <f t="shared" si="371"/>
        <v>-1.4862498499181764</v>
      </c>
      <c r="DG581" s="138"/>
      <c r="EY581" s="479">
        <f>VLOOKUP(B581,Literatuur!$A:$B,2,FALSE)</f>
        <v>29</v>
      </c>
      <c r="EZ581" t="str">
        <f t="shared" si="355"/>
        <v>PCB 101</v>
      </c>
      <c r="FA581" t="str">
        <f t="shared" si="356"/>
        <v>PCB</v>
      </c>
      <c r="FB581" t="str">
        <f t="shared" si="357"/>
        <v>LDPE</v>
      </c>
      <c r="FC581" t="str">
        <f t="shared" si="358"/>
        <v>Immersion (shaking)</v>
      </c>
      <c r="FD581">
        <f t="shared" si="359"/>
        <v>293</v>
      </c>
      <c r="FE581" t="str">
        <f t="shared" si="360"/>
        <v>water</v>
      </c>
      <c r="FF581" t="str">
        <f t="shared" si="361"/>
        <v xml:space="preserve"> </v>
      </c>
      <c r="FG581" s="408" t="str">
        <f t="shared" si="354"/>
        <v/>
      </c>
      <c r="FH581" s="138">
        <f t="shared" si="362"/>
        <v>6.2</v>
      </c>
      <c r="FI581" s="106">
        <f t="shared" si="353"/>
        <v>6.0985136785829077</v>
      </c>
      <c r="FJ581" s="138" t="str">
        <f t="shared" si="363"/>
        <v/>
      </c>
      <c r="FK581" s="138" t="str">
        <f t="shared" si="364"/>
        <v>**</v>
      </c>
    </row>
    <row r="582" spans="1:167" ht="12.75" hidden="1" customHeight="1" x14ac:dyDescent="0.2">
      <c r="A582">
        <v>547</v>
      </c>
      <c r="B582" t="s">
        <v>1595</v>
      </c>
      <c r="C582" s="4"/>
      <c r="D582" s="4" t="s">
        <v>1000</v>
      </c>
      <c r="E582" s="4">
        <v>-1725</v>
      </c>
      <c r="F582" t="str">
        <f>VLOOKUP(E582,CompDbase!B:L,4,FALSE)</f>
        <v>PCB 104</v>
      </c>
      <c r="G582" s="95" t="str">
        <f>VLOOKUP(E582,CompDbase!B:M,12,FALSE)</f>
        <v>PCB</v>
      </c>
      <c r="H582" s="95">
        <f>VLOOKUP(E582,CompDbase!B:L,8,FALSE)</f>
        <v>326.39999999999998</v>
      </c>
      <c r="I582" s="95">
        <f>VLOOKUP(E582,CompDbase!B:L,11,FALSE)</f>
        <v>360.9</v>
      </c>
      <c r="J582" s="95">
        <f>VLOOKUP(E582,CompDbase!B:L,9,FALSE)</f>
        <v>0.20594447723833481</v>
      </c>
      <c r="K582" s="95">
        <f>VLOOKUP(E582,CompDbase!B:L,10,FALSE)</f>
        <v>5.85</v>
      </c>
      <c r="L582" s="4" t="s">
        <v>769</v>
      </c>
      <c r="M582" s="426">
        <v>900000</v>
      </c>
      <c r="N582" s="426"/>
      <c r="O582" s="4" t="s">
        <v>1985</v>
      </c>
      <c r="P582">
        <f t="shared" si="365"/>
        <v>293</v>
      </c>
      <c r="Q582" s="4" t="s">
        <v>1049</v>
      </c>
      <c r="S582" s="4"/>
      <c r="T582" s="95"/>
      <c r="W582" s="199">
        <f t="shared" si="366"/>
        <v>1000000</v>
      </c>
      <c r="X582">
        <v>6</v>
      </c>
      <c r="AC582" t="s">
        <v>68</v>
      </c>
      <c r="AG582" s="138">
        <f t="shared" si="367"/>
        <v>6</v>
      </c>
      <c r="AH582">
        <f t="shared" si="368"/>
        <v>5.85</v>
      </c>
      <c r="AI582">
        <f t="shared" si="368"/>
        <v>5.85</v>
      </c>
      <c r="AM582">
        <f t="shared" si="369"/>
        <v>5.85</v>
      </c>
      <c r="BW582" s="138"/>
      <c r="BX582">
        <f t="shared" si="370"/>
        <v>-0.68624984991817706</v>
      </c>
      <c r="BY582">
        <f t="shared" si="370"/>
        <v>-0.68624984991817706</v>
      </c>
      <c r="CC582">
        <f t="shared" si="371"/>
        <v>-0.68624984991817706</v>
      </c>
      <c r="DG582" s="138"/>
      <c r="EY582" s="479">
        <f>VLOOKUP(B582,Literatuur!$A:$B,2,FALSE)</f>
        <v>29</v>
      </c>
      <c r="EZ582" t="str">
        <f t="shared" si="355"/>
        <v>PCB 104</v>
      </c>
      <c r="FA582" t="str">
        <f t="shared" si="356"/>
        <v>PCB</v>
      </c>
      <c r="FB582" t="str">
        <f t="shared" si="357"/>
        <v>LDPE</v>
      </c>
      <c r="FC582" t="str">
        <f t="shared" si="358"/>
        <v>Immersion (shaking)</v>
      </c>
      <c r="FD582">
        <f t="shared" si="359"/>
        <v>293</v>
      </c>
      <c r="FE582" t="str">
        <f t="shared" si="360"/>
        <v>water</v>
      </c>
      <c r="FF582" t="str">
        <f t="shared" si="361"/>
        <v xml:space="preserve"> </v>
      </c>
      <c r="FG582" s="408" t="str">
        <f t="shared" si="354"/>
        <v/>
      </c>
      <c r="FH582" s="138">
        <f t="shared" si="362"/>
        <v>6</v>
      </c>
      <c r="FI582" s="106">
        <f t="shared" si="353"/>
        <v>5.5233155828670606</v>
      </c>
      <c r="FJ582" s="138" t="str">
        <f t="shared" si="363"/>
        <v/>
      </c>
      <c r="FK582" s="138" t="str">
        <f t="shared" si="364"/>
        <v>**</v>
      </c>
    </row>
    <row r="583" spans="1:167" ht="12.75" hidden="1" customHeight="1" x14ac:dyDescent="0.2">
      <c r="A583">
        <v>548</v>
      </c>
      <c r="B583" t="s">
        <v>1595</v>
      </c>
      <c r="C583" s="4"/>
      <c r="D583" s="4" t="s">
        <v>1001</v>
      </c>
      <c r="E583" s="4">
        <v>-1618</v>
      </c>
      <c r="F583" t="str">
        <f>VLOOKUP(E583,CompDbase!B:L,4,FALSE)</f>
        <v>PCB #105</v>
      </c>
      <c r="G583" s="95" t="str">
        <f>VLOOKUP(E583,CompDbase!B:M,12,FALSE)</f>
        <v>PCB</v>
      </c>
      <c r="H583" s="95">
        <f>VLOOKUP(E583,CompDbase!B:L,8,FALSE)</f>
        <v>326.39999999999998</v>
      </c>
      <c r="I583" s="95">
        <f>VLOOKUP(E583,CompDbase!B:L,11,FALSE)</f>
        <v>209.9</v>
      </c>
      <c r="J583" s="95">
        <f>VLOOKUP(E583,CompDbase!B:L,9,FALSE)</f>
        <v>2.5926873581400549E-2</v>
      </c>
      <c r="K583" s="95">
        <f>VLOOKUP(E583,CompDbase!B:L,10,FALSE)</f>
        <v>6.7166666666666659</v>
      </c>
      <c r="L583" s="4" t="s">
        <v>769</v>
      </c>
      <c r="M583" s="426">
        <v>900000</v>
      </c>
      <c r="N583" s="426"/>
      <c r="O583" s="4" t="s">
        <v>1985</v>
      </c>
      <c r="P583">
        <f t="shared" si="365"/>
        <v>293</v>
      </c>
      <c r="Q583" s="4" t="s">
        <v>1049</v>
      </c>
      <c r="S583" s="4"/>
      <c r="T583" s="95"/>
      <c r="W583" s="199">
        <f t="shared" si="366"/>
        <v>2511886.431509587</v>
      </c>
      <c r="X583">
        <v>6.4</v>
      </c>
      <c r="AC583" t="s">
        <v>68</v>
      </c>
      <c r="AG583" s="138">
        <f t="shared" si="367"/>
        <v>6.4</v>
      </c>
      <c r="AH583">
        <f t="shared" si="368"/>
        <v>6.7166666666666659</v>
      </c>
      <c r="AI583">
        <f t="shared" si="368"/>
        <v>6.7166666666666659</v>
      </c>
      <c r="AM583">
        <f t="shared" si="369"/>
        <v>6.7166666666666659</v>
      </c>
      <c r="BW583" s="138"/>
      <c r="BX583">
        <f t="shared" si="370"/>
        <v>-1.5862498499181765</v>
      </c>
      <c r="BY583">
        <f t="shared" si="370"/>
        <v>-1.5862498499181765</v>
      </c>
      <c r="CC583">
        <f t="shared" si="371"/>
        <v>-1.5862498499181765</v>
      </c>
      <c r="DG583" s="138"/>
      <c r="EY583" s="479">
        <f>VLOOKUP(B583,Literatuur!$A:$B,2,FALSE)</f>
        <v>29</v>
      </c>
      <c r="EZ583" t="str">
        <f t="shared" si="355"/>
        <v>PCB 105</v>
      </c>
      <c r="FA583" t="str">
        <f t="shared" si="356"/>
        <v>PCB</v>
      </c>
      <c r="FB583" t="str">
        <f t="shared" si="357"/>
        <v>LDPE</v>
      </c>
      <c r="FC583" t="str">
        <f t="shared" si="358"/>
        <v>Immersion (shaking)</v>
      </c>
      <c r="FD583">
        <f t="shared" si="359"/>
        <v>293</v>
      </c>
      <c r="FE583" t="str">
        <f t="shared" si="360"/>
        <v>water</v>
      </c>
      <c r="FF583" t="str">
        <f t="shared" si="361"/>
        <v xml:space="preserve"> </v>
      </c>
      <c r="FG583" s="408" t="str">
        <f t="shared" si="354"/>
        <v/>
      </c>
      <c r="FH583" s="138">
        <f t="shared" si="362"/>
        <v>6.4</v>
      </c>
      <c r="FI583" s="106">
        <f t="shared" si="353"/>
        <v>6.4408094778739322</v>
      </c>
      <c r="FJ583" s="138" t="str">
        <f t="shared" si="363"/>
        <v/>
      </c>
      <c r="FK583" s="138" t="str">
        <f t="shared" si="364"/>
        <v>**</v>
      </c>
    </row>
    <row r="584" spans="1:167" ht="12.75" hidden="1" customHeight="1" x14ac:dyDescent="0.2">
      <c r="A584">
        <v>549</v>
      </c>
      <c r="B584" t="s">
        <v>1595</v>
      </c>
      <c r="C584" s="4"/>
      <c r="D584" s="4" t="s">
        <v>1002</v>
      </c>
      <c r="E584" s="4">
        <v>-1620</v>
      </c>
      <c r="F584" t="str">
        <f>VLOOKUP(E584,CompDbase!B:L,4,FALSE)</f>
        <v>PCB #110</v>
      </c>
      <c r="G584" s="95" t="str">
        <f>VLOOKUP(E584,CompDbase!B:M,12,FALSE)</f>
        <v>PCB</v>
      </c>
      <c r="H584" s="95">
        <f>VLOOKUP(E584,CompDbase!B:L,8,FALSE)</f>
        <v>326.39999999999998</v>
      </c>
      <c r="I584" s="95">
        <f>VLOOKUP(E584,CompDbase!B:L,11,FALSE)</f>
        <v>209.7</v>
      </c>
      <c r="J584" s="95">
        <f>VLOOKUP(E584,CompDbase!B:L,9,FALSE)</f>
        <v>3.2640000000000002E-2</v>
      </c>
      <c r="K584" s="95">
        <f>VLOOKUP(E584,CompDbase!B:L,10,FALSE)</f>
        <v>6.5266666666666664</v>
      </c>
      <c r="L584" s="4" t="s">
        <v>769</v>
      </c>
      <c r="M584" s="426">
        <v>900000</v>
      </c>
      <c r="N584" s="426"/>
      <c r="O584" s="4" t="s">
        <v>1985</v>
      </c>
      <c r="P584">
        <f t="shared" si="365"/>
        <v>293</v>
      </c>
      <c r="Q584" s="4" t="s">
        <v>1049</v>
      </c>
      <c r="S584" s="4"/>
      <c r="T584" s="95"/>
      <c r="W584" s="199">
        <f t="shared" si="366"/>
        <v>1584893.1924611153</v>
      </c>
      <c r="X584">
        <v>6.2</v>
      </c>
      <c r="AC584" t="s">
        <v>68</v>
      </c>
      <c r="AG584" s="138">
        <f t="shared" si="367"/>
        <v>6.2</v>
      </c>
      <c r="AH584">
        <f t="shared" si="368"/>
        <v>6.5266666666666664</v>
      </c>
      <c r="AI584">
        <f t="shared" si="368"/>
        <v>6.5266666666666664</v>
      </c>
      <c r="AM584">
        <f t="shared" si="369"/>
        <v>6.5266666666666664</v>
      </c>
      <c r="BW584" s="138"/>
      <c r="BX584">
        <f t="shared" si="370"/>
        <v>-1.4862498499181764</v>
      </c>
      <c r="BY584">
        <f t="shared" si="370"/>
        <v>-1.4862498499181764</v>
      </c>
      <c r="CC584">
        <f t="shared" si="371"/>
        <v>-1.4862498499181764</v>
      </c>
      <c r="DG584" s="138"/>
      <c r="EY584" s="479">
        <f>VLOOKUP(B584,Literatuur!$A:$B,2,FALSE)</f>
        <v>29</v>
      </c>
      <c r="EZ584" t="str">
        <f t="shared" si="355"/>
        <v>PCB 110</v>
      </c>
      <c r="FA584" t="str">
        <f t="shared" si="356"/>
        <v>PCB</v>
      </c>
      <c r="FB584" t="str">
        <f t="shared" si="357"/>
        <v>LDPE</v>
      </c>
      <c r="FC584" t="str">
        <f t="shared" si="358"/>
        <v>Immersion (shaking)</v>
      </c>
      <c r="FD584">
        <f t="shared" si="359"/>
        <v>293</v>
      </c>
      <c r="FE584" t="str">
        <f t="shared" si="360"/>
        <v>water</v>
      </c>
      <c r="FF584" t="str">
        <f t="shared" si="361"/>
        <v xml:space="preserve"> </v>
      </c>
      <c r="FG584" s="408" t="str">
        <f t="shared" si="354"/>
        <v/>
      </c>
      <c r="FH584" s="138">
        <f t="shared" si="362"/>
        <v>6.2</v>
      </c>
      <c r="FI584" s="106">
        <f t="shared" si="353"/>
        <v>6.2396665855070417</v>
      </c>
      <c r="FJ584" s="138" t="str">
        <f t="shared" si="363"/>
        <v/>
      </c>
      <c r="FK584" s="138" t="str">
        <f t="shared" si="364"/>
        <v>**</v>
      </c>
    </row>
    <row r="585" spans="1:167" ht="12.75" hidden="1" customHeight="1" x14ac:dyDescent="0.2">
      <c r="A585">
        <v>550</v>
      </c>
      <c r="B585" t="s">
        <v>1595</v>
      </c>
      <c r="C585" s="4"/>
      <c r="D585" s="4" t="s">
        <v>1003</v>
      </c>
      <c r="E585" s="4">
        <v>-1621</v>
      </c>
      <c r="F585" t="str">
        <f>VLOOKUP(E585,CompDbase!B:L,4,FALSE)</f>
        <v>PCB #118</v>
      </c>
      <c r="G585" s="95" t="str">
        <f>VLOOKUP(E585,CompDbase!B:M,12,FALSE)</f>
        <v>PCB</v>
      </c>
      <c r="H585" s="95">
        <f>VLOOKUP(E585,CompDbase!B:L,8,FALSE)</f>
        <v>326.39999999999998</v>
      </c>
      <c r="I585" s="95">
        <f>VLOOKUP(E585,CompDbase!B:L,11,FALSE)</f>
        <v>210.25</v>
      </c>
      <c r="J585" s="95">
        <f>VLOOKUP(E585,CompDbase!B:L,9,FALSE)</f>
        <v>2.5926873581400549E-2</v>
      </c>
      <c r="K585" s="95">
        <f>VLOOKUP(E585,CompDbase!B:L,10,FALSE)</f>
        <v>6.7133333333333338</v>
      </c>
      <c r="L585" s="4" t="s">
        <v>769</v>
      </c>
      <c r="M585" s="426">
        <v>900000</v>
      </c>
      <c r="N585" s="426"/>
      <c r="O585" s="4" t="s">
        <v>1985</v>
      </c>
      <c r="P585">
        <f t="shared" si="365"/>
        <v>293</v>
      </c>
      <c r="Q585" s="4" t="s">
        <v>1049</v>
      </c>
      <c r="S585" s="4"/>
      <c r="T585" s="95"/>
      <c r="W585" s="199">
        <f t="shared" si="366"/>
        <v>3162277.6601683851</v>
      </c>
      <c r="X585">
        <v>6.5</v>
      </c>
      <c r="Z585" s="190"/>
      <c r="AC585" t="s">
        <v>68</v>
      </c>
      <c r="AG585" s="138">
        <f t="shared" si="367"/>
        <v>6.5</v>
      </c>
      <c r="AH585">
        <f t="shared" si="368"/>
        <v>6.7133333333333338</v>
      </c>
      <c r="AI585">
        <f t="shared" si="368"/>
        <v>6.7133333333333338</v>
      </c>
      <c r="AM585">
        <f t="shared" si="369"/>
        <v>6.7133333333333338</v>
      </c>
      <c r="BW585" s="138"/>
      <c r="BX585">
        <f t="shared" si="370"/>
        <v>-1.5862498499181765</v>
      </c>
      <c r="BY585">
        <f t="shared" si="370"/>
        <v>-1.5862498499181765</v>
      </c>
      <c r="CC585">
        <f t="shared" si="371"/>
        <v>-1.5862498499181765</v>
      </c>
      <c r="DG585" s="138"/>
      <c r="EY585" s="479">
        <f>VLOOKUP(B585,Literatuur!$A:$B,2,FALSE)</f>
        <v>29</v>
      </c>
      <c r="EZ585" t="str">
        <f t="shared" si="355"/>
        <v>PCB 118</v>
      </c>
      <c r="FA585" t="str">
        <f t="shared" si="356"/>
        <v>PCB</v>
      </c>
      <c r="FB585" t="str">
        <f t="shared" si="357"/>
        <v>LDPE</v>
      </c>
      <c r="FC585" t="str">
        <f t="shared" si="358"/>
        <v>Immersion (shaking)</v>
      </c>
      <c r="FD585">
        <f t="shared" si="359"/>
        <v>293</v>
      </c>
      <c r="FE585" t="str">
        <f t="shared" si="360"/>
        <v>water</v>
      </c>
      <c r="FF585" t="str">
        <f t="shared" si="361"/>
        <v xml:space="preserve"> </v>
      </c>
      <c r="FG585" s="408" t="str">
        <f t="shared" si="354"/>
        <v/>
      </c>
      <c r="FH585" s="138">
        <f t="shared" si="362"/>
        <v>6.5</v>
      </c>
      <c r="FI585" s="106">
        <f t="shared" si="353"/>
        <v>6.4372806552008299</v>
      </c>
      <c r="FJ585" s="138" t="str">
        <f t="shared" si="363"/>
        <v/>
      </c>
      <c r="FK585" s="138" t="str">
        <f t="shared" si="364"/>
        <v>**</v>
      </c>
    </row>
    <row r="586" spans="1:167" ht="12.75" hidden="1" customHeight="1" x14ac:dyDescent="0.2">
      <c r="A586">
        <v>551</v>
      </c>
      <c r="B586" t="s">
        <v>1595</v>
      </c>
      <c r="C586" s="4"/>
      <c r="D586" s="4" t="s">
        <v>1004</v>
      </c>
      <c r="E586" s="4">
        <v>-1623</v>
      </c>
      <c r="F586" t="str">
        <f>VLOOKUP(E586,CompDbase!B:L,4,FALSE)</f>
        <v>PCB #128</v>
      </c>
      <c r="G586" s="95" t="str">
        <f>VLOOKUP(E586,CompDbase!B:M,12,FALSE)</f>
        <v>PCB</v>
      </c>
      <c r="H586" s="95">
        <f>VLOOKUP(E586,CompDbase!B:L,8,FALSE)</f>
        <v>360.9</v>
      </c>
      <c r="I586" s="95">
        <f>VLOOKUP(E586,CompDbase!B:L,11,FALSE)</f>
        <v>222.6</v>
      </c>
      <c r="J586" s="95">
        <f>VLOOKUP(E586,CompDbase!B:L,9,FALSE)</f>
        <v>1.808784726160826E-2</v>
      </c>
      <c r="K586" s="95">
        <f>VLOOKUP(E586,CompDbase!B:L,10,FALSE)</f>
        <v>6.746666666666667</v>
      </c>
      <c r="L586" s="4" t="s">
        <v>769</v>
      </c>
      <c r="M586" s="426">
        <v>900000</v>
      </c>
      <c r="N586" s="426"/>
      <c r="O586" s="4" t="s">
        <v>1985</v>
      </c>
      <c r="P586">
        <f t="shared" si="365"/>
        <v>293</v>
      </c>
      <c r="Q586" s="4" t="s">
        <v>1049</v>
      </c>
      <c r="S586" s="4"/>
      <c r="T586" s="95"/>
      <c r="W586" s="199">
        <f t="shared" si="366"/>
        <v>5011872.3362727314</v>
      </c>
      <c r="X586">
        <v>6.7</v>
      </c>
      <c r="Z586" s="190"/>
      <c r="AC586" t="s">
        <v>68</v>
      </c>
      <c r="AG586" s="138">
        <f t="shared" si="367"/>
        <v>6.7</v>
      </c>
      <c r="AH586">
        <f t="shared" si="368"/>
        <v>6.746666666666667</v>
      </c>
      <c r="AI586">
        <f t="shared" si="368"/>
        <v>6.746666666666667</v>
      </c>
      <c r="AM586">
        <f t="shared" si="369"/>
        <v>6.746666666666667</v>
      </c>
      <c r="BW586" s="138"/>
      <c r="BX586">
        <f t="shared" si="370"/>
        <v>-1.7426131179404927</v>
      </c>
      <c r="BY586">
        <f t="shared" si="370"/>
        <v>-1.7426131179404927</v>
      </c>
      <c r="CC586">
        <f t="shared" si="371"/>
        <v>-1.7426131179404927</v>
      </c>
      <c r="DG586" s="138"/>
      <c r="EY586" s="479">
        <f>VLOOKUP(B586,Literatuur!$A:$B,2,FALSE)</f>
        <v>29</v>
      </c>
      <c r="EZ586" t="str">
        <f t="shared" si="355"/>
        <v>PCB 128</v>
      </c>
      <c r="FA586" t="str">
        <f t="shared" si="356"/>
        <v>PCB</v>
      </c>
      <c r="FB586" t="str">
        <f t="shared" si="357"/>
        <v>LDPE</v>
      </c>
      <c r="FC586" t="str">
        <f t="shared" si="358"/>
        <v>Immersion (shaking)</v>
      </c>
      <c r="FD586">
        <f t="shared" si="359"/>
        <v>293</v>
      </c>
      <c r="FE586" t="str">
        <f t="shared" si="360"/>
        <v>water</v>
      </c>
      <c r="FF586" t="str">
        <f t="shared" si="361"/>
        <v xml:space="preserve"> </v>
      </c>
      <c r="FG586" s="408" t="str">
        <f t="shared" si="354"/>
        <v/>
      </c>
      <c r="FH586" s="138">
        <f t="shared" si="362"/>
        <v>6.7</v>
      </c>
      <c r="FI586" s="106">
        <f t="shared" si="353"/>
        <v>6.4725688819318634</v>
      </c>
      <c r="FJ586" s="138" t="str">
        <f t="shared" si="363"/>
        <v/>
      </c>
      <c r="FK586" s="138" t="str">
        <f t="shared" si="364"/>
        <v>**</v>
      </c>
    </row>
    <row r="587" spans="1:167" ht="12.75" hidden="1" customHeight="1" x14ac:dyDescent="0.2">
      <c r="A587">
        <v>552</v>
      </c>
      <c r="B587" t="s">
        <v>1595</v>
      </c>
      <c r="C587" s="4"/>
      <c r="D587" s="4" t="s">
        <v>1006</v>
      </c>
      <c r="E587" s="4">
        <v>-1731</v>
      </c>
      <c r="F587" t="str">
        <f>VLOOKUP(E587,CompDbase!B:L,4,FALSE)</f>
        <v>PCB 137</v>
      </c>
      <c r="G587" s="95" t="str">
        <f>VLOOKUP(E587,CompDbase!B:M,12,FALSE)</f>
        <v>PCB</v>
      </c>
      <c r="H587" s="95">
        <f>VLOOKUP(E587,CompDbase!B:L,8,FALSE)</f>
        <v>360.9</v>
      </c>
      <c r="I587" s="95">
        <f>VLOOKUP(E587,CompDbase!B:L,11,FALSE)</f>
        <v>360.9</v>
      </c>
      <c r="J587" s="95">
        <f>VLOOKUP(E587,CompDbase!B:L,9,FALSE)</f>
        <v>1.4367687785275682E-2</v>
      </c>
      <c r="K587" s="95">
        <f>VLOOKUP(E587,CompDbase!B:L,10,FALSE)</f>
        <v>6.85</v>
      </c>
      <c r="L587" s="4" t="s">
        <v>769</v>
      </c>
      <c r="M587" s="426">
        <v>900000</v>
      </c>
      <c r="N587" s="426"/>
      <c r="O587" s="4" t="s">
        <v>1985</v>
      </c>
      <c r="P587">
        <f t="shared" si="365"/>
        <v>293</v>
      </c>
      <c r="Q587" s="4" t="s">
        <v>1049</v>
      </c>
      <c r="S587" s="4"/>
      <c r="T587" s="95"/>
      <c r="W587" s="199">
        <f t="shared" si="366"/>
        <v>7943282.3472428275</v>
      </c>
      <c r="X587">
        <v>6.9</v>
      </c>
      <c r="Z587" s="190"/>
      <c r="AC587" t="s">
        <v>68</v>
      </c>
      <c r="AG587" s="138">
        <f t="shared" si="367"/>
        <v>6.9</v>
      </c>
      <c r="AH587">
        <f t="shared" si="368"/>
        <v>6.85</v>
      </c>
      <c r="AI587">
        <f t="shared" si="368"/>
        <v>6.85</v>
      </c>
      <c r="AM587">
        <f t="shared" si="369"/>
        <v>6.85</v>
      </c>
      <c r="BW587" s="138"/>
      <c r="BX587">
        <f t="shared" si="370"/>
        <v>-1.8426131179404939</v>
      </c>
      <c r="BY587">
        <f t="shared" si="370"/>
        <v>-1.8426131179404939</v>
      </c>
      <c r="CC587">
        <f t="shared" si="371"/>
        <v>-1.8426131179404939</v>
      </c>
      <c r="DG587" s="138"/>
      <c r="EY587" s="479">
        <f>VLOOKUP(B587,Literatuur!$A:$B,2,FALSE)</f>
        <v>29</v>
      </c>
      <c r="EZ587" t="str">
        <f t="shared" si="355"/>
        <v>PCB 137</v>
      </c>
      <c r="FA587" t="str">
        <f t="shared" si="356"/>
        <v>PCB</v>
      </c>
      <c r="FB587" t="str">
        <f t="shared" si="357"/>
        <v>LDPE</v>
      </c>
      <c r="FC587" t="str">
        <f t="shared" si="358"/>
        <v>Immersion (shaking)</v>
      </c>
      <c r="FD587">
        <f t="shared" si="359"/>
        <v>293</v>
      </c>
      <c r="FE587" t="str">
        <f t="shared" si="360"/>
        <v>water</v>
      </c>
      <c r="FF587" t="str">
        <f t="shared" si="361"/>
        <v xml:space="preserve"> </v>
      </c>
      <c r="FG587" s="408" t="str">
        <f t="shared" si="354"/>
        <v/>
      </c>
      <c r="FH587" s="138">
        <f t="shared" si="362"/>
        <v>6.9</v>
      </c>
      <c r="FI587" s="106">
        <f t="shared" si="353"/>
        <v>6.5819623847980671</v>
      </c>
      <c r="FJ587" s="138" t="str">
        <f t="shared" si="363"/>
        <v/>
      </c>
      <c r="FK587" s="138" t="str">
        <f t="shared" si="364"/>
        <v>**</v>
      </c>
    </row>
    <row r="588" spans="1:167" ht="12.75" hidden="1" customHeight="1" x14ac:dyDescent="0.2">
      <c r="A588">
        <v>553</v>
      </c>
      <c r="B588" t="s">
        <v>1595</v>
      </c>
      <c r="C588" s="4"/>
      <c r="D588" s="4" t="s">
        <v>1007</v>
      </c>
      <c r="E588" s="4">
        <v>-1628</v>
      </c>
      <c r="F588" t="str">
        <f>VLOOKUP(E588,CompDbase!B:L,4,FALSE)</f>
        <v>PCB #138</v>
      </c>
      <c r="G588" s="95" t="str">
        <f>VLOOKUP(E588,CompDbase!B:M,12,FALSE)</f>
        <v>PCB</v>
      </c>
      <c r="H588" s="95">
        <f>VLOOKUP(E588,CompDbase!B:L,8,FALSE)</f>
        <v>360.9</v>
      </c>
      <c r="I588" s="95">
        <f>VLOOKUP(E588,CompDbase!B:L,11,FALSE)</f>
        <v>223.25</v>
      </c>
      <c r="J588" s="95">
        <f>VLOOKUP(E588,CompDbase!B:L,9,FALSE)</f>
        <v>7.2009016947226761E-3</v>
      </c>
      <c r="K588" s="95">
        <f>VLOOKUP(E588,CompDbase!B:L,10,FALSE)</f>
        <v>6.9433333333333325</v>
      </c>
      <c r="L588" s="4" t="s">
        <v>769</v>
      </c>
      <c r="M588" s="426">
        <v>900000</v>
      </c>
      <c r="N588" s="426"/>
      <c r="O588" s="4" t="s">
        <v>1985</v>
      </c>
      <c r="P588">
        <f t="shared" si="365"/>
        <v>293</v>
      </c>
      <c r="Q588" s="4" t="s">
        <v>1049</v>
      </c>
      <c r="S588" s="4"/>
      <c r="T588" s="95"/>
      <c r="W588" s="199">
        <f t="shared" si="366"/>
        <v>6309573.4448019378</v>
      </c>
      <c r="X588">
        <v>6.8</v>
      </c>
      <c r="Z588" s="190"/>
      <c r="AC588" t="s">
        <v>68</v>
      </c>
      <c r="AG588" s="138">
        <f t="shared" si="367"/>
        <v>6.8</v>
      </c>
      <c r="AH588">
        <f t="shared" si="368"/>
        <v>6.9433333333333325</v>
      </c>
      <c r="AI588">
        <f t="shared" si="368"/>
        <v>6.9433333333333325</v>
      </c>
      <c r="AM588">
        <f t="shared" si="369"/>
        <v>6.9433333333333325</v>
      </c>
      <c r="BW588" s="138"/>
      <c r="BX588">
        <f t="shared" si="370"/>
        <v>-2.1426131179404933</v>
      </c>
      <c r="BY588">
        <f t="shared" si="370"/>
        <v>-2.1426131179404933</v>
      </c>
      <c r="CC588">
        <f t="shared" si="371"/>
        <v>-2.1426131179404933</v>
      </c>
      <c r="DG588" s="138"/>
      <c r="EY588" s="479">
        <f>VLOOKUP(B588,Literatuur!$A:$B,2,FALSE)</f>
        <v>29</v>
      </c>
      <c r="EZ588" t="str">
        <f t="shared" si="355"/>
        <v>PCB 138</v>
      </c>
      <c r="FA588" t="str">
        <f t="shared" si="356"/>
        <v>PCB</v>
      </c>
      <c r="FB588" t="str">
        <f t="shared" si="357"/>
        <v>LDPE</v>
      </c>
      <c r="FC588" t="str">
        <f t="shared" si="358"/>
        <v>Immersion (shaking)</v>
      </c>
      <c r="FD588">
        <f t="shared" si="359"/>
        <v>293</v>
      </c>
      <c r="FE588" t="str">
        <f t="shared" si="360"/>
        <v>water</v>
      </c>
      <c r="FF588" t="str">
        <f t="shared" si="361"/>
        <v xml:space="preserve"> </v>
      </c>
      <c r="FG588" s="408" t="str">
        <f t="shared" si="354"/>
        <v/>
      </c>
      <c r="FH588" s="138">
        <f t="shared" si="362"/>
        <v>6.8</v>
      </c>
      <c r="FI588" s="106">
        <f t="shared" si="353"/>
        <v>6.6807694196449603</v>
      </c>
      <c r="FJ588" s="138" t="str">
        <f t="shared" si="363"/>
        <v/>
      </c>
      <c r="FK588" s="138" t="str">
        <f t="shared" si="364"/>
        <v>**</v>
      </c>
    </row>
    <row r="589" spans="1:167" ht="12.75" hidden="1" customHeight="1" x14ac:dyDescent="0.2">
      <c r="A589">
        <v>554</v>
      </c>
      <c r="B589" t="s">
        <v>1595</v>
      </c>
      <c r="C589" s="4"/>
      <c r="D589" s="4" t="s">
        <v>978</v>
      </c>
      <c r="E589" s="4">
        <v>-1703</v>
      </c>
      <c r="F589" t="str">
        <f>VLOOKUP(E589,CompDbase!B:L,4,FALSE)</f>
        <v>PCB 14</v>
      </c>
      <c r="G589" s="95" t="str">
        <f>VLOOKUP(E589,CompDbase!B:M,12,FALSE)</f>
        <v>PCB</v>
      </c>
      <c r="H589" s="95">
        <f>VLOOKUP(E589,CompDbase!B:L,8,FALSE)</f>
        <v>223.1</v>
      </c>
      <c r="I589" s="95" t="e">
        <f>VLOOKUP(E589,CompDbase!B:L,11,FALSE)</f>
        <v>#DIV/0!</v>
      </c>
      <c r="J589" s="95">
        <f>VLOOKUP(E589,CompDbase!B:L,9,FALSE)</f>
        <v>0.56040186286978677</v>
      </c>
      <c r="K589" s="95">
        <f>VLOOKUP(E589,CompDbase!B:L,10,FALSE)</f>
        <v>5.3</v>
      </c>
      <c r="L589" s="4" t="s">
        <v>769</v>
      </c>
      <c r="M589" s="426">
        <v>900000</v>
      </c>
      <c r="N589" s="426"/>
      <c r="O589" s="4" t="s">
        <v>1985</v>
      </c>
      <c r="P589">
        <f t="shared" si="365"/>
        <v>293</v>
      </c>
      <c r="Q589" s="4" t="s">
        <v>1049</v>
      </c>
      <c r="S589" s="4"/>
      <c r="T589" s="95"/>
      <c r="W589" s="199">
        <f t="shared" si="366"/>
        <v>100000</v>
      </c>
      <c r="X589">
        <v>5</v>
      </c>
      <c r="AC589" t="s">
        <v>68</v>
      </c>
      <c r="AG589" s="138">
        <f t="shared" si="367"/>
        <v>5</v>
      </c>
      <c r="AH589">
        <f t="shared" si="368"/>
        <v>5.3</v>
      </c>
      <c r="AI589">
        <f t="shared" si="368"/>
        <v>5.3</v>
      </c>
      <c r="AM589">
        <f t="shared" si="369"/>
        <v>5.3</v>
      </c>
      <c r="BW589" s="138"/>
      <c r="BX589">
        <f t="shared" si="370"/>
        <v>-0.25150042971616271</v>
      </c>
      <c r="BY589">
        <f t="shared" si="370"/>
        <v>-0.25150042971616271</v>
      </c>
      <c r="CC589">
        <f t="shared" si="371"/>
        <v>-0.25150042971616271</v>
      </c>
      <c r="DG589" s="138"/>
      <c r="EY589" s="479">
        <f>VLOOKUP(B589,Literatuur!$A:$B,2,FALSE)</f>
        <v>29</v>
      </c>
      <c r="EZ589" t="str">
        <f t="shared" si="355"/>
        <v>PCB 14</v>
      </c>
      <c r="FA589" t="str">
        <f t="shared" si="356"/>
        <v>PCB</v>
      </c>
      <c r="FB589" t="str">
        <f t="shared" si="357"/>
        <v>LDPE</v>
      </c>
      <c r="FC589" t="str">
        <f t="shared" si="358"/>
        <v>Immersion (shaking)</v>
      </c>
      <c r="FD589">
        <f t="shared" si="359"/>
        <v>293</v>
      </c>
      <c r="FE589" t="str">
        <f t="shared" si="360"/>
        <v>water</v>
      </c>
      <c r="FF589" t="str">
        <f t="shared" si="361"/>
        <v xml:space="preserve"> </v>
      </c>
      <c r="FG589" s="408" t="str">
        <f t="shared" si="354"/>
        <v/>
      </c>
      <c r="FH589" s="138">
        <f t="shared" si="362"/>
        <v>5</v>
      </c>
      <c r="FI589" s="106">
        <f t="shared" si="353"/>
        <v>4.9410598418050071</v>
      </c>
      <c r="FJ589" s="138" t="str">
        <f t="shared" si="363"/>
        <v/>
      </c>
      <c r="FK589" s="138" t="str">
        <f t="shared" si="364"/>
        <v>**</v>
      </c>
    </row>
    <row r="590" spans="1:167" ht="12.75" hidden="1" customHeight="1" x14ac:dyDescent="0.2">
      <c r="A590">
        <v>555</v>
      </c>
      <c r="B590" t="s">
        <v>1595</v>
      </c>
      <c r="C590" s="4"/>
      <c r="D590" s="4" t="s">
        <v>1008</v>
      </c>
      <c r="E590" s="4">
        <v>-1629</v>
      </c>
      <c r="F590" t="str">
        <f>VLOOKUP(E590,CompDbase!B:L,4,FALSE)</f>
        <v>PCB #141</v>
      </c>
      <c r="G590" s="95" t="str">
        <f>VLOOKUP(E590,CompDbase!B:M,12,FALSE)</f>
        <v>PCB</v>
      </c>
      <c r="H590" s="95">
        <f>VLOOKUP(E590,CompDbase!B:L,8,FALSE)</f>
        <v>360.9</v>
      </c>
      <c r="I590" s="95">
        <f>VLOOKUP(E590,CompDbase!B:L,11,FALSE)</f>
        <v>223.55</v>
      </c>
      <c r="J590" s="95">
        <f>VLOOKUP(E590,CompDbase!B:L,9,FALSE)</f>
        <v>1.4367687785275682E-2</v>
      </c>
      <c r="K590" s="95">
        <f>VLOOKUP(E590,CompDbase!B:L,10,FALSE)</f>
        <v>6.84</v>
      </c>
      <c r="L590" s="4" t="s">
        <v>769</v>
      </c>
      <c r="M590" s="426">
        <v>900000</v>
      </c>
      <c r="N590" s="426"/>
      <c r="O590" s="4" t="s">
        <v>1985</v>
      </c>
      <c r="P590">
        <f t="shared" si="365"/>
        <v>293</v>
      </c>
      <c r="Q590" s="4" t="s">
        <v>1049</v>
      </c>
      <c r="S590" s="4"/>
      <c r="T590" s="95"/>
      <c r="W590" s="199">
        <f t="shared" si="366"/>
        <v>5011872.3362727314</v>
      </c>
      <c r="X590">
        <v>6.7</v>
      </c>
      <c r="Z590" s="190"/>
      <c r="AC590" t="s">
        <v>68</v>
      </c>
      <c r="AG590" s="138">
        <f t="shared" si="367"/>
        <v>6.7</v>
      </c>
      <c r="AH590">
        <f t="shared" si="368"/>
        <v>6.84</v>
      </c>
      <c r="AI590">
        <f t="shared" si="368"/>
        <v>6.84</v>
      </c>
      <c r="AM590">
        <f t="shared" si="369"/>
        <v>6.84</v>
      </c>
      <c r="BW590" s="138"/>
      <c r="BX590">
        <f t="shared" si="370"/>
        <v>-1.8426131179404939</v>
      </c>
      <c r="BY590">
        <f t="shared" si="370"/>
        <v>-1.8426131179404939</v>
      </c>
      <c r="CC590">
        <f t="shared" si="371"/>
        <v>-1.8426131179404939</v>
      </c>
      <c r="DG590" s="138"/>
      <c r="EY590" s="479">
        <f>VLOOKUP(B590,Literatuur!$A:$B,2,FALSE)</f>
        <v>29</v>
      </c>
      <c r="EZ590" t="str">
        <f t="shared" si="355"/>
        <v>PCB 141</v>
      </c>
      <c r="FA590" t="str">
        <f t="shared" si="356"/>
        <v>PCB</v>
      </c>
      <c r="FB590" t="str">
        <f t="shared" si="357"/>
        <v>LDPE</v>
      </c>
      <c r="FC590" t="str">
        <f t="shared" si="358"/>
        <v>Immersion (shaking)</v>
      </c>
      <c r="FD590">
        <f t="shared" si="359"/>
        <v>293</v>
      </c>
      <c r="FE590" t="str">
        <f t="shared" si="360"/>
        <v>water</v>
      </c>
      <c r="FF590" t="str">
        <f t="shared" si="361"/>
        <v xml:space="preserve"> </v>
      </c>
      <c r="FG590" s="408" t="str">
        <f t="shared" si="354"/>
        <v/>
      </c>
      <c r="FH590" s="138">
        <f t="shared" si="362"/>
        <v>6.7</v>
      </c>
      <c r="FI590" s="106">
        <f t="shared" si="353"/>
        <v>6.5713759167787567</v>
      </c>
      <c r="FJ590" s="138" t="str">
        <f t="shared" si="363"/>
        <v/>
      </c>
      <c r="FK590" s="138" t="str">
        <f t="shared" si="364"/>
        <v>**</v>
      </c>
    </row>
    <row r="591" spans="1:167" ht="12.75" hidden="1" customHeight="1" x14ac:dyDescent="0.2">
      <c r="A591">
        <v>556</v>
      </c>
      <c r="B591" t="s">
        <v>1595</v>
      </c>
      <c r="C591" s="4"/>
      <c r="D591" s="4" t="s">
        <v>1010</v>
      </c>
      <c r="E591" s="4">
        <v>-1735</v>
      </c>
      <c r="F591" t="str">
        <f>VLOOKUP(E591,CompDbase!B:L,4,FALSE)</f>
        <v>PCB 145</v>
      </c>
      <c r="G591" s="95" t="str">
        <f>VLOOKUP(E591,CompDbase!B:M,12,FALSE)</f>
        <v>PCB</v>
      </c>
      <c r="H591" s="95">
        <f>VLOOKUP(E591,CompDbase!B:L,8,FALSE)</f>
        <v>360.9</v>
      </c>
      <c r="I591" s="95" t="e">
        <f>VLOOKUP(E591,CompDbase!B:L,11,FALSE)</f>
        <v>#DIV/0!</v>
      </c>
      <c r="J591" s="95">
        <f>VLOOKUP(E591,CompDbase!B:L,9,FALSE)</f>
        <v>7.2009016947226723E-2</v>
      </c>
      <c r="K591" s="95">
        <f>VLOOKUP(E591,CompDbase!B:L,10,FALSE)</f>
        <v>6.3</v>
      </c>
      <c r="L591" s="4" t="s">
        <v>769</v>
      </c>
      <c r="M591" s="426">
        <v>900000</v>
      </c>
      <c r="N591" s="426"/>
      <c r="O591" s="4" t="s">
        <v>1985</v>
      </c>
      <c r="P591">
        <f t="shared" si="365"/>
        <v>293</v>
      </c>
      <c r="Q591" s="4" t="s">
        <v>1049</v>
      </c>
      <c r="S591" s="4"/>
      <c r="T591" s="95"/>
      <c r="W591" s="199">
        <f t="shared" si="366"/>
        <v>3162277.6601683851</v>
      </c>
      <c r="X591">
        <v>6.5</v>
      </c>
      <c r="Z591" s="190"/>
      <c r="AC591" t="s">
        <v>68</v>
      </c>
      <c r="AG591" s="138">
        <f t="shared" si="367"/>
        <v>6.5</v>
      </c>
      <c r="AH591">
        <f t="shared" si="368"/>
        <v>6.3</v>
      </c>
      <c r="AI591">
        <f t="shared" si="368"/>
        <v>6.3</v>
      </c>
      <c r="AM591">
        <f t="shared" si="369"/>
        <v>6.3</v>
      </c>
      <c r="BW591" s="138"/>
      <c r="BX591">
        <f t="shared" si="370"/>
        <v>-1.1426131179404937</v>
      </c>
      <c r="BY591">
        <f t="shared" si="370"/>
        <v>-1.1426131179404937</v>
      </c>
      <c r="CC591">
        <f t="shared" si="371"/>
        <v>-1.1426131179404937</v>
      </c>
      <c r="DG591" s="138"/>
      <c r="EY591" s="479">
        <f>VLOOKUP(B591,Literatuur!$A:$B,2,FALSE)</f>
        <v>29</v>
      </c>
      <c r="EZ591" t="str">
        <f t="shared" si="355"/>
        <v>PCB 145</v>
      </c>
      <c r="FA591" t="str">
        <f t="shared" si="356"/>
        <v>PCB</v>
      </c>
      <c r="FB591" t="str">
        <f t="shared" si="357"/>
        <v>LDPE</v>
      </c>
      <c r="FC591" t="str">
        <f t="shared" si="358"/>
        <v>Immersion (shaking)</v>
      </c>
      <c r="FD591">
        <f t="shared" si="359"/>
        <v>293</v>
      </c>
      <c r="FE591" t="str">
        <f t="shared" si="360"/>
        <v>water</v>
      </c>
      <c r="FF591" t="str">
        <f t="shared" si="361"/>
        <v xml:space="preserve"> </v>
      </c>
      <c r="FG591" s="408" t="str">
        <f t="shared" si="354"/>
        <v/>
      </c>
      <c r="FH591" s="138">
        <f t="shared" si="362"/>
        <v>6.5</v>
      </c>
      <c r="FI591" s="106">
        <f t="shared" si="353"/>
        <v>5.9997066437360136</v>
      </c>
      <c r="FJ591" s="138" t="str">
        <f t="shared" si="363"/>
        <v/>
      </c>
      <c r="FK591" s="138" t="str">
        <f t="shared" si="364"/>
        <v>**</v>
      </c>
    </row>
    <row r="592" spans="1:167" ht="12.75" hidden="1" customHeight="1" x14ac:dyDescent="0.2">
      <c r="A592">
        <v>557</v>
      </c>
      <c r="B592" t="s">
        <v>1595</v>
      </c>
      <c r="C592" s="4"/>
      <c r="D592" s="4" t="s">
        <v>1011</v>
      </c>
      <c r="E592" s="4">
        <v>-1736</v>
      </c>
      <c r="F592" t="str">
        <f>VLOOKUP(E592,CompDbase!B:L,4,FALSE)</f>
        <v>PCB 149</v>
      </c>
      <c r="G592" s="95" t="str">
        <f>VLOOKUP(E592,CompDbase!B:M,12,FALSE)</f>
        <v>PCB</v>
      </c>
      <c r="H592" s="95">
        <f>VLOOKUP(E592,CompDbase!B:L,8,FALSE)</f>
        <v>360.9</v>
      </c>
      <c r="I592" s="95">
        <f>VLOOKUP(E592,CompDbase!B:L,11,FALSE)</f>
        <v>360.9</v>
      </c>
      <c r="J592" s="95">
        <f>VLOOKUP(E592,CompDbase!B:L,9,FALSE)</f>
        <v>2.2771250562290155E-2</v>
      </c>
      <c r="K592" s="95">
        <f>VLOOKUP(E592,CompDbase!B:L,10,FALSE)</f>
        <v>6.75</v>
      </c>
      <c r="L592" s="4" t="s">
        <v>769</v>
      </c>
      <c r="M592" s="426">
        <v>900000</v>
      </c>
      <c r="N592" s="426"/>
      <c r="O592" s="4" t="s">
        <v>1985</v>
      </c>
      <c r="P592">
        <f t="shared" si="365"/>
        <v>293</v>
      </c>
      <c r="Q592" s="4" t="s">
        <v>1049</v>
      </c>
      <c r="S592" s="4"/>
      <c r="T592" s="95"/>
      <c r="W592" s="199">
        <f t="shared" si="366"/>
        <v>3981071.705534976</v>
      </c>
      <c r="X592">
        <v>6.6</v>
      </c>
      <c r="Z592" s="190"/>
      <c r="AC592" t="s">
        <v>68</v>
      </c>
      <c r="AG592" s="138">
        <f t="shared" si="367"/>
        <v>6.6</v>
      </c>
      <c r="AH592">
        <f t="shared" si="368"/>
        <v>6.75</v>
      </c>
      <c r="AI592">
        <f t="shared" si="368"/>
        <v>6.75</v>
      </c>
      <c r="AM592">
        <f t="shared" si="369"/>
        <v>6.75</v>
      </c>
      <c r="BW592" s="138"/>
      <c r="BX592">
        <f t="shared" si="370"/>
        <v>-1.6426131179404933</v>
      </c>
      <c r="BY592">
        <f t="shared" si="370"/>
        <v>-1.6426131179404933</v>
      </c>
      <c r="CC592">
        <f t="shared" si="371"/>
        <v>-1.6426131179404933</v>
      </c>
      <c r="DG592" s="138"/>
      <c r="EY592" s="479">
        <f>VLOOKUP(B592,Literatuur!$A:$B,2,FALSE)</f>
        <v>29</v>
      </c>
      <c r="EZ592" t="str">
        <f t="shared" si="355"/>
        <v>PCB 149</v>
      </c>
      <c r="FA592" t="str">
        <f t="shared" si="356"/>
        <v>PCB</v>
      </c>
      <c r="FB592" t="str">
        <f t="shared" si="357"/>
        <v>LDPE</v>
      </c>
      <c r="FC592" t="str">
        <f t="shared" si="358"/>
        <v>Immersion (shaking)</v>
      </c>
      <c r="FD592">
        <f t="shared" si="359"/>
        <v>293</v>
      </c>
      <c r="FE592" t="str">
        <f t="shared" si="360"/>
        <v>water</v>
      </c>
      <c r="FF592" t="str">
        <f t="shared" si="361"/>
        <v xml:space="preserve"> </v>
      </c>
      <c r="FG592" s="408" t="str">
        <f t="shared" si="354"/>
        <v/>
      </c>
      <c r="FH592" s="138">
        <f t="shared" si="362"/>
        <v>6.6</v>
      </c>
      <c r="FI592" s="106">
        <f t="shared" si="353"/>
        <v>6.4760977046049666</v>
      </c>
      <c r="FJ592" s="138" t="str">
        <f t="shared" si="363"/>
        <v/>
      </c>
      <c r="FK592" s="138" t="str">
        <f t="shared" ref="FK592:FK619" si="372">IF(ISNUMBER(DM592),DM592*DM$19+DM$21,IF(ISNUMBER(DN592),DN592*DN$19+DN$21,IF(ISNUMBER(DO592),DO592*DO$19+DO$21,"**")))</f>
        <v>**</v>
      </c>
    </row>
    <row r="593" spans="1:167" ht="12.75" hidden="1" customHeight="1" x14ac:dyDescent="0.2">
      <c r="A593">
        <v>558</v>
      </c>
      <c r="B593" t="s">
        <v>1595</v>
      </c>
      <c r="C593" s="4"/>
      <c r="D593" s="4" t="s">
        <v>1012</v>
      </c>
      <c r="E593" s="4">
        <v>-1631</v>
      </c>
      <c r="F593" t="str">
        <f>VLOOKUP(E593,CompDbase!B:L,4,FALSE)</f>
        <v>PCB #151</v>
      </c>
      <c r="G593" s="95" t="str">
        <f>VLOOKUP(E593,CompDbase!B:M,12,FALSE)</f>
        <v>PCB</v>
      </c>
      <c r="H593" s="95">
        <f>VLOOKUP(E593,CompDbase!B:L,8,FALSE)</f>
        <v>360.9</v>
      </c>
      <c r="I593" s="95">
        <f>VLOOKUP(E593,CompDbase!B:L,11,FALSE)</f>
        <v>223.15</v>
      </c>
      <c r="J593" s="95">
        <f>VLOOKUP(E593,CompDbase!B:L,9,FALSE)</f>
        <v>2.2771250562290155E-2</v>
      </c>
      <c r="K593" s="95">
        <f>VLOOKUP(E593,CompDbase!B:L,10,FALSE)</f>
        <v>6.6466666666666674</v>
      </c>
      <c r="L593" s="4" t="s">
        <v>769</v>
      </c>
      <c r="M593" s="426">
        <v>900000</v>
      </c>
      <c r="N593" s="426"/>
      <c r="O593" s="4" t="s">
        <v>1985</v>
      </c>
      <c r="P593">
        <f t="shared" si="365"/>
        <v>293</v>
      </c>
      <c r="Q593" s="4" t="s">
        <v>1049</v>
      </c>
      <c r="S593" s="4"/>
      <c r="T593" s="95"/>
      <c r="W593" s="199">
        <f t="shared" si="366"/>
        <v>3981071.705534976</v>
      </c>
      <c r="X593">
        <v>6.6</v>
      </c>
      <c r="Z593" s="190"/>
      <c r="AC593" t="s">
        <v>68</v>
      </c>
      <c r="AG593" s="138">
        <f t="shared" si="367"/>
        <v>6.6</v>
      </c>
      <c r="AH593">
        <f t="shared" si="368"/>
        <v>6.6466666666666674</v>
      </c>
      <c r="AI593">
        <f t="shared" si="368"/>
        <v>6.6466666666666674</v>
      </c>
      <c r="AM593">
        <f t="shared" si="369"/>
        <v>6.6466666666666674</v>
      </c>
      <c r="BW593" s="138"/>
      <c r="BX593">
        <f t="shared" si="370"/>
        <v>-1.6426131179404933</v>
      </c>
      <c r="BY593">
        <f t="shared" si="370"/>
        <v>-1.6426131179404933</v>
      </c>
      <c r="CC593">
        <f t="shared" si="371"/>
        <v>-1.6426131179404933</v>
      </c>
      <c r="DG593" s="138"/>
      <c r="EY593" s="479">
        <f>VLOOKUP(B593,Literatuur!$A:$B,2,FALSE)</f>
        <v>29</v>
      </c>
      <c r="EZ593" t="str">
        <f t="shared" si="355"/>
        <v>PCB 151</v>
      </c>
      <c r="FA593" t="str">
        <f t="shared" si="356"/>
        <v>PCB</v>
      </c>
      <c r="FB593" t="str">
        <f t="shared" si="357"/>
        <v>LDPE</v>
      </c>
      <c r="FC593" t="str">
        <f t="shared" si="358"/>
        <v>Immersion (shaking)</v>
      </c>
      <c r="FD593">
        <f t="shared" si="359"/>
        <v>293</v>
      </c>
      <c r="FE593" t="str">
        <f t="shared" si="360"/>
        <v>water</v>
      </c>
      <c r="FF593" t="str">
        <f t="shared" si="361"/>
        <v xml:space="preserve"> </v>
      </c>
      <c r="FG593" s="408" t="str">
        <f t="shared" si="354"/>
        <v/>
      </c>
      <c r="FH593" s="138">
        <f t="shared" si="362"/>
        <v>6.6</v>
      </c>
      <c r="FI593" s="106">
        <f t="shared" si="353"/>
        <v>6.3667042017387629</v>
      </c>
      <c r="FJ593" s="138" t="str">
        <f t="shared" si="363"/>
        <v/>
      </c>
      <c r="FK593" s="138" t="str">
        <f t="shared" si="372"/>
        <v>**</v>
      </c>
    </row>
    <row r="594" spans="1:167" ht="12.75" hidden="1" customHeight="1" x14ac:dyDescent="0.2">
      <c r="A594">
        <v>559</v>
      </c>
      <c r="B594" t="s">
        <v>1595</v>
      </c>
      <c r="C594" s="4"/>
      <c r="D594" s="4" t="s">
        <v>1013</v>
      </c>
      <c r="E594" s="4">
        <v>-1632</v>
      </c>
      <c r="F594" t="str">
        <f>VLOOKUP(E594,CompDbase!B:L,4,FALSE)</f>
        <v>PCB #153</v>
      </c>
      <c r="G594" s="95" t="str">
        <f>VLOOKUP(E594,CompDbase!B:M,12,FALSE)</f>
        <v>PCB</v>
      </c>
      <c r="H594" s="95">
        <f>VLOOKUP(E594,CompDbase!B:L,8,FALSE)</f>
        <v>360.9</v>
      </c>
      <c r="I594" s="95">
        <f>VLOOKUP(E594,CompDbase!B:L,11,FALSE)</f>
        <v>223.75</v>
      </c>
      <c r="J594" s="95">
        <f>VLOOKUP(E594,CompDbase!B:L,9,FALSE)</f>
        <v>1.1412660075547663E-2</v>
      </c>
      <c r="K594" s="95">
        <f>VLOOKUP(E594,CompDbase!B:L,10,FALSE)</f>
        <v>6.9066666666666663</v>
      </c>
      <c r="L594" s="4" t="s">
        <v>769</v>
      </c>
      <c r="M594" s="426">
        <v>900000</v>
      </c>
      <c r="N594" s="426"/>
      <c r="O594" s="4" t="s">
        <v>1985</v>
      </c>
      <c r="P594">
        <f t="shared" si="365"/>
        <v>293</v>
      </c>
      <c r="Q594" s="4" t="s">
        <v>1049</v>
      </c>
      <c r="S594" s="4"/>
      <c r="T594" s="95"/>
      <c r="W594" s="199">
        <f t="shared" si="366"/>
        <v>6309573.4448019378</v>
      </c>
      <c r="X594">
        <v>6.8</v>
      </c>
      <c r="Z594" s="190"/>
      <c r="AC594" t="s">
        <v>68</v>
      </c>
      <c r="AG594" s="138">
        <f t="shared" si="367"/>
        <v>6.8</v>
      </c>
      <c r="AH594">
        <f t="shared" si="368"/>
        <v>6.9066666666666663</v>
      </c>
      <c r="AI594">
        <f t="shared" si="368"/>
        <v>6.9066666666666663</v>
      </c>
      <c r="AM594">
        <f t="shared" si="369"/>
        <v>6.9066666666666663</v>
      </c>
      <c r="BW594" s="138"/>
      <c r="BX594">
        <f t="shared" si="370"/>
        <v>-1.9426131179404935</v>
      </c>
      <c r="BY594">
        <f t="shared" si="370"/>
        <v>-1.9426131179404935</v>
      </c>
      <c r="CC594">
        <f t="shared" si="371"/>
        <v>-1.9426131179404935</v>
      </c>
      <c r="DG594" s="138"/>
      <c r="EY594" s="479">
        <f>VLOOKUP(B594,Literatuur!$A:$B,2,FALSE)</f>
        <v>29</v>
      </c>
      <c r="EZ594" t="str">
        <f t="shared" si="355"/>
        <v>PCB 153</v>
      </c>
      <c r="FA594" t="str">
        <f t="shared" si="356"/>
        <v>PCB</v>
      </c>
      <c r="FB594" t="str">
        <f t="shared" si="357"/>
        <v>LDPE</v>
      </c>
      <c r="FC594" t="str">
        <f t="shared" si="358"/>
        <v>Immersion (shaking)</v>
      </c>
      <c r="FD594">
        <f t="shared" si="359"/>
        <v>293</v>
      </c>
      <c r="FE594" t="str">
        <f t="shared" si="360"/>
        <v>water</v>
      </c>
      <c r="FF594" t="str">
        <f t="shared" si="361"/>
        <v xml:space="preserve"> </v>
      </c>
      <c r="FG594" s="408" t="str">
        <f t="shared" si="354"/>
        <v/>
      </c>
      <c r="FH594" s="138">
        <f t="shared" si="362"/>
        <v>6.8</v>
      </c>
      <c r="FI594" s="106">
        <f t="shared" si="353"/>
        <v>6.6419523702408236</v>
      </c>
      <c r="FJ594" s="138" t="str">
        <f t="shared" si="363"/>
        <v/>
      </c>
      <c r="FK594" s="138" t="str">
        <f t="shared" si="372"/>
        <v>**</v>
      </c>
    </row>
    <row r="595" spans="1:167" ht="12.75" hidden="1" customHeight="1" x14ac:dyDescent="0.2">
      <c r="A595">
        <v>560</v>
      </c>
      <c r="B595" t="s">
        <v>1595</v>
      </c>
      <c r="C595" s="4"/>
      <c r="D595" s="4" t="s">
        <v>1014</v>
      </c>
      <c r="E595" s="4">
        <v>-1633</v>
      </c>
      <c r="F595" t="str">
        <f>VLOOKUP(E595,CompDbase!B:L,4,FALSE)</f>
        <v>PCB #155</v>
      </c>
      <c r="G595" s="95" t="str">
        <f>VLOOKUP(E595,CompDbase!B:M,12,FALSE)</f>
        <v>PCB</v>
      </c>
      <c r="H595" s="95">
        <f>VLOOKUP(E595,CompDbase!B:L,8,FALSE)</f>
        <v>360.9</v>
      </c>
      <c r="I595" s="95">
        <f>VLOOKUP(E595,CompDbase!B:L,11,FALSE)</f>
        <v>223.85</v>
      </c>
      <c r="J595" s="95">
        <f>VLOOKUP(E595,CompDbase!B:L,9,FALSE)</f>
        <v>1.1412660075547663E-2</v>
      </c>
      <c r="K595" s="95">
        <f>VLOOKUP(E595,CompDbase!B:L,10,FALSE)</f>
        <v>6.6700000000000008</v>
      </c>
      <c r="L595" s="4" t="s">
        <v>769</v>
      </c>
      <c r="M595" s="426">
        <v>900000</v>
      </c>
      <c r="N595" s="426"/>
      <c r="O595" s="4" t="s">
        <v>1985</v>
      </c>
      <c r="P595">
        <f t="shared" si="365"/>
        <v>293</v>
      </c>
      <c r="Q595" s="4" t="s">
        <v>1049</v>
      </c>
      <c r="S595" s="4"/>
      <c r="T595" s="95"/>
      <c r="W595" s="199">
        <f t="shared" si="366"/>
        <v>7943282.3472428275</v>
      </c>
      <c r="X595">
        <v>6.9</v>
      </c>
      <c r="Z595" s="190"/>
      <c r="AC595" t="s">
        <v>68</v>
      </c>
      <c r="AG595" s="138">
        <f t="shared" si="367"/>
        <v>6.9</v>
      </c>
      <c r="AH595">
        <f t="shared" si="368"/>
        <v>6.6700000000000008</v>
      </c>
      <c r="AI595">
        <f t="shared" si="368"/>
        <v>6.6700000000000008</v>
      </c>
      <c r="AM595">
        <f t="shared" si="369"/>
        <v>6.6700000000000008</v>
      </c>
      <c r="BW595" s="138"/>
      <c r="BX595">
        <f t="shared" si="370"/>
        <v>-1.9426131179404935</v>
      </c>
      <c r="BY595">
        <f t="shared" si="370"/>
        <v>-1.9426131179404935</v>
      </c>
      <c r="CC595">
        <f t="shared" si="371"/>
        <v>-1.9426131179404935</v>
      </c>
      <c r="DG595" s="138"/>
      <c r="EY595" s="479">
        <f>VLOOKUP(B595,Literatuur!$A:$B,2,FALSE)</f>
        <v>29</v>
      </c>
      <c r="EZ595" t="str">
        <f t="shared" si="355"/>
        <v>PCB 155</v>
      </c>
      <c r="FA595" t="str">
        <f t="shared" si="356"/>
        <v>PCB</v>
      </c>
      <c r="FB595" t="str">
        <f t="shared" si="357"/>
        <v>LDPE</v>
      </c>
      <c r="FC595" t="str">
        <f t="shared" si="358"/>
        <v>Immersion (shaking)</v>
      </c>
      <c r="FD595">
        <f t="shared" si="359"/>
        <v>293</v>
      </c>
      <c r="FE595" t="str">
        <f t="shared" si="360"/>
        <v>water</v>
      </c>
      <c r="FF595" t="str">
        <f t="shared" si="361"/>
        <v xml:space="preserve"> </v>
      </c>
      <c r="FG595" s="408" t="str">
        <f t="shared" si="354"/>
        <v/>
      </c>
      <c r="FH595" s="138">
        <f t="shared" si="362"/>
        <v>6.9</v>
      </c>
      <c r="FI595" s="106">
        <f t="shared" si="353"/>
        <v>6.3914059604504869</v>
      </c>
      <c r="FJ595" s="138" t="str">
        <f t="shared" si="363"/>
        <v/>
      </c>
      <c r="FK595" s="138" t="str">
        <f t="shared" si="372"/>
        <v>**</v>
      </c>
    </row>
    <row r="596" spans="1:167" ht="12.75" hidden="1" customHeight="1" x14ac:dyDescent="0.2">
      <c r="A596">
        <v>561</v>
      </c>
      <c r="B596" t="s">
        <v>1595</v>
      </c>
      <c r="C596" s="4"/>
      <c r="D596" s="4" t="s">
        <v>1015</v>
      </c>
      <c r="E596" s="4">
        <v>-1634</v>
      </c>
      <c r="F596" t="str">
        <f>VLOOKUP(E596,CompDbase!B:L,4,FALSE)</f>
        <v>PCB #156</v>
      </c>
      <c r="G596" s="95" t="str">
        <f>VLOOKUP(E596,CompDbase!B:M,12,FALSE)</f>
        <v>PCB</v>
      </c>
      <c r="H596" s="95">
        <f>VLOOKUP(E596,CompDbase!B:L,8,FALSE)</f>
        <v>360.9</v>
      </c>
      <c r="I596" s="95">
        <f>VLOOKUP(E596,CompDbase!B:L,11,FALSE)</f>
        <v>222.05</v>
      </c>
      <c r="J596" s="95">
        <f>VLOOKUP(E596,CompDbase!B:L,9,FALSE)</f>
        <v>5.7198795315921572E-3</v>
      </c>
      <c r="K596" s="95">
        <f>VLOOKUP(E596,CompDbase!B:L,10,FALSE)</f>
        <v>7.2266666666666666</v>
      </c>
      <c r="L596" s="4" t="s">
        <v>769</v>
      </c>
      <c r="M596" s="426">
        <v>900000</v>
      </c>
      <c r="N596" s="426"/>
      <c r="O596" s="4" t="s">
        <v>1985</v>
      </c>
      <c r="P596">
        <f t="shared" si="365"/>
        <v>293</v>
      </c>
      <c r="Q596" s="4" t="s">
        <v>1049</v>
      </c>
      <c r="S596" s="4"/>
      <c r="T596" s="95"/>
      <c r="W596" s="199">
        <f t="shared" si="366"/>
        <v>10000000</v>
      </c>
      <c r="X596">
        <v>7</v>
      </c>
      <c r="Z596" s="190"/>
      <c r="AC596" t="s">
        <v>68</v>
      </c>
      <c r="AG596" s="138">
        <f t="shared" si="367"/>
        <v>7</v>
      </c>
      <c r="AH596">
        <f t="shared" si="368"/>
        <v>7.2266666666666666</v>
      </c>
      <c r="AI596">
        <f t="shared" si="368"/>
        <v>7.2266666666666666</v>
      </c>
      <c r="AM596">
        <f t="shared" si="369"/>
        <v>7.2266666666666666</v>
      </c>
      <c r="BW596" s="138"/>
      <c r="BX596">
        <f t="shared" si="370"/>
        <v>-2.2426131179404929</v>
      </c>
      <c r="BY596">
        <f t="shared" si="370"/>
        <v>-2.2426131179404929</v>
      </c>
      <c r="CC596">
        <f t="shared" si="371"/>
        <v>-2.2426131179404929</v>
      </c>
      <c r="DG596" s="138"/>
      <c r="EY596" s="479">
        <f>VLOOKUP(B596,Literatuur!$A:$B,2,FALSE)</f>
        <v>29</v>
      </c>
      <c r="EZ596" t="str">
        <f t="shared" si="355"/>
        <v>PCB 156</v>
      </c>
      <c r="FA596" t="str">
        <f t="shared" si="356"/>
        <v>PCB</v>
      </c>
      <c r="FB596" t="str">
        <f t="shared" si="357"/>
        <v>LDPE</v>
      </c>
      <c r="FC596" t="str">
        <f t="shared" si="358"/>
        <v>Immersion (shaking)</v>
      </c>
      <c r="FD596">
        <f t="shared" si="359"/>
        <v>293</v>
      </c>
      <c r="FE596" t="str">
        <f t="shared" si="360"/>
        <v>water</v>
      </c>
      <c r="FF596" t="str">
        <f t="shared" si="361"/>
        <v xml:space="preserve"> </v>
      </c>
      <c r="FG596" s="408" t="str">
        <f t="shared" si="354"/>
        <v/>
      </c>
      <c r="FH596" s="138">
        <f t="shared" si="362"/>
        <v>7</v>
      </c>
      <c r="FI596" s="106">
        <f t="shared" si="353"/>
        <v>6.9807193468587458</v>
      </c>
      <c r="FJ596" s="138" t="str">
        <f t="shared" si="363"/>
        <v/>
      </c>
      <c r="FK596" s="138" t="str">
        <f t="shared" si="372"/>
        <v>**</v>
      </c>
    </row>
    <row r="597" spans="1:167" ht="12.75" hidden="1" customHeight="1" x14ac:dyDescent="0.2">
      <c r="A597">
        <v>562</v>
      </c>
      <c r="B597" t="s">
        <v>1595</v>
      </c>
      <c r="C597" s="4"/>
      <c r="D597" s="4" t="s">
        <v>1016</v>
      </c>
      <c r="E597" s="4">
        <v>-1741</v>
      </c>
      <c r="F597" t="str">
        <f>VLOOKUP(E597,CompDbase!B:L,4,FALSE)</f>
        <v>PCB 170</v>
      </c>
      <c r="G597" s="95" t="str">
        <f>VLOOKUP(E597,CompDbase!B:M,12,FALSE)</f>
        <v>PCB</v>
      </c>
      <c r="H597" s="95">
        <f>VLOOKUP(E597,CompDbase!B:L,8,FALSE)</f>
        <v>395.3</v>
      </c>
      <c r="I597" s="95">
        <f>VLOOKUP(E597,CompDbase!B:L,11,FALSE)</f>
        <v>360.9</v>
      </c>
      <c r="J597" s="95">
        <f>VLOOKUP(E597,CompDbase!B:L,9,FALSE)</f>
        <v>4.9765321528223378E-3</v>
      </c>
      <c r="K597" s="95">
        <f>VLOOKUP(E597,CompDbase!B:L,10,FALSE)</f>
        <v>7.35</v>
      </c>
      <c r="L597" s="4" t="s">
        <v>769</v>
      </c>
      <c r="M597" s="426">
        <v>900000</v>
      </c>
      <c r="N597" s="426"/>
      <c r="O597" s="4" t="s">
        <v>1985</v>
      </c>
      <c r="P597">
        <f t="shared" si="365"/>
        <v>293</v>
      </c>
      <c r="Q597" s="4" t="s">
        <v>1049</v>
      </c>
      <c r="S597" s="4"/>
      <c r="T597" s="95"/>
      <c r="W597" s="199">
        <f t="shared" si="366"/>
        <v>19952623.149688821</v>
      </c>
      <c r="X597">
        <v>7.3</v>
      </c>
      <c r="Z597" s="190"/>
      <c r="AC597" t="s">
        <v>68</v>
      </c>
      <c r="AG597" s="138">
        <f t="shared" si="367"/>
        <v>7.3</v>
      </c>
      <c r="AH597">
        <f t="shared" si="368"/>
        <v>7.35</v>
      </c>
      <c r="AI597">
        <f t="shared" si="368"/>
        <v>7.35</v>
      </c>
      <c r="AM597">
        <f t="shared" si="369"/>
        <v>7.35</v>
      </c>
      <c r="BW597" s="138"/>
      <c r="BX597">
        <f t="shared" si="370"/>
        <v>-2.3030731856570297</v>
      </c>
      <c r="BY597">
        <f t="shared" si="370"/>
        <v>-2.3030731856570297</v>
      </c>
      <c r="CC597">
        <f t="shared" si="371"/>
        <v>-2.3030731856570297</v>
      </c>
      <c r="DG597" s="138"/>
      <c r="EY597" s="479">
        <f>VLOOKUP(B597,Literatuur!$A:$B,2,FALSE)</f>
        <v>29</v>
      </c>
      <c r="EZ597" t="str">
        <f t="shared" si="355"/>
        <v>PCB 170</v>
      </c>
      <c r="FA597" t="str">
        <f t="shared" si="356"/>
        <v>PCB</v>
      </c>
      <c r="FB597" t="str">
        <f t="shared" si="357"/>
        <v>LDPE</v>
      </c>
      <c r="FC597" t="str">
        <f t="shared" si="358"/>
        <v>Immersion (shaking)</v>
      </c>
      <c r="FD597">
        <f t="shared" si="359"/>
        <v>293</v>
      </c>
      <c r="FE597" t="str">
        <f t="shared" si="360"/>
        <v>water</v>
      </c>
      <c r="FF597" t="str">
        <f t="shared" si="361"/>
        <v xml:space="preserve"> </v>
      </c>
      <c r="FG597" s="408" t="str">
        <f t="shared" si="354"/>
        <v/>
      </c>
      <c r="FH597" s="138">
        <f t="shared" si="362"/>
        <v>7.3</v>
      </c>
      <c r="FI597" s="106">
        <f t="shared" si="353"/>
        <v>7.1112857857635694</v>
      </c>
      <c r="FJ597" s="138" t="str">
        <f t="shared" si="363"/>
        <v/>
      </c>
      <c r="FK597" s="138" t="str">
        <f t="shared" si="372"/>
        <v>**</v>
      </c>
    </row>
    <row r="598" spans="1:167" ht="12.75" hidden="1" customHeight="1" x14ac:dyDescent="0.2">
      <c r="A598">
        <v>563</v>
      </c>
      <c r="B598" t="s">
        <v>1595</v>
      </c>
      <c r="C598" s="4"/>
      <c r="D598" s="4" t="s">
        <v>979</v>
      </c>
      <c r="E598" s="4">
        <v>-1581</v>
      </c>
      <c r="F598" t="str">
        <f>VLOOKUP(E598,CompDbase!B:L,4,FALSE)</f>
        <v>PCB #18</v>
      </c>
      <c r="G598" s="95" t="str">
        <f>VLOOKUP(E598,CompDbase!B:M,12,FALSE)</f>
        <v>PCB</v>
      </c>
      <c r="H598" s="95">
        <f>VLOOKUP(E598,CompDbase!B:L,8,FALSE)</f>
        <v>257.5</v>
      </c>
      <c r="I598" s="95">
        <f>VLOOKUP(E598,CompDbase!B:L,11,FALSE)</f>
        <v>188.35</v>
      </c>
      <c r="J598" s="95">
        <f>VLOOKUP(E598,CompDbase!B:L,9,FALSE)</f>
        <v>0.81428649749335691</v>
      </c>
      <c r="K598" s="95">
        <f>VLOOKUP(E598,CompDbase!B:L,10,FALSE)</f>
        <v>5.246666666666667</v>
      </c>
      <c r="L598" s="4" t="s">
        <v>769</v>
      </c>
      <c r="M598" s="426">
        <v>900000</v>
      </c>
      <c r="N598" s="426"/>
      <c r="O598" s="4" t="s">
        <v>1985</v>
      </c>
      <c r="P598">
        <f t="shared" si="365"/>
        <v>293</v>
      </c>
      <c r="Q598" s="4" t="s">
        <v>1049</v>
      </c>
      <c r="S598" s="4"/>
      <c r="T598" s="95"/>
      <c r="W598" s="199">
        <f t="shared" si="366"/>
        <v>79432.823472428237</v>
      </c>
      <c r="X598">
        <v>4.9000000000000004</v>
      </c>
      <c r="AC598" t="s">
        <v>68</v>
      </c>
      <c r="AG598" s="138">
        <f t="shared" si="367"/>
        <v>4.9000000000000004</v>
      </c>
      <c r="AH598">
        <f t="shared" si="368"/>
        <v>5.246666666666667</v>
      </c>
      <c r="AI598">
        <f t="shared" si="368"/>
        <v>5.246666666666667</v>
      </c>
      <c r="AM598">
        <f t="shared" si="369"/>
        <v>5.246666666666667</v>
      </c>
      <c r="BW598" s="138"/>
      <c r="BX598">
        <f t="shared" si="370"/>
        <v>-8.9222766622790592E-2</v>
      </c>
      <c r="BY598">
        <f t="shared" si="370"/>
        <v>-8.9222766622790592E-2</v>
      </c>
      <c r="CC598">
        <f t="shared" si="371"/>
        <v>-8.9222766622790592E-2</v>
      </c>
      <c r="DG598" s="138"/>
      <c r="EY598" s="479">
        <f>VLOOKUP(B598,Literatuur!$A:$B,2,FALSE)</f>
        <v>29</v>
      </c>
      <c r="EZ598" t="str">
        <f t="shared" si="355"/>
        <v>PCB 18</v>
      </c>
      <c r="FA598" t="str">
        <f t="shared" si="356"/>
        <v>PCB</v>
      </c>
      <c r="FB598" t="str">
        <f t="shared" si="357"/>
        <v>LDPE</v>
      </c>
      <c r="FC598" t="str">
        <f t="shared" si="358"/>
        <v>Immersion (shaking)</v>
      </c>
      <c r="FD598">
        <f t="shared" si="359"/>
        <v>293</v>
      </c>
      <c r="FE598" t="str">
        <f t="shared" si="360"/>
        <v>water</v>
      </c>
      <c r="FF598" t="str">
        <f t="shared" si="361"/>
        <v xml:space="preserve"> </v>
      </c>
      <c r="FG598" s="408" t="str">
        <f t="shared" si="354"/>
        <v/>
      </c>
      <c r="FH598" s="138">
        <f t="shared" si="362"/>
        <v>4.9000000000000004</v>
      </c>
      <c r="FI598" s="106">
        <f t="shared" si="353"/>
        <v>4.8845986790353537</v>
      </c>
      <c r="FJ598" s="138" t="str">
        <f t="shared" si="363"/>
        <v/>
      </c>
      <c r="FK598" s="138" t="str">
        <f t="shared" si="372"/>
        <v>**</v>
      </c>
    </row>
    <row r="599" spans="1:167" ht="12.75" hidden="1" customHeight="1" x14ac:dyDescent="0.2">
      <c r="A599">
        <v>564</v>
      </c>
      <c r="B599" t="s">
        <v>1595</v>
      </c>
      <c r="C599" s="4"/>
      <c r="D599" s="4" t="s">
        <v>1017</v>
      </c>
      <c r="E599" s="4">
        <v>-1742</v>
      </c>
      <c r="F599" t="str">
        <f>VLOOKUP(E599,CompDbase!B:L,4,FALSE)</f>
        <v>PCB 180</v>
      </c>
      <c r="G599" s="95" t="str">
        <f>VLOOKUP(E599,CompDbase!B:M,12,FALSE)</f>
        <v>PCB</v>
      </c>
      <c r="H599" s="95">
        <f>VLOOKUP(E599,CompDbase!B:L,8,FALSE)</f>
        <v>395.3</v>
      </c>
      <c r="I599" s="95">
        <f>VLOOKUP(E599,CompDbase!B:L,11,FALSE)</f>
        <v>360.9</v>
      </c>
      <c r="J599" s="95">
        <f>VLOOKUP(E599,CompDbase!B:L,9,FALSE)</f>
        <v>6.2650827897987801E-3</v>
      </c>
      <c r="K599" s="95">
        <f>VLOOKUP(E599,CompDbase!B:L,10,FALSE)</f>
        <v>7.3000000000000007</v>
      </c>
      <c r="L599" s="4" t="s">
        <v>769</v>
      </c>
      <c r="M599" s="426">
        <v>900000</v>
      </c>
      <c r="N599" s="426"/>
      <c r="O599" s="4" t="s">
        <v>1985</v>
      </c>
      <c r="P599">
        <f t="shared" si="365"/>
        <v>293</v>
      </c>
      <c r="Q599" s="4" t="s">
        <v>1049</v>
      </c>
      <c r="S599" s="4"/>
      <c r="T599" s="95"/>
      <c r="W599" s="199">
        <f t="shared" si="366"/>
        <v>15848931.924611172</v>
      </c>
      <c r="X599">
        <v>7.2</v>
      </c>
      <c r="Z599" s="190"/>
      <c r="AC599" t="s">
        <v>68</v>
      </c>
      <c r="AG599" s="138">
        <f t="shared" si="367"/>
        <v>7.2</v>
      </c>
      <c r="AH599">
        <f t="shared" si="368"/>
        <v>7.3000000000000007</v>
      </c>
      <c r="AI599">
        <f t="shared" si="368"/>
        <v>7.3000000000000007</v>
      </c>
      <c r="AM599">
        <f t="shared" si="369"/>
        <v>7.3000000000000007</v>
      </c>
      <c r="BW599" s="138"/>
      <c r="BX599">
        <f t="shared" si="370"/>
        <v>-2.2030731856570296</v>
      </c>
      <c r="BY599">
        <f t="shared" si="370"/>
        <v>-2.2030731856570296</v>
      </c>
      <c r="CC599">
        <f t="shared" si="371"/>
        <v>-2.2030731856570296</v>
      </c>
      <c r="DG599" s="138"/>
      <c r="EY599" s="479">
        <f>VLOOKUP(B599,Literatuur!$A:$B,2,FALSE)</f>
        <v>29</v>
      </c>
      <c r="EZ599" t="str">
        <f t="shared" si="355"/>
        <v>PCB 180</v>
      </c>
      <c r="FA599" t="str">
        <f t="shared" si="356"/>
        <v>PCB</v>
      </c>
      <c r="FB599" t="str">
        <f t="shared" si="357"/>
        <v>LDPE</v>
      </c>
      <c r="FC599" t="str">
        <f t="shared" si="358"/>
        <v>Immersion (shaking)</v>
      </c>
      <c r="FD599">
        <f t="shared" si="359"/>
        <v>293</v>
      </c>
      <c r="FE599" t="str">
        <f t="shared" si="360"/>
        <v>water</v>
      </c>
      <c r="FF599" t="str">
        <f t="shared" si="361"/>
        <v xml:space="preserve"> </v>
      </c>
      <c r="FG599" s="408" t="str">
        <f t="shared" si="354"/>
        <v/>
      </c>
      <c r="FH599" s="138">
        <f t="shared" si="362"/>
        <v>7.2</v>
      </c>
      <c r="FI599" s="106">
        <f t="shared" si="353"/>
        <v>7.0583534456670209</v>
      </c>
      <c r="FJ599" s="138" t="str">
        <f t="shared" si="363"/>
        <v/>
      </c>
      <c r="FK599" s="138" t="str">
        <f t="shared" si="372"/>
        <v>**</v>
      </c>
    </row>
    <row r="600" spans="1:167" ht="12.75" hidden="1" customHeight="1" x14ac:dyDescent="0.2">
      <c r="A600">
        <v>565</v>
      </c>
      <c r="B600" t="s">
        <v>1595</v>
      </c>
      <c r="C600" s="4"/>
      <c r="D600" s="4" t="s">
        <v>1599</v>
      </c>
      <c r="E600" s="4">
        <v>-1743</v>
      </c>
      <c r="F600" t="str">
        <f>VLOOKUP(E600,CompDbase!B:L,4,FALSE)</f>
        <v>PCB 187</v>
      </c>
      <c r="G600" s="95" t="str">
        <f>VLOOKUP(E600,CompDbase!B:M,12,FALSE)</f>
        <v>PCB</v>
      </c>
      <c r="H600" s="95">
        <f>VLOOKUP(E600,CompDbase!B:L,8,FALSE)</f>
        <v>395.3</v>
      </c>
      <c r="I600" s="95">
        <f>VLOOKUP(E600,CompDbase!B:L,11,FALSE)</f>
        <v>235</v>
      </c>
      <c r="J600" s="95">
        <f>VLOOKUP(E600,CompDbase!B:L,9,FALSE)</f>
        <v>6.2650827897987801E-3</v>
      </c>
      <c r="K600" s="95">
        <f>VLOOKUP(E600,CompDbase!B:L,10,FALSE)</f>
        <v>7.25</v>
      </c>
      <c r="L600" s="4" t="s">
        <v>769</v>
      </c>
      <c r="M600" s="426">
        <v>900000</v>
      </c>
      <c r="N600" s="426"/>
      <c r="O600" s="4" t="s">
        <v>1985</v>
      </c>
      <c r="P600">
        <f t="shared" si="365"/>
        <v>293</v>
      </c>
      <c r="Q600" s="4" t="s">
        <v>1049</v>
      </c>
      <c r="S600" s="4"/>
      <c r="T600" s="95"/>
      <c r="W600" s="199">
        <f t="shared" si="366"/>
        <v>10000000</v>
      </c>
      <c r="X600">
        <v>7</v>
      </c>
      <c r="Z600" s="190"/>
      <c r="AC600" t="s">
        <v>68</v>
      </c>
      <c r="AG600" s="138">
        <f t="shared" si="367"/>
        <v>7</v>
      </c>
      <c r="AH600">
        <f t="shared" si="368"/>
        <v>7.25</v>
      </c>
      <c r="AI600">
        <f t="shared" si="368"/>
        <v>7.25</v>
      </c>
      <c r="AM600">
        <f t="shared" si="369"/>
        <v>7.25</v>
      </c>
      <c r="BW600" s="138"/>
      <c r="BX600">
        <f t="shared" ref="BX600:BY619" si="373">LOG(1*$J600)</f>
        <v>-2.2030731856570296</v>
      </c>
      <c r="BY600">
        <f t="shared" si="373"/>
        <v>-2.2030731856570296</v>
      </c>
      <c r="CC600">
        <f t="shared" si="371"/>
        <v>-2.2030731856570296</v>
      </c>
      <c r="DG600" s="138"/>
      <c r="EY600" s="479">
        <f>VLOOKUP(B600,Literatuur!$A:$B,2,FALSE)</f>
        <v>29</v>
      </c>
      <c r="EZ600" t="str">
        <f t="shared" si="355"/>
        <v>PCB 187</v>
      </c>
      <c r="FA600" t="str">
        <f t="shared" si="356"/>
        <v>PCB</v>
      </c>
      <c r="FB600" t="str">
        <f t="shared" si="357"/>
        <v>LDPE</v>
      </c>
      <c r="FC600" t="str">
        <f t="shared" si="358"/>
        <v>Immersion (shaking)</v>
      </c>
      <c r="FD600">
        <f t="shared" si="359"/>
        <v>293</v>
      </c>
      <c r="FE600" t="str">
        <f t="shared" si="360"/>
        <v>water</v>
      </c>
      <c r="FF600" t="str">
        <f t="shared" si="361"/>
        <v xml:space="preserve"> </v>
      </c>
      <c r="FG600" s="408" t="str">
        <f t="shared" si="354"/>
        <v/>
      </c>
      <c r="FH600" s="138">
        <f t="shared" si="362"/>
        <v>7</v>
      </c>
      <c r="FI600" s="106">
        <f t="shared" si="353"/>
        <v>7.0054211055704698</v>
      </c>
      <c r="FJ600" s="138" t="str">
        <f t="shared" si="363"/>
        <v/>
      </c>
      <c r="FK600" s="138" t="str">
        <f t="shared" si="372"/>
        <v>**</v>
      </c>
    </row>
    <row r="601" spans="1:167" ht="12.75" hidden="1" customHeight="1" x14ac:dyDescent="0.2">
      <c r="A601">
        <v>566</v>
      </c>
      <c r="B601" t="s">
        <v>1595</v>
      </c>
      <c r="C601" s="4"/>
      <c r="D601" s="4" t="s">
        <v>1600</v>
      </c>
      <c r="E601" s="4">
        <v>-1744</v>
      </c>
      <c r="F601" t="str">
        <f>VLOOKUP(E601,CompDbase!B:L,4,FALSE)</f>
        <v>PCB 204</v>
      </c>
      <c r="G601" s="95" t="str">
        <f>VLOOKUP(E601,CompDbase!B:M,12,FALSE)</f>
        <v>PCB</v>
      </c>
      <c r="H601" s="95">
        <f>VLOOKUP(E601,CompDbase!B:L,8,FALSE)</f>
        <v>429.8</v>
      </c>
      <c r="I601" s="95">
        <f>VLOOKUP(E601,CompDbase!B:L,11,FALSE)</f>
        <v>246.5</v>
      </c>
      <c r="J601" s="95">
        <f>VLOOKUP(E601,CompDbase!B:L,9,FALSE)</f>
        <v>4.2980000000000006E-3</v>
      </c>
      <c r="K601" s="95">
        <f>VLOOKUP(E601,CompDbase!B:L,10,FALSE)</f>
        <v>7.35</v>
      </c>
      <c r="L601" s="4" t="s">
        <v>769</v>
      </c>
      <c r="M601" s="426">
        <v>900000</v>
      </c>
      <c r="N601" s="426"/>
      <c r="O601" s="4" t="s">
        <v>1985</v>
      </c>
      <c r="P601">
        <f t="shared" si="365"/>
        <v>293</v>
      </c>
      <c r="Q601" s="4" t="s">
        <v>1049</v>
      </c>
      <c r="S601" s="4"/>
      <c r="T601" s="95"/>
      <c r="W601" s="199">
        <f t="shared" si="366"/>
        <v>63095734.448019333</v>
      </c>
      <c r="X601">
        <v>7.8</v>
      </c>
      <c r="Z601" s="190"/>
      <c r="AC601" t="s">
        <v>68</v>
      </c>
      <c r="AG601" s="138">
        <f t="shared" si="367"/>
        <v>7.8</v>
      </c>
      <c r="AH601">
        <f t="shared" si="368"/>
        <v>7.35</v>
      </c>
      <c r="AI601">
        <f t="shared" si="368"/>
        <v>7.35</v>
      </c>
      <c r="AM601">
        <f t="shared" si="369"/>
        <v>7.35</v>
      </c>
      <c r="BW601" s="138"/>
      <c r="BX601">
        <f t="shared" si="373"/>
        <v>-2.3667335888445753</v>
      </c>
      <c r="BY601">
        <f t="shared" si="373"/>
        <v>-2.3667335888445753</v>
      </c>
      <c r="CC601">
        <f t="shared" si="371"/>
        <v>-2.3667335888445753</v>
      </c>
      <c r="DG601" s="138"/>
      <c r="EY601" s="479">
        <f>VLOOKUP(B601,Literatuur!$A:$B,2,FALSE)</f>
        <v>29</v>
      </c>
      <c r="EZ601" t="str">
        <f t="shared" si="355"/>
        <v>PCB 204</v>
      </c>
      <c r="FA601" t="str">
        <f t="shared" si="356"/>
        <v>PCB</v>
      </c>
      <c r="FB601" t="str">
        <f t="shared" si="357"/>
        <v>LDPE</v>
      </c>
      <c r="FC601" t="str">
        <f t="shared" si="358"/>
        <v>Immersion (shaking)</v>
      </c>
      <c r="FD601">
        <f t="shared" si="359"/>
        <v>293</v>
      </c>
      <c r="FE601" t="str">
        <f t="shared" si="360"/>
        <v>water</v>
      </c>
      <c r="FF601" t="str">
        <f t="shared" si="361"/>
        <v xml:space="preserve"> </v>
      </c>
      <c r="FG601" s="408" t="str">
        <f t="shared" si="354"/>
        <v/>
      </c>
      <c r="FH601" s="138">
        <f t="shared" si="362"/>
        <v>7.8</v>
      </c>
      <c r="FI601" s="106">
        <f t="shared" si="353"/>
        <v>7.1112857857635694</v>
      </c>
      <c r="FJ601" s="138" t="str">
        <f t="shared" si="363"/>
        <v/>
      </c>
      <c r="FK601" s="138" t="str">
        <f t="shared" si="372"/>
        <v>**</v>
      </c>
    </row>
    <row r="602" spans="1:167" ht="12.75" hidden="1" customHeight="1" x14ac:dyDescent="0.2">
      <c r="A602">
        <v>567</v>
      </c>
      <c r="B602" t="s">
        <v>1595</v>
      </c>
      <c r="C602" s="4"/>
      <c r="D602" s="4" t="s">
        <v>980</v>
      </c>
      <c r="E602" s="4">
        <v>-1705</v>
      </c>
      <c r="F602" t="str">
        <f>VLOOKUP(E602,CompDbase!B:L,4,FALSE)</f>
        <v>PCB 21</v>
      </c>
      <c r="G602" s="95" t="str">
        <f>VLOOKUP(E602,CompDbase!B:M,12,FALSE)</f>
        <v>PCB</v>
      </c>
      <c r="H602" s="95">
        <f>VLOOKUP(E602,CompDbase!B:L,8,FALSE)</f>
        <v>257.5</v>
      </c>
      <c r="I602" s="95">
        <f>VLOOKUP(E602,CompDbase!B:L,11,FALSE)</f>
        <v>257.5</v>
      </c>
      <c r="J602" s="95">
        <f>VLOOKUP(E602,CompDbase!B:L,9,FALSE)</f>
        <v>0.32417329353699781</v>
      </c>
      <c r="K602" s="95">
        <f>VLOOKUP(E602,CompDbase!B:L,10,FALSE)</f>
        <v>5.55</v>
      </c>
      <c r="L602" s="4" t="s">
        <v>769</v>
      </c>
      <c r="M602" s="426">
        <v>900000</v>
      </c>
      <c r="N602" s="426"/>
      <c r="O602" s="4" t="s">
        <v>1985</v>
      </c>
      <c r="P602">
        <f t="shared" si="365"/>
        <v>293</v>
      </c>
      <c r="Q602" s="4" t="s">
        <v>1049</v>
      </c>
      <c r="S602" s="4"/>
      <c r="T602" s="95"/>
      <c r="W602" s="199">
        <f t="shared" si="366"/>
        <v>125892.54117941685</v>
      </c>
      <c r="X602">
        <v>5.0999999999999996</v>
      </c>
      <c r="AC602" t="s">
        <v>68</v>
      </c>
      <c r="AG602" s="138">
        <f t="shared" si="367"/>
        <v>5.0999999999999996</v>
      </c>
      <c r="AH602">
        <f t="shared" si="368"/>
        <v>5.55</v>
      </c>
      <c r="AI602">
        <f t="shared" si="368"/>
        <v>5.55</v>
      </c>
      <c r="AM602">
        <f t="shared" si="369"/>
        <v>5.55</v>
      </c>
      <c r="BW602" s="138"/>
      <c r="BX602">
        <f t="shared" si="373"/>
        <v>-0.48922276662279052</v>
      </c>
      <c r="BY602">
        <f t="shared" si="373"/>
        <v>-0.48922276662279052</v>
      </c>
      <c r="CC602">
        <f t="shared" si="371"/>
        <v>-0.48922276662279052</v>
      </c>
      <c r="DG602" s="138"/>
      <c r="EY602" s="479">
        <f>VLOOKUP(B602,Literatuur!$A:$B,2,FALSE)</f>
        <v>29</v>
      </c>
      <c r="EZ602" t="str">
        <f t="shared" si="355"/>
        <v>PCB 21</v>
      </c>
      <c r="FA602" t="str">
        <f t="shared" si="356"/>
        <v>PCB</v>
      </c>
      <c r="FB602" t="str">
        <f t="shared" si="357"/>
        <v>LDPE</v>
      </c>
      <c r="FC602" t="str">
        <f t="shared" si="358"/>
        <v>Immersion (shaking)</v>
      </c>
      <c r="FD602">
        <f t="shared" si="359"/>
        <v>293</v>
      </c>
      <c r="FE602" t="str">
        <f t="shared" si="360"/>
        <v>water</v>
      </c>
      <c r="FF602" t="str">
        <f t="shared" si="361"/>
        <v xml:space="preserve"> </v>
      </c>
      <c r="FG602" s="408" t="str">
        <f t="shared" si="354"/>
        <v/>
      </c>
      <c r="FH602" s="138">
        <f t="shared" si="362"/>
        <v>5.0999999999999996</v>
      </c>
      <c r="FI602" s="106">
        <f t="shared" si="353"/>
        <v>5.2057215422877592</v>
      </c>
      <c r="FJ602" s="138" t="str">
        <f t="shared" si="363"/>
        <v/>
      </c>
      <c r="FK602" s="138" t="str">
        <f t="shared" si="372"/>
        <v>**</v>
      </c>
    </row>
    <row r="603" spans="1:167" ht="12.75" hidden="1" customHeight="1" x14ac:dyDescent="0.2">
      <c r="A603">
        <v>568</v>
      </c>
      <c r="B603" t="s">
        <v>1595</v>
      </c>
      <c r="C603" s="4"/>
      <c r="D603" s="4" t="s">
        <v>981</v>
      </c>
      <c r="E603" s="4">
        <v>-1706</v>
      </c>
      <c r="F603" t="str">
        <f>VLOOKUP(E603,CompDbase!B:L,4,FALSE)</f>
        <v>PCB 28</v>
      </c>
      <c r="G603" s="95" t="str">
        <f>VLOOKUP(E603,CompDbase!B:M,12,FALSE)</f>
        <v>PCB</v>
      </c>
      <c r="H603" s="95">
        <f>VLOOKUP(E603,CompDbase!B:L,8,FALSE)</f>
        <v>257.5</v>
      </c>
      <c r="I603" s="95">
        <f>VLOOKUP(E603,CompDbase!B:L,11,FALSE)</f>
        <v>257.5</v>
      </c>
      <c r="J603" s="95">
        <f>VLOOKUP(E603,CompDbase!B:L,9,FALSE)</f>
        <v>0.20453952044150236</v>
      </c>
      <c r="K603" s="95">
        <f>VLOOKUP(E603,CompDbase!B:L,10,FALSE)</f>
        <v>5.65</v>
      </c>
      <c r="L603" s="4" t="s">
        <v>769</v>
      </c>
      <c r="M603" s="426">
        <v>900000</v>
      </c>
      <c r="N603" s="426"/>
      <c r="O603" s="4" t="s">
        <v>1985</v>
      </c>
      <c r="P603">
        <f t="shared" si="365"/>
        <v>293</v>
      </c>
      <c r="Q603" s="4" t="s">
        <v>1049</v>
      </c>
      <c r="S603" s="4"/>
      <c r="T603" s="95"/>
      <c r="W603" s="199">
        <f t="shared" si="366"/>
        <v>251188.64315095844</v>
      </c>
      <c r="X603">
        <v>5.4</v>
      </c>
      <c r="AC603" t="s">
        <v>68</v>
      </c>
      <c r="AG603" s="138">
        <f t="shared" si="367"/>
        <v>5.4</v>
      </c>
      <c r="AH603">
        <f t="shared" si="368"/>
        <v>5.65</v>
      </c>
      <c r="AI603">
        <f t="shared" si="368"/>
        <v>5.65</v>
      </c>
      <c r="AM603">
        <f t="shared" si="369"/>
        <v>5.65</v>
      </c>
      <c r="BW603" s="138"/>
      <c r="BX603">
        <f t="shared" si="373"/>
        <v>-0.68922276662279047</v>
      </c>
      <c r="BY603">
        <f t="shared" si="373"/>
        <v>-0.68922276662279047</v>
      </c>
      <c r="CC603">
        <f t="shared" si="371"/>
        <v>-0.68922276662279047</v>
      </c>
      <c r="DG603" s="138"/>
      <c r="EY603" s="479">
        <f>VLOOKUP(B603,Literatuur!$A:$B,2,FALSE)</f>
        <v>29</v>
      </c>
      <c r="EZ603" t="str">
        <f t="shared" si="355"/>
        <v>PCB 28</v>
      </c>
      <c r="FA603" t="str">
        <f t="shared" si="356"/>
        <v>PCB</v>
      </c>
      <c r="FB603" t="str">
        <f t="shared" si="357"/>
        <v>LDPE</v>
      </c>
      <c r="FC603" t="str">
        <f t="shared" si="358"/>
        <v>Immersion (shaking)</v>
      </c>
      <c r="FD603">
        <f t="shared" si="359"/>
        <v>293</v>
      </c>
      <c r="FE603" t="str">
        <f t="shared" si="360"/>
        <v>water</v>
      </c>
      <c r="FF603" t="str">
        <f t="shared" si="361"/>
        <v xml:space="preserve"> </v>
      </c>
      <c r="FG603" s="408" t="str">
        <f t="shared" si="354"/>
        <v/>
      </c>
      <c r="FH603" s="138">
        <f t="shared" si="362"/>
        <v>5.4</v>
      </c>
      <c r="FI603" s="106">
        <f t="shared" si="353"/>
        <v>5.3115862224808597</v>
      </c>
      <c r="FJ603" s="138" t="str">
        <f t="shared" si="363"/>
        <v/>
      </c>
      <c r="FK603" s="138" t="str">
        <f t="shared" si="372"/>
        <v>**</v>
      </c>
    </row>
    <row r="604" spans="1:167" ht="12.75" hidden="1" customHeight="1" x14ac:dyDescent="0.2">
      <c r="A604">
        <v>569</v>
      </c>
      <c r="B604" t="s">
        <v>1595</v>
      </c>
      <c r="C604" s="4"/>
      <c r="D604" s="4" t="s">
        <v>982</v>
      </c>
      <c r="E604" s="4">
        <v>-1587</v>
      </c>
      <c r="F604" t="str">
        <f>VLOOKUP(E604,CompDbase!B:L,4,FALSE)</f>
        <v>PCB #29</v>
      </c>
      <c r="G604" s="95" t="str">
        <f>VLOOKUP(E604,CompDbase!B:M,12,FALSE)</f>
        <v>PCB</v>
      </c>
      <c r="H604" s="95">
        <f>VLOOKUP(E604,CompDbase!B:L,8,FALSE)</f>
        <v>257.5</v>
      </c>
      <c r="I604" s="95">
        <f>VLOOKUP(E604,CompDbase!B:L,11,FALSE)</f>
        <v>187.5</v>
      </c>
      <c r="J604" s="95">
        <f>VLOOKUP(E604,CompDbase!B:L,9,FALSE)</f>
        <v>0.32417329353699781</v>
      </c>
      <c r="K604" s="95">
        <f>VLOOKUP(E604,CompDbase!B:L,10,FALSE)</f>
        <v>5.6333333333333329</v>
      </c>
      <c r="L604" s="4" t="s">
        <v>769</v>
      </c>
      <c r="M604" s="426">
        <v>900000</v>
      </c>
      <c r="N604" s="426"/>
      <c r="O604" s="4" t="s">
        <v>1985</v>
      </c>
      <c r="P604">
        <f t="shared" si="365"/>
        <v>293</v>
      </c>
      <c r="Q604" s="4" t="s">
        <v>1049</v>
      </c>
      <c r="S604" s="4"/>
      <c r="T604" s="95"/>
      <c r="W604" s="199">
        <f t="shared" si="366"/>
        <v>199526.23149688813</v>
      </c>
      <c r="X604">
        <v>5.3</v>
      </c>
      <c r="AC604" t="s">
        <v>68</v>
      </c>
      <c r="AG604" s="138">
        <f t="shared" si="367"/>
        <v>5.3</v>
      </c>
      <c r="AH604">
        <f t="shared" si="368"/>
        <v>5.6333333333333329</v>
      </c>
      <c r="AI604">
        <f t="shared" si="368"/>
        <v>5.6333333333333329</v>
      </c>
      <c r="AM604">
        <f t="shared" si="369"/>
        <v>5.6333333333333329</v>
      </c>
      <c r="BW604" s="138"/>
      <c r="BX604">
        <f t="shared" si="373"/>
        <v>-0.48922276662279052</v>
      </c>
      <c r="BY604">
        <f t="shared" si="373"/>
        <v>-0.48922276662279052</v>
      </c>
      <c r="CC604">
        <f t="shared" si="371"/>
        <v>-0.48922276662279052</v>
      </c>
      <c r="DG604" s="138"/>
      <c r="EY604" s="479">
        <f>VLOOKUP(B604,Literatuur!$A:$B,2,FALSE)</f>
        <v>29</v>
      </c>
      <c r="EZ604" t="str">
        <f t="shared" si="355"/>
        <v>PCB 29</v>
      </c>
      <c r="FA604" t="str">
        <f t="shared" si="356"/>
        <v>PCB</v>
      </c>
      <c r="FB604" t="str">
        <f t="shared" si="357"/>
        <v>LDPE</v>
      </c>
      <c r="FC604" t="str">
        <f t="shared" si="358"/>
        <v>Immersion (shaking)</v>
      </c>
      <c r="FD604">
        <f t="shared" si="359"/>
        <v>293</v>
      </c>
      <c r="FE604" t="str">
        <f t="shared" si="360"/>
        <v>water</v>
      </c>
      <c r="FF604" t="str">
        <f t="shared" si="361"/>
        <v xml:space="preserve"> </v>
      </c>
      <c r="FG604" s="408" t="str">
        <f t="shared" si="354"/>
        <v/>
      </c>
      <c r="FH604" s="138">
        <f t="shared" si="362"/>
        <v>5.3</v>
      </c>
      <c r="FI604" s="106">
        <f t="shared" si="353"/>
        <v>5.293942109115342</v>
      </c>
      <c r="FJ604" s="138" t="str">
        <f t="shared" si="363"/>
        <v/>
      </c>
      <c r="FK604" s="138" t="str">
        <f t="shared" si="372"/>
        <v>**</v>
      </c>
    </row>
    <row r="605" spans="1:167" ht="12.75" hidden="1" customHeight="1" x14ac:dyDescent="0.2">
      <c r="A605">
        <v>570</v>
      </c>
      <c r="B605" t="s">
        <v>1595</v>
      </c>
      <c r="C605" s="4"/>
      <c r="D605" s="4" t="s">
        <v>983</v>
      </c>
      <c r="E605" s="4">
        <v>-1708</v>
      </c>
      <c r="F605" t="str">
        <f>VLOOKUP(E605,CompDbase!B:L,4,FALSE)</f>
        <v>PCB 30</v>
      </c>
      <c r="G605" s="95" t="str">
        <f>VLOOKUP(E605,CompDbase!B:M,12,FALSE)</f>
        <v>PCB</v>
      </c>
      <c r="H605" s="95">
        <f>VLOOKUP(E605,CompDbase!B:L,8,FALSE)</f>
        <v>257.5</v>
      </c>
      <c r="I605" s="95">
        <f>VLOOKUP(E605,CompDbase!B:L,11,FALSE)</f>
        <v>257.5</v>
      </c>
      <c r="J605" s="95">
        <f>VLOOKUP(E605,CompDbase!B:L,9,FALSE)</f>
        <v>0.40810999705873668</v>
      </c>
      <c r="K605" s="95">
        <f>VLOOKUP(E605,CompDbase!B:L,10,FALSE)</f>
        <v>5.45</v>
      </c>
      <c r="L605" s="4" t="s">
        <v>769</v>
      </c>
      <c r="M605" s="426">
        <v>900000</v>
      </c>
      <c r="N605" s="426"/>
      <c r="O605" s="4" t="s">
        <v>1985</v>
      </c>
      <c r="P605">
        <f t="shared" si="365"/>
        <v>293</v>
      </c>
      <c r="Q605" s="4" t="s">
        <v>1049</v>
      </c>
      <c r="S605" s="4"/>
      <c r="T605" s="95"/>
      <c r="W605" s="199">
        <f t="shared" si="366"/>
        <v>125892.54117941685</v>
      </c>
      <c r="X605">
        <v>5.0999999999999996</v>
      </c>
      <c r="AC605" t="s">
        <v>68</v>
      </c>
      <c r="AG605" s="138">
        <f t="shared" si="367"/>
        <v>5.0999999999999996</v>
      </c>
      <c r="AH605">
        <f t="shared" si="368"/>
        <v>5.45</v>
      </c>
      <c r="AI605">
        <f t="shared" si="368"/>
        <v>5.45</v>
      </c>
      <c r="AM605">
        <f t="shared" si="369"/>
        <v>5.45</v>
      </c>
      <c r="BW605" s="138"/>
      <c r="BX605">
        <f t="shared" si="373"/>
        <v>-0.38922276662279021</v>
      </c>
      <c r="BY605">
        <f t="shared" si="373"/>
        <v>-0.38922276662279021</v>
      </c>
      <c r="CC605">
        <f t="shared" si="371"/>
        <v>-0.38922276662279021</v>
      </c>
      <c r="DG605" s="138"/>
      <c r="EY605" s="479">
        <f>VLOOKUP(B605,Literatuur!$A:$B,2,FALSE)</f>
        <v>29</v>
      </c>
      <c r="EZ605" t="str">
        <f t="shared" si="355"/>
        <v>PCB 30</v>
      </c>
      <c r="FA605" t="str">
        <f t="shared" si="356"/>
        <v>PCB</v>
      </c>
      <c r="FB605" t="str">
        <f t="shared" si="357"/>
        <v>LDPE</v>
      </c>
      <c r="FC605" t="str">
        <f t="shared" si="358"/>
        <v>Immersion (shaking)</v>
      </c>
      <c r="FD605">
        <f t="shared" si="359"/>
        <v>293</v>
      </c>
      <c r="FE605" t="str">
        <f t="shared" si="360"/>
        <v>water</v>
      </c>
      <c r="FF605" t="str">
        <f t="shared" si="361"/>
        <v xml:space="preserve"> </v>
      </c>
      <c r="FG605" s="408" t="str">
        <f t="shared" si="354"/>
        <v/>
      </c>
      <c r="FH605" s="138">
        <f t="shared" si="362"/>
        <v>5.0999999999999996</v>
      </c>
      <c r="FI605" s="106">
        <f t="shared" si="353"/>
        <v>5.0998568620946587</v>
      </c>
      <c r="FJ605" s="138" t="str">
        <f t="shared" si="363"/>
        <v/>
      </c>
      <c r="FK605" s="138" t="str">
        <f t="shared" si="372"/>
        <v>**</v>
      </c>
    </row>
    <row r="606" spans="1:167" ht="12.75" hidden="1" customHeight="1" x14ac:dyDescent="0.2">
      <c r="A606">
        <v>571</v>
      </c>
      <c r="B606" t="s">
        <v>1595</v>
      </c>
      <c r="C606" s="4"/>
      <c r="D606" s="4" t="s">
        <v>984</v>
      </c>
      <c r="E606" s="4">
        <v>-1709</v>
      </c>
      <c r="F606" t="str">
        <f>VLOOKUP(E606,CompDbase!B:L,4,FALSE)</f>
        <v>PCB 31</v>
      </c>
      <c r="G606" s="95" t="str">
        <f>VLOOKUP(E606,CompDbase!B:M,12,FALSE)</f>
        <v>PCB</v>
      </c>
      <c r="H606" s="95">
        <f>VLOOKUP(E606,CompDbase!B:L,8,FALSE)</f>
        <v>257.5</v>
      </c>
      <c r="I606" s="95">
        <f>VLOOKUP(E606,CompDbase!B:L,11,FALSE)</f>
        <v>292</v>
      </c>
      <c r="J606" s="95">
        <f>VLOOKUP(E606,CompDbase!B:L,9,FALSE)</f>
        <v>0.20453952044150236</v>
      </c>
      <c r="K606" s="95">
        <f>VLOOKUP(E606,CompDbase!B:L,10,FALSE)</f>
        <v>5.75</v>
      </c>
      <c r="L606" s="4" t="s">
        <v>769</v>
      </c>
      <c r="M606" s="426">
        <v>900000</v>
      </c>
      <c r="N606" s="426"/>
      <c r="O606" s="4" t="s">
        <v>1985</v>
      </c>
      <c r="P606">
        <f t="shared" si="365"/>
        <v>293</v>
      </c>
      <c r="Q606" s="4" t="s">
        <v>1049</v>
      </c>
      <c r="S606" s="4"/>
      <c r="T606" s="95"/>
      <c r="W606" s="199">
        <f t="shared" si="366"/>
        <v>199526.23149688813</v>
      </c>
      <c r="X606">
        <v>5.3</v>
      </c>
      <c r="AC606" t="s">
        <v>68</v>
      </c>
      <c r="AG606" s="138">
        <f t="shared" si="367"/>
        <v>5.3</v>
      </c>
      <c r="AH606">
        <f t="shared" si="368"/>
        <v>5.75</v>
      </c>
      <c r="AI606">
        <f t="shared" si="368"/>
        <v>5.75</v>
      </c>
      <c r="AM606">
        <f t="shared" si="369"/>
        <v>5.75</v>
      </c>
      <c r="BW606" s="138"/>
      <c r="BX606">
        <f t="shared" si="373"/>
        <v>-0.68922276662279047</v>
      </c>
      <c r="BY606">
        <f t="shared" si="373"/>
        <v>-0.68922276662279047</v>
      </c>
      <c r="CC606">
        <f t="shared" si="371"/>
        <v>-0.68922276662279047</v>
      </c>
      <c r="DG606" s="138"/>
      <c r="EY606" s="479">
        <f>VLOOKUP(B606,Literatuur!$A:$B,2,FALSE)</f>
        <v>29</v>
      </c>
      <c r="EZ606" t="str">
        <f t="shared" si="355"/>
        <v>PCB 31</v>
      </c>
      <c r="FA606" t="str">
        <f t="shared" si="356"/>
        <v>PCB</v>
      </c>
      <c r="FB606" t="str">
        <f t="shared" si="357"/>
        <v>LDPE</v>
      </c>
      <c r="FC606" t="str">
        <f t="shared" si="358"/>
        <v>Immersion (shaking)</v>
      </c>
      <c r="FD606">
        <f t="shared" si="359"/>
        <v>293</v>
      </c>
      <c r="FE606" t="str">
        <f t="shared" si="360"/>
        <v>water</v>
      </c>
      <c r="FF606" t="str">
        <f t="shared" si="361"/>
        <v xml:space="preserve"> </v>
      </c>
      <c r="FG606" s="408" t="str">
        <f t="shared" si="354"/>
        <v/>
      </c>
      <c r="FH606" s="138">
        <f t="shared" si="362"/>
        <v>5.3</v>
      </c>
      <c r="FI606" s="106">
        <f t="shared" si="353"/>
        <v>5.4174509026739601</v>
      </c>
      <c r="FJ606" s="138" t="str">
        <f t="shared" si="363"/>
        <v/>
      </c>
      <c r="FK606" s="138" t="str">
        <f t="shared" si="372"/>
        <v>**</v>
      </c>
    </row>
    <row r="607" spans="1:167" ht="12.75" hidden="1" customHeight="1" x14ac:dyDescent="0.2">
      <c r="A607">
        <v>572</v>
      </c>
      <c r="B607" t="s">
        <v>1595</v>
      </c>
      <c r="C607" s="4"/>
      <c r="D607" s="4" t="s">
        <v>975</v>
      </c>
      <c r="E607" s="4">
        <v>-1700</v>
      </c>
      <c r="F607" t="str">
        <f>VLOOKUP(E607,CompDbase!B:L,4,FALSE)</f>
        <v>PCB 4</v>
      </c>
      <c r="G607" s="95" t="str">
        <f>VLOOKUP(E607,CompDbase!B:M,12,FALSE)</f>
        <v>PCB</v>
      </c>
      <c r="H607" s="95">
        <f>VLOOKUP(E607,CompDbase!B:L,8,FALSE)</f>
        <v>223.1</v>
      </c>
      <c r="I607" s="95" t="e">
        <f>VLOOKUP(E607,CompDbase!B:L,11,FALSE)</f>
        <v>#DIV/0!</v>
      </c>
      <c r="J607" s="95">
        <f>VLOOKUP(E607,CompDbase!B:L,9,FALSE)</f>
        <v>2.8086625937127851</v>
      </c>
      <c r="K607" s="95">
        <f>VLOOKUP(E607,CompDbase!B:L,10,FALSE)</f>
        <v>4.7</v>
      </c>
      <c r="L607" s="4" t="s">
        <v>769</v>
      </c>
      <c r="M607" s="426">
        <v>900000</v>
      </c>
      <c r="N607" s="426"/>
      <c r="O607" s="4" t="s">
        <v>1985</v>
      </c>
      <c r="P607">
        <f t="shared" si="365"/>
        <v>293</v>
      </c>
      <c r="Q607" s="4" t="s">
        <v>1049</v>
      </c>
      <c r="S607" s="4"/>
      <c r="T607" s="95"/>
      <c r="W607" s="199">
        <f t="shared" si="366"/>
        <v>15848.931924611146</v>
      </c>
      <c r="X607">
        <v>4.2</v>
      </c>
      <c r="AC607" t="s">
        <v>68</v>
      </c>
      <c r="AG607" s="138">
        <f t="shared" si="367"/>
        <v>4.2</v>
      </c>
      <c r="AH607">
        <f t="shared" si="368"/>
        <v>4.7</v>
      </c>
      <c r="AI607">
        <f t="shared" si="368"/>
        <v>4.7</v>
      </c>
      <c r="AM607">
        <f t="shared" si="369"/>
        <v>4.7</v>
      </c>
      <c r="BW607" s="138"/>
      <c r="BX607">
        <f t="shared" si="373"/>
        <v>0.44849957028383741</v>
      </c>
      <c r="BY607">
        <f t="shared" si="373"/>
        <v>0.44849957028383741</v>
      </c>
      <c r="CC607">
        <f t="shared" si="371"/>
        <v>0.44849957028383741</v>
      </c>
      <c r="DG607" s="138"/>
      <c r="EY607" s="479">
        <f>VLOOKUP(B607,Literatuur!$A:$B,2,FALSE)</f>
        <v>29</v>
      </c>
      <c r="EZ607" t="str">
        <f t="shared" si="355"/>
        <v>PCB 4</v>
      </c>
      <c r="FA607" t="str">
        <f t="shared" si="356"/>
        <v>PCB</v>
      </c>
      <c r="FB607" t="str">
        <f t="shared" si="357"/>
        <v>LDPE</v>
      </c>
      <c r="FC607" t="str">
        <f t="shared" si="358"/>
        <v>Immersion (shaking)</v>
      </c>
      <c r="FD607">
        <f t="shared" si="359"/>
        <v>293</v>
      </c>
      <c r="FE607" t="str">
        <f t="shared" si="360"/>
        <v>water</v>
      </c>
      <c r="FF607" t="str">
        <f t="shared" si="361"/>
        <v xml:space="preserve"> </v>
      </c>
      <c r="FG607" s="408" t="str">
        <f t="shared" si="354"/>
        <v/>
      </c>
      <c r="FH607" s="138">
        <f t="shared" si="362"/>
        <v>4.2</v>
      </c>
      <c r="FI607" s="106">
        <f t="shared" si="353"/>
        <v>4.3058717606464034</v>
      </c>
      <c r="FJ607" s="138" t="str">
        <f t="shared" si="363"/>
        <v/>
      </c>
      <c r="FK607" s="138" t="str">
        <f t="shared" si="372"/>
        <v>**</v>
      </c>
    </row>
    <row r="608" spans="1:167" ht="12.75" hidden="1" customHeight="1" x14ac:dyDescent="0.2">
      <c r="A608">
        <v>573</v>
      </c>
      <c r="B608" t="s">
        <v>1595</v>
      </c>
      <c r="C608" s="4"/>
      <c r="D608" s="4" t="s">
        <v>985</v>
      </c>
      <c r="E608" s="4">
        <v>-1594</v>
      </c>
      <c r="F608" t="str">
        <f>VLOOKUP(E608,CompDbase!B:L,4,FALSE)</f>
        <v>PCB #44</v>
      </c>
      <c r="G608" s="95" t="str">
        <f>VLOOKUP(E608,CompDbase!B:M,12,FALSE)</f>
        <v>PCB</v>
      </c>
      <c r="H608" s="95">
        <f>VLOOKUP(E608,CompDbase!B:L,8,FALSE)</f>
        <v>292</v>
      </c>
      <c r="I608" s="95">
        <f>VLOOKUP(E608,CompDbase!B:L,11,FALSE)</f>
        <v>199.95</v>
      </c>
      <c r="J608" s="95">
        <f>VLOOKUP(E608,CompDbase!B:L,9,FALSE)</f>
        <v>0.23194384453949005</v>
      </c>
      <c r="K608" s="95">
        <f>VLOOKUP(E608,CompDbase!B:L,10,FALSE)</f>
        <v>5.7833333333333341</v>
      </c>
      <c r="L608" s="4" t="s">
        <v>769</v>
      </c>
      <c r="M608" s="426">
        <v>900000</v>
      </c>
      <c r="N608" s="426"/>
      <c r="O608" s="4" t="s">
        <v>1985</v>
      </c>
      <c r="P608">
        <f t="shared" si="365"/>
        <v>293</v>
      </c>
      <c r="Q608" s="4" t="s">
        <v>1049</v>
      </c>
      <c r="S608" s="4"/>
      <c r="T608" s="95"/>
      <c r="W608" s="199">
        <f t="shared" si="366"/>
        <v>316227.7660168382</v>
      </c>
      <c r="X608">
        <v>5.5</v>
      </c>
      <c r="AC608" t="s">
        <v>68</v>
      </c>
      <c r="AG608" s="138">
        <f t="shared" si="367"/>
        <v>5.5</v>
      </c>
      <c r="AH608">
        <f t="shared" si="368"/>
        <v>5.7833333333333341</v>
      </c>
      <c r="AI608">
        <f t="shared" si="368"/>
        <v>5.7833333333333341</v>
      </c>
      <c r="AM608">
        <f t="shared" si="369"/>
        <v>5.7833333333333341</v>
      </c>
      <c r="BW608" s="138"/>
      <c r="BX608">
        <f t="shared" si="373"/>
        <v>-0.63461714855158202</v>
      </c>
      <c r="BY608">
        <f t="shared" si="373"/>
        <v>-0.63461714855158202</v>
      </c>
      <c r="CC608">
        <f t="shared" si="371"/>
        <v>-0.63461714855158202</v>
      </c>
      <c r="DG608" s="138"/>
      <c r="EY608" s="479">
        <f>VLOOKUP(B608,Literatuur!$A:$B,2,FALSE)</f>
        <v>29</v>
      </c>
      <c r="EZ608" t="str">
        <f t="shared" si="355"/>
        <v>PCB 44</v>
      </c>
      <c r="FA608" t="str">
        <f t="shared" si="356"/>
        <v>PCB</v>
      </c>
      <c r="FB608" t="str">
        <f t="shared" si="357"/>
        <v>LDPE</v>
      </c>
      <c r="FC608" t="str">
        <f t="shared" si="358"/>
        <v>Immersion (shaking)</v>
      </c>
      <c r="FD608">
        <f t="shared" si="359"/>
        <v>293</v>
      </c>
      <c r="FE608" t="str">
        <f t="shared" si="360"/>
        <v>water</v>
      </c>
      <c r="FF608" t="str">
        <f t="shared" si="361"/>
        <v xml:space="preserve"> </v>
      </c>
      <c r="FG608" s="408" t="str">
        <f t="shared" si="354"/>
        <v/>
      </c>
      <c r="FH608" s="138">
        <f t="shared" si="362"/>
        <v>5.5</v>
      </c>
      <c r="FI608" s="106">
        <f t="shared" ref="FI608:FI619" si="374">IF(ISNUMBER(AL608),AL608*AL$19+AL$21,IF(ISNUMBER(AM608),AM608*AM$19+AM$21,IF(ISNUMBER(AN608),AN608*AN$19+AN$21,"**")))</f>
        <v>5.4527391294049945</v>
      </c>
      <c r="FJ608" s="138" t="str">
        <f t="shared" si="363"/>
        <v/>
      </c>
      <c r="FK608" s="138" t="str">
        <f t="shared" si="372"/>
        <v>**</v>
      </c>
    </row>
    <row r="609" spans="1:167" ht="12.75" hidden="1" customHeight="1" x14ac:dyDescent="0.2">
      <c r="A609">
        <v>574</v>
      </c>
      <c r="B609" t="s">
        <v>1595</v>
      </c>
      <c r="C609" s="4"/>
      <c r="D609" s="4" t="s">
        <v>986</v>
      </c>
      <c r="E609" s="4">
        <v>-1711</v>
      </c>
      <c r="F609" t="str">
        <f>VLOOKUP(E609,CompDbase!B:L,4,FALSE)</f>
        <v>PCB 47</v>
      </c>
      <c r="G609" s="95" t="str">
        <f>VLOOKUP(E609,CompDbase!B:M,12,FALSE)</f>
        <v>PCB</v>
      </c>
      <c r="H609" s="95">
        <f>VLOOKUP(E609,CompDbase!B:L,8,FALSE)</f>
        <v>292</v>
      </c>
      <c r="I609" s="95">
        <f>VLOOKUP(E609,CompDbase!B:L,11,FALSE)</f>
        <v>292</v>
      </c>
      <c r="J609" s="95">
        <f>VLOOKUP(E609,CompDbase!B:L,9,FALSE)</f>
        <v>0.14634667221916345</v>
      </c>
      <c r="K609" s="95">
        <f>VLOOKUP(E609,CompDbase!B:L,10,FALSE)</f>
        <v>5.9</v>
      </c>
      <c r="L609" s="4" t="s">
        <v>769</v>
      </c>
      <c r="M609" s="426">
        <v>900000</v>
      </c>
      <c r="N609" s="426"/>
      <c r="O609" s="4" t="s">
        <v>1985</v>
      </c>
      <c r="P609">
        <f t="shared" si="365"/>
        <v>293</v>
      </c>
      <c r="Q609" s="4" t="s">
        <v>1049</v>
      </c>
      <c r="S609" s="4"/>
      <c r="T609" s="95"/>
      <c r="W609" s="199">
        <f t="shared" si="366"/>
        <v>398107.17055349716</v>
      </c>
      <c r="X609">
        <v>5.6</v>
      </c>
      <c r="AC609" t="s">
        <v>68</v>
      </c>
      <c r="AG609" s="138">
        <f t="shared" si="367"/>
        <v>5.6</v>
      </c>
      <c r="AH609">
        <f t="shared" si="368"/>
        <v>5.9</v>
      </c>
      <c r="AI609">
        <f t="shared" si="368"/>
        <v>5.9</v>
      </c>
      <c r="AM609">
        <f t="shared" si="369"/>
        <v>5.9</v>
      </c>
      <c r="BW609" s="138"/>
      <c r="BX609">
        <f t="shared" si="373"/>
        <v>-0.83461714855158187</v>
      </c>
      <c r="BY609">
        <f t="shared" si="373"/>
        <v>-0.83461714855158187</v>
      </c>
      <c r="CC609">
        <f t="shared" si="371"/>
        <v>-0.83461714855158187</v>
      </c>
      <c r="DG609" s="138"/>
      <c r="EY609" s="479">
        <f>VLOOKUP(B609,Literatuur!$A:$B,2,FALSE)</f>
        <v>29</v>
      </c>
      <c r="EZ609" t="str">
        <f t="shared" si="355"/>
        <v>PCB 47</v>
      </c>
      <c r="FA609" t="str">
        <f t="shared" si="356"/>
        <v>PCB</v>
      </c>
      <c r="FB609" t="str">
        <f t="shared" si="357"/>
        <v>LDPE</v>
      </c>
      <c r="FC609" t="str">
        <f t="shared" si="358"/>
        <v>Immersion (shaking)</v>
      </c>
      <c r="FD609">
        <f t="shared" si="359"/>
        <v>293</v>
      </c>
      <c r="FE609" t="str">
        <f t="shared" si="360"/>
        <v>water</v>
      </c>
      <c r="FF609" t="str">
        <f t="shared" si="361"/>
        <v xml:space="preserve"> </v>
      </c>
      <c r="FG609" s="408" t="str">
        <f t="shared" si="354"/>
        <v/>
      </c>
      <c r="FH609" s="138">
        <f t="shared" si="362"/>
        <v>5.6</v>
      </c>
      <c r="FI609" s="106">
        <f t="shared" si="374"/>
        <v>5.5762479229636117</v>
      </c>
      <c r="FJ609" s="138" t="str">
        <f t="shared" si="363"/>
        <v/>
      </c>
      <c r="FK609" s="138" t="str">
        <f t="shared" si="372"/>
        <v>**</v>
      </c>
    </row>
    <row r="610" spans="1:167" ht="12.75" hidden="1" customHeight="1" x14ac:dyDescent="0.2">
      <c r="A610">
        <v>575</v>
      </c>
      <c r="B610" t="s">
        <v>1595</v>
      </c>
      <c r="C610" s="4"/>
      <c r="D610" s="4" t="s">
        <v>987</v>
      </c>
      <c r="E610" s="4">
        <v>-1712</v>
      </c>
      <c r="F610" t="str">
        <f>VLOOKUP(E610,CompDbase!B:L,4,FALSE)</f>
        <v>PCB 49</v>
      </c>
      <c r="G610" s="95" t="str">
        <f>VLOOKUP(E610,CompDbase!B:M,12,FALSE)</f>
        <v>PCB</v>
      </c>
      <c r="H610" s="95">
        <f>VLOOKUP(E610,CompDbase!B:L,8,FALSE)</f>
        <v>292</v>
      </c>
      <c r="I610" s="95">
        <f>VLOOKUP(E610,CompDbase!B:L,11,FALSE)</f>
        <v>292</v>
      </c>
      <c r="J610" s="95">
        <f>VLOOKUP(E610,CompDbase!B:L,9,FALSE)</f>
        <v>0.14634667221916345</v>
      </c>
      <c r="K610" s="95">
        <f>VLOOKUP(E610,CompDbase!B:L,10,FALSE)</f>
        <v>5.9</v>
      </c>
      <c r="L610" s="4" t="s">
        <v>769</v>
      </c>
      <c r="M610" s="426">
        <v>900000</v>
      </c>
      <c r="N610" s="426"/>
      <c r="O610" s="4" t="s">
        <v>1985</v>
      </c>
      <c r="P610">
        <f t="shared" si="365"/>
        <v>293</v>
      </c>
      <c r="Q610" s="4" t="s">
        <v>1049</v>
      </c>
      <c r="S610" s="4"/>
      <c r="T610" s="95"/>
      <c r="W610" s="199">
        <f t="shared" si="366"/>
        <v>501187.23362727347</v>
      </c>
      <c r="X610">
        <v>5.7</v>
      </c>
      <c r="AC610" t="s">
        <v>68</v>
      </c>
      <c r="AG610" s="138">
        <f t="shared" si="367"/>
        <v>5.7</v>
      </c>
      <c r="AH610">
        <f t="shared" si="368"/>
        <v>5.9</v>
      </c>
      <c r="AI610">
        <f t="shared" si="368"/>
        <v>5.9</v>
      </c>
      <c r="AM610">
        <f t="shared" si="369"/>
        <v>5.9</v>
      </c>
      <c r="BW610" s="138"/>
      <c r="BX610">
        <f t="shared" si="373"/>
        <v>-0.83461714855158187</v>
      </c>
      <c r="BY610">
        <f t="shared" si="373"/>
        <v>-0.83461714855158187</v>
      </c>
      <c r="CC610">
        <f t="shared" si="371"/>
        <v>-0.83461714855158187</v>
      </c>
      <c r="DG610" s="138"/>
      <c r="EY610" s="479">
        <f>VLOOKUP(B610,Literatuur!$A:$B,2,FALSE)</f>
        <v>29</v>
      </c>
      <c r="EZ610" t="str">
        <f t="shared" si="355"/>
        <v>PCB 49</v>
      </c>
      <c r="FA610" t="str">
        <f t="shared" si="356"/>
        <v>PCB</v>
      </c>
      <c r="FB610" t="str">
        <f t="shared" si="357"/>
        <v>LDPE</v>
      </c>
      <c r="FC610" t="str">
        <f t="shared" si="358"/>
        <v>Immersion (shaking)</v>
      </c>
      <c r="FD610">
        <f t="shared" si="359"/>
        <v>293</v>
      </c>
      <c r="FE610" t="str">
        <f t="shared" si="360"/>
        <v>water</v>
      </c>
      <c r="FF610" t="str">
        <f t="shared" si="361"/>
        <v xml:space="preserve"> </v>
      </c>
      <c r="FG610" s="408" t="str">
        <f t="shared" si="354"/>
        <v/>
      </c>
      <c r="FH610" s="138">
        <f t="shared" si="362"/>
        <v>5.7</v>
      </c>
      <c r="FI610" s="106">
        <f t="shared" si="374"/>
        <v>5.5762479229636117</v>
      </c>
      <c r="FJ610" s="138" t="str">
        <f t="shared" si="363"/>
        <v/>
      </c>
      <c r="FK610" s="138" t="str">
        <f t="shared" si="372"/>
        <v>**</v>
      </c>
    </row>
    <row r="611" spans="1:167" ht="12.75" hidden="1" customHeight="1" x14ac:dyDescent="0.2">
      <c r="A611">
        <v>576</v>
      </c>
      <c r="B611" t="s">
        <v>1595</v>
      </c>
      <c r="C611" s="4"/>
      <c r="D611" s="4" t="s">
        <v>988</v>
      </c>
      <c r="E611" s="4">
        <v>-1713</v>
      </c>
      <c r="F611" t="str">
        <f>VLOOKUP(E611,CompDbase!B:L,4,FALSE)</f>
        <v>PCB 50</v>
      </c>
      <c r="G611" s="95" t="str">
        <f>VLOOKUP(E611,CompDbase!B:M,12,FALSE)</f>
        <v>PCB</v>
      </c>
      <c r="H611" s="95">
        <f>VLOOKUP(E611,CompDbase!B:L,8,FALSE)</f>
        <v>292</v>
      </c>
      <c r="I611" s="95">
        <f>VLOOKUP(E611,CompDbase!B:L,11,FALSE)</f>
        <v>292</v>
      </c>
      <c r="J611" s="95">
        <f>VLOOKUP(E611,CompDbase!B:L,9,FALSE)</f>
        <v>0.29199999999999998</v>
      </c>
      <c r="K611" s="95">
        <f>VLOOKUP(E611,CompDbase!B:L,10,FALSE)</f>
        <v>5.65</v>
      </c>
      <c r="L611" s="4" t="s">
        <v>769</v>
      </c>
      <c r="M611" s="426">
        <v>900000</v>
      </c>
      <c r="N611" s="426"/>
      <c r="O611" s="4" t="s">
        <v>1985</v>
      </c>
      <c r="P611">
        <f t="shared" si="365"/>
        <v>293</v>
      </c>
      <c r="Q611" s="4" t="s">
        <v>1049</v>
      </c>
      <c r="S611" s="4"/>
      <c r="T611" s="95"/>
      <c r="W611" s="199">
        <f t="shared" si="366"/>
        <v>316227.7660168382</v>
      </c>
      <c r="X611">
        <v>5.5</v>
      </c>
      <c r="AC611" t="s">
        <v>68</v>
      </c>
      <c r="AG611" s="138">
        <f t="shared" si="367"/>
        <v>5.5</v>
      </c>
      <c r="AH611">
        <f t="shared" si="368"/>
        <v>5.65</v>
      </c>
      <c r="AI611">
        <f t="shared" si="368"/>
        <v>5.65</v>
      </c>
      <c r="AM611">
        <f t="shared" si="369"/>
        <v>5.65</v>
      </c>
      <c r="BW611" s="138"/>
      <c r="BX611">
        <f t="shared" si="373"/>
        <v>-0.53461714855158171</v>
      </c>
      <c r="BY611">
        <f t="shared" si="373"/>
        <v>-0.53461714855158171</v>
      </c>
      <c r="CC611">
        <f t="shared" si="371"/>
        <v>-0.53461714855158171</v>
      </c>
      <c r="DG611" s="138"/>
      <c r="EY611" s="479">
        <f>VLOOKUP(B611,Literatuur!$A:$B,2,FALSE)</f>
        <v>29</v>
      </c>
      <c r="EZ611" t="str">
        <f t="shared" si="355"/>
        <v>PCB 50</v>
      </c>
      <c r="FA611" t="str">
        <f t="shared" si="356"/>
        <v>PCB</v>
      </c>
      <c r="FB611" t="str">
        <f t="shared" si="357"/>
        <v>LDPE</v>
      </c>
      <c r="FC611" t="str">
        <f t="shared" si="358"/>
        <v>Immersion (shaking)</v>
      </c>
      <c r="FD611">
        <f t="shared" si="359"/>
        <v>293</v>
      </c>
      <c r="FE611" t="str">
        <f t="shared" si="360"/>
        <v>water</v>
      </c>
      <c r="FF611" t="str">
        <f t="shared" si="361"/>
        <v xml:space="preserve"> </v>
      </c>
      <c r="FG611" s="408" t="str">
        <f t="shared" si="354"/>
        <v/>
      </c>
      <c r="FH611" s="138">
        <f t="shared" si="362"/>
        <v>5.5</v>
      </c>
      <c r="FI611" s="106">
        <f t="shared" si="374"/>
        <v>5.3115862224808597</v>
      </c>
      <c r="FJ611" s="138" t="str">
        <f t="shared" si="363"/>
        <v/>
      </c>
      <c r="FK611" s="138" t="str">
        <f t="shared" si="372"/>
        <v>**</v>
      </c>
    </row>
    <row r="612" spans="1:167" ht="12.75" hidden="1" customHeight="1" x14ac:dyDescent="0.2">
      <c r="A612">
        <v>577</v>
      </c>
      <c r="B612" t="s">
        <v>1595</v>
      </c>
      <c r="C612" s="4"/>
      <c r="D612" s="4" t="s">
        <v>989</v>
      </c>
      <c r="E612" s="4">
        <v>-1714</v>
      </c>
      <c r="F612" t="str">
        <f>VLOOKUP(E612,CompDbase!B:L,4,FALSE)</f>
        <v>PCB 52</v>
      </c>
      <c r="G612" s="95" t="str">
        <f>VLOOKUP(E612,CompDbase!B:M,12,FALSE)</f>
        <v>PCB</v>
      </c>
      <c r="H612" s="95">
        <f>VLOOKUP(E612,CompDbase!B:L,8,FALSE)</f>
        <v>292</v>
      </c>
      <c r="I612" s="95" t="e">
        <f>VLOOKUP(E612,CompDbase!B:L,11,FALSE)</f>
        <v>#DIV/0!</v>
      </c>
      <c r="J612" s="95">
        <f>VLOOKUP(E612,CompDbase!B:L,9,FALSE)</f>
        <v>0.11624729380162115</v>
      </c>
      <c r="K612" s="95">
        <f>VLOOKUP(E612,CompDbase!B:L,10,FALSE)</f>
        <v>5.85</v>
      </c>
      <c r="L612" s="4" t="s">
        <v>769</v>
      </c>
      <c r="M612" s="426">
        <v>900000</v>
      </c>
      <c r="N612" s="426"/>
      <c r="O612" s="4" t="s">
        <v>1985</v>
      </c>
      <c r="P612">
        <f t="shared" si="365"/>
        <v>293</v>
      </c>
      <c r="Q612" s="4" t="s">
        <v>1049</v>
      </c>
      <c r="S612" s="4"/>
      <c r="T612" s="95"/>
      <c r="W612" s="199">
        <f t="shared" si="366"/>
        <v>398107.17055349716</v>
      </c>
      <c r="X612">
        <v>5.6</v>
      </c>
      <c r="AC612" t="s">
        <v>68</v>
      </c>
      <c r="AG612" s="138">
        <f t="shared" si="367"/>
        <v>5.6</v>
      </c>
      <c r="AH612">
        <f t="shared" si="368"/>
        <v>5.85</v>
      </c>
      <c r="AI612">
        <f t="shared" si="368"/>
        <v>5.85</v>
      </c>
      <c r="AM612">
        <f t="shared" si="369"/>
        <v>5.85</v>
      </c>
      <c r="BW612" s="138"/>
      <c r="BX612">
        <f t="shared" si="373"/>
        <v>-0.93461714855158184</v>
      </c>
      <c r="BY612">
        <f t="shared" si="373"/>
        <v>-0.93461714855158184</v>
      </c>
      <c r="CC612">
        <f t="shared" si="371"/>
        <v>-0.93461714855158184</v>
      </c>
      <c r="DG612" s="138"/>
      <c r="EY612" s="479">
        <f>VLOOKUP(B612,Literatuur!$A:$B,2,FALSE)</f>
        <v>29</v>
      </c>
      <c r="EZ612" t="str">
        <f t="shared" si="355"/>
        <v>PCB 52</v>
      </c>
      <c r="FA612" t="str">
        <f t="shared" si="356"/>
        <v>PCB</v>
      </c>
      <c r="FB612" t="str">
        <f t="shared" si="357"/>
        <v>LDPE</v>
      </c>
      <c r="FC612" t="str">
        <f t="shared" si="358"/>
        <v>Immersion (shaking)</v>
      </c>
      <c r="FD612">
        <f t="shared" si="359"/>
        <v>293</v>
      </c>
      <c r="FE612" t="str">
        <f t="shared" si="360"/>
        <v>water</v>
      </c>
      <c r="FF612" t="str">
        <f t="shared" si="361"/>
        <v xml:space="preserve"> </v>
      </c>
      <c r="FG612" s="408" t="str">
        <f t="shared" si="354"/>
        <v/>
      </c>
      <c r="FH612" s="138">
        <f t="shared" si="362"/>
        <v>5.6</v>
      </c>
      <c r="FI612" s="106">
        <f t="shared" si="374"/>
        <v>5.5233155828670606</v>
      </c>
      <c r="FJ612" s="138" t="str">
        <f t="shared" si="363"/>
        <v/>
      </c>
      <c r="FK612" s="138" t="str">
        <f t="shared" si="372"/>
        <v>**</v>
      </c>
    </row>
    <row r="613" spans="1:167" ht="12.75" hidden="1" customHeight="1" x14ac:dyDescent="0.2">
      <c r="A613">
        <v>578</v>
      </c>
      <c r="B613" t="s">
        <v>1595</v>
      </c>
      <c r="C613" s="4"/>
      <c r="D613" s="4" t="s">
        <v>990</v>
      </c>
      <c r="E613" s="4">
        <v>-1715</v>
      </c>
      <c r="F613" t="str">
        <f>VLOOKUP(E613,CompDbase!B:L,4,FALSE)</f>
        <v>PCB 55</v>
      </c>
      <c r="G613" s="95" t="str">
        <f>VLOOKUP(E613,CompDbase!B:M,12,FALSE)</f>
        <v>PCB</v>
      </c>
      <c r="H613" s="95">
        <f>VLOOKUP(E613,CompDbase!B:L,8,FALSE)</f>
        <v>292</v>
      </c>
      <c r="I613" s="95">
        <f>VLOOKUP(E613,CompDbase!B:L,11,FALSE)</f>
        <v>292</v>
      </c>
      <c r="J613" s="95">
        <f>VLOOKUP(E613,CompDbase!B:L,9,FALSE)</f>
        <v>7.3347083800079663E-2</v>
      </c>
      <c r="K613" s="95">
        <f>VLOOKUP(E613,CompDbase!B:L,10,FALSE)</f>
        <v>6.15</v>
      </c>
      <c r="L613" s="4" t="s">
        <v>769</v>
      </c>
      <c r="M613" s="426">
        <v>900000</v>
      </c>
      <c r="N613" s="426"/>
      <c r="O613" s="4" t="s">
        <v>1985</v>
      </c>
      <c r="P613">
        <f t="shared" si="365"/>
        <v>293</v>
      </c>
      <c r="Q613" s="4" t="s">
        <v>1049</v>
      </c>
      <c r="S613" s="4"/>
      <c r="T613" s="95"/>
      <c r="W613" s="199">
        <f t="shared" si="366"/>
        <v>630957.34448019415</v>
      </c>
      <c r="X613">
        <v>5.8</v>
      </c>
      <c r="AC613" t="s">
        <v>68</v>
      </c>
      <c r="AG613" s="138">
        <f t="shared" si="367"/>
        <v>5.8</v>
      </c>
      <c r="AH613">
        <f t="shared" si="368"/>
        <v>6.15</v>
      </c>
      <c r="AI613">
        <f t="shared" si="368"/>
        <v>6.15</v>
      </c>
      <c r="AM613">
        <f t="shared" si="369"/>
        <v>6.15</v>
      </c>
      <c r="BW613" s="138"/>
      <c r="BX613">
        <f t="shared" si="373"/>
        <v>-1.1346171485515821</v>
      </c>
      <c r="BY613">
        <f t="shared" si="373"/>
        <v>-1.1346171485515821</v>
      </c>
      <c r="CC613">
        <f t="shared" si="371"/>
        <v>-1.1346171485515821</v>
      </c>
      <c r="DG613" s="138"/>
      <c r="EY613" s="479">
        <f>VLOOKUP(B613,Literatuur!$A:$B,2,FALSE)</f>
        <v>29</v>
      </c>
      <c r="EZ613" t="str">
        <f t="shared" si="355"/>
        <v>PCB 55</v>
      </c>
      <c r="FA613" t="str">
        <f t="shared" si="356"/>
        <v>PCB</v>
      </c>
      <c r="FB613" t="str">
        <f t="shared" si="357"/>
        <v>LDPE</v>
      </c>
      <c r="FC613" t="str">
        <f t="shared" si="358"/>
        <v>Immersion (shaking)</v>
      </c>
      <c r="FD613">
        <f t="shared" si="359"/>
        <v>293</v>
      </c>
      <c r="FE613" t="str">
        <f t="shared" si="360"/>
        <v>water</v>
      </c>
      <c r="FF613" t="str">
        <f t="shared" si="361"/>
        <v xml:space="preserve"> </v>
      </c>
      <c r="FG613" s="408" t="str">
        <f t="shared" si="354"/>
        <v/>
      </c>
      <c r="FH613" s="138">
        <f t="shared" si="362"/>
        <v>5.8</v>
      </c>
      <c r="FI613" s="106">
        <f t="shared" si="374"/>
        <v>5.8409096234463629</v>
      </c>
      <c r="FJ613" s="138" t="str">
        <f t="shared" si="363"/>
        <v/>
      </c>
      <c r="FK613" s="138" t="str">
        <f t="shared" si="372"/>
        <v>**</v>
      </c>
    </row>
    <row r="614" spans="1:167" ht="12.75" hidden="1" customHeight="1" x14ac:dyDescent="0.2">
      <c r="A614">
        <v>579</v>
      </c>
      <c r="B614" t="s">
        <v>1595</v>
      </c>
      <c r="C614" s="4"/>
      <c r="D614" s="4" t="s">
        <v>991</v>
      </c>
      <c r="E614" s="4">
        <v>-1598</v>
      </c>
      <c r="F614" t="str">
        <f>VLOOKUP(E614,CompDbase!B:L,4,FALSE)</f>
        <v>PCB #56</v>
      </c>
      <c r="G614" s="95" t="str">
        <f>VLOOKUP(E614,CompDbase!B:M,12,FALSE)</f>
        <v>PCB</v>
      </c>
      <c r="H614" s="95">
        <f>VLOOKUP(E614,CompDbase!B:L,8,FALSE)</f>
        <v>292</v>
      </c>
      <c r="I614" s="95">
        <f>VLOOKUP(E614,CompDbase!B:L,11,FALSE)</f>
        <v>198.35</v>
      </c>
      <c r="J614" s="95">
        <f>VLOOKUP(E614,CompDbase!B:L,9,FALSE)</f>
        <v>7.3347083800079663E-2</v>
      </c>
      <c r="K614" s="95">
        <f>VLOOKUP(E614,CompDbase!B:L,10,FALSE)</f>
        <v>6.1366666666666667</v>
      </c>
      <c r="L614" s="4" t="s">
        <v>769</v>
      </c>
      <c r="M614" s="426">
        <v>900000</v>
      </c>
      <c r="N614" s="426"/>
      <c r="O614" s="4" t="s">
        <v>1985</v>
      </c>
      <c r="P614">
        <f t="shared" si="365"/>
        <v>293</v>
      </c>
      <c r="Q614" s="4" t="s">
        <v>1049</v>
      </c>
      <c r="S614" s="4"/>
      <c r="T614" s="95"/>
      <c r="W614" s="199">
        <f t="shared" si="366"/>
        <v>794328.23472428333</v>
      </c>
      <c r="X614">
        <v>5.9</v>
      </c>
      <c r="AC614" t="s">
        <v>68</v>
      </c>
      <c r="AG614" s="138">
        <f t="shared" si="367"/>
        <v>5.9</v>
      </c>
      <c r="AH614">
        <f t="shared" si="368"/>
        <v>6.1366666666666667</v>
      </c>
      <c r="AI614">
        <f t="shared" si="368"/>
        <v>6.1366666666666667</v>
      </c>
      <c r="AM614">
        <f t="shared" si="369"/>
        <v>6.1366666666666667</v>
      </c>
      <c r="BW614" s="138"/>
      <c r="BX614">
        <f t="shared" si="373"/>
        <v>-1.1346171485515821</v>
      </c>
      <c r="BY614">
        <f t="shared" si="373"/>
        <v>-1.1346171485515821</v>
      </c>
      <c r="CC614">
        <f t="shared" si="371"/>
        <v>-1.1346171485515821</v>
      </c>
      <c r="DG614" s="138"/>
      <c r="EY614" s="479">
        <f>VLOOKUP(B614,Literatuur!$A:$B,2,FALSE)</f>
        <v>29</v>
      </c>
      <c r="EZ614" t="str">
        <f t="shared" si="355"/>
        <v>PCB 56</v>
      </c>
      <c r="FA614" t="str">
        <f t="shared" si="356"/>
        <v>PCB</v>
      </c>
      <c r="FB614" t="str">
        <f t="shared" si="357"/>
        <v>LDPE</v>
      </c>
      <c r="FC614" t="str">
        <f t="shared" si="358"/>
        <v>Immersion (shaking)</v>
      </c>
      <c r="FD614">
        <f t="shared" si="359"/>
        <v>293</v>
      </c>
      <c r="FE614" t="str">
        <f t="shared" si="360"/>
        <v>water</v>
      </c>
      <c r="FF614" t="str">
        <f t="shared" si="361"/>
        <v xml:space="preserve"> </v>
      </c>
      <c r="FG614" s="408" t="str">
        <f t="shared" si="354"/>
        <v/>
      </c>
      <c r="FH614" s="138">
        <f t="shared" si="362"/>
        <v>5.9</v>
      </c>
      <c r="FI614" s="106">
        <f t="shared" si="374"/>
        <v>5.8267943327539493</v>
      </c>
      <c r="FJ614" s="138" t="str">
        <f t="shared" si="363"/>
        <v/>
      </c>
      <c r="FK614" s="138" t="str">
        <f t="shared" si="372"/>
        <v>**</v>
      </c>
    </row>
    <row r="615" spans="1:167" ht="12.75" hidden="1" customHeight="1" x14ac:dyDescent="0.2">
      <c r="A615">
        <v>580</v>
      </c>
      <c r="B615" t="s">
        <v>1595</v>
      </c>
      <c r="C615" s="4"/>
      <c r="D615" s="4" t="s">
        <v>992</v>
      </c>
      <c r="E615" s="4">
        <v>-1717</v>
      </c>
      <c r="F615" t="str">
        <f>VLOOKUP(E615,CompDbase!B:L,4,FALSE)</f>
        <v>PCB 66</v>
      </c>
      <c r="G615" s="95" t="str">
        <f>VLOOKUP(E615,CompDbase!B:M,12,FALSE)</f>
        <v>PCB</v>
      </c>
      <c r="H615" s="95">
        <f>VLOOKUP(E615,CompDbase!B:L,8,FALSE)</f>
        <v>292</v>
      </c>
      <c r="I615" s="95" t="e">
        <f>VLOOKUP(E615,CompDbase!B:L,11,FALSE)</f>
        <v>#DIV/0!</v>
      </c>
      <c r="J615" s="95">
        <f>VLOOKUP(E615,CompDbase!B:L,9,FALSE)</f>
        <v>5.8261659597091175E-2</v>
      </c>
      <c r="K615" s="95">
        <f>VLOOKUP(E615,CompDbase!B:L,10,FALSE)</f>
        <v>6.25</v>
      </c>
      <c r="L615" s="4" t="s">
        <v>769</v>
      </c>
      <c r="M615" s="426">
        <v>900000</v>
      </c>
      <c r="N615" s="426"/>
      <c r="O615" s="4" t="s">
        <v>1985</v>
      </c>
      <c r="P615">
        <f t="shared" si="365"/>
        <v>293</v>
      </c>
      <c r="Q615" s="4" t="s">
        <v>1049</v>
      </c>
      <c r="S615" s="4"/>
      <c r="T615" s="95"/>
      <c r="W615" s="199">
        <f t="shared" si="366"/>
        <v>1000000</v>
      </c>
      <c r="X615">
        <v>6</v>
      </c>
      <c r="AC615" t="s">
        <v>68</v>
      </c>
      <c r="AG615" s="138">
        <f t="shared" si="367"/>
        <v>6</v>
      </c>
      <c r="AH615">
        <f t="shared" si="368"/>
        <v>6.25</v>
      </c>
      <c r="AI615">
        <f t="shared" si="368"/>
        <v>6.25</v>
      </c>
      <c r="AM615">
        <f t="shared" si="369"/>
        <v>6.25</v>
      </c>
      <c r="BW615" s="138"/>
      <c r="BX615">
        <f t="shared" si="373"/>
        <v>-1.2346171485515824</v>
      </c>
      <c r="BY615">
        <f t="shared" si="373"/>
        <v>-1.2346171485515824</v>
      </c>
      <c r="CC615">
        <f t="shared" si="371"/>
        <v>-1.2346171485515824</v>
      </c>
      <c r="DG615" s="138"/>
      <c r="EY615" s="479">
        <f>VLOOKUP(B615,Literatuur!$A:$B,2,FALSE)</f>
        <v>29</v>
      </c>
      <c r="EZ615" t="str">
        <f t="shared" si="355"/>
        <v>PCB 66</v>
      </c>
      <c r="FA615" t="str">
        <f t="shared" si="356"/>
        <v>PCB</v>
      </c>
      <c r="FB615" t="str">
        <f t="shared" si="357"/>
        <v>LDPE</v>
      </c>
      <c r="FC615" t="str">
        <f t="shared" si="358"/>
        <v>Immersion (shaking)</v>
      </c>
      <c r="FD615">
        <f t="shared" si="359"/>
        <v>293</v>
      </c>
      <c r="FE615" t="str">
        <f t="shared" si="360"/>
        <v>water</v>
      </c>
      <c r="FF615" t="str">
        <f t="shared" si="361"/>
        <v xml:space="preserve"> </v>
      </c>
      <c r="FG615" s="408" t="str">
        <f t="shared" si="354"/>
        <v/>
      </c>
      <c r="FH615" s="138">
        <f t="shared" si="362"/>
        <v>6</v>
      </c>
      <c r="FI615" s="106">
        <f t="shared" si="374"/>
        <v>5.9467743036394634</v>
      </c>
      <c r="FJ615" s="138" t="str">
        <f t="shared" si="363"/>
        <v/>
      </c>
      <c r="FK615" s="138" t="str">
        <f t="shared" si="372"/>
        <v>**</v>
      </c>
    </row>
    <row r="616" spans="1:167" ht="12.75" hidden="1" customHeight="1" x14ac:dyDescent="0.2">
      <c r="A616">
        <v>581</v>
      </c>
      <c r="B616" t="s">
        <v>1595</v>
      </c>
      <c r="C616" s="4"/>
      <c r="D616" s="4" t="s">
        <v>994</v>
      </c>
      <c r="E616" s="4">
        <v>-1719</v>
      </c>
      <c r="F616" t="str">
        <f>VLOOKUP(E616,CompDbase!B:L,4,FALSE)</f>
        <v>PCB 78</v>
      </c>
      <c r="G616" s="95" t="str">
        <f>VLOOKUP(E616,CompDbase!B:M,12,FALSE)</f>
        <v>PCB</v>
      </c>
      <c r="H616" s="95">
        <f>VLOOKUP(E616,CompDbase!B:L,8,FALSE)</f>
        <v>292</v>
      </c>
      <c r="I616" s="95">
        <f>VLOOKUP(E616,CompDbase!B:L,11,FALSE)</f>
        <v>326.39999999999998</v>
      </c>
      <c r="J616" s="95">
        <f>VLOOKUP(E616,CompDbase!B:L,9,FALSE)</f>
        <v>3.6760622024389684E-2</v>
      </c>
      <c r="K616" s="95">
        <f>VLOOKUP(E616,CompDbase!B:L,10,FALSE)</f>
        <v>6.4</v>
      </c>
      <c r="L616" s="4" t="s">
        <v>769</v>
      </c>
      <c r="M616" s="426">
        <v>900000</v>
      </c>
      <c r="N616" s="426"/>
      <c r="O616" s="4" t="s">
        <v>1985</v>
      </c>
      <c r="P616">
        <f t="shared" si="365"/>
        <v>293</v>
      </c>
      <c r="Q616" s="4" t="s">
        <v>1049</v>
      </c>
      <c r="S616" s="4"/>
      <c r="T616" s="95"/>
      <c r="W616" s="199">
        <f t="shared" si="366"/>
        <v>1000000</v>
      </c>
      <c r="X616">
        <v>6</v>
      </c>
      <c r="AC616" t="s">
        <v>68</v>
      </c>
      <c r="AG616" s="138">
        <f t="shared" si="367"/>
        <v>6</v>
      </c>
      <c r="AH616">
        <f t="shared" si="368"/>
        <v>6.4</v>
      </c>
      <c r="AI616">
        <f t="shared" si="368"/>
        <v>6.4</v>
      </c>
      <c r="AM616">
        <f t="shared" si="369"/>
        <v>6.4</v>
      </c>
      <c r="BW616" s="138"/>
      <c r="BX616">
        <f t="shared" si="373"/>
        <v>-1.4346171485515817</v>
      </c>
      <c r="BY616">
        <f t="shared" si="373"/>
        <v>-1.4346171485515817</v>
      </c>
      <c r="CC616">
        <f t="shared" si="371"/>
        <v>-1.4346171485515817</v>
      </c>
      <c r="DG616" s="138"/>
      <c r="EY616" s="479">
        <f>VLOOKUP(B616,Literatuur!$A:$B,2,FALSE)</f>
        <v>29</v>
      </c>
      <c r="EZ616" t="str">
        <f t="shared" si="355"/>
        <v>PCB 78</v>
      </c>
      <c r="FA616" t="str">
        <f t="shared" si="356"/>
        <v>PCB</v>
      </c>
      <c r="FB616" t="str">
        <f t="shared" si="357"/>
        <v>LDPE</v>
      </c>
      <c r="FC616" t="str">
        <f t="shared" si="358"/>
        <v>Immersion (shaking)</v>
      </c>
      <c r="FD616">
        <f t="shared" si="359"/>
        <v>293</v>
      </c>
      <c r="FE616" t="str">
        <f t="shared" si="360"/>
        <v>water</v>
      </c>
      <c r="FF616" t="str">
        <f t="shared" si="361"/>
        <v xml:space="preserve"> </v>
      </c>
      <c r="FG616" s="408" t="str">
        <f t="shared" si="354"/>
        <v/>
      </c>
      <c r="FH616" s="138">
        <f t="shared" si="362"/>
        <v>6</v>
      </c>
      <c r="FI616" s="106">
        <f t="shared" si="374"/>
        <v>6.1055713239291149</v>
      </c>
      <c r="FJ616" s="138" t="str">
        <f t="shared" si="363"/>
        <v/>
      </c>
      <c r="FK616" s="138" t="str">
        <f t="shared" si="372"/>
        <v>**</v>
      </c>
    </row>
    <row r="617" spans="1:167" ht="12.75" hidden="1" customHeight="1" x14ac:dyDescent="0.2">
      <c r="A617">
        <v>582</v>
      </c>
      <c r="B617" t="s">
        <v>1595</v>
      </c>
      <c r="C617" s="4"/>
      <c r="D617" s="4" t="s">
        <v>995</v>
      </c>
      <c r="E617" s="4">
        <v>-1609</v>
      </c>
      <c r="F617" t="str">
        <f>VLOOKUP(E617,CompDbase!B:L,4,FALSE)</f>
        <v>PCB #85</v>
      </c>
      <c r="G617" s="95" t="str">
        <f>VLOOKUP(E617,CompDbase!B:M,12,FALSE)</f>
        <v>PCB</v>
      </c>
      <c r="H617" s="95">
        <f>VLOOKUP(E617,CompDbase!B:L,8,FALSE)</f>
        <v>326.39999999999998</v>
      </c>
      <c r="I617" s="95">
        <f>VLOOKUP(E617,CompDbase!B:L,11,FALSE)</f>
        <v>211.85</v>
      </c>
      <c r="J617" s="95">
        <f>VLOOKUP(E617,CompDbase!B:L,9,FALSE)</f>
        <v>5.1730913801930692E-2</v>
      </c>
      <c r="K617" s="95">
        <f>VLOOKUP(E617,CompDbase!B:L,10,FALSE)</f>
        <v>6.333333333333333</v>
      </c>
      <c r="L617" s="4" t="s">
        <v>769</v>
      </c>
      <c r="M617" s="426">
        <v>900000</v>
      </c>
      <c r="N617" s="426"/>
      <c r="O617" s="4" t="s">
        <v>1985</v>
      </c>
      <c r="P617">
        <f t="shared" si="365"/>
        <v>293</v>
      </c>
      <c r="Q617" s="4" t="s">
        <v>1049</v>
      </c>
      <c r="S617" s="4"/>
      <c r="T617" s="95"/>
      <c r="W617" s="199">
        <f t="shared" si="366"/>
        <v>1258925.4117941677</v>
      </c>
      <c r="X617">
        <v>6.1</v>
      </c>
      <c r="AC617" t="s">
        <v>68</v>
      </c>
      <c r="AG617" s="138">
        <f t="shared" si="367"/>
        <v>6.1</v>
      </c>
      <c r="AH617">
        <f t="shared" si="368"/>
        <v>6.333333333333333</v>
      </c>
      <c r="AI617">
        <f t="shared" si="368"/>
        <v>6.333333333333333</v>
      </c>
      <c r="AM617">
        <f t="shared" si="369"/>
        <v>6.333333333333333</v>
      </c>
      <c r="BW617" s="138"/>
      <c r="BX617">
        <f t="shared" si="373"/>
        <v>-1.2862498499181769</v>
      </c>
      <c r="BY617">
        <f t="shared" si="373"/>
        <v>-1.2862498499181769</v>
      </c>
      <c r="CC617">
        <f t="shared" si="371"/>
        <v>-1.2862498499181769</v>
      </c>
      <c r="DG617" s="138"/>
      <c r="EY617" s="479">
        <f>VLOOKUP(B617,Literatuur!$A:$B,2,FALSE)</f>
        <v>29</v>
      </c>
      <c r="EZ617" t="str">
        <f t="shared" si="355"/>
        <v>PCB 85</v>
      </c>
      <c r="FA617" t="str">
        <f t="shared" si="356"/>
        <v>PCB</v>
      </c>
      <c r="FB617" t="str">
        <f t="shared" si="357"/>
        <v>LDPE</v>
      </c>
      <c r="FC617" t="str">
        <f t="shared" si="358"/>
        <v>Immersion (shaking)</v>
      </c>
      <c r="FD617">
        <f t="shared" si="359"/>
        <v>293</v>
      </c>
      <c r="FE617" t="str">
        <f t="shared" si="360"/>
        <v>water</v>
      </c>
      <c r="FF617" t="str">
        <f t="shared" si="361"/>
        <v xml:space="preserve"> </v>
      </c>
      <c r="FG617" s="408" t="str">
        <f t="shared" si="354"/>
        <v/>
      </c>
      <c r="FH617" s="138">
        <f t="shared" si="362"/>
        <v>6.1</v>
      </c>
      <c r="FI617" s="106">
        <f t="shared" si="374"/>
        <v>6.0349948704670471</v>
      </c>
      <c r="FJ617" s="138" t="str">
        <f t="shared" si="363"/>
        <v/>
      </c>
      <c r="FK617" s="138" t="str">
        <f t="shared" si="372"/>
        <v>**</v>
      </c>
    </row>
    <row r="618" spans="1:167" ht="12.75" hidden="1" customHeight="1" x14ac:dyDescent="0.2">
      <c r="A618">
        <v>583</v>
      </c>
      <c r="B618" t="s">
        <v>1595</v>
      </c>
      <c r="C618" s="4"/>
      <c r="D618" s="4" t="s">
        <v>996</v>
      </c>
      <c r="E618" s="4">
        <v>-1610</v>
      </c>
      <c r="F618" t="str">
        <f>VLOOKUP(E618,CompDbase!B:L,4,FALSE)</f>
        <v>PCB #87</v>
      </c>
      <c r="G618" s="95" t="str">
        <f>VLOOKUP(E618,CompDbase!B:M,12,FALSE)</f>
        <v>PCB</v>
      </c>
      <c r="H618" s="95">
        <f>VLOOKUP(E618,CompDbase!B:L,8,FALSE)</f>
        <v>326.39999999999998</v>
      </c>
      <c r="I618" s="95">
        <f>VLOOKUP(E618,CompDbase!B:L,11,FALSE)</f>
        <v>211.7</v>
      </c>
      <c r="J618" s="95">
        <f>VLOOKUP(E618,CompDbase!B:L,9,FALSE)</f>
        <v>5.1730913801930692E-2</v>
      </c>
      <c r="K618" s="95">
        <f>VLOOKUP(E618,CompDbase!B:L,10,FALSE)</f>
        <v>6.3299999999999992</v>
      </c>
      <c r="L618" s="4" t="s">
        <v>769</v>
      </c>
      <c r="M618" s="426">
        <v>900000</v>
      </c>
      <c r="N618" s="426"/>
      <c r="O618" s="4" t="s">
        <v>1985</v>
      </c>
      <c r="P618">
        <f t="shared" si="365"/>
        <v>293</v>
      </c>
      <c r="Q618" s="4" t="s">
        <v>1049</v>
      </c>
      <c r="S618" s="4"/>
      <c r="T618" s="95"/>
      <c r="W618" s="199">
        <f t="shared" si="366"/>
        <v>1584893.1924611153</v>
      </c>
      <c r="X618">
        <v>6.2</v>
      </c>
      <c r="AC618" t="s">
        <v>68</v>
      </c>
      <c r="AG618" s="138">
        <f t="shared" si="367"/>
        <v>6.2</v>
      </c>
      <c r="AH618">
        <f t="shared" si="368"/>
        <v>6.3299999999999992</v>
      </c>
      <c r="AI618">
        <f t="shared" si="368"/>
        <v>6.3299999999999992</v>
      </c>
      <c r="AM618">
        <f t="shared" si="369"/>
        <v>6.3299999999999992</v>
      </c>
      <c r="BW618" s="138"/>
      <c r="BX618">
        <f t="shared" si="373"/>
        <v>-1.2862498499181769</v>
      </c>
      <c r="BY618">
        <f t="shared" si="373"/>
        <v>-1.2862498499181769</v>
      </c>
      <c r="CC618">
        <f t="shared" si="371"/>
        <v>-1.2862498499181769</v>
      </c>
      <c r="DG618" s="138"/>
      <c r="EY618" s="479">
        <f>VLOOKUP(B618,Literatuur!$A:$B,2,FALSE)</f>
        <v>29</v>
      </c>
      <c r="EZ618" t="str">
        <f t="shared" si="355"/>
        <v>PCB 87</v>
      </c>
      <c r="FA618" t="str">
        <f t="shared" si="356"/>
        <v>PCB</v>
      </c>
      <c r="FB618" t="str">
        <f t="shared" si="357"/>
        <v>LDPE</v>
      </c>
      <c r="FC618" t="str">
        <f t="shared" si="358"/>
        <v>Immersion (shaking)</v>
      </c>
      <c r="FD618">
        <f t="shared" si="359"/>
        <v>293</v>
      </c>
      <c r="FE618" t="str">
        <f t="shared" si="360"/>
        <v>water</v>
      </c>
      <c r="FF618" t="str">
        <f t="shared" si="361"/>
        <v xml:space="preserve"> </v>
      </c>
      <c r="FG618" s="408" t="str">
        <f t="shared" si="354"/>
        <v/>
      </c>
      <c r="FH618" s="138">
        <f t="shared" si="362"/>
        <v>6.2</v>
      </c>
      <c r="FI618" s="106">
        <f t="shared" si="374"/>
        <v>6.031466047793943</v>
      </c>
      <c r="FJ618" s="138" t="str">
        <f t="shared" si="363"/>
        <v/>
      </c>
      <c r="FK618" s="138" t="str">
        <f t="shared" si="372"/>
        <v>**</v>
      </c>
    </row>
    <row r="619" spans="1:167" ht="12.75" hidden="1" customHeight="1" x14ac:dyDescent="0.2">
      <c r="A619">
        <v>584</v>
      </c>
      <c r="B619" t="s">
        <v>1595</v>
      </c>
      <c r="C619" s="4"/>
      <c r="D619" s="4" t="s">
        <v>997</v>
      </c>
      <c r="E619" s="4">
        <v>-1613</v>
      </c>
      <c r="F619" t="str">
        <f>VLOOKUP(E619,CompDbase!B:L,4,FALSE)</f>
        <v>PCB #97</v>
      </c>
      <c r="G619" s="95" t="str">
        <f>VLOOKUP(E619,CompDbase!B:M,12,FALSE)</f>
        <v>PCB</v>
      </c>
      <c r="H619" s="95">
        <f>VLOOKUP(E619,CompDbase!B:L,8,FALSE)</f>
        <v>326.39999999999998</v>
      </c>
      <c r="I619" s="95">
        <f>VLOOKUP(E619,CompDbase!B:L,11,FALSE)</f>
        <v>211.45</v>
      </c>
      <c r="J619" s="95">
        <f>VLOOKUP(E619,CompDbase!B:L,9,FALSE)</f>
        <v>5.1730913801930692E-2</v>
      </c>
      <c r="K619" s="95">
        <f>VLOOKUP(E619,CompDbase!B:L,10,FALSE)</f>
        <v>6.3299999999999992</v>
      </c>
      <c r="L619" s="4" t="s">
        <v>769</v>
      </c>
      <c r="M619" s="426">
        <v>900000</v>
      </c>
      <c r="N619" s="426"/>
      <c r="O619" s="4" t="s">
        <v>1985</v>
      </c>
      <c r="P619">
        <f t="shared" si="365"/>
        <v>293</v>
      </c>
      <c r="Q619" s="4" t="s">
        <v>1049</v>
      </c>
      <c r="S619" s="4"/>
      <c r="T619" s="95"/>
      <c r="W619" s="199">
        <f t="shared" si="366"/>
        <v>1258925.4117941677</v>
      </c>
      <c r="X619">
        <v>6.1</v>
      </c>
      <c r="AC619" t="s">
        <v>68</v>
      </c>
      <c r="AG619" s="138">
        <f t="shared" si="367"/>
        <v>6.1</v>
      </c>
      <c r="AH619">
        <f t="shared" si="368"/>
        <v>6.3299999999999992</v>
      </c>
      <c r="AI619">
        <f t="shared" si="368"/>
        <v>6.3299999999999992</v>
      </c>
      <c r="AM619">
        <f t="shared" si="369"/>
        <v>6.3299999999999992</v>
      </c>
      <c r="BW619" s="138"/>
      <c r="BX619">
        <f t="shared" si="373"/>
        <v>-1.2862498499181769</v>
      </c>
      <c r="BY619">
        <f t="shared" si="373"/>
        <v>-1.2862498499181769</v>
      </c>
      <c r="CC619">
        <f t="shared" si="371"/>
        <v>-1.2862498499181769</v>
      </c>
      <c r="DG619" s="138"/>
      <c r="EY619" s="479">
        <f>VLOOKUP(B619,Literatuur!$A:$B,2,FALSE)</f>
        <v>29</v>
      </c>
      <c r="EZ619" t="str">
        <f t="shared" si="355"/>
        <v>PCB 97</v>
      </c>
      <c r="FA619" t="str">
        <f t="shared" si="356"/>
        <v>PCB</v>
      </c>
      <c r="FB619" t="str">
        <f t="shared" si="357"/>
        <v>LDPE</v>
      </c>
      <c r="FC619" t="str">
        <f t="shared" si="358"/>
        <v>Immersion (shaking)</v>
      </c>
      <c r="FD619">
        <f t="shared" si="359"/>
        <v>293</v>
      </c>
      <c r="FE619" t="str">
        <f t="shared" si="360"/>
        <v>water</v>
      </c>
      <c r="FF619" t="str">
        <f t="shared" si="361"/>
        <v xml:space="preserve"> </v>
      </c>
      <c r="FG619" s="408" t="str">
        <f t="shared" si="354"/>
        <v/>
      </c>
      <c r="FH619" s="138">
        <f t="shared" si="362"/>
        <v>6.1</v>
      </c>
      <c r="FI619" s="106">
        <f t="shared" si="374"/>
        <v>6.031466047793943</v>
      </c>
      <c r="FJ619" s="138" t="str">
        <f t="shared" si="363"/>
        <v/>
      </c>
      <c r="FK619" s="138" t="str">
        <f t="shared" si="372"/>
        <v>**</v>
      </c>
    </row>
    <row r="620" spans="1:167" ht="12.75" hidden="1" customHeight="1" x14ac:dyDescent="0.2">
      <c r="A620">
        <v>585</v>
      </c>
      <c r="B620" s="4" t="s">
        <v>1938</v>
      </c>
      <c r="C620" s="4"/>
      <c r="D620" s="4" t="s">
        <v>509</v>
      </c>
      <c r="E620" s="4">
        <v>-1302</v>
      </c>
      <c r="F620" t="str">
        <f>VLOOKUP(E620,CompDbase!B:L,4,FALSE)</f>
        <v>Cyclohexane</v>
      </c>
      <c r="G620" s="95" t="str">
        <f>VLOOKUP(E620,CompDbase!B:M,12,FALSE)</f>
        <v>Alk</v>
      </c>
      <c r="H620" s="95">
        <f>VLOOKUP(E620,CompDbase!B:L,8,FALSE)</f>
        <v>84.16</v>
      </c>
      <c r="I620" s="95">
        <f>VLOOKUP(E620,CompDbase!B:L,11,FALSE)</f>
        <v>104.7</v>
      </c>
      <c r="J620" s="95">
        <f>VLOOKUP(E620,CompDbase!B:L,9,FALSE)</f>
        <v>49</v>
      </c>
      <c r="K620" s="95">
        <f>VLOOKUP(E620,CompDbase!B:L,10,FALSE)</f>
        <v>3.48</v>
      </c>
      <c r="L620" s="4" t="s">
        <v>717</v>
      </c>
      <c r="M620" s="423"/>
      <c r="N620" s="423">
        <v>948000</v>
      </c>
      <c r="O620" s="4" t="s">
        <v>1941</v>
      </c>
      <c r="P620">
        <v>298</v>
      </c>
      <c r="Q620" s="4" t="s">
        <v>1049</v>
      </c>
      <c r="R620" s="289" t="s">
        <v>1988</v>
      </c>
      <c r="S620" s="4"/>
      <c r="T620" s="95">
        <v>1</v>
      </c>
      <c r="Y620">
        <v>1.6E-12</v>
      </c>
      <c r="Z620" s="95">
        <f t="shared" ref="Z620:Z643" si="375">LOG(Y620)</f>
        <v>-11.795880017344075</v>
      </c>
      <c r="AG620" s="138"/>
      <c r="BW620" s="138"/>
      <c r="DG620">
        <f t="shared" ref="DG620:DG643" si="376">Z620</f>
        <v>-11.795880017344075</v>
      </c>
      <c r="DH620">
        <f t="shared" ref="DH620:DJ643" si="377">$H620</f>
        <v>84.16</v>
      </c>
      <c r="DJ620">
        <f t="shared" si="377"/>
        <v>84.16</v>
      </c>
      <c r="EY620" s="479">
        <f>VLOOKUP(B620,Literatuur!$A:$B,2,FALSE)</f>
        <v>3</v>
      </c>
      <c r="EZ620" t="str">
        <f t="shared" si="355"/>
        <v>Cyclohexanone</v>
      </c>
      <c r="FA620" t="str">
        <f t="shared" si="356"/>
        <v>Alk</v>
      </c>
      <c r="FB620" t="str">
        <f t="shared" si="357"/>
        <v>HDPE</v>
      </c>
      <c r="FC620" t="str">
        <f t="shared" si="358"/>
        <v>DeSorption to air</v>
      </c>
      <c r="FD620">
        <f t="shared" si="359"/>
        <v>298</v>
      </c>
      <c r="FE620" t="str">
        <f t="shared" si="360"/>
        <v>water</v>
      </c>
      <c r="FF620" t="str">
        <f t="shared" si="361"/>
        <v xml:space="preserve">saturated </v>
      </c>
      <c r="FG620" s="408">
        <f t="shared" si="354"/>
        <v>1</v>
      </c>
      <c r="FH620" s="138" t="str">
        <f t="shared" si="362"/>
        <v/>
      </c>
      <c r="FI620" s="106" t="str">
        <f t="shared" ref="FI620:FI622" si="378">IF(ISNUMBER(AL620),AL620*AL$33+AL$35,IF(ISNUMBER(AM620),AM620*AM$33+AM$35,IF(ISNUMBER(AN620),AN620*AN$33+AN$35,"**")))</f>
        <v>**</v>
      </c>
      <c r="FJ620" s="138">
        <f t="shared" si="363"/>
        <v>-11.795880017344075</v>
      </c>
      <c r="FK620" s="138" t="str">
        <f t="shared" ref="FK620:FK683" si="379">IF(ISNUMBER(DM620),DM620*DP$33+DP$35,IF(ISNUMBER(DN620),DN620*DP$33+DP$35,IF(ISNUMBER(DO620),DO620*DP$33+DP$35,"**")))</f>
        <v>**</v>
      </c>
    </row>
    <row r="621" spans="1:167" ht="12.75" hidden="1" customHeight="1" x14ac:dyDescent="0.2">
      <c r="A621">
        <v>586</v>
      </c>
      <c r="B621" s="4" t="s">
        <v>1938</v>
      </c>
      <c r="C621" s="4"/>
      <c r="D621" s="4" t="s">
        <v>509</v>
      </c>
      <c r="E621" s="4">
        <v>-1302</v>
      </c>
      <c r="F621" t="str">
        <f>VLOOKUP(E621,CompDbase!B:L,4,FALSE)</f>
        <v>Cyclohexane</v>
      </c>
      <c r="G621" s="95" t="str">
        <f>VLOOKUP(E621,CompDbase!B:M,12,FALSE)</f>
        <v>Alk</v>
      </c>
      <c r="H621" s="95">
        <f>VLOOKUP(E621,CompDbase!B:L,8,FALSE)</f>
        <v>84.16</v>
      </c>
      <c r="I621" s="95">
        <f>VLOOKUP(E621,CompDbase!B:L,11,FALSE)</f>
        <v>104.7</v>
      </c>
      <c r="J621" s="95">
        <f>VLOOKUP(E621,CompDbase!B:L,9,FALSE)</f>
        <v>49</v>
      </c>
      <c r="K621" s="95">
        <f>VLOOKUP(E621,CompDbase!B:L,10,FALSE)</f>
        <v>3.48</v>
      </c>
      <c r="L621" s="4" t="s">
        <v>717</v>
      </c>
      <c r="M621" s="423">
        <v>948000</v>
      </c>
      <c r="N621" s="423"/>
      <c r="O621" s="4" t="s">
        <v>1044</v>
      </c>
      <c r="P621">
        <v>298</v>
      </c>
      <c r="Q621" s="4" t="s">
        <v>1049</v>
      </c>
      <c r="R621" s="289" t="s">
        <v>1988</v>
      </c>
      <c r="S621" s="4"/>
      <c r="T621" s="289">
        <v>1</v>
      </c>
      <c r="V621">
        <v>0.01</v>
      </c>
      <c r="W621" s="95">
        <f>V621*M621/J621</f>
        <v>193.46938775510205</v>
      </c>
      <c r="X621" s="95">
        <f>LOG(W621)</f>
        <v>2.2866122573095526</v>
      </c>
      <c r="Y621">
        <v>1.7E-12</v>
      </c>
      <c r="Z621" s="95">
        <f t="shared" si="375"/>
        <v>-11.769551078621726</v>
      </c>
      <c r="AA621" s="95">
        <f>W621*Y621</f>
        <v>3.2889795918367348E-10</v>
      </c>
      <c r="AB621" s="95">
        <f>LOG(AA621)</f>
        <v>-9.4829388213121728</v>
      </c>
      <c r="AC621" s="95" t="s">
        <v>68</v>
      </c>
      <c r="AD621" s="95"/>
      <c r="AG621" s="138">
        <f>X621</f>
        <v>2.2866122573095526</v>
      </c>
      <c r="AH621">
        <f>$K621</f>
        <v>3.48</v>
      </c>
      <c r="AI621">
        <f>$K621</f>
        <v>3.48</v>
      </c>
      <c r="AL621">
        <f t="shared" ref="AL621" si="380">$K621</f>
        <v>3.48</v>
      </c>
      <c r="AO621">
        <f t="shared" ref="AO621" si="381">$K621</f>
        <v>3.48</v>
      </c>
      <c r="BW621" s="138"/>
      <c r="BX621">
        <f>LOG(1*$J621)</f>
        <v>1.6901960800285136</v>
      </c>
      <c r="BY621">
        <f>LOG(1*$J621)</f>
        <v>1.6901960800285136</v>
      </c>
      <c r="CB621">
        <f>LOG(1*$J621)</f>
        <v>1.6901960800285136</v>
      </c>
      <c r="CE621">
        <f>LOG(1*$J621)</f>
        <v>1.6901960800285136</v>
      </c>
      <c r="DG621">
        <f t="shared" si="376"/>
        <v>-11.769551078621726</v>
      </c>
      <c r="DH621">
        <f t="shared" si="377"/>
        <v>84.16</v>
      </c>
      <c r="DI621">
        <f t="shared" si="377"/>
        <v>84.16</v>
      </c>
      <c r="EY621" s="479">
        <f>VLOOKUP(B621,Literatuur!$A:$B,2,FALSE)</f>
        <v>3</v>
      </c>
      <c r="EZ621" t="str">
        <f t="shared" si="355"/>
        <v>Cyclohexanone</v>
      </c>
      <c r="FA621" t="str">
        <f t="shared" si="356"/>
        <v>Alk</v>
      </c>
      <c r="FB621" t="str">
        <f t="shared" si="357"/>
        <v>HDPE</v>
      </c>
      <c r="FC621" t="str">
        <f t="shared" si="358"/>
        <v>Immersion</v>
      </c>
      <c r="FD621">
        <f t="shared" si="359"/>
        <v>298</v>
      </c>
      <c r="FE621" t="str">
        <f t="shared" si="360"/>
        <v>water</v>
      </c>
      <c r="FF621" t="str">
        <f t="shared" si="361"/>
        <v xml:space="preserve">saturated </v>
      </c>
      <c r="FG621" s="408">
        <f t="shared" si="354"/>
        <v>1</v>
      </c>
      <c r="FH621" s="138">
        <f t="shared" si="362"/>
        <v>2.2866122573095526</v>
      </c>
      <c r="FI621" s="106">
        <f t="shared" si="378"/>
        <v>2.6623527964474567</v>
      </c>
      <c r="FJ621" s="138">
        <f t="shared" si="363"/>
        <v>-11.769551078621726</v>
      </c>
      <c r="FK621" s="138" t="str">
        <f t="shared" si="379"/>
        <v>**</v>
      </c>
    </row>
    <row r="622" spans="1:167" ht="12.75" hidden="1" customHeight="1" x14ac:dyDescent="0.2">
      <c r="A622">
        <v>587</v>
      </c>
      <c r="B622" s="4" t="s">
        <v>1226</v>
      </c>
      <c r="C622" s="4"/>
      <c r="D622" s="4" t="s">
        <v>437</v>
      </c>
      <c r="E622">
        <v>-1502</v>
      </c>
      <c r="F622" t="str">
        <f>VLOOKUP(E622,CompDbase!B:L,4,FALSE)</f>
        <v>Allene</v>
      </c>
      <c r="G622" s="95" t="str">
        <f>VLOOKUP(E622,CompDbase!B:M,12,FALSE)</f>
        <v>Alk</v>
      </c>
      <c r="H622" s="95">
        <f>VLOOKUP(E622,CompDbase!B:L,8,FALSE)</f>
        <v>40.064999999999998</v>
      </c>
      <c r="I622" s="95" t="e">
        <f>VLOOKUP(E622,CompDbase!B:L,11,FALSE)</f>
        <v>#DIV/0!</v>
      </c>
      <c r="J622" s="95">
        <f>VLOOKUP(E622,CompDbase!B:L,9,FALSE)</f>
        <v>0</v>
      </c>
      <c r="K622" s="95">
        <f>VLOOKUP(E622,CompDbase!B:L,10,FALSE)</f>
        <v>1.45</v>
      </c>
      <c r="L622" s="4" t="s">
        <v>717</v>
      </c>
      <c r="O622" s="4"/>
      <c r="P622">
        <v>296</v>
      </c>
      <c r="Q622" s="4" t="s">
        <v>1049</v>
      </c>
      <c r="S622" s="4"/>
      <c r="Y622">
        <v>2.1800000000000004E-12</v>
      </c>
      <c r="Z622" s="95">
        <f t="shared" si="375"/>
        <v>-11.661543506395395</v>
      </c>
      <c r="AC622" t="s">
        <v>68</v>
      </c>
      <c r="AG622" s="138"/>
      <c r="BW622" s="138"/>
      <c r="DG622">
        <f t="shared" si="376"/>
        <v>-11.661543506395395</v>
      </c>
      <c r="DH622">
        <f t="shared" si="377"/>
        <v>40.064999999999998</v>
      </c>
      <c r="EY622" s="479">
        <f>VLOOKUP(B622,Literatuur!$A:$B,2,FALSE)</f>
        <v>12</v>
      </c>
      <c r="EZ622" t="str">
        <f t="shared" si="355"/>
        <v>Allene</v>
      </c>
      <c r="FA622" t="str">
        <f t="shared" si="356"/>
        <v>Alk</v>
      </c>
      <c r="FB622" t="str">
        <f t="shared" si="357"/>
        <v>HDPE</v>
      </c>
      <c r="FC622" t="str">
        <f t="shared" si="358"/>
        <v/>
      </c>
      <c r="FD622">
        <f t="shared" si="359"/>
        <v>296</v>
      </c>
      <c r="FE622" t="str">
        <f t="shared" si="360"/>
        <v>water</v>
      </c>
      <c r="FF622" t="str">
        <f t="shared" si="361"/>
        <v xml:space="preserve"> </v>
      </c>
      <c r="FG622" s="408" t="str">
        <f t="shared" si="354"/>
        <v/>
      </c>
      <c r="FH622" s="138" t="str">
        <f t="shared" si="362"/>
        <v/>
      </c>
      <c r="FI622" s="106" t="str">
        <f t="shared" si="378"/>
        <v>**</v>
      </c>
      <c r="FJ622" s="138">
        <f t="shared" si="363"/>
        <v>-11.661543506395395</v>
      </c>
      <c r="FK622" s="138" t="str">
        <f t="shared" si="379"/>
        <v>**</v>
      </c>
    </row>
    <row r="623" spans="1:167" ht="12.75" hidden="1" customHeight="1" x14ac:dyDescent="0.2">
      <c r="A623">
        <v>588</v>
      </c>
      <c r="B623" s="4" t="s">
        <v>1226</v>
      </c>
      <c r="C623" s="4"/>
      <c r="D623" s="4" t="s">
        <v>847</v>
      </c>
      <c r="E623">
        <v>-1508</v>
      </c>
      <c r="F623" t="str">
        <f>VLOOKUP(E623,CompDbase!B:L,4,FALSE)</f>
        <v>Butane</v>
      </c>
      <c r="G623" s="95" t="str">
        <f>VLOOKUP(E623,CompDbase!B:M,12,FALSE)</f>
        <v>Alk</v>
      </c>
      <c r="H623" s="95">
        <f>VLOOKUP(E623,CompDbase!B:L,8,FALSE)</f>
        <v>58.12</v>
      </c>
      <c r="I623" s="95" t="e">
        <f>VLOOKUP(E623,CompDbase!B:L,11,FALSE)</f>
        <v>#DIV/0!</v>
      </c>
      <c r="J623" s="95">
        <f>VLOOKUP(E623,CompDbase!B:L,9,FALSE)</f>
        <v>61</v>
      </c>
      <c r="K623" s="95">
        <f>VLOOKUP(E623,CompDbase!B:L,10,FALSE)</f>
        <v>2.89</v>
      </c>
      <c r="L623" s="4" t="s">
        <v>717</v>
      </c>
      <c r="M623" s="423"/>
      <c r="N623" s="423"/>
      <c r="O623" s="4"/>
      <c r="P623">
        <v>296</v>
      </c>
      <c r="Q623" s="4" t="s">
        <v>1049</v>
      </c>
      <c r="S623" s="4"/>
      <c r="Y623">
        <v>5.2000000000000001E-13</v>
      </c>
      <c r="Z623" s="95">
        <f t="shared" si="375"/>
        <v>-12.283996656365201</v>
      </c>
      <c r="AG623" s="138"/>
      <c r="BW623" s="138"/>
      <c r="DG623">
        <f t="shared" si="376"/>
        <v>-12.283996656365201</v>
      </c>
      <c r="DH623">
        <f t="shared" si="377"/>
        <v>58.12</v>
      </c>
      <c r="EY623" s="479">
        <f>VLOOKUP(B623,Literatuur!$A:$B,2,FALSE)</f>
        <v>12</v>
      </c>
      <c r="EZ623" t="str">
        <f t="shared" si="355"/>
        <v>Butane</v>
      </c>
      <c r="FA623" t="str">
        <f t="shared" si="356"/>
        <v>Alk</v>
      </c>
      <c r="FB623" t="str">
        <f t="shared" si="357"/>
        <v>HDPE</v>
      </c>
      <c r="FC623" t="str">
        <f t="shared" si="358"/>
        <v/>
      </c>
      <c r="FD623">
        <f t="shared" si="359"/>
        <v>296</v>
      </c>
      <c r="FE623" t="str">
        <f t="shared" si="360"/>
        <v>water</v>
      </c>
      <c r="FF623" t="str">
        <f t="shared" si="361"/>
        <v xml:space="preserve"> </v>
      </c>
      <c r="FG623" s="408" t="str">
        <f t="shared" ref="FG623:FG686" si="382">IF(ISNUMBER(T623),T623,"")</f>
        <v/>
      </c>
      <c r="FH623" s="138" t="str">
        <f t="shared" si="362"/>
        <v/>
      </c>
      <c r="FI623" s="106" t="str">
        <f t="shared" ref="FI623:FI686" si="383">IF(ISNUMBER(AL623),AL623*AL$33+AL$35,IF(ISNUMBER(AM623),AM623*AM$33+AM$35,IF(ISNUMBER(AN623),AN623*AN$33+AN$35,"**")))</f>
        <v>**</v>
      </c>
      <c r="FJ623" s="138">
        <f t="shared" si="363"/>
        <v>-12.283996656365201</v>
      </c>
      <c r="FK623" s="138" t="str">
        <f t="shared" si="379"/>
        <v>**</v>
      </c>
    </row>
    <row r="624" spans="1:167" ht="12.75" hidden="1" customHeight="1" x14ac:dyDescent="0.2">
      <c r="A624">
        <v>589</v>
      </c>
      <c r="B624" s="4" t="s">
        <v>1226</v>
      </c>
      <c r="C624" s="4"/>
      <c r="D624" s="4" t="s">
        <v>847</v>
      </c>
      <c r="E624">
        <v>-1508</v>
      </c>
      <c r="F624" t="str">
        <f>VLOOKUP(E624,CompDbase!B:L,4,FALSE)</f>
        <v>Butane</v>
      </c>
      <c r="G624" s="95" t="str">
        <f>VLOOKUP(E624,CompDbase!B:M,12,FALSE)</f>
        <v>Alk</v>
      </c>
      <c r="H624" s="95">
        <f>VLOOKUP(E624,CompDbase!B:L,8,FALSE)</f>
        <v>58.12</v>
      </c>
      <c r="I624" s="95" t="e">
        <f>VLOOKUP(E624,CompDbase!B:L,11,FALSE)</f>
        <v>#DIV/0!</v>
      </c>
      <c r="J624" s="95">
        <f>VLOOKUP(E624,CompDbase!B:L,9,FALSE)</f>
        <v>61</v>
      </c>
      <c r="K624" s="95">
        <f>VLOOKUP(E624,CompDbase!B:L,10,FALSE)</f>
        <v>2.89</v>
      </c>
      <c r="L624" s="4" t="s">
        <v>717</v>
      </c>
      <c r="O624" s="4"/>
      <c r="P624">
        <v>298</v>
      </c>
      <c r="Q624" s="4" t="s">
        <v>1049</v>
      </c>
      <c r="S624" s="4"/>
      <c r="Y624">
        <v>3.6000000000000008E-12</v>
      </c>
      <c r="Z624" s="95">
        <f t="shared" si="375"/>
        <v>-11.443697499232712</v>
      </c>
      <c r="AG624" s="138"/>
      <c r="BW624" s="138"/>
      <c r="DG624">
        <f t="shared" si="376"/>
        <v>-11.443697499232712</v>
      </c>
      <c r="DH624">
        <f t="shared" si="377"/>
        <v>58.12</v>
      </c>
      <c r="EY624" s="479">
        <f>VLOOKUP(B624,Literatuur!$A:$B,2,FALSE)</f>
        <v>12</v>
      </c>
      <c r="EZ624" t="str">
        <f t="shared" ref="EZ624:EZ687" si="384">D624</f>
        <v>Butane</v>
      </c>
      <c r="FA624" t="str">
        <f t="shared" ref="FA624:FA687" si="385">G624</f>
        <v>Alk</v>
      </c>
      <c r="FB624" t="str">
        <f t="shared" ref="FB624:FB687" si="386">L624</f>
        <v>HDPE</v>
      </c>
      <c r="FC624" t="str">
        <f t="shared" ref="FC624:FC687" si="387">CONCATENATE(O624)</f>
        <v/>
      </c>
      <c r="FD624">
        <f t="shared" ref="FD624:FD687" si="388">P624</f>
        <v>298</v>
      </c>
      <c r="FE624" t="str">
        <f t="shared" ref="FE624:FE687" si="389">Q624</f>
        <v>water</v>
      </c>
      <c r="FF624" t="str">
        <f t="shared" ref="FF624:FF687" si="390">CONCATENATE(R624," ",S624)</f>
        <v xml:space="preserve"> </v>
      </c>
      <c r="FG624" s="408" t="str">
        <f t="shared" si="382"/>
        <v/>
      </c>
      <c r="FH624" s="138" t="str">
        <f t="shared" ref="FH624:FH687" si="391">IF(ISNUMBER(X624),X624,"")</f>
        <v/>
      </c>
      <c r="FI624" s="106" t="str">
        <f t="shared" si="383"/>
        <v>**</v>
      </c>
      <c r="FJ624" s="138">
        <f t="shared" ref="FJ624:FJ687" si="392">IF(ISNUMBER(Z624),Z624,"")</f>
        <v>-11.443697499232712</v>
      </c>
      <c r="FK624" s="138" t="str">
        <f t="shared" si="379"/>
        <v>**</v>
      </c>
    </row>
    <row r="625" spans="1:167" ht="12.75" hidden="1" customHeight="1" x14ac:dyDescent="0.2">
      <c r="A625">
        <v>590</v>
      </c>
      <c r="B625" s="4" t="s">
        <v>1226</v>
      </c>
      <c r="C625" s="4"/>
      <c r="D625" s="4" t="s">
        <v>847</v>
      </c>
      <c r="E625">
        <v>-1508</v>
      </c>
      <c r="F625" t="str">
        <f>VLOOKUP(E625,CompDbase!B:L,4,FALSE)</f>
        <v>Butane</v>
      </c>
      <c r="G625" s="95" t="str">
        <f>VLOOKUP(E625,CompDbase!B:M,12,FALSE)</f>
        <v>Alk</v>
      </c>
      <c r="H625" s="95">
        <f>VLOOKUP(E625,CompDbase!B:L,8,FALSE)</f>
        <v>58.12</v>
      </c>
      <c r="I625" s="95" t="e">
        <f>VLOOKUP(E625,CompDbase!B:L,11,FALSE)</f>
        <v>#DIV/0!</v>
      </c>
      <c r="J625" s="95">
        <f>VLOOKUP(E625,CompDbase!B:L,9,FALSE)</f>
        <v>61</v>
      </c>
      <c r="K625" s="95">
        <f>VLOOKUP(E625,CompDbase!B:L,10,FALSE)</f>
        <v>2.89</v>
      </c>
      <c r="L625" s="4" t="s">
        <v>717</v>
      </c>
      <c r="M625" s="423"/>
      <c r="N625" s="423"/>
      <c r="O625" s="4"/>
      <c r="P625">
        <v>298</v>
      </c>
      <c r="Q625" s="4" t="s">
        <v>1049</v>
      </c>
      <c r="S625" s="4"/>
      <c r="Y625">
        <v>7.0000000000000005E-13</v>
      </c>
      <c r="Z625" s="95">
        <f t="shared" si="375"/>
        <v>-12.154901959985743</v>
      </c>
      <c r="AG625" s="138"/>
      <c r="BW625" s="138"/>
      <c r="DG625">
        <f t="shared" si="376"/>
        <v>-12.154901959985743</v>
      </c>
      <c r="DH625">
        <f t="shared" si="377"/>
        <v>58.12</v>
      </c>
      <c r="EY625" s="479">
        <f>VLOOKUP(B625,Literatuur!$A:$B,2,FALSE)</f>
        <v>12</v>
      </c>
      <c r="EZ625" t="str">
        <f t="shared" si="384"/>
        <v>Butane</v>
      </c>
      <c r="FA625" t="str">
        <f t="shared" si="385"/>
        <v>Alk</v>
      </c>
      <c r="FB625" t="str">
        <f t="shared" si="386"/>
        <v>HDPE</v>
      </c>
      <c r="FC625" t="str">
        <f t="shared" si="387"/>
        <v/>
      </c>
      <c r="FD625">
        <f t="shared" si="388"/>
        <v>298</v>
      </c>
      <c r="FE625" t="str">
        <f t="shared" si="389"/>
        <v>water</v>
      </c>
      <c r="FF625" t="str">
        <f t="shared" si="390"/>
        <v xml:space="preserve"> </v>
      </c>
      <c r="FG625" s="408" t="str">
        <f t="shared" si="382"/>
        <v/>
      </c>
      <c r="FH625" s="138" t="str">
        <f t="shared" si="391"/>
        <v/>
      </c>
      <c r="FI625" s="106" t="str">
        <f t="shared" si="383"/>
        <v>**</v>
      </c>
      <c r="FJ625" s="138">
        <f t="shared" si="392"/>
        <v>-12.154901959985743</v>
      </c>
      <c r="FK625" s="138" t="str">
        <f t="shared" si="379"/>
        <v>**</v>
      </c>
    </row>
    <row r="626" spans="1:167" ht="12.75" hidden="1" customHeight="1" x14ac:dyDescent="0.2">
      <c r="A626">
        <v>591</v>
      </c>
      <c r="B626" s="4" t="s">
        <v>1226</v>
      </c>
      <c r="C626" s="4"/>
      <c r="D626" s="4" t="s">
        <v>847</v>
      </c>
      <c r="E626">
        <v>-1508</v>
      </c>
      <c r="F626" t="str">
        <f>VLOOKUP(E626,CompDbase!B:L,4,FALSE)</f>
        <v>Butane</v>
      </c>
      <c r="G626" s="95" t="str">
        <f>VLOOKUP(E626,CompDbase!B:M,12,FALSE)</f>
        <v>Alk</v>
      </c>
      <c r="H626" s="95">
        <f>VLOOKUP(E626,CompDbase!B:L,8,FALSE)</f>
        <v>58.12</v>
      </c>
      <c r="I626" s="95" t="e">
        <f>VLOOKUP(E626,CompDbase!B:L,11,FALSE)</f>
        <v>#DIV/0!</v>
      </c>
      <c r="J626" s="95">
        <f>VLOOKUP(E626,CompDbase!B:L,9,FALSE)</f>
        <v>61</v>
      </c>
      <c r="K626" s="95">
        <f>VLOOKUP(E626,CompDbase!B:L,10,FALSE)</f>
        <v>2.89</v>
      </c>
      <c r="L626" s="4" t="s">
        <v>717</v>
      </c>
      <c r="O626" s="4"/>
      <c r="P626">
        <v>298</v>
      </c>
      <c r="Q626" s="4" t="s">
        <v>1049</v>
      </c>
      <c r="S626" s="4"/>
      <c r="Y626">
        <v>9.9999999999999998E-13</v>
      </c>
      <c r="Z626" s="95">
        <f t="shared" si="375"/>
        <v>-12</v>
      </c>
      <c r="AG626" s="138"/>
      <c r="BW626" s="138"/>
      <c r="DG626">
        <f t="shared" si="376"/>
        <v>-12</v>
      </c>
      <c r="DH626">
        <f t="shared" si="377"/>
        <v>58.12</v>
      </c>
      <c r="EY626" s="479">
        <f>VLOOKUP(B626,Literatuur!$A:$B,2,FALSE)</f>
        <v>12</v>
      </c>
      <c r="EZ626" t="str">
        <f t="shared" si="384"/>
        <v>Butane</v>
      </c>
      <c r="FA626" t="str">
        <f t="shared" si="385"/>
        <v>Alk</v>
      </c>
      <c r="FB626" t="str">
        <f t="shared" si="386"/>
        <v>HDPE</v>
      </c>
      <c r="FC626" t="str">
        <f t="shared" si="387"/>
        <v/>
      </c>
      <c r="FD626">
        <f t="shared" si="388"/>
        <v>298</v>
      </c>
      <c r="FE626" t="str">
        <f t="shared" si="389"/>
        <v>water</v>
      </c>
      <c r="FF626" t="str">
        <f t="shared" si="390"/>
        <v xml:space="preserve"> </v>
      </c>
      <c r="FG626" s="408" t="str">
        <f t="shared" si="382"/>
        <v/>
      </c>
      <c r="FH626" s="138" t="str">
        <f t="shared" si="391"/>
        <v/>
      </c>
      <c r="FI626" s="106" t="str">
        <f t="shared" si="383"/>
        <v>**</v>
      </c>
      <c r="FJ626" s="138">
        <f t="shared" si="392"/>
        <v>-12</v>
      </c>
      <c r="FK626" s="138" t="str">
        <f t="shared" si="379"/>
        <v>**</v>
      </c>
    </row>
    <row r="627" spans="1:167" ht="12.75" hidden="1" customHeight="1" x14ac:dyDescent="0.2">
      <c r="A627">
        <v>592</v>
      </c>
      <c r="B627" s="4" t="s">
        <v>1226</v>
      </c>
      <c r="C627" s="4"/>
      <c r="D627" s="4" t="s">
        <v>480</v>
      </c>
      <c r="E627">
        <v>-1526</v>
      </c>
      <c r="F627" t="str">
        <f>VLOOKUP(E627,CompDbase!B:L,4,FALSE)</f>
        <v>Ethane</v>
      </c>
      <c r="G627" s="95" t="str">
        <f>VLOOKUP(E627,CompDbase!B:M,12,FALSE)</f>
        <v>Alk</v>
      </c>
      <c r="H627" s="95">
        <f>VLOOKUP(E627,CompDbase!B:L,8,FALSE)</f>
        <v>30.07</v>
      </c>
      <c r="I627" s="95" t="e">
        <f>VLOOKUP(E627,CompDbase!B:L,11,FALSE)</f>
        <v>#DIV/0!</v>
      </c>
      <c r="J627" s="95">
        <f>VLOOKUP(E627,CompDbase!B:L,9,FALSE)</f>
        <v>62</v>
      </c>
      <c r="K627" s="95">
        <f>VLOOKUP(E627,CompDbase!B:L,10,FALSE)</f>
        <v>1.81</v>
      </c>
      <c r="L627" s="4" t="s">
        <v>717</v>
      </c>
      <c r="O627" s="4"/>
      <c r="P627">
        <v>296</v>
      </c>
      <c r="Q627" s="4" t="s">
        <v>1049</v>
      </c>
      <c r="S627" s="4"/>
      <c r="Y627">
        <v>1.2700000000000002E-12</v>
      </c>
      <c r="Z627" s="95">
        <f t="shared" si="375"/>
        <v>-11.896196279044043</v>
      </c>
      <c r="DG627">
        <f t="shared" si="376"/>
        <v>-11.896196279044043</v>
      </c>
      <c r="DH627">
        <f t="shared" si="377"/>
        <v>30.07</v>
      </c>
      <c r="EY627" s="479">
        <f>VLOOKUP(B627,Literatuur!$A:$B,2,FALSE)</f>
        <v>12</v>
      </c>
      <c r="EZ627" t="str">
        <f t="shared" si="384"/>
        <v>Ethane</v>
      </c>
      <c r="FA627" t="str">
        <f t="shared" si="385"/>
        <v>Alk</v>
      </c>
      <c r="FB627" t="str">
        <f t="shared" si="386"/>
        <v>HDPE</v>
      </c>
      <c r="FC627" t="str">
        <f t="shared" si="387"/>
        <v/>
      </c>
      <c r="FD627">
        <f t="shared" si="388"/>
        <v>296</v>
      </c>
      <c r="FE627" t="str">
        <f t="shared" si="389"/>
        <v>water</v>
      </c>
      <c r="FF627" t="str">
        <f t="shared" si="390"/>
        <v xml:space="preserve"> </v>
      </c>
      <c r="FG627" s="408" t="str">
        <f t="shared" si="382"/>
        <v/>
      </c>
      <c r="FH627" s="138" t="str">
        <f t="shared" si="391"/>
        <v/>
      </c>
      <c r="FI627" s="106" t="str">
        <f t="shared" si="383"/>
        <v>**</v>
      </c>
      <c r="FJ627" s="138">
        <f t="shared" si="392"/>
        <v>-11.896196279044043</v>
      </c>
      <c r="FK627" s="138" t="str">
        <f t="shared" si="379"/>
        <v>**</v>
      </c>
    </row>
    <row r="628" spans="1:167" s="9" customFormat="1" ht="12.75" hidden="1" customHeight="1" x14ac:dyDescent="0.2">
      <c r="A628">
        <v>593</v>
      </c>
      <c r="B628" s="10" t="s">
        <v>1226</v>
      </c>
      <c r="C628" s="10"/>
      <c r="D628" s="10" t="s">
        <v>480</v>
      </c>
      <c r="E628" s="9">
        <v>-1526</v>
      </c>
      <c r="F628" s="9" t="str">
        <f>VLOOKUP(E628,CompDbase!B:L,4,FALSE)</f>
        <v>Ethane</v>
      </c>
      <c r="G628" s="181" t="str">
        <f>VLOOKUP(E628,CompDbase!B:M,12,FALSE)</f>
        <v>Alk</v>
      </c>
      <c r="H628" s="181">
        <f>VLOOKUP(E628,CompDbase!B:L,8,FALSE)</f>
        <v>30.07</v>
      </c>
      <c r="I628" s="181" t="e">
        <f>VLOOKUP(E628,CompDbase!B:L,11,FALSE)</f>
        <v>#DIV/0!</v>
      </c>
      <c r="J628" s="181">
        <f>VLOOKUP(E628,CompDbase!B:L,9,FALSE)</f>
        <v>62</v>
      </c>
      <c r="K628" s="181">
        <f>VLOOKUP(E628,CompDbase!B:L,10,FALSE)</f>
        <v>1.81</v>
      </c>
      <c r="L628" s="10" t="s">
        <v>717</v>
      </c>
      <c r="M628" s="425"/>
      <c r="N628" s="416"/>
      <c r="O628" s="4"/>
      <c r="P628" s="9">
        <v>296</v>
      </c>
      <c r="Q628" s="10" t="s">
        <v>1049</v>
      </c>
      <c r="R628" s="393"/>
      <c r="S628" s="10"/>
      <c r="Y628" s="9">
        <v>2.7799999999999999E-12</v>
      </c>
      <c r="Z628" s="181">
        <f t="shared" si="375"/>
        <v>-11.555955204081924</v>
      </c>
      <c r="AF628"/>
      <c r="AG628"/>
      <c r="AH628"/>
      <c r="AI628"/>
      <c r="BW628"/>
      <c r="BX628"/>
      <c r="BY628"/>
      <c r="DF628"/>
      <c r="DG628">
        <f t="shared" si="376"/>
        <v>-11.555955204081924</v>
      </c>
      <c r="DH628">
        <f t="shared" si="377"/>
        <v>30.07</v>
      </c>
      <c r="DI628"/>
      <c r="DP628"/>
      <c r="EY628" s="479">
        <f>VLOOKUP(B628,Literatuur!$A:$B,2,FALSE)</f>
        <v>12</v>
      </c>
      <c r="EZ628" t="str">
        <f t="shared" si="384"/>
        <v>Ethane</v>
      </c>
      <c r="FA628" t="str">
        <f t="shared" si="385"/>
        <v>Alk</v>
      </c>
      <c r="FB628" t="str">
        <f t="shared" si="386"/>
        <v>HDPE</v>
      </c>
      <c r="FC628" t="str">
        <f t="shared" si="387"/>
        <v/>
      </c>
      <c r="FD628">
        <f t="shared" si="388"/>
        <v>296</v>
      </c>
      <c r="FE628" t="str">
        <f t="shared" si="389"/>
        <v>water</v>
      </c>
      <c r="FF628" t="str">
        <f t="shared" si="390"/>
        <v xml:space="preserve"> </v>
      </c>
      <c r="FG628" s="408" t="str">
        <f t="shared" si="382"/>
        <v/>
      </c>
      <c r="FH628" s="138" t="str">
        <f t="shared" si="391"/>
        <v/>
      </c>
      <c r="FI628" s="106" t="str">
        <f t="shared" si="383"/>
        <v>**</v>
      </c>
      <c r="FJ628" s="138">
        <f t="shared" si="392"/>
        <v>-11.555955204081924</v>
      </c>
      <c r="FK628" s="138" t="str">
        <f t="shared" si="379"/>
        <v>**</v>
      </c>
    </row>
    <row r="629" spans="1:167" ht="12.75" hidden="1" customHeight="1" x14ac:dyDescent="0.2">
      <c r="A629">
        <v>594</v>
      </c>
      <c r="B629" s="4" t="s">
        <v>1226</v>
      </c>
      <c r="C629" s="4"/>
      <c r="D629" s="4" t="s">
        <v>480</v>
      </c>
      <c r="E629">
        <v>-1526</v>
      </c>
      <c r="F629" t="str">
        <f>VLOOKUP(E629,CompDbase!B:L,4,FALSE)</f>
        <v>Ethane</v>
      </c>
      <c r="G629" s="95" t="str">
        <f>VLOOKUP(E629,CompDbase!B:M,12,FALSE)</f>
        <v>Alk</v>
      </c>
      <c r="H629" s="95">
        <f>VLOOKUP(E629,CompDbase!B:L,8,FALSE)</f>
        <v>30.07</v>
      </c>
      <c r="I629" s="95" t="e">
        <f>VLOOKUP(E629,CompDbase!B:L,11,FALSE)</f>
        <v>#DIV/0!</v>
      </c>
      <c r="J629" s="95">
        <f>VLOOKUP(E629,CompDbase!B:L,9,FALSE)</f>
        <v>62</v>
      </c>
      <c r="K629" s="95">
        <f>VLOOKUP(E629,CompDbase!B:L,10,FALSE)</f>
        <v>1.81</v>
      </c>
      <c r="L629" s="4" t="s">
        <v>717</v>
      </c>
      <c r="O629" s="4"/>
      <c r="P629">
        <v>296</v>
      </c>
      <c r="Q629" s="4" t="s">
        <v>1049</v>
      </c>
      <c r="S629" s="4"/>
      <c r="Y629">
        <v>9.3000000000000008E-13</v>
      </c>
      <c r="Z629" s="95">
        <f t="shared" si="375"/>
        <v>-12.031517051446064</v>
      </c>
      <c r="DG629">
        <f t="shared" si="376"/>
        <v>-12.031517051446064</v>
      </c>
      <c r="DH629">
        <f t="shared" si="377"/>
        <v>30.07</v>
      </c>
      <c r="EY629" s="479">
        <f>VLOOKUP(B629,Literatuur!$A:$B,2,FALSE)</f>
        <v>12</v>
      </c>
      <c r="EZ629" t="str">
        <f t="shared" si="384"/>
        <v>Ethane</v>
      </c>
      <c r="FA629" t="str">
        <f t="shared" si="385"/>
        <v>Alk</v>
      </c>
      <c r="FB629" t="str">
        <f t="shared" si="386"/>
        <v>HDPE</v>
      </c>
      <c r="FC629" t="str">
        <f t="shared" si="387"/>
        <v/>
      </c>
      <c r="FD629">
        <f t="shared" si="388"/>
        <v>296</v>
      </c>
      <c r="FE629" t="str">
        <f t="shared" si="389"/>
        <v>water</v>
      </c>
      <c r="FF629" t="str">
        <f t="shared" si="390"/>
        <v xml:space="preserve"> </v>
      </c>
      <c r="FG629" s="408" t="str">
        <f t="shared" si="382"/>
        <v/>
      </c>
      <c r="FH629" s="138" t="str">
        <f t="shared" si="391"/>
        <v/>
      </c>
      <c r="FI629" s="106" t="str">
        <f t="shared" si="383"/>
        <v>**</v>
      </c>
      <c r="FJ629" s="138">
        <f t="shared" si="392"/>
        <v>-12.031517051446064</v>
      </c>
      <c r="FK629" s="138" t="str">
        <f t="shared" si="379"/>
        <v>**</v>
      </c>
    </row>
    <row r="630" spans="1:167" ht="12.75" hidden="1" customHeight="1" x14ac:dyDescent="0.2">
      <c r="A630">
        <v>595</v>
      </c>
      <c r="B630" s="4" t="s">
        <v>1226</v>
      </c>
      <c r="C630" s="4"/>
      <c r="D630" s="4" t="s">
        <v>480</v>
      </c>
      <c r="E630">
        <v>-1526</v>
      </c>
      <c r="F630" t="str">
        <f>VLOOKUP(E630,CompDbase!B:L,4,FALSE)</f>
        <v>Ethane</v>
      </c>
      <c r="G630" s="95" t="str">
        <f>VLOOKUP(E630,CompDbase!B:M,12,FALSE)</f>
        <v>Alk</v>
      </c>
      <c r="H630" s="95">
        <f>VLOOKUP(E630,CompDbase!B:L,8,FALSE)</f>
        <v>30.07</v>
      </c>
      <c r="I630" s="95" t="e">
        <f>VLOOKUP(E630,CompDbase!B:L,11,FALSE)</f>
        <v>#DIV/0!</v>
      </c>
      <c r="J630" s="95">
        <f>VLOOKUP(E630,CompDbase!B:L,9,FALSE)</f>
        <v>62</v>
      </c>
      <c r="K630" s="95">
        <f>VLOOKUP(E630,CompDbase!B:L,10,FALSE)</f>
        <v>1.81</v>
      </c>
      <c r="L630" s="4" t="s">
        <v>717</v>
      </c>
      <c r="O630" s="4"/>
      <c r="P630">
        <v>296</v>
      </c>
      <c r="Q630" s="4" t="s">
        <v>1049</v>
      </c>
      <c r="S630" s="4"/>
      <c r="Y630">
        <v>1.7E-12</v>
      </c>
      <c r="Z630" s="95">
        <f t="shared" si="375"/>
        <v>-11.769551078621726</v>
      </c>
      <c r="DG630">
        <f t="shared" si="376"/>
        <v>-11.769551078621726</v>
      </c>
      <c r="DH630">
        <f t="shared" si="377"/>
        <v>30.07</v>
      </c>
      <c r="EY630" s="479">
        <f>VLOOKUP(B630,Literatuur!$A:$B,2,FALSE)</f>
        <v>12</v>
      </c>
      <c r="EZ630" t="str">
        <f t="shared" si="384"/>
        <v>Ethane</v>
      </c>
      <c r="FA630" t="str">
        <f t="shared" si="385"/>
        <v>Alk</v>
      </c>
      <c r="FB630" t="str">
        <f t="shared" si="386"/>
        <v>HDPE</v>
      </c>
      <c r="FC630" t="str">
        <f t="shared" si="387"/>
        <v/>
      </c>
      <c r="FD630">
        <f t="shared" si="388"/>
        <v>296</v>
      </c>
      <c r="FE630" t="str">
        <f t="shared" si="389"/>
        <v>water</v>
      </c>
      <c r="FF630" t="str">
        <f t="shared" si="390"/>
        <v xml:space="preserve"> </v>
      </c>
      <c r="FG630" s="408" t="str">
        <f t="shared" si="382"/>
        <v/>
      </c>
      <c r="FH630" s="138" t="str">
        <f t="shared" si="391"/>
        <v/>
      </c>
      <c r="FI630" s="106" t="str">
        <f t="shared" si="383"/>
        <v>**</v>
      </c>
      <c r="FJ630" s="138">
        <f t="shared" si="392"/>
        <v>-11.769551078621726</v>
      </c>
      <c r="FK630" s="138" t="str">
        <f t="shared" si="379"/>
        <v>**</v>
      </c>
    </row>
    <row r="631" spans="1:167" ht="12.75" hidden="1" customHeight="1" x14ac:dyDescent="0.2">
      <c r="A631">
        <v>596</v>
      </c>
      <c r="B631" s="4" t="s">
        <v>1226</v>
      </c>
      <c r="C631" s="4"/>
      <c r="D631" s="4" t="s">
        <v>480</v>
      </c>
      <c r="E631">
        <v>-1526</v>
      </c>
      <c r="F631" t="str">
        <f>VLOOKUP(E631,CompDbase!B:L,4,FALSE)</f>
        <v>Ethane</v>
      </c>
      <c r="G631" s="95" t="str">
        <f>VLOOKUP(E631,CompDbase!B:M,12,FALSE)</f>
        <v>Alk</v>
      </c>
      <c r="H631" s="95">
        <f>VLOOKUP(E631,CompDbase!B:L,8,FALSE)</f>
        <v>30.07</v>
      </c>
      <c r="I631" s="95" t="e">
        <f>VLOOKUP(E631,CompDbase!B:L,11,FALSE)</f>
        <v>#DIV/0!</v>
      </c>
      <c r="J631" s="95">
        <f>VLOOKUP(E631,CompDbase!B:L,9,FALSE)</f>
        <v>62</v>
      </c>
      <c r="K631" s="95">
        <f>VLOOKUP(E631,CompDbase!B:L,10,FALSE)</f>
        <v>1.81</v>
      </c>
      <c r="L631" s="4" t="s">
        <v>717</v>
      </c>
      <c r="M631" s="423"/>
      <c r="N631" s="423"/>
      <c r="O631" s="4"/>
      <c r="P631">
        <v>296</v>
      </c>
      <c r="Q631" s="4" t="s">
        <v>1049</v>
      </c>
      <c r="S631" s="4"/>
      <c r="Y631">
        <v>1.95E-12</v>
      </c>
      <c r="Z631" s="95">
        <f t="shared" si="375"/>
        <v>-11.709965388637482</v>
      </c>
      <c r="DG631">
        <f t="shared" si="376"/>
        <v>-11.709965388637482</v>
      </c>
      <c r="DH631">
        <f t="shared" si="377"/>
        <v>30.07</v>
      </c>
      <c r="EY631" s="479">
        <f>VLOOKUP(B631,Literatuur!$A:$B,2,FALSE)</f>
        <v>12</v>
      </c>
      <c r="EZ631" t="str">
        <f t="shared" si="384"/>
        <v>Ethane</v>
      </c>
      <c r="FA631" t="str">
        <f t="shared" si="385"/>
        <v>Alk</v>
      </c>
      <c r="FB631" t="str">
        <f t="shared" si="386"/>
        <v>HDPE</v>
      </c>
      <c r="FC631" t="str">
        <f t="shared" si="387"/>
        <v/>
      </c>
      <c r="FD631">
        <f t="shared" si="388"/>
        <v>296</v>
      </c>
      <c r="FE631" t="str">
        <f t="shared" si="389"/>
        <v>water</v>
      </c>
      <c r="FF631" t="str">
        <f t="shared" si="390"/>
        <v xml:space="preserve"> </v>
      </c>
      <c r="FG631" s="408" t="str">
        <f t="shared" si="382"/>
        <v/>
      </c>
      <c r="FH631" s="138" t="str">
        <f t="shared" si="391"/>
        <v/>
      </c>
      <c r="FI631" s="106" t="str">
        <f t="shared" si="383"/>
        <v>**</v>
      </c>
      <c r="FJ631" s="138">
        <f t="shared" si="392"/>
        <v>-11.709965388637482</v>
      </c>
      <c r="FK631" s="138" t="str">
        <f t="shared" si="379"/>
        <v>**</v>
      </c>
    </row>
    <row r="632" spans="1:167" ht="12.75" hidden="1" customHeight="1" x14ac:dyDescent="0.2">
      <c r="A632">
        <v>597</v>
      </c>
      <c r="B632" s="4" t="s">
        <v>1226</v>
      </c>
      <c r="C632" s="4"/>
      <c r="D632" s="4" t="s">
        <v>796</v>
      </c>
      <c r="E632">
        <v>-1501</v>
      </c>
      <c r="F632" t="str">
        <f>VLOOKUP(E632,CompDbase!B:L,4,FALSE)</f>
        <v>Ethylene</v>
      </c>
      <c r="G632" s="95" t="str">
        <f>VLOOKUP(E632,CompDbase!B:M,12,FALSE)</f>
        <v>Alk</v>
      </c>
      <c r="H632" s="95">
        <f>VLOOKUP(E632,CompDbase!B:L,8,FALSE)</f>
        <v>28.05</v>
      </c>
      <c r="I632" s="95" t="e">
        <f>VLOOKUP(E632,CompDbase!B:L,11,FALSE)</f>
        <v>#DIV/0!</v>
      </c>
      <c r="J632" s="95">
        <f>VLOOKUP(E632,CompDbase!B:L,9,FALSE)</f>
        <v>130</v>
      </c>
      <c r="K632" s="95">
        <f>VLOOKUP(E632,CompDbase!B:L,10,FALSE)</f>
        <v>1.1299999999999999</v>
      </c>
      <c r="L632" s="4" t="s">
        <v>717</v>
      </c>
      <c r="O632" s="4"/>
      <c r="P632">
        <v>296</v>
      </c>
      <c r="Q632" s="4" t="s">
        <v>1049</v>
      </c>
      <c r="S632" s="4"/>
      <c r="Y632">
        <v>9.4999999999999999E-13</v>
      </c>
      <c r="Z632" s="95">
        <f t="shared" si="375"/>
        <v>-12.022276394711152</v>
      </c>
      <c r="AG632" s="138"/>
      <c r="BW632" s="138"/>
      <c r="DG632">
        <f t="shared" si="376"/>
        <v>-12.022276394711152</v>
      </c>
      <c r="DH632">
        <f t="shared" si="377"/>
        <v>28.05</v>
      </c>
      <c r="EY632" s="479">
        <f>VLOOKUP(B632,Literatuur!$A:$B,2,FALSE)</f>
        <v>12</v>
      </c>
      <c r="EZ632" t="str">
        <f t="shared" si="384"/>
        <v>Methane</v>
      </c>
      <c r="FA632" t="str">
        <f t="shared" si="385"/>
        <v>Alk</v>
      </c>
      <c r="FB632" t="str">
        <f t="shared" si="386"/>
        <v>HDPE</v>
      </c>
      <c r="FC632" t="str">
        <f t="shared" si="387"/>
        <v/>
      </c>
      <c r="FD632">
        <f t="shared" si="388"/>
        <v>296</v>
      </c>
      <c r="FE632" t="str">
        <f t="shared" si="389"/>
        <v>water</v>
      </c>
      <c r="FF632" t="str">
        <f t="shared" si="390"/>
        <v xml:space="preserve"> </v>
      </c>
      <c r="FG632" s="408" t="str">
        <f t="shared" si="382"/>
        <v/>
      </c>
      <c r="FH632" s="138" t="str">
        <f t="shared" si="391"/>
        <v/>
      </c>
      <c r="FI632" s="106" t="str">
        <f t="shared" si="383"/>
        <v>**</v>
      </c>
      <c r="FJ632" s="138">
        <f t="shared" si="392"/>
        <v>-12.022276394711152</v>
      </c>
      <c r="FK632" s="138" t="str">
        <f t="shared" si="379"/>
        <v>**</v>
      </c>
    </row>
    <row r="633" spans="1:167" ht="12.75" hidden="1" customHeight="1" x14ac:dyDescent="0.2">
      <c r="A633">
        <v>598</v>
      </c>
      <c r="B633" s="4" t="s">
        <v>1226</v>
      </c>
      <c r="C633" s="4"/>
      <c r="D633" s="4" t="s">
        <v>796</v>
      </c>
      <c r="E633">
        <v>-1500</v>
      </c>
      <c r="F633" t="str">
        <f>VLOOKUP(E633,CompDbase!B:L,4,FALSE)</f>
        <v>Methane</v>
      </c>
      <c r="G633" s="95" t="str">
        <f>VLOOKUP(E633,CompDbase!B:M,12,FALSE)</f>
        <v>Alk</v>
      </c>
      <c r="H633" s="95">
        <f>VLOOKUP(E633,CompDbase!B:L,8,FALSE)</f>
        <v>16.05</v>
      </c>
      <c r="I633" s="95" t="e">
        <f>VLOOKUP(E633,CompDbase!B:L,11,FALSE)</f>
        <v>#DIV/0!</v>
      </c>
      <c r="J633" s="95">
        <f>VLOOKUP(E633,CompDbase!B:L,9,FALSE)</f>
        <v>26000</v>
      </c>
      <c r="K633" s="95">
        <f>VLOOKUP(E633,CompDbase!B:L,10,FALSE)</f>
        <v>1.0900000000000001</v>
      </c>
      <c r="L633" s="4" t="s">
        <v>717</v>
      </c>
      <c r="O633" s="4"/>
      <c r="P633">
        <v>296</v>
      </c>
      <c r="Q633" s="4" t="s">
        <v>1049</v>
      </c>
      <c r="S633" s="4"/>
      <c r="Y633">
        <v>5.1000000000000005E-12</v>
      </c>
      <c r="Z633" s="95">
        <f t="shared" si="375"/>
        <v>-11.292429823902063</v>
      </c>
      <c r="AG633" s="138"/>
      <c r="BW633" s="138"/>
      <c r="DG633">
        <f t="shared" si="376"/>
        <v>-11.292429823902063</v>
      </c>
      <c r="DH633">
        <f t="shared" si="377"/>
        <v>16.05</v>
      </c>
      <c r="EY633" s="479">
        <f>VLOOKUP(B633,Literatuur!$A:$B,2,FALSE)</f>
        <v>12</v>
      </c>
      <c r="EZ633" t="str">
        <f t="shared" si="384"/>
        <v>Methane</v>
      </c>
      <c r="FA633" t="str">
        <f t="shared" si="385"/>
        <v>Alk</v>
      </c>
      <c r="FB633" t="str">
        <f t="shared" si="386"/>
        <v>HDPE</v>
      </c>
      <c r="FC633" t="str">
        <f t="shared" si="387"/>
        <v/>
      </c>
      <c r="FD633">
        <f t="shared" si="388"/>
        <v>296</v>
      </c>
      <c r="FE633" t="str">
        <f t="shared" si="389"/>
        <v>water</v>
      </c>
      <c r="FF633" t="str">
        <f t="shared" si="390"/>
        <v xml:space="preserve"> </v>
      </c>
      <c r="FG633" s="408" t="str">
        <f t="shared" si="382"/>
        <v/>
      </c>
      <c r="FH633" s="138" t="str">
        <f t="shared" si="391"/>
        <v/>
      </c>
      <c r="FI633" s="106" t="str">
        <f t="shared" si="383"/>
        <v>**</v>
      </c>
      <c r="FJ633" s="138">
        <f t="shared" si="392"/>
        <v>-11.292429823902063</v>
      </c>
      <c r="FK633" s="138" t="str">
        <f t="shared" si="379"/>
        <v>**</v>
      </c>
    </row>
    <row r="634" spans="1:167" ht="12.75" hidden="1" customHeight="1" x14ac:dyDescent="0.2">
      <c r="A634">
        <v>599</v>
      </c>
      <c r="B634" s="4" t="s">
        <v>1226</v>
      </c>
      <c r="C634" s="4"/>
      <c r="D634" s="4" t="s">
        <v>849</v>
      </c>
      <c r="E634">
        <v>-1509</v>
      </c>
      <c r="F634" t="str">
        <f>VLOOKUP(E634,CompDbase!B:L,4,FALSE)</f>
        <v>Neopentane</v>
      </c>
      <c r="G634" s="95" t="str">
        <f>VLOOKUP(E634,CompDbase!B:M,12,FALSE)</f>
        <v>Alk</v>
      </c>
      <c r="H634" s="95">
        <f>VLOOKUP(E634,CompDbase!B:L,8,FALSE)</f>
        <v>72.150000000000006</v>
      </c>
      <c r="I634" s="95" t="e">
        <f>VLOOKUP(E634,CompDbase!B:L,11,FALSE)</f>
        <v>#DIV/0!</v>
      </c>
      <c r="J634" s="95">
        <f>VLOOKUP(E634,CompDbase!B:L,9,FALSE)</f>
        <v>33</v>
      </c>
      <c r="K634" s="95">
        <f>VLOOKUP(E634,CompDbase!B:L,10,FALSE)</f>
        <v>3.11</v>
      </c>
      <c r="L634" s="4" t="s">
        <v>717</v>
      </c>
      <c r="O634" s="4"/>
      <c r="P634">
        <v>296</v>
      </c>
      <c r="Q634" s="4" t="s">
        <v>1049</v>
      </c>
      <c r="S634" s="4"/>
      <c r="Y634">
        <v>8.5000000000000016E-14</v>
      </c>
      <c r="Z634" s="95">
        <f t="shared" si="375"/>
        <v>-13.070581074285707</v>
      </c>
      <c r="DG634">
        <f t="shared" si="376"/>
        <v>-13.070581074285707</v>
      </c>
      <c r="DH634">
        <f t="shared" si="377"/>
        <v>72.150000000000006</v>
      </c>
      <c r="EY634" s="479">
        <f>VLOOKUP(B634,Literatuur!$A:$B,2,FALSE)</f>
        <v>12</v>
      </c>
      <c r="EZ634" t="str">
        <f t="shared" si="384"/>
        <v>Neopentane</v>
      </c>
      <c r="FA634" t="str">
        <f t="shared" si="385"/>
        <v>Alk</v>
      </c>
      <c r="FB634" t="str">
        <f t="shared" si="386"/>
        <v>HDPE</v>
      </c>
      <c r="FC634" t="str">
        <f t="shared" si="387"/>
        <v/>
      </c>
      <c r="FD634">
        <f t="shared" si="388"/>
        <v>296</v>
      </c>
      <c r="FE634" t="str">
        <f t="shared" si="389"/>
        <v>water</v>
      </c>
      <c r="FF634" t="str">
        <f t="shared" si="390"/>
        <v xml:space="preserve"> </v>
      </c>
      <c r="FG634" s="408" t="str">
        <f t="shared" si="382"/>
        <v/>
      </c>
      <c r="FH634" s="138" t="str">
        <f t="shared" si="391"/>
        <v/>
      </c>
      <c r="FI634" s="106" t="str">
        <f t="shared" si="383"/>
        <v>**</v>
      </c>
      <c r="FJ634" s="138">
        <f t="shared" si="392"/>
        <v>-13.070581074285707</v>
      </c>
      <c r="FK634" s="138" t="str">
        <f t="shared" si="379"/>
        <v>**</v>
      </c>
    </row>
    <row r="635" spans="1:167" ht="12.75" hidden="1" customHeight="1" x14ac:dyDescent="0.2">
      <c r="A635">
        <v>600</v>
      </c>
      <c r="B635" s="4" t="s">
        <v>1226</v>
      </c>
      <c r="C635" s="4"/>
      <c r="D635" s="4" t="s">
        <v>849</v>
      </c>
      <c r="E635">
        <v>-1509</v>
      </c>
      <c r="F635" t="str">
        <f>VLOOKUP(E635,CompDbase!B:L,4,FALSE)</f>
        <v>Neopentane</v>
      </c>
      <c r="G635" s="95" t="str">
        <f>VLOOKUP(E635,CompDbase!B:M,12,FALSE)</f>
        <v>Alk</v>
      </c>
      <c r="H635" s="95">
        <f>VLOOKUP(E635,CompDbase!B:L,8,FALSE)</f>
        <v>72.150000000000006</v>
      </c>
      <c r="I635" s="95" t="e">
        <f>VLOOKUP(E635,CompDbase!B:L,11,FALSE)</f>
        <v>#DIV/0!</v>
      </c>
      <c r="J635" s="95">
        <f>VLOOKUP(E635,CompDbase!B:L,9,FALSE)</f>
        <v>33</v>
      </c>
      <c r="K635" s="95">
        <f>VLOOKUP(E635,CompDbase!B:L,10,FALSE)</f>
        <v>3.11</v>
      </c>
      <c r="L635" s="4" t="s">
        <v>717</v>
      </c>
      <c r="O635" s="4"/>
      <c r="P635">
        <v>296</v>
      </c>
      <c r="Q635" s="4" t="s">
        <v>1049</v>
      </c>
      <c r="S635" s="4"/>
      <c r="Y635">
        <v>2.8000000000000002E-13</v>
      </c>
      <c r="Z635" s="95">
        <f t="shared" si="375"/>
        <v>-12.552841968657781</v>
      </c>
      <c r="AG635" s="138"/>
      <c r="BW635" s="138"/>
      <c r="DG635">
        <f t="shared" si="376"/>
        <v>-12.552841968657781</v>
      </c>
      <c r="DH635">
        <f t="shared" si="377"/>
        <v>72.150000000000006</v>
      </c>
      <c r="EY635" s="479">
        <f>VLOOKUP(B635,Literatuur!$A:$B,2,FALSE)</f>
        <v>12</v>
      </c>
      <c r="EZ635" t="str">
        <f t="shared" si="384"/>
        <v>Neopentane</v>
      </c>
      <c r="FA635" t="str">
        <f t="shared" si="385"/>
        <v>Alk</v>
      </c>
      <c r="FB635" t="str">
        <f t="shared" si="386"/>
        <v>HDPE</v>
      </c>
      <c r="FC635" t="str">
        <f t="shared" si="387"/>
        <v/>
      </c>
      <c r="FD635">
        <f t="shared" si="388"/>
        <v>296</v>
      </c>
      <c r="FE635" t="str">
        <f t="shared" si="389"/>
        <v>water</v>
      </c>
      <c r="FF635" t="str">
        <f t="shared" si="390"/>
        <v xml:space="preserve"> </v>
      </c>
      <c r="FG635" s="408" t="str">
        <f t="shared" si="382"/>
        <v/>
      </c>
      <c r="FH635" s="138" t="str">
        <f t="shared" si="391"/>
        <v/>
      </c>
      <c r="FI635" s="106" t="str">
        <f t="shared" si="383"/>
        <v>**</v>
      </c>
      <c r="FJ635" s="138">
        <f t="shared" si="392"/>
        <v>-12.552841968657781</v>
      </c>
      <c r="FK635" s="138" t="str">
        <f t="shared" si="379"/>
        <v>**</v>
      </c>
    </row>
    <row r="636" spans="1:167" ht="12.75" hidden="1" customHeight="1" x14ac:dyDescent="0.2">
      <c r="A636">
        <v>601</v>
      </c>
      <c r="B636" s="4" t="s">
        <v>1226</v>
      </c>
      <c r="C636" s="4"/>
      <c r="D636" s="4" t="s">
        <v>759</v>
      </c>
      <c r="E636">
        <v>-1301</v>
      </c>
      <c r="F636" t="str">
        <f>VLOOKUP(E636,CompDbase!B:L,4,FALSE)</f>
        <v>Hexane</v>
      </c>
      <c r="G636" s="95" t="str">
        <f>VLOOKUP(E636,CompDbase!B:M,12,FALSE)</f>
        <v>Alk</v>
      </c>
      <c r="H636" s="95">
        <f>VLOOKUP(E636,CompDbase!B:L,8,FALSE)</f>
        <v>86.18</v>
      </c>
      <c r="I636" s="95" t="e">
        <f>VLOOKUP(E636,CompDbase!B:L,11,FALSE)</f>
        <v>#DIV/0!</v>
      </c>
      <c r="J636" s="95">
        <f>VLOOKUP(E636,CompDbase!B:L,9,FALSE)</f>
        <v>23</v>
      </c>
      <c r="K636" s="95">
        <f>VLOOKUP(E636,CompDbase!B:L,10,FALSE)</f>
        <v>3.8879999999999999</v>
      </c>
      <c r="L636" s="4" t="s">
        <v>717</v>
      </c>
      <c r="O636" s="4"/>
      <c r="P636">
        <v>296</v>
      </c>
      <c r="Q636" s="4" t="s">
        <v>1049</v>
      </c>
      <c r="S636" s="4"/>
      <c r="Y636">
        <v>3.0000000000000003E-13</v>
      </c>
      <c r="Z636" s="95">
        <f t="shared" si="375"/>
        <v>-12.522878745280337</v>
      </c>
      <c r="AG636" s="138"/>
      <c r="BW636" s="138"/>
      <c r="DG636">
        <f t="shared" si="376"/>
        <v>-12.522878745280337</v>
      </c>
      <c r="DH636">
        <f t="shared" si="377"/>
        <v>86.18</v>
      </c>
      <c r="EY636" s="479">
        <f>VLOOKUP(B636,Literatuur!$A:$B,2,FALSE)</f>
        <v>12</v>
      </c>
      <c r="EZ636" t="str">
        <f t="shared" si="384"/>
        <v>n-Hexane</v>
      </c>
      <c r="FA636" t="str">
        <f t="shared" si="385"/>
        <v>Alk</v>
      </c>
      <c r="FB636" t="str">
        <f t="shared" si="386"/>
        <v>HDPE</v>
      </c>
      <c r="FC636" t="str">
        <f t="shared" si="387"/>
        <v/>
      </c>
      <c r="FD636">
        <f t="shared" si="388"/>
        <v>296</v>
      </c>
      <c r="FE636" t="str">
        <f t="shared" si="389"/>
        <v>water</v>
      </c>
      <c r="FF636" t="str">
        <f t="shared" si="390"/>
        <v xml:space="preserve"> </v>
      </c>
      <c r="FG636" s="408" t="str">
        <f t="shared" si="382"/>
        <v/>
      </c>
      <c r="FH636" s="138" t="str">
        <f t="shared" si="391"/>
        <v/>
      </c>
      <c r="FI636" s="106" t="str">
        <f t="shared" si="383"/>
        <v>**</v>
      </c>
      <c r="FJ636" s="138">
        <f t="shared" si="392"/>
        <v>-12.522878745280337</v>
      </c>
      <c r="FK636" s="138" t="str">
        <f t="shared" si="379"/>
        <v>**</v>
      </c>
    </row>
    <row r="637" spans="1:167" s="13" customFormat="1" ht="12.75" hidden="1" customHeight="1" x14ac:dyDescent="0.2">
      <c r="A637">
        <v>602</v>
      </c>
      <c r="B637" s="14" t="s">
        <v>1226</v>
      </c>
      <c r="C637" s="14"/>
      <c r="D637" s="14" t="s">
        <v>759</v>
      </c>
      <c r="E637" s="13">
        <v>-1301</v>
      </c>
      <c r="F637" s="13" t="str">
        <f>VLOOKUP(E637,CompDbase!B:L,4,FALSE)</f>
        <v>Hexane</v>
      </c>
      <c r="G637" s="182" t="str">
        <f>VLOOKUP(E637,CompDbase!B:M,12,FALSE)</f>
        <v>Alk</v>
      </c>
      <c r="H637" s="182">
        <f>VLOOKUP(E637,CompDbase!B:L,8,FALSE)</f>
        <v>86.18</v>
      </c>
      <c r="I637" s="182" t="e">
        <f>VLOOKUP(E637,CompDbase!B:L,11,FALSE)</f>
        <v>#DIV/0!</v>
      </c>
      <c r="J637" s="182">
        <f>VLOOKUP(E637,CompDbase!B:L,9,FALSE)</f>
        <v>23</v>
      </c>
      <c r="K637" s="182">
        <f>VLOOKUP(E637,CompDbase!B:L,10,FALSE)</f>
        <v>3.8879999999999999</v>
      </c>
      <c r="L637" s="14" t="s">
        <v>717</v>
      </c>
      <c r="M637" s="424"/>
      <c r="N637" s="423"/>
      <c r="O637" s="4"/>
      <c r="P637" s="13">
        <v>298</v>
      </c>
      <c r="Q637" s="14" t="s">
        <v>1049</v>
      </c>
      <c r="R637" s="405"/>
      <c r="S637" s="14"/>
      <c r="Y637" s="13">
        <v>6.0000000000000007E-13</v>
      </c>
      <c r="Z637" s="182">
        <f t="shared" si="375"/>
        <v>-12.221848749616356</v>
      </c>
      <c r="AF637"/>
      <c r="AG637" s="138"/>
      <c r="AH637"/>
      <c r="AI637"/>
      <c r="BW637" s="138"/>
      <c r="BX637"/>
      <c r="BY637"/>
      <c r="DF637"/>
      <c r="DG637">
        <f t="shared" si="376"/>
        <v>-12.221848749616356</v>
      </c>
      <c r="DH637">
        <f t="shared" si="377"/>
        <v>86.18</v>
      </c>
      <c r="DI637"/>
      <c r="DP637"/>
      <c r="EY637" s="479">
        <f>VLOOKUP(B637,Literatuur!$A:$B,2,FALSE)</f>
        <v>12</v>
      </c>
      <c r="EZ637" t="str">
        <f t="shared" si="384"/>
        <v>n-Hexane</v>
      </c>
      <c r="FA637" t="str">
        <f t="shared" si="385"/>
        <v>Alk</v>
      </c>
      <c r="FB637" t="str">
        <f t="shared" si="386"/>
        <v>HDPE</v>
      </c>
      <c r="FC637" t="str">
        <f t="shared" si="387"/>
        <v/>
      </c>
      <c r="FD637">
        <f t="shared" si="388"/>
        <v>298</v>
      </c>
      <c r="FE637" t="str">
        <f t="shared" si="389"/>
        <v>water</v>
      </c>
      <c r="FF637" t="str">
        <f t="shared" si="390"/>
        <v xml:space="preserve"> </v>
      </c>
      <c r="FG637" s="408" t="str">
        <f t="shared" si="382"/>
        <v/>
      </c>
      <c r="FH637" s="138" t="str">
        <f t="shared" si="391"/>
        <v/>
      </c>
      <c r="FI637" s="106" t="str">
        <f t="shared" si="383"/>
        <v>**</v>
      </c>
      <c r="FJ637" s="138">
        <f t="shared" si="392"/>
        <v>-12.221848749616356</v>
      </c>
      <c r="FK637" s="138" t="str">
        <f t="shared" si="379"/>
        <v>**</v>
      </c>
    </row>
    <row r="638" spans="1:167" ht="12.75" hidden="1" customHeight="1" x14ac:dyDescent="0.2">
      <c r="A638">
        <v>603</v>
      </c>
      <c r="B638" s="4" t="s">
        <v>1226</v>
      </c>
      <c r="C638" s="4"/>
      <c r="D638" s="4" t="s">
        <v>759</v>
      </c>
      <c r="E638">
        <v>-1301</v>
      </c>
      <c r="F638" t="str">
        <f>VLOOKUP(E638,CompDbase!B:L,4,FALSE)</f>
        <v>Hexane</v>
      </c>
      <c r="G638" s="95" t="str">
        <f>VLOOKUP(E638,CompDbase!B:M,12,FALSE)</f>
        <v>Alk</v>
      </c>
      <c r="H638" s="95">
        <f>VLOOKUP(E638,CompDbase!B:L,8,FALSE)</f>
        <v>86.18</v>
      </c>
      <c r="I638" s="95" t="e">
        <f>VLOOKUP(E638,CompDbase!B:L,11,FALSE)</f>
        <v>#DIV/0!</v>
      </c>
      <c r="J638" s="95">
        <f>VLOOKUP(E638,CompDbase!B:L,9,FALSE)</f>
        <v>23</v>
      </c>
      <c r="K638" s="95">
        <f>VLOOKUP(E638,CompDbase!B:L,10,FALSE)</f>
        <v>3.8879999999999999</v>
      </c>
      <c r="L638" s="4" t="s">
        <v>717</v>
      </c>
      <c r="M638" s="423"/>
      <c r="N638" s="423"/>
      <c r="O638" s="4"/>
      <c r="P638">
        <v>298</v>
      </c>
      <c r="Q638" s="4" t="s">
        <v>1049</v>
      </c>
      <c r="S638" s="4"/>
      <c r="Y638">
        <v>3.8000000000000005E-13</v>
      </c>
      <c r="Z638" s="95">
        <f t="shared" si="375"/>
        <v>-12.42021640338319</v>
      </c>
      <c r="AC638" t="s">
        <v>68</v>
      </c>
      <c r="AG638" s="138"/>
      <c r="BW638" s="138"/>
      <c r="DG638">
        <f t="shared" si="376"/>
        <v>-12.42021640338319</v>
      </c>
      <c r="DH638">
        <f t="shared" si="377"/>
        <v>86.18</v>
      </c>
      <c r="EY638" s="479">
        <f>VLOOKUP(B638,Literatuur!$A:$B,2,FALSE)</f>
        <v>12</v>
      </c>
      <c r="EZ638" t="str">
        <f t="shared" si="384"/>
        <v>n-Hexane</v>
      </c>
      <c r="FA638" t="str">
        <f t="shared" si="385"/>
        <v>Alk</v>
      </c>
      <c r="FB638" t="str">
        <f t="shared" si="386"/>
        <v>HDPE</v>
      </c>
      <c r="FC638" t="str">
        <f t="shared" si="387"/>
        <v/>
      </c>
      <c r="FD638">
        <f t="shared" si="388"/>
        <v>298</v>
      </c>
      <c r="FE638" t="str">
        <f t="shared" si="389"/>
        <v>water</v>
      </c>
      <c r="FF638" t="str">
        <f t="shared" si="390"/>
        <v xml:space="preserve"> </v>
      </c>
      <c r="FG638" s="408" t="str">
        <f t="shared" si="382"/>
        <v/>
      </c>
      <c r="FH638" s="138" t="str">
        <f t="shared" si="391"/>
        <v/>
      </c>
      <c r="FI638" s="106" t="str">
        <f t="shared" si="383"/>
        <v>**</v>
      </c>
      <c r="FJ638" s="138">
        <f t="shared" si="392"/>
        <v>-12.42021640338319</v>
      </c>
      <c r="FK638" s="138" t="str">
        <f t="shared" si="379"/>
        <v>**</v>
      </c>
    </row>
    <row r="639" spans="1:167" ht="12.75" hidden="1" customHeight="1" x14ac:dyDescent="0.2">
      <c r="A639">
        <v>604</v>
      </c>
      <c r="B639" s="4" t="s">
        <v>1226</v>
      </c>
      <c r="C639" s="4"/>
      <c r="D639" s="4" t="s">
        <v>450</v>
      </c>
      <c r="E639">
        <v>-1510</v>
      </c>
      <c r="F639" t="str">
        <f>VLOOKUP(E639,CompDbase!B:L,4,FALSE)</f>
        <v>n-Pentane</v>
      </c>
      <c r="G639" s="95" t="str">
        <f>VLOOKUP(E639,CompDbase!B:M,12,FALSE)</f>
        <v>Alk</v>
      </c>
      <c r="H639" s="95">
        <f>VLOOKUP(E639,CompDbase!B:L,8,FALSE)</f>
        <v>72.150000000000006</v>
      </c>
      <c r="I639" s="95" t="e">
        <f>VLOOKUP(E639,CompDbase!B:L,11,FALSE)</f>
        <v>#DIV/0!</v>
      </c>
      <c r="J639" s="95">
        <f>VLOOKUP(E639,CompDbase!B:L,9,FALSE)</f>
        <v>40</v>
      </c>
      <c r="K639" s="95">
        <f>VLOOKUP(E639,CompDbase!B:L,10,FALSE)</f>
        <v>3.39</v>
      </c>
      <c r="L639" s="4" t="s">
        <v>717</v>
      </c>
      <c r="O639" s="4"/>
      <c r="P639">
        <v>296</v>
      </c>
      <c r="Q639" s="4" t="s">
        <v>1049</v>
      </c>
      <c r="S639" s="4"/>
      <c r="Y639">
        <v>2.6300000000000004E-13</v>
      </c>
      <c r="Z639" s="95">
        <f t="shared" si="375"/>
        <v>-12.580044251510243</v>
      </c>
      <c r="AC639" t="s">
        <v>68</v>
      </c>
      <c r="DG639">
        <f t="shared" si="376"/>
        <v>-12.580044251510243</v>
      </c>
      <c r="DH639">
        <f t="shared" si="377"/>
        <v>72.150000000000006</v>
      </c>
      <c r="EY639" s="479">
        <f>VLOOKUP(B639,Literatuur!$A:$B,2,FALSE)</f>
        <v>12</v>
      </c>
      <c r="EZ639" t="str">
        <f t="shared" si="384"/>
        <v>n-Pentane</v>
      </c>
      <c r="FA639" t="str">
        <f t="shared" si="385"/>
        <v>Alk</v>
      </c>
      <c r="FB639" t="str">
        <f t="shared" si="386"/>
        <v>HDPE</v>
      </c>
      <c r="FC639" t="str">
        <f t="shared" si="387"/>
        <v/>
      </c>
      <c r="FD639">
        <f t="shared" si="388"/>
        <v>296</v>
      </c>
      <c r="FE639" t="str">
        <f t="shared" si="389"/>
        <v>water</v>
      </c>
      <c r="FF639" t="str">
        <f t="shared" si="390"/>
        <v xml:space="preserve"> </v>
      </c>
      <c r="FG639" s="408" t="str">
        <f t="shared" si="382"/>
        <v/>
      </c>
      <c r="FH639" s="138" t="str">
        <f t="shared" si="391"/>
        <v/>
      </c>
      <c r="FI639" s="106" t="str">
        <f t="shared" si="383"/>
        <v>**</v>
      </c>
      <c r="FJ639" s="138">
        <f t="shared" si="392"/>
        <v>-12.580044251510243</v>
      </c>
      <c r="FK639" s="138" t="str">
        <f t="shared" si="379"/>
        <v>**</v>
      </c>
    </row>
    <row r="640" spans="1:167" ht="12.75" hidden="1" customHeight="1" x14ac:dyDescent="0.2">
      <c r="A640">
        <v>605</v>
      </c>
      <c r="B640" s="4" t="s">
        <v>1226</v>
      </c>
      <c r="C640" s="4"/>
      <c r="D640" s="4" t="s">
        <v>799</v>
      </c>
      <c r="E640">
        <v>-1504</v>
      </c>
      <c r="F640" t="str">
        <f>VLOOKUP(E640,CompDbase!B:L,4,FALSE)</f>
        <v>Propane</v>
      </c>
      <c r="G640" s="95" t="str">
        <f>VLOOKUP(E640,CompDbase!B:M,12,FALSE)</f>
        <v>Alk</v>
      </c>
      <c r="H640" s="95">
        <f>VLOOKUP(E640,CompDbase!B:L,8,FALSE)</f>
        <v>44.1</v>
      </c>
      <c r="I640" s="95" t="e">
        <f>VLOOKUP(E640,CompDbase!B:L,11,FALSE)</f>
        <v>#DIV/0!</v>
      </c>
      <c r="J640" s="95">
        <f>VLOOKUP(E640,CompDbase!B:L,9,FALSE)</f>
        <v>75</v>
      </c>
      <c r="K640" s="95">
        <f>VLOOKUP(E640,CompDbase!B:L,10,FALSE)</f>
        <v>2.36</v>
      </c>
      <c r="L640" s="4" t="s">
        <v>717</v>
      </c>
      <c r="O640" s="4"/>
      <c r="P640">
        <v>296</v>
      </c>
      <c r="Q640" s="4" t="s">
        <v>1049</v>
      </c>
      <c r="S640" s="4"/>
      <c r="Y640">
        <v>4.7000000000000002E-13</v>
      </c>
      <c r="Z640" s="95">
        <f t="shared" si="375"/>
        <v>-12.327902142064282</v>
      </c>
      <c r="AC640" t="s">
        <v>68</v>
      </c>
      <c r="AG640" s="138"/>
      <c r="BW640" s="138"/>
      <c r="DG640">
        <f t="shared" si="376"/>
        <v>-12.327902142064282</v>
      </c>
      <c r="DH640">
        <f t="shared" si="377"/>
        <v>44.1</v>
      </c>
      <c r="EY640" s="479">
        <f>VLOOKUP(B640,Literatuur!$A:$B,2,FALSE)</f>
        <v>12</v>
      </c>
      <c r="EZ640" t="str">
        <f t="shared" si="384"/>
        <v>Propane</v>
      </c>
      <c r="FA640" t="str">
        <f t="shared" si="385"/>
        <v>Alk</v>
      </c>
      <c r="FB640" t="str">
        <f t="shared" si="386"/>
        <v>HDPE</v>
      </c>
      <c r="FC640" t="str">
        <f t="shared" si="387"/>
        <v/>
      </c>
      <c r="FD640">
        <f t="shared" si="388"/>
        <v>296</v>
      </c>
      <c r="FE640" t="str">
        <f t="shared" si="389"/>
        <v>water</v>
      </c>
      <c r="FF640" t="str">
        <f t="shared" si="390"/>
        <v xml:space="preserve"> </v>
      </c>
      <c r="FG640" s="408" t="str">
        <f t="shared" si="382"/>
        <v/>
      </c>
      <c r="FH640" s="138" t="str">
        <f t="shared" si="391"/>
        <v/>
      </c>
      <c r="FI640" s="106" t="str">
        <f t="shared" si="383"/>
        <v>**</v>
      </c>
      <c r="FJ640" s="138">
        <f t="shared" si="392"/>
        <v>-12.327902142064282</v>
      </c>
      <c r="FK640" s="138" t="str">
        <f t="shared" si="379"/>
        <v>**</v>
      </c>
    </row>
    <row r="641" spans="1:167" ht="12.75" hidden="1" customHeight="1" x14ac:dyDescent="0.2">
      <c r="A641">
        <v>606</v>
      </c>
      <c r="B641" s="4" t="s">
        <v>1226</v>
      </c>
      <c r="C641" s="4"/>
      <c r="D641" s="4" t="s">
        <v>839</v>
      </c>
      <c r="E641">
        <v>-1503</v>
      </c>
      <c r="F641" t="str">
        <f>VLOOKUP(E641,CompDbase!B:L,4,FALSE)</f>
        <v>Propylene</v>
      </c>
      <c r="G641" s="95" t="str">
        <f>VLOOKUP(E641,CompDbase!B:M,12,FALSE)</f>
        <v>Alk</v>
      </c>
      <c r="H641" s="95">
        <f>VLOOKUP(E641,CompDbase!B:L,8,FALSE)</f>
        <v>42.08</v>
      </c>
      <c r="I641" s="95" t="e">
        <f>VLOOKUP(E641,CompDbase!B:L,11,FALSE)</f>
        <v>#DIV/0!</v>
      </c>
      <c r="J641" s="95">
        <f>VLOOKUP(E641,CompDbase!B:L,9,FALSE)</f>
        <v>292</v>
      </c>
      <c r="K641" s="95">
        <f>VLOOKUP(E641,CompDbase!B:L,10,FALSE)</f>
        <v>1.77</v>
      </c>
      <c r="L641" s="4" t="s">
        <v>717</v>
      </c>
      <c r="O641" s="4"/>
      <c r="P641">
        <v>296</v>
      </c>
      <c r="Q641" s="4" t="s">
        <v>1049</v>
      </c>
      <c r="S641" s="4"/>
      <c r="Y641">
        <v>9.2000000000000012E-13</v>
      </c>
      <c r="Z641" s="95">
        <f t="shared" si="375"/>
        <v>-12.036212172654444</v>
      </c>
      <c r="AC641" t="s">
        <v>68</v>
      </c>
      <c r="AG641" s="138"/>
      <c r="BW641" s="138"/>
      <c r="DG641">
        <f t="shared" si="376"/>
        <v>-12.036212172654444</v>
      </c>
      <c r="DH641">
        <f t="shared" si="377"/>
        <v>42.08</v>
      </c>
      <c r="EY641" s="479">
        <f>VLOOKUP(B641,Literatuur!$A:$B,2,FALSE)</f>
        <v>12</v>
      </c>
      <c r="EZ641" t="str">
        <f t="shared" si="384"/>
        <v>Propylene</v>
      </c>
      <c r="FA641" t="str">
        <f t="shared" si="385"/>
        <v>Alk</v>
      </c>
      <c r="FB641" t="str">
        <f t="shared" si="386"/>
        <v>HDPE</v>
      </c>
      <c r="FC641" t="str">
        <f t="shared" si="387"/>
        <v/>
      </c>
      <c r="FD641">
        <f t="shared" si="388"/>
        <v>296</v>
      </c>
      <c r="FE641" t="str">
        <f t="shared" si="389"/>
        <v>water</v>
      </c>
      <c r="FF641" t="str">
        <f t="shared" si="390"/>
        <v xml:space="preserve"> </v>
      </c>
      <c r="FG641" s="408" t="str">
        <f t="shared" si="382"/>
        <v/>
      </c>
      <c r="FH641" s="138" t="str">
        <f t="shared" si="391"/>
        <v/>
      </c>
      <c r="FI641" s="106" t="str">
        <f t="shared" si="383"/>
        <v>**</v>
      </c>
      <c r="FJ641" s="138">
        <f t="shared" si="392"/>
        <v>-12.036212172654444</v>
      </c>
      <c r="FK641" s="138" t="str">
        <f t="shared" si="379"/>
        <v>**</v>
      </c>
    </row>
    <row r="642" spans="1:167" ht="12.75" hidden="1" customHeight="1" x14ac:dyDescent="0.2">
      <c r="A642">
        <v>607</v>
      </c>
      <c r="B642" t="s">
        <v>1231</v>
      </c>
      <c r="D642" s="4" t="s">
        <v>759</v>
      </c>
      <c r="E642">
        <v>-1301</v>
      </c>
      <c r="F642" t="str">
        <f>VLOOKUP(E642,CompDbase!B:L,4,FALSE)</f>
        <v>Hexane</v>
      </c>
      <c r="G642" s="95" t="str">
        <f>VLOOKUP(E642,CompDbase!B:M,12,FALSE)</f>
        <v>Alk</v>
      </c>
      <c r="H642" s="95">
        <f>VLOOKUP(E642,CompDbase!B:L,8,FALSE)</f>
        <v>86.18</v>
      </c>
      <c r="I642" s="95" t="e">
        <f>VLOOKUP(E642,CompDbase!B:L,11,FALSE)</f>
        <v>#DIV/0!</v>
      </c>
      <c r="J642" s="95">
        <f>VLOOKUP(E642,CompDbase!B:L,9,FALSE)</f>
        <v>23</v>
      </c>
      <c r="K642" s="95">
        <f>VLOOKUP(E642,CompDbase!B:L,10,FALSE)</f>
        <v>3.8879999999999999</v>
      </c>
      <c r="L642" s="4" t="s">
        <v>717</v>
      </c>
      <c r="M642" s="420">
        <v>940000</v>
      </c>
      <c r="N642" s="420"/>
      <c r="O642" s="4" t="s">
        <v>1044</v>
      </c>
      <c r="P642">
        <v>293</v>
      </c>
      <c r="Q642" s="4" t="s">
        <v>1049</v>
      </c>
      <c r="T642" s="95">
        <v>1</v>
      </c>
      <c r="V642">
        <v>5.9900000000000002E-2</v>
      </c>
      <c r="W642" s="95">
        <f>V642*M642/J642</f>
        <v>2448.086956521739</v>
      </c>
      <c r="X642" s="288">
        <f t="shared" ref="X642:X660" si="393">LOG(W642)</f>
        <v>3.3888268399714172</v>
      </c>
      <c r="Y642">
        <v>3.6100000000000002E-12</v>
      </c>
      <c r="Z642" s="95">
        <f t="shared" si="375"/>
        <v>-11.442492798094342</v>
      </c>
      <c r="AA642" s="95">
        <f>W642*Y642</f>
        <v>8.8375939130434776E-9</v>
      </c>
      <c r="AB642" s="288">
        <f>LOG(AA642)</f>
        <v>-8.0536659581229255</v>
      </c>
      <c r="AC642" s="95" t="s">
        <v>68</v>
      </c>
      <c r="AD642" s="95"/>
      <c r="AG642" s="138">
        <f t="shared" ref="AG642:AG649" si="394">X642</f>
        <v>3.3888268399714172</v>
      </c>
      <c r="AH642">
        <f t="shared" ref="AH642:AI649" si="395">$K642</f>
        <v>3.8879999999999999</v>
      </c>
      <c r="AI642">
        <f t="shared" si="395"/>
        <v>3.8879999999999999</v>
      </c>
      <c r="AL642">
        <f t="shared" ref="AL642:AL649" si="396">$K642</f>
        <v>3.8879999999999999</v>
      </c>
      <c r="AO642">
        <f t="shared" ref="AO642:AO649" si="397">$K642</f>
        <v>3.8879999999999999</v>
      </c>
      <c r="BW642" s="138"/>
      <c r="BX642">
        <f t="shared" ref="BX642:BY649" si="398">LOG(1*$J642)</f>
        <v>1.3617278360175928</v>
      </c>
      <c r="BY642">
        <f t="shared" si="398"/>
        <v>1.3617278360175928</v>
      </c>
      <c r="CB642">
        <f t="shared" ref="CB642:CB649" si="399">LOG(1*$J642)</f>
        <v>1.3617278360175928</v>
      </c>
      <c r="CE642">
        <f t="shared" ref="CE642:CE649" si="400">LOG(1*$J642)</f>
        <v>1.3617278360175928</v>
      </c>
      <c r="DG642">
        <f t="shared" si="376"/>
        <v>-11.442492798094342</v>
      </c>
      <c r="DH642">
        <f t="shared" si="377"/>
        <v>86.18</v>
      </c>
      <c r="DI642">
        <f t="shared" si="377"/>
        <v>86.18</v>
      </c>
      <c r="EY642" s="479">
        <f>VLOOKUP(B642,Literatuur!$A:$B,2,FALSE)</f>
        <v>19</v>
      </c>
      <c r="EZ642" t="str">
        <f t="shared" si="384"/>
        <v>n-Hexane</v>
      </c>
      <c r="FA642" t="str">
        <f t="shared" si="385"/>
        <v>Alk</v>
      </c>
      <c r="FB642" t="str">
        <f t="shared" si="386"/>
        <v>HDPE</v>
      </c>
      <c r="FC642" t="str">
        <f t="shared" si="387"/>
        <v>Immersion</v>
      </c>
      <c r="FD642">
        <f t="shared" si="388"/>
        <v>293</v>
      </c>
      <c r="FE642" t="str">
        <f t="shared" si="389"/>
        <v>water</v>
      </c>
      <c r="FF642" t="str">
        <f t="shared" si="390"/>
        <v xml:space="preserve"> </v>
      </c>
      <c r="FG642" s="408">
        <f t="shared" si="382"/>
        <v>1</v>
      </c>
      <c r="FH642" s="138">
        <f t="shared" si="391"/>
        <v>3.3888268399714172</v>
      </c>
      <c r="FI642" s="106">
        <f t="shared" si="383"/>
        <v>3.1405528403857295</v>
      </c>
      <c r="FJ642" s="138">
        <f t="shared" si="392"/>
        <v>-11.442492798094342</v>
      </c>
      <c r="FK642" s="138" t="str">
        <f t="shared" si="379"/>
        <v>**</v>
      </c>
    </row>
    <row r="643" spans="1:167" ht="12.75" hidden="1" customHeight="1" x14ac:dyDescent="0.2">
      <c r="A643">
        <v>608</v>
      </c>
      <c r="B643" t="s">
        <v>1231</v>
      </c>
      <c r="D643" s="4" t="s">
        <v>761</v>
      </c>
      <c r="E643">
        <v>-1304</v>
      </c>
      <c r="F643" t="str">
        <f>VLOOKUP(E643,CompDbase!B:L,4,FALSE)</f>
        <v>Octane</v>
      </c>
      <c r="G643" s="95" t="str">
        <f>VLOOKUP(E643,CompDbase!B:M,12,FALSE)</f>
        <v>Alk</v>
      </c>
      <c r="H643" s="95">
        <f>VLOOKUP(E643,CompDbase!B:L,8,FALSE)</f>
        <v>114.23</v>
      </c>
      <c r="I643" s="95" t="e">
        <f>VLOOKUP(E643,CompDbase!B:L,11,FALSE)</f>
        <v>#DIV/0!</v>
      </c>
      <c r="J643" s="95">
        <f>VLOOKUP(E643,CompDbase!B:L,9,FALSE)</f>
        <v>0.7</v>
      </c>
      <c r="K643" s="95">
        <f>VLOOKUP(E643,CompDbase!B:L,10,FALSE)</f>
        <v>5.15</v>
      </c>
      <c r="L643" s="4" t="s">
        <v>717</v>
      </c>
      <c r="M643" s="420">
        <v>940000</v>
      </c>
      <c r="N643" s="420"/>
      <c r="O643" s="4" t="s">
        <v>1044</v>
      </c>
      <c r="P643">
        <v>293</v>
      </c>
      <c r="Q643" s="4" t="s">
        <v>1049</v>
      </c>
      <c r="T643" s="95">
        <v>1</v>
      </c>
      <c r="V643">
        <v>6.0400000000000002E-2</v>
      </c>
      <c r="W643" s="95">
        <f>V643*M643/J643</f>
        <v>81108.571428571435</v>
      </c>
      <c r="X643" s="288">
        <f t="shared" si="393"/>
        <v>4.9090667522065736</v>
      </c>
      <c r="Y643">
        <v>1.8900000000000002E-12</v>
      </c>
      <c r="Z643" s="95">
        <f t="shared" si="375"/>
        <v>-11.723538195826755</v>
      </c>
      <c r="AA643" s="95">
        <f>W643*Y643</f>
        <v>1.5329520000000003E-7</v>
      </c>
      <c r="AB643" s="288">
        <f>LOG(AA643)</f>
        <v>-6.8144714436201825</v>
      </c>
      <c r="AC643" s="95" t="s">
        <v>68</v>
      </c>
      <c r="AD643" s="95"/>
      <c r="AG643" s="138">
        <f t="shared" si="394"/>
        <v>4.9090667522065736</v>
      </c>
      <c r="AH643">
        <f t="shared" si="395"/>
        <v>5.15</v>
      </c>
      <c r="AI643">
        <f t="shared" si="395"/>
        <v>5.15</v>
      </c>
      <c r="AL643">
        <f t="shared" si="396"/>
        <v>5.15</v>
      </c>
      <c r="AO643">
        <f t="shared" si="397"/>
        <v>5.15</v>
      </c>
      <c r="BW643" s="138"/>
      <c r="BX643">
        <f t="shared" si="398"/>
        <v>-0.15490195998574319</v>
      </c>
      <c r="BY643">
        <f t="shared" si="398"/>
        <v>-0.15490195998574319</v>
      </c>
      <c r="CB643">
        <f t="shared" si="399"/>
        <v>-0.15490195998574319</v>
      </c>
      <c r="CE643">
        <f t="shared" si="400"/>
        <v>-0.15490195998574319</v>
      </c>
      <c r="DG643">
        <f t="shared" si="376"/>
        <v>-11.723538195826755</v>
      </c>
      <c r="DH643">
        <f t="shared" si="377"/>
        <v>114.23</v>
      </c>
      <c r="DI643">
        <f t="shared" si="377"/>
        <v>114.23</v>
      </c>
      <c r="EY643" s="479">
        <f>VLOOKUP(B643,Literatuur!$A:$B,2,FALSE)</f>
        <v>19</v>
      </c>
      <c r="EZ643" t="str">
        <f t="shared" si="384"/>
        <v>n-Octane</v>
      </c>
      <c r="FA643" t="str">
        <f t="shared" si="385"/>
        <v>Alk</v>
      </c>
      <c r="FB643" t="str">
        <f t="shared" si="386"/>
        <v>HDPE</v>
      </c>
      <c r="FC643" t="str">
        <f t="shared" si="387"/>
        <v>Immersion</v>
      </c>
      <c r="FD643">
        <f t="shared" si="388"/>
        <v>293</v>
      </c>
      <c r="FE643" t="str">
        <f t="shared" si="389"/>
        <v>water</v>
      </c>
      <c r="FF643" t="str">
        <f t="shared" si="390"/>
        <v xml:space="preserve"> </v>
      </c>
      <c r="FG643" s="408">
        <f t="shared" si="382"/>
        <v>1</v>
      </c>
      <c r="FH643" s="138">
        <f t="shared" si="391"/>
        <v>4.9090667522065736</v>
      </c>
      <c r="FI643" s="106">
        <f t="shared" si="383"/>
        <v>4.6196912115869564</v>
      </c>
      <c r="FJ643" s="138">
        <f t="shared" si="392"/>
        <v>-11.723538195826755</v>
      </c>
      <c r="FK643" s="138" t="str">
        <f t="shared" si="379"/>
        <v>**</v>
      </c>
    </row>
    <row r="644" spans="1:167" ht="12.75" hidden="1" customHeight="1" x14ac:dyDescent="0.2">
      <c r="A644">
        <v>609</v>
      </c>
      <c r="B644" t="s">
        <v>430</v>
      </c>
      <c r="D644" t="s">
        <v>281</v>
      </c>
      <c r="E644">
        <v>-1305</v>
      </c>
      <c r="F644" t="str">
        <f>VLOOKUP(E644,CompDbase!B:L,4,FALSE)</f>
        <v>2,2,4-Trimethylpentane</v>
      </c>
      <c r="G644" s="95" t="str">
        <f>VLOOKUP(E644,CompDbase!B:M,12,FALSE)</f>
        <v>Alk</v>
      </c>
      <c r="H644" s="95">
        <f>VLOOKUP(E644,CompDbase!B:L,8,FALSE)</f>
        <v>112.21</v>
      </c>
      <c r="I644" s="95" t="e">
        <f>VLOOKUP(E644,CompDbase!B:L,11,FALSE)</f>
        <v>#DIV/0!</v>
      </c>
      <c r="J644" s="95">
        <f>VLOOKUP(E644,CompDbase!B:L,9,FALSE)</f>
        <v>14.2</v>
      </c>
      <c r="K644" s="95">
        <f>VLOOKUP(E644,CompDbase!B:L,10,FALSE)</f>
        <v>4.37</v>
      </c>
      <c r="L644" s="4" t="s">
        <v>717</v>
      </c>
      <c r="M644" s="423"/>
      <c r="N644" s="423">
        <v>948000</v>
      </c>
      <c r="O644" s="4" t="s">
        <v>1044</v>
      </c>
      <c r="P644">
        <v>293</v>
      </c>
      <c r="Q644" s="4" t="s">
        <v>1049</v>
      </c>
      <c r="R644" s="289" t="s">
        <v>1988</v>
      </c>
      <c r="T644" s="95">
        <v>1</v>
      </c>
      <c r="V644" s="36">
        <v>4.4999999999999998E-2</v>
      </c>
      <c r="W644" s="95">
        <f t="shared" ref="W644:W660" si="401">V644*N644/J644</f>
        <v>3004.2253521126763</v>
      </c>
      <c r="X644" s="288">
        <f t="shared" si="393"/>
        <v>3.4777325067303533</v>
      </c>
      <c r="Z644" s="190"/>
      <c r="AC644" t="s">
        <v>68</v>
      </c>
      <c r="AG644" s="138">
        <f t="shared" si="394"/>
        <v>3.4777325067303533</v>
      </c>
      <c r="AH644">
        <f t="shared" si="395"/>
        <v>4.37</v>
      </c>
      <c r="AI644">
        <f t="shared" si="395"/>
        <v>4.37</v>
      </c>
      <c r="AL644">
        <f t="shared" si="396"/>
        <v>4.37</v>
      </c>
      <c r="AO644">
        <f t="shared" si="397"/>
        <v>4.37</v>
      </c>
      <c r="BW644" s="138"/>
      <c r="BX644">
        <f t="shared" si="398"/>
        <v>1.1522883443830565</v>
      </c>
      <c r="BY644">
        <f t="shared" si="398"/>
        <v>1.1522883443830565</v>
      </c>
      <c r="CB644">
        <f t="shared" si="399"/>
        <v>1.1522883443830565</v>
      </c>
      <c r="CE644">
        <f t="shared" si="400"/>
        <v>1.1522883443830565</v>
      </c>
      <c r="DG644" s="138"/>
      <c r="EY644" s="479">
        <f>VLOOKUP(B644,Literatuur!$A:$B,2,FALSE)</f>
        <v>37</v>
      </c>
      <c r="EZ644" t="str">
        <f t="shared" si="384"/>
        <v>2,2,4-Trimethylpentaan</v>
      </c>
      <c r="FA644" t="str">
        <f t="shared" si="385"/>
        <v>Alk</v>
      </c>
      <c r="FB644" t="str">
        <f t="shared" si="386"/>
        <v>HDPE</v>
      </c>
      <c r="FC644" t="str">
        <f t="shared" si="387"/>
        <v>Immersion</v>
      </c>
      <c r="FD644">
        <f t="shared" si="388"/>
        <v>293</v>
      </c>
      <c r="FE644" t="str">
        <f t="shared" si="389"/>
        <v>water</v>
      </c>
      <c r="FF644" t="str">
        <f t="shared" si="390"/>
        <v xml:space="preserve">saturated </v>
      </c>
      <c r="FG644" s="408">
        <f t="shared" si="382"/>
        <v>1</v>
      </c>
      <c r="FH644" s="138">
        <f t="shared" si="391"/>
        <v>3.4777325067303533</v>
      </c>
      <c r="FI644" s="106">
        <f t="shared" si="383"/>
        <v>3.7054852452343754</v>
      </c>
      <c r="FJ644" s="138" t="str">
        <f t="shared" si="392"/>
        <v/>
      </c>
      <c r="FK644" s="138" t="str">
        <f t="shared" si="379"/>
        <v>**</v>
      </c>
    </row>
    <row r="645" spans="1:167" ht="12.75" hidden="1" customHeight="1" x14ac:dyDescent="0.2">
      <c r="A645">
        <v>610</v>
      </c>
      <c r="B645" t="s">
        <v>430</v>
      </c>
      <c r="D645" t="s">
        <v>278</v>
      </c>
      <c r="E645">
        <v>-1302</v>
      </c>
      <c r="F645" t="str">
        <f>VLOOKUP(E645,CompDbase!B:L,4,FALSE)</f>
        <v>Cyclohexane</v>
      </c>
      <c r="G645" s="95" t="str">
        <f>VLOOKUP(E645,CompDbase!B:M,12,FALSE)</f>
        <v>Alk</v>
      </c>
      <c r="H645" s="95">
        <f>VLOOKUP(E645,CompDbase!B:L,8,FALSE)</f>
        <v>84.16</v>
      </c>
      <c r="I645" s="95">
        <f>VLOOKUP(E645,CompDbase!B:L,11,FALSE)</f>
        <v>104.7</v>
      </c>
      <c r="J645" s="95">
        <f>VLOOKUP(E645,CompDbase!B:L,9,FALSE)</f>
        <v>49</v>
      </c>
      <c r="K645" s="95">
        <f>VLOOKUP(E645,CompDbase!B:L,10,FALSE)</f>
        <v>3.48</v>
      </c>
      <c r="L645" s="4" t="s">
        <v>717</v>
      </c>
      <c r="M645" s="423"/>
      <c r="N645" s="423">
        <v>948000</v>
      </c>
      <c r="O645" s="4" t="s">
        <v>1044</v>
      </c>
      <c r="P645">
        <v>293</v>
      </c>
      <c r="Q645" s="4" t="s">
        <v>1049</v>
      </c>
      <c r="R645" s="289" t="s">
        <v>1988</v>
      </c>
      <c r="T645" s="95">
        <v>1</v>
      </c>
      <c r="V645" s="36">
        <v>7.9000000000000001E-2</v>
      </c>
      <c r="W645" s="95">
        <f t="shared" si="401"/>
        <v>1528.408163265306</v>
      </c>
      <c r="X645" s="288">
        <f t="shared" si="393"/>
        <v>3.184239348599994</v>
      </c>
      <c r="Z645" s="190"/>
      <c r="AC645" t="s">
        <v>68</v>
      </c>
      <c r="AG645" s="138">
        <f t="shared" si="394"/>
        <v>3.184239348599994</v>
      </c>
      <c r="AH645">
        <f t="shared" si="395"/>
        <v>3.48</v>
      </c>
      <c r="AI645">
        <f t="shared" si="395"/>
        <v>3.48</v>
      </c>
      <c r="AL645">
        <f t="shared" si="396"/>
        <v>3.48</v>
      </c>
      <c r="AO645">
        <f t="shared" si="397"/>
        <v>3.48</v>
      </c>
      <c r="BW645" s="138"/>
      <c r="BX645">
        <f t="shared" si="398"/>
        <v>1.6901960800285136</v>
      </c>
      <c r="BY645">
        <f t="shared" si="398"/>
        <v>1.6901960800285136</v>
      </c>
      <c r="CB645">
        <f t="shared" si="399"/>
        <v>1.6901960800285136</v>
      </c>
      <c r="CE645">
        <f t="shared" si="400"/>
        <v>1.6901960800285136</v>
      </c>
      <c r="DG645" s="138"/>
      <c r="EY645" s="479">
        <f>VLOOKUP(B645,Literatuur!$A:$B,2,FALSE)</f>
        <v>37</v>
      </c>
      <c r="EZ645" t="str">
        <f t="shared" si="384"/>
        <v>Cyclohexaan</v>
      </c>
      <c r="FA645" t="str">
        <f t="shared" si="385"/>
        <v>Alk</v>
      </c>
      <c r="FB645" t="str">
        <f t="shared" si="386"/>
        <v>HDPE</v>
      </c>
      <c r="FC645" t="str">
        <f t="shared" si="387"/>
        <v>Immersion</v>
      </c>
      <c r="FD645">
        <f t="shared" si="388"/>
        <v>293</v>
      </c>
      <c r="FE645" t="str">
        <f t="shared" si="389"/>
        <v>water</v>
      </c>
      <c r="FF645" t="str">
        <f t="shared" si="390"/>
        <v xml:space="preserve">saturated </v>
      </c>
      <c r="FG645" s="408">
        <f t="shared" si="382"/>
        <v>1</v>
      </c>
      <c r="FH645" s="138">
        <f t="shared" si="391"/>
        <v>3.184239348599994</v>
      </c>
      <c r="FI645" s="106">
        <f t="shared" si="383"/>
        <v>2.6623527964474567</v>
      </c>
      <c r="FJ645" s="138" t="str">
        <f t="shared" si="392"/>
        <v/>
      </c>
      <c r="FK645" s="138" t="str">
        <f t="shared" si="379"/>
        <v>**</v>
      </c>
    </row>
    <row r="646" spans="1:167" ht="12.75" hidden="1" customHeight="1" x14ac:dyDescent="0.2">
      <c r="A646">
        <v>611</v>
      </c>
      <c r="B646" t="s">
        <v>430</v>
      </c>
      <c r="D646" t="s">
        <v>469</v>
      </c>
      <c r="E646">
        <v>-1303</v>
      </c>
      <c r="F646" t="str">
        <f>VLOOKUP(E646,CompDbase!B:L,4,FALSE)</f>
        <v>n-Heptane</v>
      </c>
      <c r="G646" s="95" t="str">
        <f>VLOOKUP(E646,CompDbase!B:M,12,FALSE)</f>
        <v>Alk</v>
      </c>
      <c r="H646" s="95">
        <f>VLOOKUP(E646,CompDbase!B:L,8,FALSE)</f>
        <v>100.2</v>
      </c>
      <c r="I646" s="95" t="e">
        <f>VLOOKUP(E646,CompDbase!B:L,11,FALSE)</f>
        <v>#DIV/0!</v>
      </c>
      <c r="J646" s="95">
        <f>VLOOKUP(E646,CompDbase!B:L,9,FALSE)</f>
        <v>2.6</v>
      </c>
      <c r="K646" s="95">
        <f>VLOOKUP(E646,CompDbase!B:L,10,FALSE)</f>
        <v>4.58</v>
      </c>
      <c r="L646" s="4" t="s">
        <v>717</v>
      </c>
      <c r="M646" s="423"/>
      <c r="N646" s="423">
        <v>948000</v>
      </c>
      <c r="O646" s="4" t="s">
        <v>1044</v>
      </c>
      <c r="P646">
        <v>293</v>
      </c>
      <c r="Q646" s="4" t="s">
        <v>1049</v>
      </c>
      <c r="R646" s="289" t="s">
        <v>1988</v>
      </c>
      <c r="T646" s="95">
        <v>1</v>
      </c>
      <c r="V646" s="36">
        <v>5.2999999999999999E-2</v>
      </c>
      <c r="W646" s="95">
        <f t="shared" si="401"/>
        <v>19324.615384615383</v>
      </c>
      <c r="X646" s="288">
        <f t="shared" si="393"/>
        <v>4.286110858968037</v>
      </c>
      <c r="Z646" s="190"/>
      <c r="AC646" t="s">
        <v>68</v>
      </c>
      <c r="AG646" s="138">
        <f t="shared" si="394"/>
        <v>4.286110858968037</v>
      </c>
      <c r="AH646">
        <f t="shared" si="395"/>
        <v>4.58</v>
      </c>
      <c r="AI646">
        <f t="shared" si="395"/>
        <v>4.58</v>
      </c>
      <c r="AL646">
        <f t="shared" si="396"/>
        <v>4.58</v>
      </c>
      <c r="AO646">
        <f t="shared" si="397"/>
        <v>4.58</v>
      </c>
      <c r="BW646" s="138"/>
      <c r="BX646">
        <f t="shared" si="398"/>
        <v>0.41497334797081797</v>
      </c>
      <c r="BY646">
        <f t="shared" si="398"/>
        <v>0.41497334797081797</v>
      </c>
      <c r="CB646">
        <f t="shared" si="399"/>
        <v>0.41497334797081797</v>
      </c>
      <c r="CE646">
        <f t="shared" si="400"/>
        <v>0.41497334797081797</v>
      </c>
      <c r="DG646" s="138"/>
      <c r="EY646" s="479">
        <f>VLOOKUP(B646,Literatuur!$A:$B,2,FALSE)</f>
        <v>37</v>
      </c>
      <c r="EZ646" t="str">
        <f t="shared" si="384"/>
        <v>Heptaan (n-heptaan)</v>
      </c>
      <c r="FA646" t="str">
        <f t="shared" si="385"/>
        <v>Alk</v>
      </c>
      <c r="FB646" t="str">
        <f t="shared" si="386"/>
        <v>HDPE</v>
      </c>
      <c r="FC646" t="str">
        <f t="shared" si="387"/>
        <v>Immersion</v>
      </c>
      <c r="FD646">
        <f t="shared" si="388"/>
        <v>293</v>
      </c>
      <c r="FE646" t="str">
        <f t="shared" si="389"/>
        <v>water</v>
      </c>
      <c r="FF646" t="str">
        <f t="shared" si="390"/>
        <v xml:space="preserve">saturated </v>
      </c>
      <c r="FG646" s="408">
        <f t="shared" si="382"/>
        <v>1</v>
      </c>
      <c r="FH646" s="138">
        <f t="shared" si="391"/>
        <v>4.286110858968037</v>
      </c>
      <c r="FI646" s="106">
        <f t="shared" si="383"/>
        <v>3.9516176207908398</v>
      </c>
      <c r="FJ646" s="138" t="str">
        <f t="shared" si="392"/>
        <v/>
      </c>
      <c r="FK646" s="138" t="str">
        <f t="shared" si="379"/>
        <v>**</v>
      </c>
    </row>
    <row r="647" spans="1:167" s="13" customFormat="1" ht="12.75" hidden="1" customHeight="1" x14ac:dyDescent="0.2">
      <c r="A647">
        <v>612</v>
      </c>
      <c r="B647" s="13" t="s">
        <v>430</v>
      </c>
      <c r="D647" s="13" t="s">
        <v>277</v>
      </c>
      <c r="E647" s="13">
        <v>-1301</v>
      </c>
      <c r="F647" s="13" t="str">
        <f>VLOOKUP(E647,CompDbase!B:L,4,FALSE)</f>
        <v>Hexane</v>
      </c>
      <c r="G647" s="182" t="str">
        <f>VLOOKUP(E647,CompDbase!B:M,12,FALSE)</f>
        <v>Alk</v>
      </c>
      <c r="H647" s="182">
        <f>VLOOKUP(E647,CompDbase!B:L,8,FALSE)</f>
        <v>86.18</v>
      </c>
      <c r="I647" s="182" t="e">
        <f>VLOOKUP(E647,CompDbase!B:L,11,FALSE)</f>
        <v>#DIV/0!</v>
      </c>
      <c r="J647" s="182">
        <f>VLOOKUP(E647,CompDbase!B:L,9,FALSE)</f>
        <v>23</v>
      </c>
      <c r="K647" s="182">
        <f>VLOOKUP(E647,CompDbase!B:L,10,FALSE)</f>
        <v>3.8879999999999999</v>
      </c>
      <c r="L647" s="14" t="s">
        <v>717</v>
      </c>
      <c r="M647" s="424"/>
      <c r="N647" s="424">
        <v>948000</v>
      </c>
      <c r="O647" s="14" t="s">
        <v>1044</v>
      </c>
      <c r="P647" s="13">
        <v>293</v>
      </c>
      <c r="Q647" s="14" t="s">
        <v>1049</v>
      </c>
      <c r="R647" s="405" t="s">
        <v>1988</v>
      </c>
      <c r="T647" s="182">
        <v>1</v>
      </c>
      <c r="V647" s="411">
        <v>5.2999999999999999E-2</v>
      </c>
      <c r="W647" s="182">
        <f t="shared" si="401"/>
        <v>2184.521739130435</v>
      </c>
      <c r="X647" s="317">
        <f t="shared" si="393"/>
        <v>3.3393563709212626</v>
      </c>
      <c r="Z647" s="191"/>
      <c r="AC647" s="13" t="s">
        <v>68</v>
      </c>
      <c r="AF647"/>
      <c r="AG647" s="138">
        <f t="shared" si="394"/>
        <v>3.3393563709212626</v>
      </c>
      <c r="AH647">
        <f t="shared" si="395"/>
        <v>3.8879999999999999</v>
      </c>
      <c r="AI647">
        <f t="shared" si="395"/>
        <v>3.8879999999999999</v>
      </c>
      <c r="AL647">
        <f t="shared" si="396"/>
        <v>3.8879999999999999</v>
      </c>
      <c r="AM647"/>
      <c r="AN647"/>
      <c r="AO647">
        <f t="shared" si="397"/>
        <v>3.8879999999999999</v>
      </c>
      <c r="BW647" s="138"/>
      <c r="BX647">
        <f t="shared" si="398"/>
        <v>1.3617278360175928</v>
      </c>
      <c r="BY647">
        <f t="shared" si="398"/>
        <v>1.3617278360175928</v>
      </c>
      <c r="CB647">
        <f t="shared" si="399"/>
        <v>1.3617278360175928</v>
      </c>
      <c r="CC647"/>
      <c r="CD647"/>
      <c r="CE647">
        <f t="shared" si="400"/>
        <v>1.3617278360175928</v>
      </c>
      <c r="DF647"/>
      <c r="DG647" s="138"/>
      <c r="DH647"/>
      <c r="DI647"/>
      <c r="DL647"/>
      <c r="DM647"/>
      <c r="DN647"/>
      <c r="DO647"/>
      <c r="DP647"/>
      <c r="EY647" s="479">
        <f>VLOOKUP(B647,Literatuur!$A:$B,2,FALSE)</f>
        <v>37</v>
      </c>
      <c r="EZ647" t="str">
        <f t="shared" si="384"/>
        <v>Hexaan</v>
      </c>
      <c r="FA647" t="str">
        <f t="shared" si="385"/>
        <v>Alk</v>
      </c>
      <c r="FB647" t="str">
        <f t="shared" si="386"/>
        <v>HDPE</v>
      </c>
      <c r="FC647" t="str">
        <f t="shared" si="387"/>
        <v>Immersion</v>
      </c>
      <c r="FD647">
        <f t="shared" si="388"/>
        <v>293</v>
      </c>
      <c r="FE647" t="str">
        <f t="shared" si="389"/>
        <v>water</v>
      </c>
      <c r="FF647" t="str">
        <f t="shared" si="390"/>
        <v xml:space="preserve">saturated </v>
      </c>
      <c r="FG647" s="408">
        <f t="shared" si="382"/>
        <v>1</v>
      </c>
      <c r="FH647" s="138">
        <f t="shared" si="391"/>
        <v>3.3393563709212626</v>
      </c>
      <c r="FI647" s="106">
        <f t="shared" si="383"/>
        <v>3.1405528403857295</v>
      </c>
      <c r="FJ647" s="138" t="str">
        <f t="shared" si="392"/>
        <v/>
      </c>
      <c r="FK647" s="138" t="str">
        <f t="shared" si="379"/>
        <v>**</v>
      </c>
    </row>
    <row r="648" spans="1:167" s="9" customFormat="1" ht="12.75" hidden="1" customHeight="1" x14ac:dyDescent="0.2">
      <c r="A648">
        <v>613</v>
      </c>
      <c r="B648" s="9" t="s">
        <v>430</v>
      </c>
      <c r="D648" s="9" t="s">
        <v>275</v>
      </c>
      <c r="E648" s="9">
        <v>-1300</v>
      </c>
      <c r="F648" s="9" t="str">
        <f>VLOOKUP(E648,CompDbase!B:L,4,FALSE)</f>
        <v>Pentane</v>
      </c>
      <c r="G648" s="181" t="str">
        <f>VLOOKUP(E648,CompDbase!B:M,12,FALSE)</f>
        <v>Alk</v>
      </c>
      <c r="H648" s="181">
        <f>VLOOKUP(E648,CompDbase!B:L,8,FALSE)</f>
        <v>72.150000000000006</v>
      </c>
      <c r="I648" s="181" t="e">
        <f>VLOOKUP(E648,CompDbase!B:L,11,FALSE)</f>
        <v>#DIV/0!</v>
      </c>
      <c r="J648" s="181">
        <f>VLOOKUP(E648,CompDbase!B:L,9,FALSE)</f>
        <v>39.25</v>
      </c>
      <c r="K648" s="181">
        <f>VLOOKUP(E648,CompDbase!B:L,10,FALSE)</f>
        <v>3.42</v>
      </c>
      <c r="L648" s="10" t="s">
        <v>717</v>
      </c>
      <c r="M648" s="425"/>
      <c r="N648" s="425">
        <v>948000</v>
      </c>
      <c r="O648" s="10" t="s">
        <v>1044</v>
      </c>
      <c r="P648" s="9">
        <v>293</v>
      </c>
      <c r="Q648" s="10" t="s">
        <v>1049</v>
      </c>
      <c r="R648" s="393" t="s">
        <v>1988</v>
      </c>
      <c r="T648" s="95">
        <v>1</v>
      </c>
      <c r="V648" s="410">
        <v>5.0999999999999997E-2</v>
      </c>
      <c r="W648" s="181">
        <f t="shared" si="401"/>
        <v>1231.7961783439491</v>
      </c>
      <c r="X648" s="316">
        <f t="shared" si="393"/>
        <v>3.0905388523547312</v>
      </c>
      <c r="Z648" s="189"/>
      <c r="AC648" s="9" t="s">
        <v>68</v>
      </c>
      <c r="AF648"/>
      <c r="AG648" s="138">
        <f t="shared" si="394"/>
        <v>3.0905388523547312</v>
      </c>
      <c r="AH648">
        <f t="shared" si="395"/>
        <v>3.42</v>
      </c>
      <c r="AI648">
        <f t="shared" si="395"/>
        <v>3.42</v>
      </c>
      <c r="AL648">
        <f t="shared" si="396"/>
        <v>3.42</v>
      </c>
      <c r="AM648"/>
      <c r="AN648"/>
      <c r="AO648">
        <f t="shared" si="397"/>
        <v>3.42</v>
      </c>
      <c r="BW648" s="138"/>
      <c r="BX648">
        <f t="shared" si="398"/>
        <v>1.5938396610812713</v>
      </c>
      <c r="BY648">
        <f t="shared" si="398"/>
        <v>1.5938396610812713</v>
      </c>
      <c r="CB648">
        <f t="shared" si="399"/>
        <v>1.5938396610812713</v>
      </c>
      <c r="CC648"/>
      <c r="CD648"/>
      <c r="CE648">
        <f t="shared" si="400"/>
        <v>1.5938396610812713</v>
      </c>
      <c r="DF648"/>
      <c r="DG648" s="138"/>
      <c r="DH648"/>
      <c r="DI648"/>
      <c r="DL648"/>
      <c r="DM648"/>
      <c r="DN648"/>
      <c r="DO648"/>
      <c r="DP648"/>
      <c r="EY648" s="479">
        <f>VLOOKUP(B648,Literatuur!$A:$B,2,FALSE)</f>
        <v>37</v>
      </c>
      <c r="EZ648" t="str">
        <f t="shared" si="384"/>
        <v>n-Pentaan</v>
      </c>
      <c r="FA648" t="str">
        <f t="shared" si="385"/>
        <v>Alk</v>
      </c>
      <c r="FB648" t="str">
        <f t="shared" si="386"/>
        <v>HDPE</v>
      </c>
      <c r="FC648" t="str">
        <f t="shared" si="387"/>
        <v>Immersion</v>
      </c>
      <c r="FD648">
        <f t="shared" si="388"/>
        <v>293</v>
      </c>
      <c r="FE648" t="str">
        <f t="shared" si="389"/>
        <v>water</v>
      </c>
      <c r="FF648" t="str">
        <f t="shared" si="390"/>
        <v xml:space="preserve">saturated </v>
      </c>
      <c r="FG648" s="408">
        <f t="shared" si="382"/>
        <v>1</v>
      </c>
      <c r="FH648" s="138">
        <f t="shared" si="391"/>
        <v>3.0905388523547312</v>
      </c>
      <c r="FI648" s="106">
        <f t="shared" si="383"/>
        <v>2.592029260574181</v>
      </c>
      <c r="FJ648" s="138" t="str">
        <f t="shared" si="392"/>
        <v/>
      </c>
      <c r="FK648" s="138" t="str">
        <f t="shared" si="379"/>
        <v>**</v>
      </c>
    </row>
    <row r="649" spans="1:167" ht="12.75" hidden="1" customHeight="1" x14ac:dyDescent="0.2">
      <c r="A649">
        <v>614</v>
      </c>
      <c r="B649" t="s">
        <v>430</v>
      </c>
      <c r="D649" t="s">
        <v>31</v>
      </c>
      <c r="E649">
        <v>-1304</v>
      </c>
      <c r="F649" t="str">
        <f>VLOOKUP(E649,CompDbase!B:L,4,FALSE)</f>
        <v>Octane</v>
      </c>
      <c r="G649" s="95" t="str">
        <f>VLOOKUP(E649,CompDbase!B:M,12,FALSE)</f>
        <v>Alk</v>
      </c>
      <c r="H649" s="95">
        <f>VLOOKUP(E649,CompDbase!B:L,8,FALSE)</f>
        <v>114.23</v>
      </c>
      <c r="I649" s="95" t="e">
        <f>VLOOKUP(E649,CompDbase!B:L,11,FALSE)</f>
        <v>#DIV/0!</v>
      </c>
      <c r="J649" s="95">
        <f>VLOOKUP(E649,CompDbase!B:L,9,FALSE)</f>
        <v>0.7</v>
      </c>
      <c r="K649" s="95">
        <f>VLOOKUP(E649,CompDbase!B:L,10,FALSE)</f>
        <v>5.15</v>
      </c>
      <c r="L649" s="4" t="s">
        <v>717</v>
      </c>
      <c r="M649" s="423"/>
      <c r="N649" s="423">
        <v>948000</v>
      </c>
      <c r="O649" s="4" t="s">
        <v>1044</v>
      </c>
      <c r="P649">
        <v>293</v>
      </c>
      <c r="Q649" s="4" t="s">
        <v>1049</v>
      </c>
      <c r="R649" s="289" t="s">
        <v>1988</v>
      </c>
      <c r="T649" s="95">
        <v>1</v>
      </c>
      <c r="V649" s="36">
        <v>5.2999999999999999E-2</v>
      </c>
      <c r="W649" s="95">
        <f t="shared" si="401"/>
        <v>71777.142857142855</v>
      </c>
      <c r="X649" s="288">
        <f t="shared" si="393"/>
        <v>4.8559861669245983</v>
      </c>
      <c r="Z649" s="190"/>
      <c r="AC649" t="s">
        <v>68</v>
      </c>
      <c r="AG649" s="138">
        <f t="shared" si="394"/>
        <v>4.8559861669245983</v>
      </c>
      <c r="AH649">
        <f t="shared" si="395"/>
        <v>5.15</v>
      </c>
      <c r="AI649">
        <f t="shared" si="395"/>
        <v>5.15</v>
      </c>
      <c r="AL649">
        <f t="shared" si="396"/>
        <v>5.15</v>
      </c>
      <c r="AO649">
        <f t="shared" si="397"/>
        <v>5.15</v>
      </c>
      <c r="BW649" s="138"/>
      <c r="BX649">
        <f t="shared" si="398"/>
        <v>-0.15490195998574319</v>
      </c>
      <c r="BY649">
        <f t="shared" si="398"/>
        <v>-0.15490195998574319</v>
      </c>
      <c r="CB649">
        <f t="shared" si="399"/>
        <v>-0.15490195998574319</v>
      </c>
      <c r="CE649">
        <f t="shared" si="400"/>
        <v>-0.15490195998574319</v>
      </c>
      <c r="DG649" s="138"/>
      <c r="EY649" s="479">
        <f>VLOOKUP(B649,Literatuur!$A:$B,2,FALSE)</f>
        <v>37</v>
      </c>
      <c r="EZ649" t="str">
        <f t="shared" si="384"/>
        <v>Octaan</v>
      </c>
      <c r="FA649" t="str">
        <f t="shared" si="385"/>
        <v>Alk</v>
      </c>
      <c r="FB649" t="str">
        <f t="shared" si="386"/>
        <v>HDPE</v>
      </c>
      <c r="FC649" t="str">
        <f t="shared" si="387"/>
        <v>Immersion</v>
      </c>
      <c r="FD649">
        <f t="shared" si="388"/>
        <v>293</v>
      </c>
      <c r="FE649" t="str">
        <f t="shared" si="389"/>
        <v>water</v>
      </c>
      <c r="FF649" t="str">
        <f t="shared" si="390"/>
        <v xml:space="preserve">saturated </v>
      </c>
      <c r="FG649" s="408">
        <f t="shared" si="382"/>
        <v>1</v>
      </c>
      <c r="FH649" s="138">
        <f t="shared" si="391"/>
        <v>4.8559861669245983</v>
      </c>
      <c r="FI649" s="106">
        <f t="shared" si="383"/>
        <v>4.6196912115869564</v>
      </c>
      <c r="FJ649" s="138" t="str">
        <f t="shared" si="392"/>
        <v/>
      </c>
      <c r="FK649" s="138" t="str">
        <f t="shared" si="379"/>
        <v>**</v>
      </c>
    </row>
    <row r="650" spans="1:167" ht="12.75" hidden="1" customHeight="1" x14ac:dyDescent="0.2">
      <c r="A650">
        <v>615</v>
      </c>
      <c r="B650" t="s">
        <v>430</v>
      </c>
      <c r="D650" t="s">
        <v>331</v>
      </c>
      <c r="E650">
        <v>-1407</v>
      </c>
      <c r="F650" t="str">
        <f>VLOOKUP(E650,CompDbase!B:L,4,FALSE)</f>
        <v>X,X-Dichlorphenol</v>
      </c>
      <c r="G650" s="95" t="str">
        <f>VLOOKUP(E650,CompDbase!B:M,12,FALSE)</f>
        <v>Cl</v>
      </c>
      <c r="H650" s="95">
        <f>VLOOKUP(E650,CompDbase!B:L,8,FALSE)</f>
        <v>163</v>
      </c>
      <c r="I650" s="95" t="e">
        <f>VLOOKUP(E650,CompDbase!B:L,11,FALSE)</f>
        <v>#DIV/0!</v>
      </c>
      <c r="J650" s="95" t="e">
        <f>VLOOKUP(E650,CompDbase!B:L,9,FALSE)</f>
        <v>#DIV/0!</v>
      </c>
      <c r="K650" s="95" t="e">
        <f>VLOOKUP(E650,CompDbase!B:L,10,FALSE)</f>
        <v>#DIV/0!</v>
      </c>
      <c r="L650" s="4" t="s">
        <v>717</v>
      </c>
      <c r="M650" s="423"/>
      <c r="N650" s="423">
        <v>948000</v>
      </c>
      <c r="O650" s="4" t="s">
        <v>1044</v>
      </c>
      <c r="P650">
        <v>293</v>
      </c>
      <c r="Q650" s="4" t="s">
        <v>1049</v>
      </c>
      <c r="R650" s="289" t="s">
        <v>1988</v>
      </c>
      <c r="T650" s="95">
        <v>1</v>
      </c>
      <c r="V650" s="33">
        <v>4.0000000000000001E-3</v>
      </c>
      <c r="W650" s="95" t="e">
        <f t="shared" si="401"/>
        <v>#DIV/0!</v>
      </c>
      <c r="X650" s="288" t="e">
        <f t="shared" si="393"/>
        <v>#DIV/0!</v>
      </c>
      <c r="Z650" s="190"/>
      <c r="AC650" t="s">
        <v>68</v>
      </c>
      <c r="AG650" s="138"/>
      <c r="BW650" s="138"/>
      <c r="DG650" s="138"/>
      <c r="EY650" s="479">
        <f>VLOOKUP(B650,Literatuur!$A:$B,2,FALSE)</f>
        <v>37</v>
      </c>
      <c r="EZ650" t="str">
        <f t="shared" si="384"/>
        <v>1,2-Dichloorfenol</v>
      </c>
      <c r="FA650" t="str">
        <f t="shared" si="385"/>
        <v>Cl</v>
      </c>
      <c r="FB650" t="str">
        <f t="shared" si="386"/>
        <v>HDPE</v>
      </c>
      <c r="FC650" t="str">
        <f t="shared" si="387"/>
        <v>Immersion</v>
      </c>
      <c r="FD650">
        <f t="shared" si="388"/>
        <v>293</v>
      </c>
      <c r="FE650" t="str">
        <f t="shared" si="389"/>
        <v>water</v>
      </c>
      <c r="FF650" t="str">
        <f t="shared" si="390"/>
        <v xml:space="preserve">saturated </v>
      </c>
      <c r="FG650" s="408">
        <f t="shared" si="382"/>
        <v>1</v>
      </c>
      <c r="FH650" s="138" t="str">
        <f t="shared" si="391"/>
        <v/>
      </c>
      <c r="FI650" s="106" t="str">
        <f t="shared" si="383"/>
        <v>**</v>
      </c>
      <c r="FJ650" s="138" t="str">
        <f t="shared" si="392"/>
        <v/>
      </c>
      <c r="FK650" s="138" t="str">
        <f t="shared" si="379"/>
        <v>**</v>
      </c>
    </row>
    <row r="651" spans="1:167" ht="12.75" hidden="1" customHeight="1" x14ac:dyDescent="0.2">
      <c r="A651">
        <v>616</v>
      </c>
      <c r="B651" t="s">
        <v>430</v>
      </c>
      <c r="D651" t="s">
        <v>135</v>
      </c>
      <c r="E651">
        <v>508</v>
      </c>
      <c r="F651" t="str">
        <f>VLOOKUP(E651,CompDbase!B:L,4,FALSE)</f>
        <v>2,3,4-Trichlorophenol</v>
      </c>
      <c r="G651" s="95" t="str">
        <f>VLOOKUP(E651,CompDbase!B:M,12,FALSE)</f>
        <v>Cl</v>
      </c>
      <c r="H651" s="95">
        <f>VLOOKUP(E651,CompDbase!B:L,8,FALSE)</f>
        <v>197.5</v>
      </c>
      <c r="I651" s="95" t="e">
        <f>VLOOKUP(E651,CompDbase!B:L,11,FALSE)</f>
        <v>#DIV/0!</v>
      </c>
      <c r="J651" s="95">
        <f>VLOOKUP(E651,CompDbase!B:L,9,FALSE)</f>
        <v>71.099999999999994</v>
      </c>
      <c r="K651" s="95">
        <f>VLOOKUP(E651,CompDbase!B:L,10,FALSE)</f>
        <v>3.8</v>
      </c>
      <c r="L651" s="4" t="s">
        <v>717</v>
      </c>
      <c r="M651" s="423"/>
      <c r="N651" s="423">
        <v>948000</v>
      </c>
      <c r="O651" s="4" t="s">
        <v>1044</v>
      </c>
      <c r="P651">
        <v>293</v>
      </c>
      <c r="Q651" s="4" t="s">
        <v>1049</v>
      </c>
      <c r="R651" s="289" t="s">
        <v>1988</v>
      </c>
      <c r="T651" s="95">
        <v>1</v>
      </c>
      <c r="V651" s="33">
        <v>6.0000000000000001E-3</v>
      </c>
      <c r="W651" s="95">
        <f t="shared" si="401"/>
        <v>80</v>
      </c>
      <c r="X651" s="288">
        <f t="shared" si="393"/>
        <v>1.9030899869919435</v>
      </c>
      <c r="Z651" s="190"/>
      <c r="AC651" t="s">
        <v>68</v>
      </c>
      <c r="AG651" s="138">
        <f t="shared" ref="AG651:AG652" si="402">X651</f>
        <v>1.9030899869919435</v>
      </c>
      <c r="AH651">
        <f t="shared" ref="AH651:AI652" si="403">$K651</f>
        <v>3.8</v>
      </c>
      <c r="AI651">
        <f t="shared" si="403"/>
        <v>3.8</v>
      </c>
      <c r="AN651">
        <f t="shared" ref="AN651:AN652" si="404">$K651</f>
        <v>3.8</v>
      </c>
      <c r="AQ651">
        <f t="shared" ref="AQ651:AQ652" si="405">$K651</f>
        <v>3.8</v>
      </c>
      <c r="BW651" s="138"/>
      <c r="BX651">
        <f>LOG(1*$J651)</f>
        <v>1.8518696007297664</v>
      </c>
      <c r="BY651">
        <f>LOG(1*$J651)</f>
        <v>1.8518696007297664</v>
      </c>
      <c r="CD651">
        <f>LOG(1*$J651)</f>
        <v>1.8518696007297664</v>
      </c>
      <c r="CG651">
        <f>LOG(1*$J651)</f>
        <v>1.8518696007297664</v>
      </c>
      <c r="DG651" s="138"/>
      <c r="EY651" s="479">
        <f>VLOOKUP(B651,Literatuur!$A:$B,2,FALSE)</f>
        <v>37</v>
      </c>
      <c r="EZ651" t="str">
        <f t="shared" si="384"/>
        <v>2,3,4-Trichloorfenol</v>
      </c>
      <c r="FA651" t="str">
        <f t="shared" si="385"/>
        <v>Cl</v>
      </c>
      <c r="FB651" t="str">
        <f t="shared" si="386"/>
        <v>HDPE</v>
      </c>
      <c r="FC651" t="str">
        <f t="shared" si="387"/>
        <v>Immersion</v>
      </c>
      <c r="FD651">
        <f t="shared" si="388"/>
        <v>293</v>
      </c>
      <c r="FE651" t="str">
        <f t="shared" si="389"/>
        <v>water</v>
      </c>
      <c r="FF651" t="str">
        <f t="shared" si="390"/>
        <v xml:space="preserve">saturated </v>
      </c>
      <c r="FG651" s="408">
        <f t="shared" si="382"/>
        <v>1</v>
      </c>
      <c r="FH651" s="138">
        <f t="shared" si="391"/>
        <v>1.9030899869919435</v>
      </c>
      <c r="FI651" s="106">
        <f t="shared" si="383"/>
        <v>2.0703442526093596</v>
      </c>
      <c r="FJ651" s="138" t="str">
        <f t="shared" si="392"/>
        <v/>
      </c>
      <c r="FK651" s="138" t="str">
        <f t="shared" si="379"/>
        <v>**</v>
      </c>
    </row>
    <row r="652" spans="1:167" ht="12.75" hidden="1" customHeight="1" x14ac:dyDescent="0.2">
      <c r="A652">
        <v>617</v>
      </c>
      <c r="B652" t="s">
        <v>430</v>
      </c>
      <c r="D652" t="s">
        <v>164</v>
      </c>
      <c r="E652">
        <v>547</v>
      </c>
      <c r="F652" t="str">
        <f>VLOOKUP(E652,CompDbase!B:L,4,FALSE)</f>
        <v>2,3,5,6-Tetrachlorophenol</v>
      </c>
      <c r="G652" s="95" t="str">
        <f>VLOOKUP(E652,CompDbase!B:M,12,FALSE)</f>
        <v>Cl</v>
      </c>
      <c r="H652" s="95">
        <f>VLOOKUP(E652,CompDbase!B:L,8,FALSE)</f>
        <v>231.9</v>
      </c>
      <c r="I652" s="95" t="e">
        <f>VLOOKUP(E652,CompDbase!B:L,11,FALSE)</f>
        <v>#DIV/0!</v>
      </c>
      <c r="J652" s="95">
        <f>VLOOKUP(E652,CompDbase!B:L,9,FALSE)</f>
        <v>4.79</v>
      </c>
      <c r="K652" s="95">
        <f>VLOOKUP(E652,CompDbase!B:L,10,FALSE)</f>
        <v>3.88</v>
      </c>
      <c r="L652" s="4" t="s">
        <v>717</v>
      </c>
      <c r="M652" s="423"/>
      <c r="N652" s="423">
        <v>948000</v>
      </c>
      <c r="O652" s="4" t="s">
        <v>1044</v>
      </c>
      <c r="P652">
        <v>293</v>
      </c>
      <c r="Q652" s="4" t="s">
        <v>1049</v>
      </c>
      <c r="R652" s="289" t="s">
        <v>1988</v>
      </c>
      <c r="T652" s="95">
        <v>1</v>
      </c>
      <c r="V652" s="33">
        <v>2E-3</v>
      </c>
      <c r="W652" s="95">
        <f t="shared" si="401"/>
        <v>395.82463465553235</v>
      </c>
      <c r="X652" s="288">
        <f t="shared" si="393"/>
        <v>2.5975028195874841</v>
      </c>
      <c r="Z652" s="190"/>
      <c r="AC652" t="s">
        <v>68</v>
      </c>
      <c r="AG652" s="138">
        <f t="shared" si="402"/>
        <v>2.5975028195874841</v>
      </c>
      <c r="AH652">
        <f t="shared" si="403"/>
        <v>3.88</v>
      </c>
      <c r="AI652">
        <f t="shared" si="403"/>
        <v>3.88</v>
      </c>
      <c r="AN652">
        <f t="shared" si="404"/>
        <v>3.88</v>
      </c>
      <c r="AQ652">
        <f t="shared" si="405"/>
        <v>3.88</v>
      </c>
      <c r="BW652" s="138"/>
      <c r="BX652">
        <f>LOG(1*$J652)</f>
        <v>0.68033551341456322</v>
      </c>
      <c r="BY652">
        <f>LOG(1*$J652)</f>
        <v>0.68033551341456322</v>
      </c>
      <c r="CD652">
        <f>LOG(1*$J652)</f>
        <v>0.68033551341456322</v>
      </c>
      <c r="CG652">
        <f>LOG(1*$J652)</f>
        <v>0.68033551341456322</v>
      </c>
      <c r="DG652" s="138"/>
      <c r="EY652" s="479">
        <f>VLOOKUP(B652,Literatuur!$A:$B,2,FALSE)</f>
        <v>37</v>
      </c>
      <c r="EZ652" t="str">
        <f t="shared" si="384"/>
        <v>2,3,5,6-Tetrachloorfenol</v>
      </c>
      <c r="FA652" t="str">
        <f t="shared" si="385"/>
        <v>Cl</v>
      </c>
      <c r="FB652" t="str">
        <f t="shared" si="386"/>
        <v>HDPE</v>
      </c>
      <c r="FC652" t="str">
        <f t="shared" si="387"/>
        <v>Immersion</v>
      </c>
      <c r="FD652">
        <f t="shared" si="388"/>
        <v>293</v>
      </c>
      <c r="FE652" t="str">
        <f t="shared" si="389"/>
        <v>water</v>
      </c>
      <c r="FF652" t="str">
        <f t="shared" si="390"/>
        <v xml:space="preserve">saturated </v>
      </c>
      <c r="FG652" s="408">
        <f t="shared" si="382"/>
        <v>1</v>
      </c>
      <c r="FH652" s="138">
        <f t="shared" si="391"/>
        <v>2.5975028195874841</v>
      </c>
      <c r="FI652" s="106">
        <f t="shared" si="383"/>
        <v>2.1688029576778387</v>
      </c>
      <c r="FJ652" s="138" t="str">
        <f t="shared" si="392"/>
        <v/>
      </c>
      <c r="FK652" s="138" t="str">
        <f t="shared" si="379"/>
        <v>**</v>
      </c>
    </row>
    <row r="653" spans="1:167" ht="12.75" hidden="1" customHeight="1" x14ac:dyDescent="0.2">
      <c r="A653">
        <v>618</v>
      </c>
      <c r="B653" t="s">
        <v>430</v>
      </c>
      <c r="D653" t="s">
        <v>333</v>
      </c>
      <c r="E653">
        <v>-1409</v>
      </c>
      <c r="F653" t="str">
        <f>VLOOKUP(E653,CompDbase!B:L,4,FALSE)</f>
        <v>2,3-Dichloor-5-nitrotolueen</v>
      </c>
      <c r="G653" s="95" t="str">
        <f>VLOOKUP(E653,CompDbase!B:M,12,FALSE)</f>
        <v>Cl</v>
      </c>
      <c r="H653" s="95" t="e">
        <f>VLOOKUP(E653,CompDbase!B:L,8,FALSE)</f>
        <v>#DIV/0!</v>
      </c>
      <c r="I653" s="95" t="e">
        <f>VLOOKUP(E653,CompDbase!B:L,11,FALSE)</f>
        <v>#DIV/0!</v>
      </c>
      <c r="J653" s="95" t="e">
        <f>VLOOKUP(E653,CompDbase!B:L,9,FALSE)</f>
        <v>#DIV/0!</v>
      </c>
      <c r="K653" s="95" t="e">
        <f>VLOOKUP(E653,CompDbase!B:L,10,FALSE)</f>
        <v>#DIV/0!</v>
      </c>
      <c r="L653" s="4" t="s">
        <v>717</v>
      </c>
      <c r="M653" s="423"/>
      <c r="N653" s="423">
        <v>948000</v>
      </c>
      <c r="O653" s="4" t="s">
        <v>1044</v>
      </c>
      <c r="P653">
        <v>293</v>
      </c>
      <c r="Q653" s="4" t="s">
        <v>1049</v>
      </c>
      <c r="R653" s="289" t="s">
        <v>1988</v>
      </c>
      <c r="T653" s="95">
        <v>1</v>
      </c>
      <c r="V653" s="33">
        <v>4.0000000000000001E-3</v>
      </c>
      <c r="W653" s="95" t="e">
        <f t="shared" si="401"/>
        <v>#DIV/0!</v>
      </c>
      <c r="X653" s="288" t="e">
        <f t="shared" si="393"/>
        <v>#DIV/0!</v>
      </c>
      <c r="Z653" s="190"/>
      <c r="AC653" t="s">
        <v>68</v>
      </c>
      <c r="AG653" s="138"/>
      <c r="BW653" s="138"/>
      <c r="DG653" s="138"/>
      <c r="EY653" s="479">
        <f>VLOOKUP(B653,Literatuur!$A:$B,2,FALSE)</f>
        <v>37</v>
      </c>
      <c r="EZ653" t="str">
        <f t="shared" si="384"/>
        <v>2,3-Dichloor-5-nitrotolueen</v>
      </c>
      <c r="FA653" t="str">
        <f t="shared" si="385"/>
        <v>Cl</v>
      </c>
      <c r="FB653" t="str">
        <f t="shared" si="386"/>
        <v>HDPE</v>
      </c>
      <c r="FC653" t="str">
        <f t="shared" si="387"/>
        <v>Immersion</v>
      </c>
      <c r="FD653">
        <f t="shared" si="388"/>
        <v>293</v>
      </c>
      <c r="FE653" t="str">
        <f t="shared" si="389"/>
        <v>water</v>
      </c>
      <c r="FF653" t="str">
        <f t="shared" si="390"/>
        <v xml:space="preserve">saturated </v>
      </c>
      <c r="FG653" s="408">
        <f t="shared" si="382"/>
        <v>1</v>
      </c>
      <c r="FH653" s="138" t="str">
        <f t="shared" si="391"/>
        <v/>
      </c>
      <c r="FI653" s="106" t="str">
        <f t="shared" si="383"/>
        <v>**</v>
      </c>
      <c r="FJ653" s="138" t="str">
        <f t="shared" si="392"/>
        <v/>
      </c>
      <c r="FK653" s="138" t="str">
        <f t="shared" si="379"/>
        <v>**</v>
      </c>
    </row>
    <row r="654" spans="1:167" ht="12.75" hidden="1" customHeight="1" x14ac:dyDescent="0.2">
      <c r="A654">
        <v>619</v>
      </c>
      <c r="B654" t="s">
        <v>430</v>
      </c>
      <c r="D654" t="s">
        <v>161</v>
      </c>
      <c r="E654">
        <v>544</v>
      </c>
      <c r="F654" t="str">
        <f>VLOOKUP(E654,CompDbase!B:L,4,FALSE)</f>
        <v>2,4,6-Trichlorophenol</v>
      </c>
      <c r="G654" s="95" t="str">
        <f>VLOOKUP(E654,CompDbase!B:M,12,FALSE)</f>
        <v>Cl</v>
      </c>
      <c r="H654" s="95">
        <f>VLOOKUP(E654,CompDbase!B:L,8,FALSE)</f>
        <v>197.46</v>
      </c>
      <c r="I654" s="95" t="e">
        <f>VLOOKUP(E654,CompDbase!B:L,11,FALSE)</f>
        <v>#DIV/0!</v>
      </c>
      <c r="J654" s="95">
        <f>VLOOKUP(E654,CompDbase!B:L,9,FALSE)</f>
        <v>243</v>
      </c>
      <c r="K654" s="95">
        <f>VLOOKUP(E654,CompDbase!B:L,10,FALSE)</f>
        <v>3.6950000000000003</v>
      </c>
      <c r="L654" s="4" t="s">
        <v>717</v>
      </c>
      <c r="M654" s="423"/>
      <c r="N654" s="423">
        <v>948000</v>
      </c>
      <c r="O654" s="4" t="s">
        <v>1044</v>
      </c>
      <c r="P654">
        <v>293</v>
      </c>
      <c r="Q654" s="4" t="s">
        <v>1049</v>
      </c>
      <c r="R654" s="289" t="s">
        <v>1988</v>
      </c>
      <c r="T654" s="95">
        <v>1</v>
      </c>
      <c r="V654" s="33">
        <v>1.2E-2</v>
      </c>
      <c r="W654" s="95">
        <f t="shared" si="401"/>
        <v>46.814814814814817</v>
      </c>
      <c r="X654" s="288">
        <f t="shared" si="393"/>
        <v>1.6703833097873788</v>
      </c>
      <c r="Z654" s="190"/>
      <c r="AC654" t="s">
        <v>68</v>
      </c>
      <c r="AG654" s="138">
        <f t="shared" ref="AG654:AG660" si="406">X654</f>
        <v>1.6703833097873788</v>
      </c>
      <c r="AH654">
        <f t="shared" ref="AH654:AI660" si="407">$K654</f>
        <v>3.6950000000000003</v>
      </c>
      <c r="AI654">
        <f t="shared" si="407"/>
        <v>3.6950000000000003</v>
      </c>
      <c r="AN654">
        <f t="shared" ref="AN654:AN660" si="408">$K654</f>
        <v>3.6950000000000003</v>
      </c>
      <c r="AQ654">
        <f t="shared" ref="AQ654:AQ660" si="409">$K654</f>
        <v>3.6950000000000003</v>
      </c>
      <c r="BW654" s="138"/>
      <c r="BX654">
        <f t="shared" ref="BX654:BY660" si="410">LOG(1*$J654)</f>
        <v>2.3856062735983121</v>
      </c>
      <c r="BY654">
        <f t="shared" si="410"/>
        <v>2.3856062735983121</v>
      </c>
      <c r="CD654">
        <f t="shared" ref="CD654:CD660" si="411">LOG(1*$J654)</f>
        <v>2.3856062735983121</v>
      </c>
      <c r="CG654">
        <f t="shared" ref="CG654:CG660" si="412">LOG(1*$J654)</f>
        <v>2.3856062735983121</v>
      </c>
      <c r="DG654" s="138"/>
      <c r="EY654" s="479">
        <f>VLOOKUP(B654,Literatuur!$A:$B,2,FALSE)</f>
        <v>37</v>
      </c>
      <c r="EZ654" t="str">
        <f t="shared" si="384"/>
        <v>2,4,6-Trichloorfenol</v>
      </c>
      <c r="FA654" t="str">
        <f t="shared" si="385"/>
        <v>Cl</v>
      </c>
      <c r="FB654" t="str">
        <f t="shared" si="386"/>
        <v>HDPE</v>
      </c>
      <c r="FC654" t="str">
        <f t="shared" si="387"/>
        <v>Immersion</v>
      </c>
      <c r="FD654">
        <f t="shared" si="388"/>
        <v>293</v>
      </c>
      <c r="FE654" t="str">
        <f t="shared" si="389"/>
        <v>water</v>
      </c>
      <c r="FF654" t="str">
        <f t="shared" si="390"/>
        <v xml:space="preserve">saturated </v>
      </c>
      <c r="FG654" s="408">
        <f t="shared" si="382"/>
        <v>1</v>
      </c>
      <c r="FH654" s="138">
        <f t="shared" si="391"/>
        <v>1.6703833097873788</v>
      </c>
      <c r="FI654" s="106">
        <f t="shared" si="383"/>
        <v>1.941117202206982</v>
      </c>
      <c r="FJ654" s="138" t="str">
        <f t="shared" si="392"/>
        <v/>
      </c>
      <c r="FK654" s="138" t="str">
        <f t="shared" si="379"/>
        <v>**</v>
      </c>
    </row>
    <row r="655" spans="1:167" ht="12.75" hidden="1" customHeight="1" x14ac:dyDescent="0.2">
      <c r="A655">
        <v>620</v>
      </c>
      <c r="B655" t="s">
        <v>430</v>
      </c>
      <c r="D655" t="s">
        <v>325</v>
      </c>
      <c r="E655">
        <v>-1401</v>
      </c>
      <c r="F655" t="str">
        <f>VLOOKUP(E655,CompDbase!B:L,4,FALSE)</f>
        <v>2-Chloroaniline</v>
      </c>
      <c r="G655" s="95" t="str">
        <f>VLOOKUP(E655,CompDbase!B:M,12,FALSE)</f>
        <v>Cl</v>
      </c>
      <c r="H655" s="95">
        <f>VLOOKUP(E655,CompDbase!B:L,8,FALSE)</f>
        <v>127.57</v>
      </c>
      <c r="I655" s="95" t="e">
        <f>VLOOKUP(E655,CompDbase!B:L,11,FALSE)</f>
        <v>#DIV/0!</v>
      </c>
      <c r="J655" s="95">
        <f>VLOOKUP(E655,CompDbase!B:L,9,FALSE)</f>
        <v>8160</v>
      </c>
      <c r="K655" s="95">
        <f>VLOOKUP(E655,CompDbase!B:L,10,FALSE)</f>
        <v>1.9</v>
      </c>
      <c r="L655" s="4" t="s">
        <v>717</v>
      </c>
      <c r="M655" s="423"/>
      <c r="N655" s="423">
        <v>948000</v>
      </c>
      <c r="O655" s="4" t="s">
        <v>1044</v>
      </c>
      <c r="P655">
        <v>293</v>
      </c>
      <c r="Q655" s="4" t="s">
        <v>1049</v>
      </c>
      <c r="R655" s="289" t="s">
        <v>1988</v>
      </c>
      <c r="T655" s="95">
        <v>1</v>
      </c>
      <c r="V655" s="33">
        <v>2.1999999999999999E-2</v>
      </c>
      <c r="W655" s="95">
        <f t="shared" si="401"/>
        <v>2.5558823529411763</v>
      </c>
      <c r="X655" s="288">
        <f t="shared" si="393"/>
        <v>0.40754085940641133</v>
      </c>
      <c r="Z655" s="190"/>
      <c r="AC655" t="s">
        <v>68</v>
      </c>
      <c r="AG655" s="138">
        <f t="shared" si="406"/>
        <v>0.40754085940641133</v>
      </c>
      <c r="AH655">
        <f t="shared" si="407"/>
        <v>1.9</v>
      </c>
      <c r="AI655">
        <f t="shared" si="407"/>
        <v>1.9</v>
      </c>
      <c r="AN655">
        <f t="shared" si="408"/>
        <v>1.9</v>
      </c>
      <c r="AQ655">
        <f t="shared" si="409"/>
        <v>1.9</v>
      </c>
      <c r="BW655" s="138"/>
      <c r="BX655">
        <f t="shared" si="410"/>
        <v>3.9116901587538613</v>
      </c>
      <c r="BY655">
        <f t="shared" si="410"/>
        <v>3.9116901587538613</v>
      </c>
      <c r="CD655">
        <f t="shared" si="411"/>
        <v>3.9116901587538613</v>
      </c>
      <c r="CG655">
        <f t="shared" si="412"/>
        <v>3.9116901587538613</v>
      </c>
      <c r="DG655" s="138"/>
      <c r="EY655" s="479">
        <f>VLOOKUP(B655,Literatuur!$A:$B,2,FALSE)</f>
        <v>37</v>
      </c>
      <c r="EZ655" t="str">
        <f t="shared" si="384"/>
        <v>2-Chlooraniline</v>
      </c>
      <c r="FA655" t="str">
        <f t="shared" si="385"/>
        <v>Cl</v>
      </c>
      <c r="FB655" t="str">
        <f t="shared" si="386"/>
        <v>HDPE</v>
      </c>
      <c r="FC655" t="str">
        <f t="shared" si="387"/>
        <v>Immersion</v>
      </c>
      <c r="FD655">
        <f t="shared" si="388"/>
        <v>293</v>
      </c>
      <c r="FE655" t="str">
        <f t="shared" si="389"/>
        <v>water</v>
      </c>
      <c r="FF655" t="str">
        <f t="shared" si="390"/>
        <v xml:space="preserve">saturated </v>
      </c>
      <c r="FG655" s="408">
        <f t="shared" si="382"/>
        <v>1</v>
      </c>
      <c r="FH655" s="138">
        <f t="shared" si="391"/>
        <v>0.40754085940641133</v>
      </c>
      <c r="FI655" s="106">
        <f t="shared" si="383"/>
        <v>-0.26804999276701436</v>
      </c>
      <c r="FJ655" s="138" t="str">
        <f t="shared" si="392"/>
        <v/>
      </c>
      <c r="FK655" s="138" t="str">
        <f t="shared" si="379"/>
        <v>**</v>
      </c>
    </row>
    <row r="656" spans="1:167" s="9" customFormat="1" ht="12.75" hidden="1" customHeight="1" x14ac:dyDescent="0.2">
      <c r="A656">
        <v>621</v>
      </c>
      <c r="B656" s="9" t="s">
        <v>430</v>
      </c>
      <c r="D656" s="9" t="s">
        <v>160</v>
      </c>
      <c r="E656" s="9">
        <v>543</v>
      </c>
      <c r="F656" s="9" t="str">
        <f>VLOOKUP(E656,CompDbase!B:L,4,FALSE)</f>
        <v>3,4,5-Trichlorophenol</v>
      </c>
      <c r="G656" s="181" t="str">
        <f>VLOOKUP(E656,CompDbase!B:M,12,FALSE)</f>
        <v>Cl</v>
      </c>
      <c r="H656" s="181">
        <f>VLOOKUP(E656,CompDbase!B:L,8,FALSE)</f>
        <v>197.45</v>
      </c>
      <c r="I656" s="181" t="e">
        <f>VLOOKUP(E656,CompDbase!B:L,11,FALSE)</f>
        <v>#DIV/0!</v>
      </c>
      <c r="J656" s="181">
        <f>VLOOKUP(E656,CompDbase!B:L,9,FALSE)</f>
        <v>34.6</v>
      </c>
      <c r="K656" s="181">
        <f>VLOOKUP(E656,CompDbase!B:L,10,FALSE)</f>
        <v>4.01</v>
      </c>
      <c r="L656" s="10" t="s">
        <v>717</v>
      </c>
      <c r="M656" s="425"/>
      <c r="N656" s="425">
        <v>948000</v>
      </c>
      <c r="O656" s="10" t="s">
        <v>1044</v>
      </c>
      <c r="P656" s="9">
        <v>293</v>
      </c>
      <c r="Q656" s="10" t="s">
        <v>1049</v>
      </c>
      <c r="R656" s="289" t="s">
        <v>1988</v>
      </c>
      <c r="T656" s="181">
        <v>1</v>
      </c>
      <c r="V656" s="91">
        <v>3.0000000000000001E-3</v>
      </c>
      <c r="W656" s="181">
        <f t="shared" si="401"/>
        <v>82.196531791907518</v>
      </c>
      <c r="X656" s="316">
        <f t="shared" si="393"/>
        <v>1.9148534932649521</v>
      </c>
      <c r="Z656" s="189"/>
      <c r="AC656" s="9" t="s">
        <v>68</v>
      </c>
      <c r="AF656"/>
      <c r="AG656" s="138">
        <f t="shared" si="406"/>
        <v>1.9148534932649521</v>
      </c>
      <c r="AH656">
        <f t="shared" si="407"/>
        <v>4.01</v>
      </c>
      <c r="AI656">
        <f t="shared" si="407"/>
        <v>4.01</v>
      </c>
      <c r="AN656">
        <f t="shared" si="408"/>
        <v>4.01</v>
      </c>
      <c r="AQ656">
        <f t="shared" si="409"/>
        <v>4.01</v>
      </c>
      <c r="BW656" s="138"/>
      <c r="BX656">
        <f t="shared" si="410"/>
        <v>1.5390760987927767</v>
      </c>
      <c r="BY656">
        <f t="shared" si="410"/>
        <v>1.5390760987927767</v>
      </c>
      <c r="CD656">
        <f t="shared" si="411"/>
        <v>1.5390760987927767</v>
      </c>
      <c r="CG656">
        <f t="shared" si="412"/>
        <v>1.5390760987927767</v>
      </c>
      <c r="DF656"/>
      <c r="DG656" s="138"/>
      <c r="DH656"/>
      <c r="DI656"/>
      <c r="DO656"/>
      <c r="DP656"/>
      <c r="EY656" s="479">
        <f>VLOOKUP(B656,Literatuur!$A:$B,2,FALSE)</f>
        <v>37</v>
      </c>
      <c r="EZ656" t="str">
        <f t="shared" si="384"/>
        <v>3,4,5-Trichloorfenol</v>
      </c>
      <c r="FA656" t="str">
        <f t="shared" si="385"/>
        <v>Cl</v>
      </c>
      <c r="FB656" t="str">
        <f t="shared" si="386"/>
        <v>HDPE</v>
      </c>
      <c r="FC656" t="str">
        <f t="shared" si="387"/>
        <v>Immersion</v>
      </c>
      <c r="FD656">
        <f t="shared" si="388"/>
        <v>293</v>
      </c>
      <c r="FE656" t="str">
        <f t="shared" si="389"/>
        <v>water</v>
      </c>
      <c r="FF656" t="str">
        <f t="shared" si="390"/>
        <v xml:space="preserve">saturated </v>
      </c>
      <c r="FG656" s="408">
        <f t="shared" si="382"/>
        <v>1</v>
      </c>
      <c r="FH656" s="138">
        <f t="shared" si="391"/>
        <v>1.9148534932649521</v>
      </c>
      <c r="FI656" s="106">
        <f t="shared" si="383"/>
        <v>2.3287983534141166</v>
      </c>
      <c r="FJ656" s="138" t="str">
        <f t="shared" si="392"/>
        <v/>
      </c>
      <c r="FK656" s="138" t="str">
        <f t="shared" si="379"/>
        <v>**</v>
      </c>
    </row>
    <row r="657" spans="1:167" ht="12.75" hidden="1" customHeight="1" x14ac:dyDescent="0.2">
      <c r="A657">
        <v>622</v>
      </c>
      <c r="B657" t="s">
        <v>430</v>
      </c>
      <c r="D657" t="s">
        <v>326</v>
      </c>
      <c r="E657">
        <v>-1402</v>
      </c>
      <c r="F657" t="str">
        <f>VLOOKUP(E657,CompDbase!B:L,4,FALSE)</f>
        <v>3-Chloroaniline</v>
      </c>
      <c r="G657" s="95" t="str">
        <f>VLOOKUP(E657,CompDbase!B:M,12,FALSE)</f>
        <v>Cl</v>
      </c>
      <c r="H657" s="95">
        <f>VLOOKUP(E657,CompDbase!B:L,8,FALSE)</f>
        <v>127.57</v>
      </c>
      <c r="I657" s="95" t="e">
        <f>VLOOKUP(E657,CompDbase!B:L,11,FALSE)</f>
        <v>#DIV/0!</v>
      </c>
      <c r="J657" s="95">
        <f>VLOOKUP(E657,CompDbase!B:L,9,FALSE)</f>
        <v>5400</v>
      </c>
      <c r="K657" s="95">
        <f>VLOOKUP(E657,CompDbase!B:L,10,FALSE)</f>
        <v>1.88</v>
      </c>
      <c r="L657" s="4" t="s">
        <v>717</v>
      </c>
      <c r="M657" s="423"/>
      <c r="N657" s="423">
        <v>948000</v>
      </c>
      <c r="O657" s="4" t="s">
        <v>1044</v>
      </c>
      <c r="P657">
        <v>293</v>
      </c>
      <c r="Q657" s="4" t="s">
        <v>1049</v>
      </c>
      <c r="R657" s="289" t="s">
        <v>1988</v>
      </c>
      <c r="T657" s="95">
        <v>1</v>
      </c>
      <c r="V657" s="33">
        <v>1.0999999999999999E-2</v>
      </c>
      <c r="W657" s="95">
        <f t="shared" si="401"/>
        <v>1.931111111111111</v>
      </c>
      <c r="X657" s="288">
        <f t="shared" si="393"/>
        <v>0.28580726267332274</v>
      </c>
      <c r="Z657" s="190"/>
      <c r="AC657" t="s">
        <v>68</v>
      </c>
      <c r="AG657" s="138">
        <f t="shared" si="406"/>
        <v>0.28580726267332274</v>
      </c>
      <c r="AH657">
        <f t="shared" si="407"/>
        <v>1.88</v>
      </c>
      <c r="AI657">
        <f t="shared" si="407"/>
        <v>1.88</v>
      </c>
      <c r="AN657">
        <f t="shared" si="408"/>
        <v>1.88</v>
      </c>
      <c r="AQ657">
        <f t="shared" si="409"/>
        <v>1.88</v>
      </c>
      <c r="BW657" s="138"/>
      <c r="BX657">
        <f t="shared" si="410"/>
        <v>3.7323937598229686</v>
      </c>
      <c r="BY657">
        <f t="shared" si="410"/>
        <v>3.7323937598229686</v>
      </c>
      <c r="CD657">
        <f t="shared" si="411"/>
        <v>3.7323937598229686</v>
      </c>
      <c r="CG657">
        <f t="shared" si="412"/>
        <v>3.7323937598229686</v>
      </c>
      <c r="DG657" s="138"/>
      <c r="EY657" s="479">
        <f>VLOOKUP(B657,Literatuur!$A:$B,2,FALSE)</f>
        <v>37</v>
      </c>
      <c r="EZ657" t="str">
        <f t="shared" si="384"/>
        <v>3-Chlooraniline</v>
      </c>
      <c r="FA657" t="str">
        <f t="shared" si="385"/>
        <v>Cl</v>
      </c>
      <c r="FB657" t="str">
        <f t="shared" si="386"/>
        <v>HDPE</v>
      </c>
      <c r="FC657" t="str">
        <f t="shared" si="387"/>
        <v>Immersion</v>
      </c>
      <c r="FD657">
        <f t="shared" si="388"/>
        <v>293</v>
      </c>
      <c r="FE657" t="str">
        <f t="shared" si="389"/>
        <v>water</v>
      </c>
      <c r="FF657" t="str">
        <f t="shared" si="390"/>
        <v xml:space="preserve">saturated </v>
      </c>
      <c r="FG657" s="408">
        <f t="shared" si="382"/>
        <v>1</v>
      </c>
      <c r="FH657" s="138">
        <f t="shared" si="391"/>
        <v>0.28580726267332274</v>
      </c>
      <c r="FI657" s="106">
        <f t="shared" si="383"/>
        <v>-0.29266466903413413</v>
      </c>
      <c r="FJ657" s="138" t="str">
        <f t="shared" si="392"/>
        <v/>
      </c>
      <c r="FK657" s="138" t="str">
        <f t="shared" si="379"/>
        <v>**</v>
      </c>
    </row>
    <row r="658" spans="1:167" ht="12.75" hidden="1" customHeight="1" x14ac:dyDescent="0.2">
      <c r="A658">
        <v>623</v>
      </c>
      <c r="B658" t="s">
        <v>430</v>
      </c>
      <c r="D658" t="s">
        <v>327</v>
      </c>
      <c r="E658">
        <v>-1403</v>
      </c>
      <c r="F658" t="str">
        <f>VLOOKUP(E658,CompDbase!B:L,4,FALSE)</f>
        <v>4-Chloroaniline</v>
      </c>
      <c r="G658" s="95" t="str">
        <f>VLOOKUP(E658,CompDbase!B:M,12,FALSE)</f>
        <v>Cl</v>
      </c>
      <c r="H658" s="95">
        <f>VLOOKUP(E658,CompDbase!B:L,8,FALSE)</f>
        <v>127.57</v>
      </c>
      <c r="I658" s="95" t="e">
        <f>VLOOKUP(E658,CompDbase!B:L,11,FALSE)</f>
        <v>#DIV/0!</v>
      </c>
      <c r="J658" s="95">
        <f>VLOOKUP(E658,CompDbase!B:L,9,FALSE)</f>
        <v>3900</v>
      </c>
      <c r="K658" s="95">
        <f>VLOOKUP(E658,CompDbase!B:L,10,FALSE)</f>
        <v>1.83</v>
      </c>
      <c r="L658" s="4" t="s">
        <v>717</v>
      </c>
      <c r="M658" s="423"/>
      <c r="N658" s="423">
        <v>948000</v>
      </c>
      <c r="O658" s="4" t="s">
        <v>1044</v>
      </c>
      <c r="P658">
        <v>293</v>
      </c>
      <c r="Q658" s="4" t="s">
        <v>1049</v>
      </c>
      <c r="R658" s="289" t="s">
        <v>1988</v>
      </c>
      <c r="T658" s="95">
        <v>1</v>
      </c>
      <c r="V658" s="33">
        <v>3.0000000000000001E-3</v>
      </c>
      <c r="W658" s="95">
        <f t="shared" si="401"/>
        <v>0.72923076923076924</v>
      </c>
      <c r="X658" s="288">
        <f t="shared" si="393"/>
        <v>-0.13713501496877051</v>
      </c>
      <c r="Z658" s="190"/>
      <c r="AC658" t="s">
        <v>68</v>
      </c>
      <c r="AG658" s="138">
        <f t="shared" si="406"/>
        <v>-0.13713501496877051</v>
      </c>
      <c r="AH658">
        <f t="shared" si="407"/>
        <v>1.83</v>
      </c>
      <c r="AI658">
        <f t="shared" si="407"/>
        <v>1.83</v>
      </c>
      <c r="AN658">
        <f t="shared" si="408"/>
        <v>1.83</v>
      </c>
      <c r="AQ658">
        <f t="shared" si="409"/>
        <v>1.83</v>
      </c>
      <c r="BW658" s="138"/>
      <c r="BX658">
        <f t="shared" si="410"/>
        <v>3.5910646070264991</v>
      </c>
      <c r="BY658">
        <f t="shared" si="410"/>
        <v>3.5910646070264991</v>
      </c>
      <c r="CD658">
        <f t="shared" si="411"/>
        <v>3.5910646070264991</v>
      </c>
      <c r="CG658">
        <f t="shared" si="412"/>
        <v>3.5910646070264991</v>
      </c>
      <c r="DG658" s="138"/>
      <c r="EY658" s="479">
        <f>VLOOKUP(B658,Literatuur!$A:$B,2,FALSE)</f>
        <v>37</v>
      </c>
      <c r="EZ658" t="str">
        <f t="shared" si="384"/>
        <v>4-Chlooraniline</v>
      </c>
      <c r="FA658" t="str">
        <f t="shared" si="385"/>
        <v>Cl</v>
      </c>
      <c r="FB658" t="str">
        <f t="shared" si="386"/>
        <v>HDPE</v>
      </c>
      <c r="FC658" t="str">
        <f t="shared" si="387"/>
        <v>Immersion</v>
      </c>
      <c r="FD658">
        <f t="shared" si="388"/>
        <v>293</v>
      </c>
      <c r="FE658" t="str">
        <f t="shared" si="389"/>
        <v>water</v>
      </c>
      <c r="FF658" t="str">
        <f t="shared" si="390"/>
        <v xml:space="preserve">saturated </v>
      </c>
      <c r="FG658" s="408">
        <f t="shared" si="382"/>
        <v>1</v>
      </c>
      <c r="FH658" s="138">
        <f t="shared" si="391"/>
        <v>-0.13713501496877051</v>
      </c>
      <c r="FI658" s="106">
        <f t="shared" si="383"/>
        <v>-0.35420135970193289</v>
      </c>
      <c r="FJ658" s="138" t="str">
        <f t="shared" si="392"/>
        <v/>
      </c>
      <c r="FK658" s="138" t="str">
        <f t="shared" si="379"/>
        <v>**</v>
      </c>
    </row>
    <row r="659" spans="1:167" ht="12.75" hidden="1" customHeight="1" x14ac:dyDescent="0.2">
      <c r="A659">
        <v>624</v>
      </c>
      <c r="B659" t="s">
        <v>430</v>
      </c>
      <c r="D659" t="s">
        <v>330</v>
      </c>
      <c r="E659">
        <v>-1406</v>
      </c>
      <c r="F659" t="str">
        <f>VLOOKUP(E659,CompDbase!B:L,4,FALSE)</f>
        <v>P-chlorophenol</v>
      </c>
      <c r="G659" s="95" t="str">
        <f>VLOOKUP(E659,CompDbase!B:M,12,FALSE)</f>
        <v>Cl</v>
      </c>
      <c r="H659" s="95">
        <f>VLOOKUP(E659,CompDbase!B:L,8,FALSE)</f>
        <v>128.56</v>
      </c>
      <c r="I659" s="95" t="e">
        <f>VLOOKUP(E659,CompDbase!B:L,11,FALSE)</f>
        <v>#DIV/0!</v>
      </c>
      <c r="J659" s="95">
        <f>VLOOKUP(E659,CompDbase!B:L,9,FALSE)</f>
        <v>25500</v>
      </c>
      <c r="K659" s="95">
        <f>VLOOKUP(E659,CompDbase!B:L,10,FALSE)</f>
        <v>2.27</v>
      </c>
      <c r="L659" s="4" t="s">
        <v>717</v>
      </c>
      <c r="M659" s="423"/>
      <c r="N659" s="423">
        <v>948000</v>
      </c>
      <c r="O659" s="4" t="s">
        <v>1044</v>
      </c>
      <c r="P659">
        <v>293</v>
      </c>
      <c r="Q659" s="4" t="s">
        <v>1049</v>
      </c>
      <c r="R659" s="289" t="s">
        <v>1988</v>
      </c>
      <c r="T659" s="95">
        <v>1</v>
      </c>
      <c r="V659" s="33">
        <v>4.0000000000000001E-3</v>
      </c>
      <c r="W659" s="95">
        <f t="shared" si="401"/>
        <v>0.14870588235294119</v>
      </c>
      <c r="X659" s="288">
        <f t="shared" si="393"/>
        <v>-0.82767185176792646</v>
      </c>
      <c r="Z659" s="190"/>
      <c r="AC659" t="s">
        <v>68</v>
      </c>
      <c r="AG659" s="138">
        <f t="shared" si="406"/>
        <v>-0.82767185176792646</v>
      </c>
      <c r="AH659">
        <f t="shared" si="407"/>
        <v>2.27</v>
      </c>
      <c r="AI659">
        <f t="shared" si="407"/>
        <v>2.27</v>
      </c>
      <c r="AN659">
        <f t="shared" si="408"/>
        <v>2.27</v>
      </c>
      <c r="AQ659">
        <f t="shared" si="409"/>
        <v>2.27</v>
      </c>
      <c r="BW659" s="138"/>
      <c r="BX659">
        <f t="shared" si="410"/>
        <v>4.4065401804339555</v>
      </c>
      <c r="BY659">
        <f t="shared" si="410"/>
        <v>4.4065401804339555</v>
      </c>
      <c r="CD659">
        <f t="shared" si="411"/>
        <v>4.4065401804339555</v>
      </c>
      <c r="CG659">
        <f t="shared" si="412"/>
        <v>4.4065401804339555</v>
      </c>
      <c r="DG659" s="138"/>
      <c r="EY659" s="479">
        <f>VLOOKUP(B659,Literatuur!$A:$B,2,FALSE)</f>
        <v>37</v>
      </c>
      <c r="EZ659" t="str">
        <f t="shared" si="384"/>
        <v>p-Chloorfenol</v>
      </c>
      <c r="FA659" t="str">
        <f t="shared" si="385"/>
        <v>Cl</v>
      </c>
      <c r="FB659" t="str">
        <f t="shared" si="386"/>
        <v>HDPE</v>
      </c>
      <c r="FC659" t="str">
        <f t="shared" si="387"/>
        <v>Immersion</v>
      </c>
      <c r="FD659">
        <f t="shared" si="388"/>
        <v>293</v>
      </c>
      <c r="FE659" t="str">
        <f t="shared" si="389"/>
        <v>water</v>
      </c>
      <c r="FF659" t="str">
        <f t="shared" si="390"/>
        <v xml:space="preserve">saturated </v>
      </c>
      <c r="FG659" s="408">
        <f t="shared" si="382"/>
        <v>1</v>
      </c>
      <c r="FH659" s="138">
        <f t="shared" si="391"/>
        <v>-0.82767185176792646</v>
      </c>
      <c r="FI659" s="106">
        <f t="shared" si="383"/>
        <v>0.18732151817470077</v>
      </c>
      <c r="FJ659" s="138" t="str">
        <f t="shared" si="392"/>
        <v/>
      </c>
      <c r="FK659" s="138" t="str">
        <f t="shared" si="379"/>
        <v>**</v>
      </c>
    </row>
    <row r="660" spans="1:167" ht="12.75" hidden="1" customHeight="1" x14ac:dyDescent="0.2">
      <c r="A660">
        <v>625</v>
      </c>
      <c r="B660" t="s">
        <v>430</v>
      </c>
      <c r="D660" t="s">
        <v>137</v>
      </c>
      <c r="E660">
        <v>510</v>
      </c>
      <c r="F660" t="str">
        <f>VLOOKUP(E660,CompDbase!B:L,4,FALSE)</f>
        <v>Pentachlorophenol</v>
      </c>
      <c r="G660" s="95" t="str">
        <f>VLOOKUP(E660,CompDbase!B:M,12,FALSE)</f>
        <v>Cl</v>
      </c>
      <c r="H660" s="95">
        <f>VLOOKUP(E660,CompDbase!B:L,8,FALSE)</f>
        <v>266.33</v>
      </c>
      <c r="I660" s="95" t="e">
        <f>VLOOKUP(E660,CompDbase!B:L,11,FALSE)</f>
        <v>#DIV/0!</v>
      </c>
      <c r="J660" s="95">
        <f>VLOOKUP(E660,CompDbase!B:L,9,FALSE)</f>
        <v>4.28</v>
      </c>
      <c r="K660" s="95">
        <f>VLOOKUP(E660,CompDbase!B:L,10,FALSE)</f>
        <v>5.1050000000000004</v>
      </c>
      <c r="L660" s="4" t="s">
        <v>717</v>
      </c>
      <c r="M660" s="423"/>
      <c r="N660" s="423">
        <v>948000</v>
      </c>
      <c r="O660" s="4" t="s">
        <v>1044</v>
      </c>
      <c r="P660">
        <v>293</v>
      </c>
      <c r="Q660" s="4" t="s">
        <v>1049</v>
      </c>
      <c r="R660" s="289" t="s">
        <v>1988</v>
      </c>
      <c r="T660" s="95">
        <v>1</v>
      </c>
      <c r="V660" s="33">
        <v>1E-3</v>
      </c>
      <c r="W660" s="95">
        <f t="shared" si="401"/>
        <v>221.49532710280371</v>
      </c>
      <c r="X660" s="288">
        <f t="shared" si="393"/>
        <v>2.3453645683248943</v>
      </c>
      <c r="Z660" s="190"/>
      <c r="AC660" t="s">
        <v>68</v>
      </c>
      <c r="AG660" s="138">
        <f t="shared" si="406"/>
        <v>2.3453645683248943</v>
      </c>
      <c r="AH660">
        <f t="shared" si="407"/>
        <v>5.1050000000000004</v>
      </c>
      <c r="AI660">
        <f t="shared" si="407"/>
        <v>5.1050000000000004</v>
      </c>
      <c r="AN660">
        <f t="shared" si="408"/>
        <v>5.1050000000000004</v>
      </c>
      <c r="AQ660">
        <f t="shared" si="409"/>
        <v>5.1050000000000004</v>
      </c>
      <c r="BW660" s="138"/>
      <c r="BX660">
        <f t="shared" si="410"/>
        <v>0.63144376901317201</v>
      </c>
      <c r="BY660">
        <f t="shared" si="410"/>
        <v>0.63144376901317201</v>
      </c>
      <c r="CD660">
        <f t="shared" si="411"/>
        <v>0.63144376901317201</v>
      </c>
      <c r="CG660">
        <f t="shared" si="412"/>
        <v>0.63144376901317201</v>
      </c>
      <c r="DG660" s="138"/>
      <c r="EY660" s="479">
        <f>VLOOKUP(B660,Literatuur!$A:$B,2,FALSE)</f>
        <v>37</v>
      </c>
      <c r="EZ660" t="str">
        <f t="shared" si="384"/>
        <v>Pentachloorfenol</v>
      </c>
      <c r="FA660" t="str">
        <f t="shared" si="385"/>
        <v>Cl</v>
      </c>
      <c r="FB660" t="str">
        <f t="shared" si="386"/>
        <v>HDPE</v>
      </c>
      <c r="FC660" t="str">
        <f t="shared" si="387"/>
        <v>Immersion</v>
      </c>
      <c r="FD660">
        <f t="shared" si="388"/>
        <v>293</v>
      </c>
      <c r="FE660" t="str">
        <f t="shared" si="389"/>
        <v>water</v>
      </c>
      <c r="FF660" t="str">
        <f t="shared" si="390"/>
        <v xml:space="preserve">saturated </v>
      </c>
      <c r="FG660" s="408">
        <f t="shared" si="382"/>
        <v>1</v>
      </c>
      <c r="FH660" s="138">
        <f t="shared" si="391"/>
        <v>2.3453645683248943</v>
      </c>
      <c r="FI660" s="106">
        <f t="shared" si="383"/>
        <v>3.6764518790389227</v>
      </c>
      <c r="FJ660" s="138" t="str">
        <f t="shared" si="392"/>
        <v/>
      </c>
      <c r="FK660" s="138" t="str">
        <f t="shared" si="379"/>
        <v>**</v>
      </c>
    </row>
    <row r="661" spans="1:167" ht="12.75" hidden="1" customHeight="1" x14ac:dyDescent="0.2">
      <c r="A661">
        <v>626</v>
      </c>
      <c r="B661" s="4" t="s">
        <v>1938</v>
      </c>
      <c r="C661" s="4"/>
      <c r="D661" s="4" t="s">
        <v>506</v>
      </c>
      <c r="E661" s="4">
        <v>400</v>
      </c>
      <c r="F661" t="str">
        <f>VLOOKUP(E661,CompDbase!B:L,4,FALSE)</f>
        <v>1,2-Dichloroethane</v>
      </c>
      <c r="G661" s="95" t="str">
        <f>VLOOKUP(E661,CompDbase!B:M,12,FALSE)</f>
        <v>ClAlk</v>
      </c>
      <c r="H661" s="95">
        <f>VLOOKUP(E661,CompDbase!B:L,8,FALSE)</f>
        <v>98.973331537275584</v>
      </c>
      <c r="I661" s="95">
        <f>VLOOKUP(E661,CompDbase!B:L,11,FALSE)</f>
        <v>79.400000000000006</v>
      </c>
      <c r="J661" s="95">
        <f>VLOOKUP(E661,CompDbase!B:L,9,FALSE)</f>
        <v>10188.832473485421</v>
      </c>
      <c r="K661" s="95">
        <f>VLOOKUP(E661,CompDbase!B:L,10,FALSE)</f>
        <v>1.47</v>
      </c>
      <c r="L661" s="4" t="s">
        <v>717</v>
      </c>
      <c r="M661" s="423"/>
      <c r="N661" s="416">
        <v>948000</v>
      </c>
      <c r="O661" s="4" t="s">
        <v>1941</v>
      </c>
      <c r="P661">
        <v>298</v>
      </c>
      <c r="Q661" s="4" t="s">
        <v>1049</v>
      </c>
      <c r="R661" s="289" t="s">
        <v>1988</v>
      </c>
      <c r="S661" s="4"/>
      <c r="T661" s="95">
        <v>1</v>
      </c>
      <c r="Y661">
        <v>2.2999999999999999E-12</v>
      </c>
      <c r="Z661" s="95">
        <f t="shared" ref="Z661:Z678" si="413">LOG(Y661)</f>
        <v>-11.638272163982407</v>
      </c>
      <c r="AG661" s="138"/>
      <c r="BW661" s="138"/>
      <c r="DG661">
        <f t="shared" ref="DG661:DG665" si="414">Z661</f>
        <v>-11.638272163982407</v>
      </c>
      <c r="DH661">
        <f t="shared" ref="DH661:DI665" si="415">$H661</f>
        <v>98.973331537275584</v>
      </c>
      <c r="DJ661">
        <f t="shared" ref="DJ661" si="416">$H661</f>
        <v>98.973331537275584</v>
      </c>
      <c r="EY661" s="479">
        <f>VLOOKUP(B661,Literatuur!$A:$B,2,FALSE)</f>
        <v>3</v>
      </c>
      <c r="EZ661" t="str">
        <f t="shared" si="384"/>
        <v>1,2-Dichlroethane</v>
      </c>
      <c r="FA661" t="str">
        <f t="shared" si="385"/>
        <v>ClAlk</v>
      </c>
      <c r="FB661" t="str">
        <f t="shared" si="386"/>
        <v>HDPE</v>
      </c>
      <c r="FC661" t="str">
        <f t="shared" si="387"/>
        <v>DeSorption to air</v>
      </c>
      <c r="FD661">
        <f t="shared" si="388"/>
        <v>298</v>
      </c>
      <c r="FE661" t="str">
        <f t="shared" si="389"/>
        <v>water</v>
      </c>
      <c r="FF661" t="str">
        <f t="shared" si="390"/>
        <v xml:space="preserve">saturated </v>
      </c>
      <c r="FG661" s="408">
        <f t="shared" si="382"/>
        <v>1</v>
      </c>
      <c r="FH661" s="138" t="str">
        <f t="shared" si="391"/>
        <v/>
      </c>
      <c r="FI661" s="106" t="str">
        <f t="shared" si="383"/>
        <v>**</v>
      </c>
      <c r="FJ661" s="138">
        <f t="shared" si="392"/>
        <v>-11.638272163982407</v>
      </c>
      <c r="FK661" s="138" t="str">
        <f t="shared" si="379"/>
        <v>**</v>
      </c>
    </row>
    <row r="662" spans="1:167" ht="12.75" hidden="1" customHeight="1" x14ac:dyDescent="0.2">
      <c r="A662">
        <v>627</v>
      </c>
      <c r="B662" s="4" t="s">
        <v>1938</v>
      </c>
      <c r="C662" s="4"/>
      <c r="D662" s="4" t="s">
        <v>506</v>
      </c>
      <c r="E662" s="4">
        <v>400</v>
      </c>
      <c r="F662" t="str">
        <f>VLOOKUP(E662,CompDbase!B:L,4,FALSE)</f>
        <v>1,2-Dichloroethane</v>
      </c>
      <c r="G662" s="95" t="str">
        <f>VLOOKUP(E662,CompDbase!B:M,12,FALSE)</f>
        <v>ClAlk</v>
      </c>
      <c r="H662" s="95">
        <f>VLOOKUP(E662,CompDbase!B:L,8,FALSE)</f>
        <v>98.973331537275584</v>
      </c>
      <c r="I662" s="95">
        <f>VLOOKUP(E662,CompDbase!B:L,11,FALSE)</f>
        <v>79.400000000000006</v>
      </c>
      <c r="J662" s="95">
        <f>VLOOKUP(E662,CompDbase!B:L,9,FALSE)</f>
        <v>10188.832473485421</v>
      </c>
      <c r="K662" s="95">
        <f>VLOOKUP(E662,CompDbase!B:L,10,FALSE)</f>
        <v>1.47</v>
      </c>
      <c r="L662" s="4" t="s">
        <v>717</v>
      </c>
      <c r="M662" s="423">
        <v>948000</v>
      </c>
      <c r="N662" s="423"/>
      <c r="O662" s="4" t="s">
        <v>1044</v>
      </c>
      <c r="P662">
        <v>298</v>
      </c>
      <c r="Q662" s="4" t="s">
        <v>1049</v>
      </c>
      <c r="R662" s="289" t="s">
        <v>1988</v>
      </c>
      <c r="S662" s="4"/>
      <c r="T662" s="289">
        <v>1</v>
      </c>
      <c r="V662">
        <v>0.06</v>
      </c>
      <c r="W662" s="95">
        <f>V662*M662/J662</f>
        <v>5.5825827098462781</v>
      </c>
      <c r="X662" s="95">
        <f>LOG(W662)</f>
        <v>0.7468351661660001</v>
      </c>
      <c r="Y662">
        <v>4.1999999999999999E-12</v>
      </c>
      <c r="Z662" s="95">
        <f t="shared" si="413"/>
        <v>-11.376750709602099</v>
      </c>
      <c r="AA662" s="95">
        <f>W662*Y662</f>
        <v>2.3446847381354366E-11</v>
      </c>
      <c r="AB662" s="95">
        <f>LOG(AA662)</f>
        <v>-10.6299155434361</v>
      </c>
      <c r="AC662" s="95"/>
      <c r="AD662" s="95"/>
      <c r="AG662" s="138">
        <f>X662</f>
        <v>0.7468351661660001</v>
      </c>
      <c r="AH662">
        <f>$K662</f>
        <v>1.47</v>
      </c>
      <c r="AI662">
        <f>$K662</f>
        <v>1.47</v>
      </c>
      <c r="AL662">
        <f t="shared" ref="AL662" si="417">$K662</f>
        <v>1.47</v>
      </c>
      <c r="AO662">
        <f t="shared" ref="AO662" si="418">$K662</f>
        <v>1.47</v>
      </c>
      <c r="BW662" s="138"/>
      <c r="BX662">
        <f>LOG(1*$J662)</f>
        <v>4.0081244215557099</v>
      </c>
      <c r="BY662">
        <f>LOG(1*$J662)</f>
        <v>4.0081244215557099</v>
      </c>
      <c r="CB662">
        <f>LOG(1*$J662)</f>
        <v>4.0081244215557099</v>
      </c>
      <c r="CE662">
        <f>LOG(1*$J662)</f>
        <v>4.0081244215557099</v>
      </c>
      <c r="DG662">
        <f t="shared" si="414"/>
        <v>-11.376750709602099</v>
      </c>
      <c r="DH662">
        <f t="shared" si="415"/>
        <v>98.973331537275584</v>
      </c>
      <c r="DI662">
        <f t="shared" si="415"/>
        <v>98.973331537275584</v>
      </c>
      <c r="EY662" s="479">
        <f>VLOOKUP(B662,Literatuur!$A:$B,2,FALSE)</f>
        <v>3</v>
      </c>
      <c r="EZ662" t="str">
        <f t="shared" si="384"/>
        <v>1,2-Dichlroethane</v>
      </c>
      <c r="FA662" t="str">
        <f t="shared" si="385"/>
        <v>ClAlk</v>
      </c>
      <c r="FB662" t="str">
        <f t="shared" si="386"/>
        <v>HDPE</v>
      </c>
      <c r="FC662" t="str">
        <f t="shared" si="387"/>
        <v>Immersion</v>
      </c>
      <c r="FD662">
        <f t="shared" si="388"/>
        <v>298</v>
      </c>
      <c r="FE662" t="str">
        <f t="shared" si="389"/>
        <v>water</v>
      </c>
      <c r="FF662" t="str">
        <f t="shared" si="390"/>
        <v xml:space="preserve">saturated </v>
      </c>
      <c r="FG662" s="408">
        <f t="shared" si="382"/>
        <v>1</v>
      </c>
      <c r="FH662" s="138">
        <f t="shared" si="391"/>
        <v>0.7468351661660001</v>
      </c>
      <c r="FI662" s="106">
        <f t="shared" si="383"/>
        <v>0.30651434469273053</v>
      </c>
      <c r="FJ662" s="138">
        <f t="shared" si="392"/>
        <v>-11.376750709602099</v>
      </c>
      <c r="FK662" s="138" t="str">
        <f t="shared" si="379"/>
        <v>**</v>
      </c>
    </row>
    <row r="663" spans="1:167" s="13" customFormat="1" ht="12.75" hidden="1" customHeight="1" x14ac:dyDescent="0.2">
      <c r="A663">
        <v>628</v>
      </c>
      <c r="B663" s="14" t="s">
        <v>1938</v>
      </c>
      <c r="C663" s="14"/>
      <c r="D663" s="14" t="s">
        <v>505</v>
      </c>
      <c r="E663" s="13">
        <v>-402</v>
      </c>
      <c r="F663" s="13" t="str">
        <f>VLOOKUP(E663,CompDbase!B:L,4,FALSE)</f>
        <v>Dichloromethane</v>
      </c>
      <c r="G663" s="182" t="str">
        <f>VLOOKUP(E663,CompDbase!B:M,12,FALSE)</f>
        <v>ClAlk</v>
      </c>
      <c r="H663" s="182">
        <f>VLOOKUP(E663,CompDbase!B:L,8,FALSE)</f>
        <v>84.93</v>
      </c>
      <c r="I663" s="182">
        <f>VLOOKUP(E663,CompDbase!B:L,11,FALSE)</f>
        <v>64.5</v>
      </c>
      <c r="J663" s="182">
        <f>VLOOKUP(E663,CompDbase!B:L,9,FALSE)</f>
        <v>20000</v>
      </c>
      <c r="K663" s="182">
        <f>VLOOKUP(E663,CompDbase!B:L,10,FALSE)</f>
        <v>1.25</v>
      </c>
      <c r="L663" s="14" t="s">
        <v>717</v>
      </c>
      <c r="M663" s="424"/>
      <c r="N663" s="424">
        <v>948000</v>
      </c>
      <c r="O663" s="14" t="s">
        <v>1941</v>
      </c>
      <c r="P663" s="13">
        <v>298</v>
      </c>
      <c r="Q663" s="14" t="s">
        <v>1049</v>
      </c>
      <c r="R663" s="405" t="s">
        <v>1988</v>
      </c>
      <c r="S663" s="14"/>
      <c r="T663" s="182">
        <v>1</v>
      </c>
      <c r="Y663" s="13">
        <v>1.7E-12</v>
      </c>
      <c r="Z663" s="182">
        <f t="shared" si="413"/>
        <v>-11.769551078621726</v>
      </c>
      <c r="AF663"/>
      <c r="AG663" s="138"/>
      <c r="AH663"/>
      <c r="BW663" s="138"/>
      <c r="BX663"/>
      <c r="DF663"/>
      <c r="DG663">
        <f t="shared" si="414"/>
        <v>-11.769551078621726</v>
      </c>
      <c r="DH663">
        <f t="shared" si="415"/>
        <v>84.93</v>
      </c>
      <c r="DJ663">
        <f t="shared" ref="DJ663" si="419">$H663</f>
        <v>84.93</v>
      </c>
      <c r="DP663"/>
      <c r="EY663" s="479">
        <f>VLOOKUP(B663,Literatuur!$A:$B,2,FALSE)</f>
        <v>3</v>
      </c>
      <c r="EZ663" t="str">
        <f t="shared" si="384"/>
        <v>Dichlormethane</v>
      </c>
      <c r="FA663" t="str">
        <f t="shared" si="385"/>
        <v>ClAlk</v>
      </c>
      <c r="FB663" t="str">
        <f t="shared" si="386"/>
        <v>HDPE</v>
      </c>
      <c r="FC663" t="str">
        <f t="shared" si="387"/>
        <v>DeSorption to air</v>
      </c>
      <c r="FD663">
        <f t="shared" si="388"/>
        <v>298</v>
      </c>
      <c r="FE663" t="str">
        <f t="shared" si="389"/>
        <v>water</v>
      </c>
      <c r="FF663" t="str">
        <f t="shared" si="390"/>
        <v xml:space="preserve">saturated </v>
      </c>
      <c r="FG663" s="408">
        <f t="shared" si="382"/>
        <v>1</v>
      </c>
      <c r="FH663" s="138" t="str">
        <f t="shared" si="391"/>
        <v/>
      </c>
      <c r="FI663" s="106" t="str">
        <f t="shared" si="383"/>
        <v>**</v>
      </c>
      <c r="FJ663" s="138">
        <f t="shared" si="392"/>
        <v>-11.769551078621726</v>
      </c>
      <c r="FK663" s="138" t="str">
        <f t="shared" si="379"/>
        <v>**</v>
      </c>
    </row>
    <row r="664" spans="1:167" s="9" customFormat="1" ht="12.75" hidden="1" customHeight="1" x14ac:dyDescent="0.2">
      <c r="A664">
        <v>629</v>
      </c>
      <c r="B664" s="10" t="s">
        <v>1938</v>
      </c>
      <c r="C664" s="10"/>
      <c r="D664" s="10" t="s">
        <v>505</v>
      </c>
      <c r="E664" s="9">
        <v>-402</v>
      </c>
      <c r="F664" s="9" t="str">
        <f>VLOOKUP(E664,CompDbase!B:L,4,FALSE)</f>
        <v>Dichloromethane</v>
      </c>
      <c r="G664" s="181" t="str">
        <f>VLOOKUP(E664,CompDbase!B:M,12,FALSE)</f>
        <v>ClAlk</v>
      </c>
      <c r="H664" s="181">
        <f>VLOOKUP(E664,CompDbase!B:L,8,FALSE)</f>
        <v>84.93</v>
      </c>
      <c r="I664" s="181">
        <f>VLOOKUP(E664,CompDbase!B:L,11,FALSE)</f>
        <v>64.5</v>
      </c>
      <c r="J664" s="181">
        <f>VLOOKUP(E664,CompDbase!B:L,9,FALSE)</f>
        <v>20000</v>
      </c>
      <c r="K664" s="181">
        <f>VLOOKUP(E664,CompDbase!B:L,10,FALSE)</f>
        <v>1.25</v>
      </c>
      <c r="L664" s="10" t="s">
        <v>717</v>
      </c>
      <c r="M664" s="425">
        <v>948000</v>
      </c>
      <c r="N664" s="425"/>
      <c r="O664" s="10" t="s">
        <v>1044</v>
      </c>
      <c r="P664" s="9">
        <v>298</v>
      </c>
      <c r="Q664" s="10" t="s">
        <v>1049</v>
      </c>
      <c r="R664" s="393" t="s">
        <v>1988</v>
      </c>
      <c r="S664" s="10"/>
      <c r="T664" s="393">
        <v>1</v>
      </c>
      <c r="V664" s="9">
        <v>0.12</v>
      </c>
      <c r="W664" s="181">
        <f>V664*M664/J664</f>
        <v>5.6879999999999997</v>
      </c>
      <c r="X664" s="181">
        <f t="shared" ref="X664:X680" si="420">LOG(W664)</f>
        <v>0.7549595877217099</v>
      </c>
      <c r="Y664" s="9">
        <v>8.1999999999999998E-12</v>
      </c>
      <c r="Z664" s="181">
        <f t="shared" si="413"/>
        <v>-11.086186147616283</v>
      </c>
      <c r="AA664" s="181">
        <f t="shared" ref="AA664:AA678" si="421">W664*Y664</f>
        <v>4.6641599999999999E-11</v>
      </c>
      <c r="AB664" s="181">
        <f t="shared" ref="AB664:AB678" si="422">LOG(AA664)</f>
        <v>-10.331226559894574</v>
      </c>
      <c r="AC664" s="181"/>
      <c r="AD664" s="181"/>
      <c r="AF664"/>
      <c r="AG664" s="138">
        <f t="shared" ref="AG664:AG680" si="423">X664</f>
        <v>0.7549595877217099</v>
      </c>
      <c r="AH664">
        <f t="shared" ref="AH664:AI680" si="424">$K664</f>
        <v>1.25</v>
      </c>
      <c r="AI664">
        <f t="shared" si="424"/>
        <v>1.25</v>
      </c>
      <c r="AL664">
        <f t="shared" ref="AL664:AL665" si="425">$K664</f>
        <v>1.25</v>
      </c>
      <c r="AM664"/>
      <c r="AN664"/>
      <c r="AO664">
        <f t="shared" ref="AO664:AO665" si="426">$K664</f>
        <v>1.25</v>
      </c>
      <c r="BW664" s="138"/>
      <c r="BX664">
        <f>LOG(1*$J664)</f>
        <v>4.3010299956639813</v>
      </c>
      <c r="BY664">
        <f>LOG(1*$J664)</f>
        <v>4.3010299956639813</v>
      </c>
      <c r="CB664">
        <f>LOG(1*$J664)</f>
        <v>4.3010299956639813</v>
      </c>
      <c r="CC664"/>
      <c r="CD664"/>
      <c r="CE664">
        <f>LOG(1*$J664)</f>
        <v>4.3010299956639813</v>
      </c>
      <c r="DF664"/>
      <c r="DG664">
        <f t="shared" si="414"/>
        <v>-11.086186147616283</v>
      </c>
      <c r="DH664">
        <f t="shared" si="415"/>
        <v>84.93</v>
      </c>
      <c r="DI664">
        <f t="shared" si="415"/>
        <v>84.93</v>
      </c>
      <c r="DL664"/>
      <c r="DM664"/>
      <c r="DN664"/>
      <c r="DO664"/>
      <c r="DP664"/>
      <c r="EY664" s="479">
        <f>VLOOKUP(B664,Literatuur!$A:$B,2,FALSE)</f>
        <v>3</v>
      </c>
      <c r="EZ664" t="str">
        <f t="shared" si="384"/>
        <v>Dichlormethane</v>
      </c>
      <c r="FA664" t="str">
        <f t="shared" si="385"/>
        <v>ClAlk</v>
      </c>
      <c r="FB664" t="str">
        <f t="shared" si="386"/>
        <v>HDPE</v>
      </c>
      <c r="FC664" t="str">
        <f t="shared" si="387"/>
        <v>Immersion</v>
      </c>
      <c r="FD664">
        <f t="shared" si="388"/>
        <v>298</v>
      </c>
      <c r="FE664" t="str">
        <f t="shared" si="389"/>
        <v>water</v>
      </c>
      <c r="FF664" t="str">
        <f t="shared" si="390"/>
        <v xml:space="preserve">saturated </v>
      </c>
      <c r="FG664" s="408">
        <f t="shared" si="382"/>
        <v>1</v>
      </c>
      <c r="FH664" s="138">
        <f t="shared" si="391"/>
        <v>0.7549595877217099</v>
      </c>
      <c r="FI664" s="106">
        <f t="shared" si="383"/>
        <v>4.8661379824054052E-2</v>
      </c>
      <c r="FJ664" s="138">
        <f t="shared" si="392"/>
        <v>-11.086186147616283</v>
      </c>
      <c r="FK664" s="138" t="str">
        <f t="shared" si="379"/>
        <v>**</v>
      </c>
    </row>
    <row r="665" spans="1:167" ht="12.75" hidden="1" customHeight="1" x14ac:dyDescent="0.2">
      <c r="A665">
        <v>630</v>
      </c>
      <c r="B665" s="4" t="s">
        <v>1936</v>
      </c>
      <c r="C665" s="4"/>
      <c r="D665" s="4" t="s">
        <v>538</v>
      </c>
      <c r="E665" s="4">
        <v>400</v>
      </c>
      <c r="F665" t="str">
        <f>VLOOKUP(E665,CompDbase!B:L,4,FALSE)</f>
        <v>1,2-Dichloroethane</v>
      </c>
      <c r="G665" s="95" t="str">
        <f>VLOOKUP(E665,CompDbase!B:M,12,FALSE)</f>
        <v>ClAlk</v>
      </c>
      <c r="H665" s="95">
        <f>VLOOKUP(E665,CompDbase!B:L,8,FALSE)</f>
        <v>98.973331537275584</v>
      </c>
      <c r="I665" s="95">
        <f>VLOOKUP(E665,CompDbase!B:L,11,FALSE)</f>
        <v>79.400000000000006</v>
      </c>
      <c r="J665" s="95">
        <f>VLOOKUP(E665,CompDbase!B:L,9,FALSE)</f>
        <v>10188.832473485421</v>
      </c>
      <c r="K665" s="95">
        <f>VLOOKUP(E665,CompDbase!B:L,10,FALSE)</f>
        <v>1.47</v>
      </c>
      <c r="L665" s="4" t="s">
        <v>717</v>
      </c>
      <c r="M665" s="423"/>
      <c r="N665" s="423"/>
      <c r="O665" s="4" t="s">
        <v>1044</v>
      </c>
      <c r="P665">
        <v>298</v>
      </c>
      <c r="Q665" s="4" t="s">
        <v>1049</v>
      </c>
      <c r="R665" s="289" t="s">
        <v>1988</v>
      </c>
      <c r="T665" s="289">
        <v>1</v>
      </c>
      <c r="U665">
        <f>AVERAGE(38.1,36.9)</f>
        <v>37.5</v>
      </c>
      <c r="V665" s="95"/>
      <c r="W665" s="95">
        <f t="shared" ref="W665:W678" si="427">U665/J665</f>
        <v>3.6805002042762909E-3</v>
      </c>
      <c r="X665" s="183">
        <f t="shared" si="420"/>
        <v>-2.4340931538279911</v>
      </c>
      <c r="Y665">
        <v>2.7000000000000002E-12</v>
      </c>
      <c r="Z665" s="95">
        <f t="shared" si="413"/>
        <v>-11.568636235841012</v>
      </c>
      <c r="AA665" s="95">
        <f t="shared" si="421"/>
        <v>9.9373505515459863E-15</v>
      </c>
      <c r="AB665" s="95">
        <f t="shared" si="422"/>
        <v>-14.002729389669003</v>
      </c>
      <c r="AC665" s="95"/>
      <c r="AD665" s="95"/>
      <c r="AG665" s="138">
        <f t="shared" si="423"/>
        <v>-2.4340931538279911</v>
      </c>
      <c r="AH665">
        <f t="shared" si="424"/>
        <v>1.47</v>
      </c>
      <c r="AI665">
        <f t="shared" si="424"/>
        <v>1.47</v>
      </c>
      <c r="AL665">
        <f t="shared" si="425"/>
        <v>1.47</v>
      </c>
      <c r="AO665">
        <f t="shared" si="426"/>
        <v>1.47</v>
      </c>
      <c r="BW665" s="138"/>
      <c r="BX665">
        <f>LOG(1*$J665)</f>
        <v>4.0081244215557099</v>
      </c>
      <c r="BY665">
        <f>LOG(1*$J665)</f>
        <v>4.0081244215557099</v>
      </c>
      <c r="CB665">
        <f>LOG(1*$J665)</f>
        <v>4.0081244215557099</v>
      </c>
      <c r="CE665">
        <f>LOG(1*$J665)</f>
        <v>4.0081244215557099</v>
      </c>
      <c r="DG665">
        <f t="shared" si="414"/>
        <v>-11.568636235841012</v>
      </c>
      <c r="DH665">
        <f t="shared" si="415"/>
        <v>98.973331537275584</v>
      </c>
      <c r="DI665">
        <f t="shared" si="415"/>
        <v>98.973331537275584</v>
      </c>
      <c r="EY665" s="479">
        <f>VLOOKUP(B665,Literatuur!$A:$B,2,FALSE)</f>
        <v>7</v>
      </c>
      <c r="EZ665" t="str">
        <f t="shared" si="384"/>
        <v>1,2-Dicholoethane</v>
      </c>
      <c r="FA665" t="str">
        <f t="shared" si="385"/>
        <v>ClAlk</v>
      </c>
      <c r="FB665" t="str">
        <f t="shared" si="386"/>
        <v>HDPE</v>
      </c>
      <c r="FC665" t="str">
        <f t="shared" si="387"/>
        <v>Immersion</v>
      </c>
      <c r="FD665">
        <f t="shared" si="388"/>
        <v>298</v>
      </c>
      <c r="FE665" t="str">
        <f t="shared" si="389"/>
        <v>water</v>
      </c>
      <c r="FF665" t="str">
        <f t="shared" si="390"/>
        <v xml:space="preserve">saturated </v>
      </c>
      <c r="FG665" s="408">
        <f t="shared" si="382"/>
        <v>1</v>
      </c>
      <c r="FH665" s="138">
        <f t="shared" si="391"/>
        <v>-2.4340931538279911</v>
      </c>
      <c r="FI665" s="106">
        <f t="shared" si="383"/>
        <v>0.30651434469273053</v>
      </c>
      <c r="FJ665" s="138">
        <f t="shared" si="392"/>
        <v>-11.568636235841012</v>
      </c>
      <c r="FK665" s="138" t="str">
        <f t="shared" si="379"/>
        <v>**</v>
      </c>
    </row>
    <row r="666" spans="1:167" ht="12.75" hidden="1" customHeight="1" x14ac:dyDescent="0.2">
      <c r="A666">
        <v>631</v>
      </c>
      <c r="B666" s="4" t="s">
        <v>1936</v>
      </c>
      <c r="C666" s="4"/>
      <c r="D666" s="4" t="s">
        <v>538</v>
      </c>
      <c r="E666" s="4">
        <v>400</v>
      </c>
      <c r="F666" t="str">
        <f>VLOOKUP(E666,CompDbase!B:L,4,FALSE)</f>
        <v>1,2-Dichloroethane</v>
      </c>
      <c r="G666" s="95" t="str">
        <f>VLOOKUP(E666,CompDbase!B:M,12,FALSE)</f>
        <v>ClAlk</v>
      </c>
      <c r="H666" s="95">
        <f>VLOOKUP(E666,CompDbase!B:L,8,FALSE)</f>
        <v>98.973331537275584</v>
      </c>
      <c r="I666" s="95">
        <f>VLOOKUP(E666,CompDbase!B:L,11,FALSE)</f>
        <v>79.400000000000006</v>
      </c>
      <c r="J666" s="95">
        <f>VLOOKUP(E666,CompDbase!B:L,9,FALSE)</f>
        <v>10188.832473485421</v>
      </c>
      <c r="K666" s="95">
        <f>VLOOKUP(E666,CompDbase!B:L,10,FALSE)</f>
        <v>1.47</v>
      </c>
      <c r="L666" s="4" t="s">
        <v>717</v>
      </c>
      <c r="M666" s="423"/>
      <c r="N666" s="423"/>
      <c r="O666" s="4" t="s">
        <v>1044</v>
      </c>
      <c r="P666">
        <v>298</v>
      </c>
      <c r="Q666" s="4" t="s">
        <v>1049</v>
      </c>
      <c r="R666" s="289" t="s">
        <v>1988</v>
      </c>
      <c r="T666" s="289">
        <v>1</v>
      </c>
      <c r="U666">
        <v>36.900000000000006</v>
      </c>
      <c r="V666" s="95"/>
      <c r="W666" s="95">
        <f t="shared" si="427"/>
        <v>3.6216122010078707E-3</v>
      </c>
      <c r="X666" s="183">
        <f t="shared" si="420"/>
        <v>-2.4410980553966493</v>
      </c>
      <c r="Y666">
        <v>3.8E-12</v>
      </c>
      <c r="Z666" s="95">
        <f t="shared" si="413"/>
        <v>-11.42021640338319</v>
      </c>
      <c r="AA666" s="95">
        <f t="shared" si="421"/>
        <v>1.3762126363829909E-14</v>
      </c>
      <c r="AB666" s="95">
        <f t="shared" si="422"/>
        <v>-13.861314458779839</v>
      </c>
      <c r="AC666" s="95"/>
      <c r="AD666" s="95"/>
      <c r="AE666" s="4" t="s">
        <v>2011</v>
      </c>
      <c r="AG666" s="138">
        <f t="shared" si="423"/>
        <v>-2.4410980553966493</v>
      </c>
      <c r="AH666">
        <f t="shared" si="424"/>
        <v>1.47</v>
      </c>
      <c r="BW666" s="138"/>
      <c r="BX666">
        <f t="shared" ref="BX666:BX680" si="428">LOG(1*$J666)</f>
        <v>4.0081244215557099</v>
      </c>
      <c r="EY666" s="479">
        <f>VLOOKUP(B666,Literatuur!$A:$B,2,FALSE)</f>
        <v>7</v>
      </c>
      <c r="EZ666" t="str">
        <f t="shared" si="384"/>
        <v>1,2-Dicholoethane</v>
      </c>
      <c r="FA666" t="str">
        <f t="shared" si="385"/>
        <v>ClAlk</v>
      </c>
      <c r="FB666" t="str">
        <f t="shared" si="386"/>
        <v>HDPE</v>
      </c>
      <c r="FC666" t="str">
        <f t="shared" si="387"/>
        <v>Immersion</v>
      </c>
      <c r="FD666">
        <f t="shared" si="388"/>
        <v>298</v>
      </c>
      <c r="FE666" t="str">
        <f t="shared" si="389"/>
        <v>water</v>
      </c>
      <c r="FF666" t="str">
        <f t="shared" si="390"/>
        <v xml:space="preserve">saturated </v>
      </c>
      <c r="FG666" s="408">
        <f t="shared" si="382"/>
        <v>1</v>
      </c>
      <c r="FH666" s="138">
        <f t="shared" si="391"/>
        <v>-2.4410980553966493</v>
      </c>
      <c r="FI666" s="106" t="str">
        <f t="shared" si="383"/>
        <v>**</v>
      </c>
      <c r="FJ666" s="138">
        <f t="shared" si="392"/>
        <v>-11.42021640338319</v>
      </c>
      <c r="FK666" s="138" t="str">
        <f t="shared" si="379"/>
        <v>**</v>
      </c>
    </row>
    <row r="667" spans="1:167" ht="12.75" hidden="1" customHeight="1" x14ac:dyDescent="0.2">
      <c r="A667">
        <v>632</v>
      </c>
      <c r="B667" s="4" t="s">
        <v>1936</v>
      </c>
      <c r="C667" s="4"/>
      <c r="D667" s="4" t="s">
        <v>538</v>
      </c>
      <c r="E667" s="4">
        <v>400</v>
      </c>
      <c r="F667" t="str">
        <f>VLOOKUP(E667,CompDbase!B:L,4,FALSE)</f>
        <v>1,2-Dichloroethane</v>
      </c>
      <c r="G667" s="95" t="str">
        <f>VLOOKUP(E667,CompDbase!B:M,12,FALSE)</f>
        <v>ClAlk</v>
      </c>
      <c r="H667" s="95">
        <f>VLOOKUP(E667,CompDbase!B:L,8,FALSE)</f>
        <v>98.973331537275584</v>
      </c>
      <c r="I667" s="95">
        <f>VLOOKUP(E667,CompDbase!B:L,11,FALSE)</f>
        <v>79.400000000000006</v>
      </c>
      <c r="J667" s="95">
        <f>VLOOKUP(E667,CompDbase!B:L,9,FALSE)</f>
        <v>10188.832473485421</v>
      </c>
      <c r="K667" s="95">
        <f>VLOOKUP(E667,CompDbase!B:L,10,FALSE)</f>
        <v>1.47</v>
      </c>
      <c r="L667" s="4" t="s">
        <v>717</v>
      </c>
      <c r="M667" s="423"/>
      <c r="N667" s="423"/>
      <c r="O667" s="4" t="s">
        <v>1082</v>
      </c>
      <c r="P667">
        <v>298</v>
      </c>
      <c r="Q667" s="4" t="s">
        <v>1049</v>
      </c>
      <c r="R667" s="289" t="s">
        <v>1988</v>
      </c>
      <c r="T667" s="289">
        <v>1</v>
      </c>
      <c r="U667">
        <v>48.499999999999993</v>
      </c>
      <c r="V667" s="95"/>
      <c r="W667" s="95">
        <f t="shared" si="427"/>
        <v>4.7601135975306689E-3</v>
      </c>
      <c r="X667" s="183">
        <f t="shared" si="420"/>
        <v>-2.3223826829534464</v>
      </c>
      <c r="Y667">
        <v>2.7000000000000002E-12</v>
      </c>
      <c r="Z667" s="95">
        <f t="shared" si="413"/>
        <v>-11.568636235841012</v>
      </c>
      <c r="AA667" s="95">
        <f t="shared" si="421"/>
        <v>1.2852306713332808E-14</v>
      </c>
      <c r="AB667" s="95">
        <f t="shared" si="422"/>
        <v>-13.891018918794458</v>
      </c>
      <c r="AC667" s="95"/>
      <c r="AD667" s="95"/>
      <c r="AG667" s="138">
        <f t="shared" si="423"/>
        <v>-2.3223826829534464</v>
      </c>
      <c r="AH667">
        <f t="shared" si="424"/>
        <v>1.47</v>
      </c>
      <c r="AK667">
        <f t="shared" ref="AK667" si="429">$K667</f>
        <v>1.47</v>
      </c>
      <c r="BW667" s="138"/>
      <c r="BX667">
        <f t="shared" si="428"/>
        <v>4.0081244215557099</v>
      </c>
      <c r="CA667">
        <f>LOG(1*$J667)</f>
        <v>4.0081244215557099</v>
      </c>
      <c r="DG667">
        <f>Z667</f>
        <v>-11.568636235841012</v>
      </c>
      <c r="DH667">
        <f>$H667</f>
        <v>98.973331537275584</v>
      </c>
      <c r="DK667">
        <f t="shared" ref="DK667" si="430">$H667</f>
        <v>98.973331537275584</v>
      </c>
      <c r="EY667" s="479">
        <f>VLOOKUP(B667,Literatuur!$A:$B,2,FALSE)</f>
        <v>7</v>
      </c>
      <c r="EZ667" t="str">
        <f t="shared" si="384"/>
        <v>1,2-Dicholoethane</v>
      </c>
      <c r="FA667" t="str">
        <f t="shared" si="385"/>
        <v>ClAlk</v>
      </c>
      <c r="FB667" t="str">
        <f t="shared" si="386"/>
        <v>HDPE</v>
      </c>
      <c r="FC667" t="str">
        <f t="shared" si="387"/>
        <v>Permeation</v>
      </c>
      <c r="FD667">
        <f t="shared" si="388"/>
        <v>298</v>
      </c>
      <c r="FE667" t="str">
        <f t="shared" si="389"/>
        <v>water</v>
      </c>
      <c r="FF667" t="str">
        <f t="shared" si="390"/>
        <v xml:space="preserve">saturated </v>
      </c>
      <c r="FG667" s="408">
        <f t="shared" si="382"/>
        <v>1</v>
      </c>
      <c r="FH667" s="138">
        <f t="shared" si="391"/>
        <v>-2.3223826829534464</v>
      </c>
      <c r="FI667" s="106" t="str">
        <f t="shared" si="383"/>
        <v>**</v>
      </c>
      <c r="FJ667" s="138">
        <f t="shared" si="392"/>
        <v>-11.568636235841012</v>
      </c>
      <c r="FK667" s="138" t="str">
        <f t="shared" si="379"/>
        <v>**</v>
      </c>
    </row>
    <row r="668" spans="1:167" ht="12.75" hidden="1" customHeight="1" x14ac:dyDescent="0.2">
      <c r="A668">
        <v>633</v>
      </c>
      <c r="B668" s="4" t="s">
        <v>1936</v>
      </c>
      <c r="C668" s="4"/>
      <c r="D668" s="4" t="s">
        <v>538</v>
      </c>
      <c r="E668" s="4">
        <v>400</v>
      </c>
      <c r="F668" t="str">
        <f>VLOOKUP(E668,CompDbase!B:L,4,FALSE)</f>
        <v>1,2-Dichloroethane</v>
      </c>
      <c r="G668" s="95" t="str">
        <f>VLOOKUP(E668,CompDbase!B:M,12,FALSE)</f>
        <v>ClAlk</v>
      </c>
      <c r="H668" s="95">
        <f>VLOOKUP(E668,CompDbase!B:L,8,FALSE)</f>
        <v>98.973331537275584</v>
      </c>
      <c r="I668" s="95">
        <f>VLOOKUP(E668,CompDbase!B:L,11,FALSE)</f>
        <v>79.400000000000006</v>
      </c>
      <c r="J668" s="95">
        <f>VLOOKUP(E668,CompDbase!B:L,9,FALSE)</f>
        <v>10188.832473485421</v>
      </c>
      <c r="K668" s="95">
        <f>VLOOKUP(E668,CompDbase!B:L,10,FALSE)</f>
        <v>1.47</v>
      </c>
      <c r="L668" s="4" t="s">
        <v>717</v>
      </c>
      <c r="M668" s="423"/>
      <c r="N668" s="423"/>
      <c r="O668" s="4" t="s">
        <v>1082</v>
      </c>
      <c r="P668">
        <v>298</v>
      </c>
      <c r="Q668" s="4" t="s">
        <v>1049</v>
      </c>
      <c r="R668" s="289" t="s">
        <v>1988</v>
      </c>
      <c r="T668" s="289">
        <v>1</v>
      </c>
      <c r="U668">
        <v>18.100000000000001</v>
      </c>
      <c r="V668" s="95"/>
      <c r="W668" s="95">
        <f t="shared" si="427"/>
        <v>1.7764547652640232E-3</v>
      </c>
      <c r="X668" s="183">
        <f t="shared" si="420"/>
        <v>-2.7504458466865254</v>
      </c>
      <c r="Y668">
        <v>4.4999999999999998E-12</v>
      </c>
      <c r="Z668" s="95">
        <f t="shared" si="413"/>
        <v>-11.346787486224656</v>
      </c>
      <c r="AA668" s="95">
        <f t="shared" si="421"/>
        <v>7.9940464436881042E-15</v>
      </c>
      <c r="AB668" s="95">
        <f t="shared" si="422"/>
        <v>-14.097233332911182</v>
      </c>
      <c r="AC668" s="95" t="s">
        <v>68</v>
      </c>
      <c r="AD668" s="95"/>
      <c r="AE668" s="4" t="s">
        <v>2011</v>
      </c>
      <c r="AG668" s="138">
        <f t="shared" si="423"/>
        <v>-2.7504458466865254</v>
      </c>
      <c r="AH668">
        <f t="shared" si="424"/>
        <v>1.47</v>
      </c>
      <c r="BW668" s="138"/>
      <c r="BX668">
        <f t="shared" si="428"/>
        <v>4.0081244215557099</v>
      </c>
      <c r="EY668" s="479">
        <f>VLOOKUP(B668,Literatuur!$A:$B,2,FALSE)</f>
        <v>7</v>
      </c>
      <c r="EZ668" t="str">
        <f t="shared" si="384"/>
        <v>1,2-Dicholoethane</v>
      </c>
      <c r="FA668" t="str">
        <f t="shared" si="385"/>
        <v>ClAlk</v>
      </c>
      <c r="FB668" t="str">
        <f t="shared" si="386"/>
        <v>HDPE</v>
      </c>
      <c r="FC668" t="str">
        <f t="shared" si="387"/>
        <v>Permeation</v>
      </c>
      <c r="FD668">
        <f t="shared" si="388"/>
        <v>298</v>
      </c>
      <c r="FE668" t="str">
        <f t="shared" si="389"/>
        <v>water</v>
      </c>
      <c r="FF668" t="str">
        <f t="shared" si="390"/>
        <v xml:space="preserve">saturated </v>
      </c>
      <c r="FG668" s="408">
        <f t="shared" si="382"/>
        <v>1</v>
      </c>
      <c r="FH668" s="138">
        <f t="shared" si="391"/>
        <v>-2.7504458466865254</v>
      </c>
      <c r="FI668" s="106" t="str">
        <f t="shared" si="383"/>
        <v>**</v>
      </c>
      <c r="FJ668" s="138">
        <f t="shared" si="392"/>
        <v>-11.346787486224656</v>
      </c>
      <c r="FK668" s="138" t="str">
        <f t="shared" si="379"/>
        <v>**</v>
      </c>
    </row>
    <row r="669" spans="1:167" ht="12.75" hidden="1" customHeight="1" x14ac:dyDescent="0.2">
      <c r="A669">
        <v>634</v>
      </c>
      <c r="B669" s="4" t="s">
        <v>1936</v>
      </c>
      <c r="C669" s="4"/>
      <c r="D669" s="4" t="s">
        <v>539</v>
      </c>
      <c r="E669" s="4">
        <v>-1534</v>
      </c>
      <c r="F669" t="str">
        <f>VLOOKUP(E669,CompDbase!B:L,4,FALSE)</f>
        <v>Chloroform</v>
      </c>
      <c r="G669" s="95" t="str">
        <f>VLOOKUP(E669,CompDbase!B:M,12,FALSE)</f>
        <v>ClAlk</v>
      </c>
      <c r="H669" s="95">
        <f>VLOOKUP(E669,CompDbase!B:L,8,FALSE)</f>
        <v>119.38</v>
      </c>
      <c r="I669" s="95" t="e">
        <f>VLOOKUP(E669,CompDbase!B:L,11,FALSE)</f>
        <v>#DIV/0!</v>
      </c>
      <c r="J669" s="95">
        <f>VLOOKUP(E669,CompDbase!B:L,9,FALSE)</f>
        <v>7950</v>
      </c>
      <c r="K669" s="95">
        <f>VLOOKUP(E669,CompDbase!B:L,10,FALSE)</f>
        <v>1.97</v>
      </c>
      <c r="L669" s="4" t="s">
        <v>717</v>
      </c>
      <c r="M669" s="423"/>
      <c r="N669" s="423"/>
      <c r="O669" s="4" t="s">
        <v>1044</v>
      </c>
      <c r="P669">
        <v>298</v>
      </c>
      <c r="Q669" s="4" t="s">
        <v>1049</v>
      </c>
      <c r="R669" s="289" t="s">
        <v>1988</v>
      </c>
      <c r="T669" s="289">
        <v>1</v>
      </c>
      <c r="U669">
        <v>96.1</v>
      </c>
      <c r="V669" s="95"/>
      <c r="W669" s="95">
        <f t="shared" si="427"/>
        <v>1.2088050314465408E-2</v>
      </c>
      <c r="X669" s="183">
        <f t="shared" si="420"/>
        <v>-1.917643740987925</v>
      </c>
      <c r="Y669">
        <v>5.1000000000000005E-12</v>
      </c>
      <c r="Z669" s="95">
        <f t="shared" si="413"/>
        <v>-11.292429823902063</v>
      </c>
      <c r="AA669" s="95">
        <f t="shared" si="421"/>
        <v>6.1649056603773589E-14</v>
      </c>
      <c r="AB669" s="95">
        <f t="shared" si="422"/>
        <v>-13.210073564889989</v>
      </c>
      <c r="AC669" s="95"/>
      <c r="AD669" s="95"/>
      <c r="AG669" s="138">
        <f t="shared" si="423"/>
        <v>-1.917643740987925</v>
      </c>
      <c r="AH669">
        <f t="shared" si="424"/>
        <v>1.97</v>
      </c>
      <c r="AI669">
        <f t="shared" si="424"/>
        <v>1.97</v>
      </c>
      <c r="AL669">
        <f t="shared" ref="AL669" si="431">$K669</f>
        <v>1.97</v>
      </c>
      <c r="AO669">
        <f t="shared" ref="AO669" si="432">$K669</f>
        <v>1.97</v>
      </c>
      <c r="BW669" s="138"/>
      <c r="BX669">
        <f t="shared" si="428"/>
        <v>3.9003671286564705</v>
      </c>
      <c r="BY669">
        <f>LOG(1*$J669)</f>
        <v>3.9003671286564705</v>
      </c>
      <c r="CB669">
        <f>LOG(1*$J669)</f>
        <v>3.9003671286564705</v>
      </c>
      <c r="CE669">
        <f>LOG(1*$J669)</f>
        <v>3.9003671286564705</v>
      </c>
      <c r="DG669">
        <f>Z669</f>
        <v>-11.292429823902063</v>
      </c>
      <c r="DH669">
        <f>$H669</f>
        <v>119.38</v>
      </c>
      <c r="DI669">
        <f t="shared" ref="DI669" si="433">$H669</f>
        <v>119.38</v>
      </c>
      <c r="EY669" s="479">
        <f>VLOOKUP(B669,Literatuur!$A:$B,2,FALSE)</f>
        <v>7</v>
      </c>
      <c r="EZ669" t="str">
        <f t="shared" si="384"/>
        <v>Chloroform</v>
      </c>
      <c r="FA669" t="str">
        <f t="shared" si="385"/>
        <v>ClAlk</v>
      </c>
      <c r="FB669" t="str">
        <f t="shared" si="386"/>
        <v>HDPE</v>
      </c>
      <c r="FC669" t="str">
        <f t="shared" si="387"/>
        <v>Immersion</v>
      </c>
      <c r="FD669">
        <f t="shared" si="388"/>
        <v>298</v>
      </c>
      <c r="FE669" t="str">
        <f t="shared" si="389"/>
        <v>water</v>
      </c>
      <c r="FF669" t="str">
        <f t="shared" si="390"/>
        <v xml:space="preserve">saturated </v>
      </c>
      <c r="FG669" s="408">
        <f t="shared" si="382"/>
        <v>1</v>
      </c>
      <c r="FH669" s="138">
        <f t="shared" si="391"/>
        <v>-1.917643740987925</v>
      </c>
      <c r="FI669" s="106">
        <f t="shared" si="383"/>
        <v>0.89254381030335894</v>
      </c>
      <c r="FJ669" s="138">
        <f t="shared" si="392"/>
        <v>-11.292429823902063</v>
      </c>
      <c r="FK669" s="138" t="str">
        <f t="shared" si="379"/>
        <v>**</v>
      </c>
    </row>
    <row r="670" spans="1:167" ht="12.75" hidden="1" customHeight="1" x14ac:dyDescent="0.2">
      <c r="A670">
        <v>635</v>
      </c>
      <c r="B670" s="4" t="s">
        <v>1936</v>
      </c>
      <c r="C670" s="4"/>
      <c r="D670" s="4" t="s">
        <v>539</v>
      </c>
      <c r="E670" s="4">
        <v>-1534</v>
      </c>
      <c r="F670" t="str">
        <f>VLOOKUP(E670,CompDbase!B:L,4,FALSE)</f>
        <v>Chloroform</v>
      </c>
      <c r="G670" s="95" t="str">
        <f>VLOOKUP(E670,CompDbase!B:M,12,FALSE)</f>
        <v>ClAlk</v>
      </c>
      <c r="H670" s="95">
        <f>VLOOKUP(E670,CompDbase!B:L,8,FALSE)</f>
        <v>119.38</v>
      </c>
      <c r="I670" s="95" t="e">
        <f>VLOOKUP(E670,CompDbase!B:L,11,FALSE)</f>
        <v>#DIV/0!</v>
      </c>
      <c r="J670" s="95">
        <f>VLOOKUP(E670,CompDbase!B:L,9,FALSE)</f>
        <v>7950</v>
      </c>
      <c r="K670" s="95">
        <f>VLOOKUP(E670,CompDbase!B:L,10,FALSE)</f>
        <v>1.97</v>
      </c>
      <c r="L670" s="4" t="s">
        <v>717</v>
      </c>
      <c r="M670" s="423"/>
      <c r="N670" s="423"/>
      <c r="O670" s="4" t="s">
        <v>1044</v>
      </c>
      <c r="P670">
        <v>298</v>
      </c>
      <c r="Q670" s="4" t="s">
        <v>1049</v>
      </c>
      <c r="R670" s="289" t="s">
        <v>1988</v>
      </c>
      <c r="T670" s="289">
        <v>1</v>
      </c>
      <c r="U670">
        <v>91.2</v>
      </c>
      <c r="V670" s="95"/>
      <c r="W670" s="95">
        <f t="shared" si="427"/>
        <v>1.1471698113207548E-2</v>
      </c>
      <c r="X670" s="183">
        <f t="shared" si="420"/>
        <v>-1.940372290328054</v>
      </c>
      <c r="Y670">
        <v>6.6000000000000001E-12</v>
      </c>
      <c r="Z670" s="95">
        <f t="shared" si="413"/>
        <v>-11.180456064458131</v>
      </c>
      <c r="AA670" s="95">
        <f t="shared" si="421"/>
        <v>7.5713207547169824E-14</v>
      </c>
      <c r="AB670" s="95">
        <f t="shared" si="422"/>
        <v>-13.120828354786186</v>
      </c>
      <c r="AC670" s="95">
        <v>1</v>
      </c>
      <c r="AD670" s="95"/>
      <c r="AE670" s="4" t="s">
        <v>2011</v>
      </c>
      <c r="AG670" s="138">
        <f t="shared" si="423"/>
        <v>-1.940372290328054</v>
      </c>
      <c r="AH670">
        <f t="shared" si="424"/>
        <v>1.97</v>
      </c>
      <c r="BW670" s="138"/>
      <c r="BX670">
        <f t="shared" si="428"/>
        <v>3.9003671286564705</v>
      </c>
      <c r="EY670" s="479">
        <f>VLOOKUP(B670,Literatuur!$A:$B,2,FALSE)</f>
        <v>7</v>
      </c>
      <c r="EZ670" t="str">
        <f t="shared" si="384"/>
        <v>Chloroform</v>
      </c>
      <c r="FA670" t="str">
        <f t="shared" si="385"/>
        <v>ClAlk</v>
      </c>
      <c r="FB670" t="str">
        <f t="shared" si="386"/>
        <v>HDPE</v>
      </c>
      <c r="FC670" t="str">
        <f t="shared" si="387"/>
        <v>Immersion</v>
      </c>
      <c r="FD670">
        <f t="shared" si="388"/>
        <v>298</v>
      </c>
      <c r="FE670" t="str">
        <f t="shared" si="389"/>
        <v>water</v>
      </c>
      <c r="FF670" t="str">
        <f t="shared" si="390"/>
        <v xml:space="preserve">saturated </v>
      </c>
      <c r="FG670" s="408">
        <f t="shared" si="382"/>
        <v>1</v>
      </c>
      <c r="FH670" s="138">
        <f t="shared" si="391"/>
        <v>-1.940372290328054</v>
      </c>
      <c r="FI670" s="106" t="str">
        <f t="shared" si="383"/>
        <v>**</v>
      </c>
      <c r="FJ670" s="138">
        <f t="shared" si="392"/>
        <v>-11.180456064458131</v>
      </c>
      <c r="FK670" s="138" t="str">
        <f t="shared" si="379"/>
        <v>**</v>
      </c>
    </row>
    <row r="671" spans="1:167" ht="12.75" hidden="1" customHeight="1" x14ac:dyDescent="0.2">
      <c r="A671">
        <v>636</v>
      </c>
      <c r="B671" s="4" t="s">
        <v>1936</v>
      </c>
      <c r="C671" s="4"/>
      <c r="D671" s="4" t="s">
        <v>539</v>
      </c>
      <c r="E671" s="4">
        <v>-1534</v>
      </c>
      <c r="F671" t="str">
        <f>VLOOKUP(E671,CompDbase!B:L,4,FALSE)</f>
        <v>Chloroform</v>
      </c>
      <c r="G671" s="95" t="str">
        <f>VLOOKUP(E671,CompDbase!B:M,12,FALSE)</f>
        <v>ClAlk</v>
      </c>
      <c r="H671" s="95">
        <f>VLOOKUP(E671,CompDbase!B:L,8,FALSE)</f>
        <v>119.38</v>
      </c>
      <c r="I671" s="95" t="e">
        <f>VLOOKUP(E671,CompDbase!B:L,11,FALSE)</f>
        <v>#DIV/0!</v>
      </c>
      <c r="J671" s="95">
        <f>VLOOKUP(E671,CompDbase!B:L,9,FALSE)</f>
        <v>7950</v>
      </c>
      <c r="K671" s="95">
        <f>VLOOKUP(E671,CompDbase!B:L,10,FALSE)</f>
        <v>1.97</v>
      </c>
      <c r="L671" s="4" t="s">
        <v>717</v>
      </c>
      <c r="M671" s="423"/>
      <c r="N671" s="423"/>
      <c r="O671" s="4" t="s">
        <v>1082</v>
      </c>
      <c r="P671">
        <v>298</v>
      </c>
      <c r="Q671" s="4" t="s">
        <v>1049</v>
      </c>
      <c r="R671" s="289" t="s">
        <v>1988</v>
      </c>
      <c r="T671" s="289">
        <v>1</v>
      </c>
      <c r="U671">
        <v>196.6</v>
      </c>
      <c r="V671" s="95"/>
      <c r="W671" s="95">
        <f t="shared" si="427"/>
        <v>2.4729559748427672E-2</v>
      </c>
      <c r="X671" s="183">
        <f t="shared" si="420"/>
        <v>-1.6067836151603534</v>
      </c>
      <c r="Y671">
        <v>3.4000000000000001E-12</v>
      </c>
      <c r="Z671" s="95">
        <f t="shared" si="413"/>
        <v>-11.468521082957745</v>
      </c>
      <c r="AA671" s="95">
        <f t="shared" si="421"/>
        <v>8.4080503144654091E-14</v>
      </c>
      <c r="AB671" s="95">
        <f t="shared" si="422"/>
        <v>-13.075304698118098</v>
      </c>
      <c r="AC671" s="95"/>
      <c r="AD671" s="95"/>
      <c r="AG671" s="138">
        <f t="shared" si="423"/>
        <v>-1.6067836151603534</v>
      </c>
      <c r="AH671">
        <f t="shared" si="424"/>
        <v>1.97</v>
      </c>
      <c r="AK671">
        <f t="shared" ref="AK671" si="434">$K671</f>
        <v>1.97</v>
      </c>
      <c r="BW671" s="138"/>
      <c r="BX671">
        <f t="shared" si="428"/>
        <v>3.9003671286564705</v>
      </c>
      <c r="CA671">
        <f>LOG(1*$J671)</f>
        <v>3.9003671286564705</v>
      </c>
      <c r="DG671">
        <f>Z671</f>
        <v>-11.468521082957745</v>
      </c>
      <c r="DH671">
        <f>$H671</f>
        <v>119.38</v>
      </c>
      <c r="DK671">
        <f t="shared" ref="DK671" si="435">$H671</f>
        <v>119.38</v>
      </c>
      <c r="EY671" s="479">
        <f>VLOOKUP(B671,Literatuur!$A:$B,2,FALSE)</f>
        <v>7</v>
      </c>
      <c r="EZ671" t="str">
        <f t="shared" si="384"/>
        <v>Chloroform</v>
      </c>
      <c r="FA671" t="str">
        <f t="shared" si="385"/>
        <v>ClAlk</v>
      </c>
      <c r="FB671" t="str">
        <f t="shared" si="386"/>
        <v>HDPE</v>
      </c>
      <c r="FC671" t="str">
        <f t="shared" si="387"/>
        <v>Permeation</v>
      </c>
      <c r="FD671">
        <f t="shared" si="388"/>
        <v>298</v>
      </c>
      <c r="FE671" t="str">
        <f t="shared" si="389"/>
        <v>water</v>
      </c>
      <c r="FF671" t="str">
        <f t="shared" si="390"/>
        <v xml:space="preserve">saturated </v>
      </c>
      <c r="FG671" s="408">
        <f t="shared" si="382"/>
        <v>1</v>
      </c>
      <c r="FH671" s="138">
        <f t="shared" si="391"/>
        <v>-1.6067836151603534</v>
      </c>
      <c r="FI671" s="106" t="str">
        <f t="shared" si="383"/>
        <v>**</v>
      </c>
      <c r="FJ671" s="138">
        <f t="shared" si="392"/>
        <v>-11.468521082957745</v>
      </c>
      <c r="FK671" s="138" t="str">
        <f t="shared" si="379"/>
        <v>**</v>
      </c>
    </row>
    <row r="672" spans="1:167" ht="12.75" hidden="1" customHeight="1" x14ac:dyDescent="0.2">
      <c r="A672">
        <v>637</v>
      </c>
      <c r="B672" s="4" t="s">
        <v>1936</v>
      </c>
      <c r="C672" s="4"/>
      <c r="D672" s="4" t="s">
        <v>539</v>
      </c>
      <c r="E672" s="4">
        <v>-1534</v>
      </c>
      <c r="F672" t="str">
        <f>VLOOKUP(E672,CompDbase!B:L,4,FALSE)</f>
        <v>Chloroform</v>
      </c>
      <c r="G672" s="95" t="str">
        <f>VLOOKUP(E672,CompDbase!B:M,12,FALSE)</f>
        <v>ClAlk</v>
      </c>
      <c r="H672" s="95">
        <f>VLOOKUP(E672,CompDbase!B:L,8,FALSE)</f>
        <v>119.38</v>
      </c>
      <c r="I672" s="95" t="e">
        <f>VLOOKUP(E672,CompDbase!B:L,11,FALSE)</f>
        <v>#DIV/0!</v>
      </c>
      <c r="J672" s="95">
        <f>VLOOKUP(E672,CompDbase!B:L,9,FALSE)</f>
        <v>7950</v>
      </c>
      <c r="K672" s="95">
        <f>VLOOKUP(E672,CompDbase!B:L,10,FALSE)</f>
        <v>1.97</v>
      </c>
      <c r="L672" s="4" t="s">
        <v>717</v>
      </c>
      <c r="M672" s="423"/>
      <c r="N672" s="423"/>
      <c r="O672" s="4" t="s">
        <v>1082</v>
      </c>
      <c r="P672">
        <v>298</v>
      </c>
      <c r="Q672" s="4" t="s">
        <v>1049</v>
      </c>
      <c r="R672" s="289" t="s">
        <v>1988</v>
      </c>
      <c r="T672" s="289">
        <v>1</v>
      </c>
      <c r="U672">
        <v>134.4</v>
      </c>
      <c r="V672" s="95"/>
      <c r="W672" s="95">
        <f t="shared" si="427"/>
        <v>1.6905660377358491E-2</v>
      </c>
      <c r="X672" s="183">
        <f t="shared" si="420"/>
        <v>-1.7719678599386639</v>
      </c>
      <c r="Y672">
        <v>3.9999999999999999E-12</v>
      </c>
      <c r="Z672" s="95">
        <f t="shared" si="413"/>
        <v>-11.397940008672037</v>
      </c>
      <c r="AA672" s="95">
        <f t="shared" si="421"/>
        <v>6.7622641509433957E-14</v>
      </c>
      <c r="AB672" s="95">
        <f t="shared" si="422"/>
        <v>-13.169907868610702</v>
      </c>
      <c r="AC672" s="95" t="s">
        <v>68</v>
      </c>
      <c r="AD672" s="95"/>
      <c r="AE672" s="4" t="s">
        <v>2011</v>
      </c>
      <c r="AG672" s="138">
        <f t="shared" si="423"/>
        <v>-1.7719678599386639</v>
      </c>
      <c r="AH672">
        <f t="shared" si="424"/>
        <v>1.97</v>
      </c>
      <c r="BW672" s="138"/>
      <c r="BX672">
        <f t="shared" si="428"/>
        <v>3.9003671286564705</v>
      </c>
      <c r="EY672" s="479">
        <f>VLOOKUP(B672,Literatuur!$A:$B,2,FALSE)</f>
        <v>7</v>
      </c>
      <c r="EZ672" t="str">
        <f t="shared" si="384"/>
        <v>Chloroform</v>
      </c>
      <c r="FA672" t="str">
        <f t="shared" si="385"/>
        <v>ClAlk</v>
      </c>
      <c r="FB672" t="str">
        <f t="shared" si="386"/>
        <v>HDPE</v>
      </c>
      <c r="FC672" t="str">
        <f t="shared" si="387"/>
        <v>Permeation</v>
      </c>
      <c r="FD672">
        <f t="shared" si="388"/>
        <v>298</v>
      </c>
      <c r="FE672" t="str">
        <f t="shared" si="389"/>
        <v>water</v>
      </c>
      <c r="FF672" t="str">
        <f t="shared" si="390"/>
        <v xml:space="preserve">saturated </v>
      </c>
      <c r="FG672" s="408">
        <f t="shared" si="382"/>
        <v>1</v>
      </c>
      <c r="FH672" s="138">
        <f t="shared" si="391"/>
        <v>-1.7719678599386639</v>
      </c>
      <c r="FI672" s="106" t="str">
        <f t="shared" si="383"/>
        <v>**</v>
      </c>
      <c r="FJ672" s="138">
        <f t="shared" si="392"/>
        <v>-11.397940008672037</v>
      </c>
      <c r="FK672" s="138" t="str">
        <f t="shared" si="379"/>
        <v>**</v>
      </c>
    </row>
    <row r="673" spans="1:167" ht="12.75" hidden="1" customHeight="1" x14ac:dyDescent="0.2">
      <c r="A673">
        <v>638</v>
      </c>
      <c r="B673" s="4" t="s">
        <v>1936</v>
      </c>
      <c r="C673" s="4"/>
      <c r="D673" s="4" t="s">
        <v>537</v>
      </c>
      <c r="E673" s="4">
        <v>-402</v>
      </c>
      <c r="F673" t="str">
        <f>VLOOKUP(E673,CompDbase!B:L,4,FALSE)</f>
        <v>Dichloromethane</v>
      </c>
      <c r="G673" s="95" t="str">
        <f>VLOOKUP(E673,CompDbase!B:M,12,FALSE)</f>
        <v>ClAlk</v>
      </c>
      <c r="H673" s="95">
        <f>VLOOKUP(E673,CompDbase!B:L,8,FALSE)</f>
        <v>84.93</v>
      </c>
      <c r="I673" s="95">
        <f>VLOOKUP(E673,CompDbase!B:L,11,FALSE)</f>
        <v>64.5</v>
      </c>
      <c r="J673" s="95">
        <f>VLOOKUP(E673,CompDbase!B:L,9,FALSE)</f>
        <v>20000</v>
      </c>
      <c r="K673" s="95">
        <f>VLOOKUP(E673,CompDbase!B:L,10,FALSE)</f>
        <v>1.25</v>
      </c>
      <c r="L673" s="4" t="s">
        <v>717</v>
      </c>
      <c r="M673" s="423"/>
      <c r="N673" s="423"/>
      <c r="O673" s="4" t="s">
        <v>1044</v>
      </c>
      <c r="P673">
        <v>298</v>
      </c>
      <c r="Q673" s="4" t="s">
        <v>1049</v>
      </c>
      <c r="R673" s="289" t="s">
        <v>1988</v>
      </c>
      <c r="T673" s="289">
        <v>1</v>
      </c>
      <c r="U673">
        <v>61</v>
      </c>
      <c r="V673" s="95"/>
      <c r="W673" s="95">
        <f t="shared" si="427"/>
        <v>3.0500000000000002E-3</v>
      </c>
      <c r="X673" s="183">
        <f t="shared" si="420"/>
        <v>-2.5157001606532141</v>
      </c>
      <c r="Y673">
        <v>8.6999999999999997E-12</v>
      </c>
      <c r="Z673" s="95">
        <f t="shared" si="413"/>
        <v>-11.060480747381382</v>
      </c>
      <c r="AA673" s="95">
        <f t="shared" si="421"/>
        <v>2.6535000000000001E-14</v>
      </c>
      <c r="AB673" s="95">
        <f t="shared" si="422"/>
        <v>-13.576180908034596</v>
      </c>
      <c r="AC673" s="95">
        <v>1</v>
      </c>
      <c r="AD673" s="95"/>
      <c r="AG673" s="138">
        <f t="shared" si="423"/>
        <v>-2.5157001606532141</v>
      </c>
      <c r="AH673">
        <f t="shared" si="424"/>
        <v>1.25</v>
      </c>
      <c r="BW673" s="138"/>
      <c r="BX673">
        <f t="shared" si="428"/>
        <v>4.3010299956639813</v>
      </c>
      <c r="DG673">
        <f t="shared" ref="DG673:DG675" si="436">Z673</f>
        <v>-11.060480747381382</v>
      </c>
      <c r="DH673">
        <f t="shared" ref="DH673:DI675" si="437">$H673</f>
        <v>84.93</v>
      </c>
      <c r="DI673">
        <f t="shared" si="437"/>
        <v>84.93</v>
      </c>
      <c r="EY673" s="479">
        <f>VLOOKUP(B673,Literatuur!$A:$B,2,FALSE)</f>
        <v>7</v>
      </c>
      <c r="EZ673" t="str">
        <f t="shared" si="384"/>
        <v>Dichloromethane</v>
      </c>
      <c r="FA673" t="str">
        <f t="shared" si="385"/>
        <v>ClAlk</v>
      </c>
      <c r="FB673" t="str">
        <f t="shared" si="386"/>
        <v>HDPE</v>
      </c>
      <c r="FC673" t="str">
        <f t="shared" si="387"/>
        <v>Immersion</v>
      </c>
      <c r="FD673">
        <f t="shared" si="388"/>
        <v>298</v>
      </c>
      <c r="FE673" t="str">
        <f t="shared" si="389"/>
        <v>water</v>
      </c>
      <c r="FF673" t="str">
        <f t="shared" si="390"/>
        <v xml:space="preserve">saturated </v>
      </c>
      <c r="FG673" s="408">
        <f t="shared" si="382"/>
        <v>1</v>
      </c>
      <c r="FH673" s="138">
        <f t="shared" si="391"/>
        <v>-2.5157001606532141</v>
      </c>
      <c r="FI673" s="106" t="str">
        <f t="shared" si="383"/>
        <v>**</v>
      </c>
      <c r="FJ673" s="138">
        <f t="shared" si="392"/>
        <v>-11.060480747381382</v>
      </c>
      <c r="FK673" s="138" t="str">
        <f t="shared" si="379"/>
        <v>**</v>
      </c>
    </row>
    <row r="674" spans="1:167" ht="12.75" hidden="1" customHeight="1" x14ac:dyDescent="0.2">
      <c r="A674">
        <v>639</v>
      </c>
      <c r="B674" s="4" t="s">
        <v>1936</v>
      </c>
      <c r="C674" s="4"/>
      <c r="D674" s="4" t="s">
        <v>537</v>
      </c>
      <c r="E674" s="4">
        <v>-402</v>
      </c>
      <c r="F674" t="str">
        <f>VLOOKUP(E674,CompDbase!B:L,4,FALSE)</f>
        <v>Dichloromethane</v>
      </c>
      <c r="G674" s="95" t="str">
        <f>VLOOKUP(E674,CompDbase!B:M,12,FALSE)</f>
        <v>ClAlk</v>
      </c>
      <c r="H674" s="95">
        <f>VLOOKUP(E674,CompDbase!B:L,8,FALSE)</f>
        <v>84.93</v>
      </c>
      <c r="I674" s="95">
        <f>VLOOKUP(E674,CompDbase!B:L,11,FALSE)</f>
        <v>64.5</v>
      </c>
      <c r="J674" s="95">
        <f>VLOOKUP(E674,CompDbase!B:L,9,FALSE)</f>
        <v>20000</v>
      </c>
      <c r="K674" s="95">
        <f>VLOOKUP(E674,CompDbase!B:L,10,FALSE)</f>
        <v>1.25</v>
      </c>
      <c r="L674" s="4" t="s">
        <v>717</v>
      </c>
      <c r="M674" s="423"/>
      <c r="N674" s="423"/>
      <c r="O674" s="4" t="s">
        <v>1082</v>
      </c>
      <c r="P674">
        <v>298</v>
      </c>
      <c r="Q674" s="4" t="s">
        <v>1049</v>
      </c>
      <c r="R674" s="289" t="s">
        <v>1988</v>
      </c>
      <c r="T674" s="289">
        <v>1</v>
      </c>
      <c r="U674">
        <v>122.10000000000001</v>
      </c>
      <c r="V674" s="95"/>
      <c r="W674" s="95">
        <f t="shared" si="427"/>
        <v>6.1050000000000002E-3</v>
      </c>
      <c r="X674" s="183">
        <f t="shared" si="420"/>
        <v>-2.2143143317190987</v>
      </c>
      <c r="Y674">
        <v>4.4999999999999998E-12</v>
      </c>
      <c r="Z674" s="95">
        <f t="shared" si="413"/>
        <v>-11.346787486224656</v>
      </c>
      <c r="AA674" s="95">
        <f t="shared" si="421"/>
        <v>2.74725E-14</v>
      </c>
      <c r="AB674" s="95">
        <f t="shared" si="422"/>
        <v>-13.561101817943754</v>
      </c>
      <c r="AC674" s="95" t="s">
        <v>68</v>
      </c>
      <c r="AD674" s="95"/>
      <c r="AG674" s="138">
        <f t="shared" si="423"/>
        <v>-2.2143143317190987</v>
      </c>
      <c r="AH674">
        <f t="shared" si="424"/>
        <v>1.25</v>
      </c>
      <c r="AK674">
        <f t="shared" ref="AK674" si="438">$K674</f>
        <v>1.25</v>
      </c>
      <c r="BW674" s="138"/>
      <c r="BX674">
        <f t="shared" si="428"/>
        <v>4.3010299956639813</v>
      </c>
      <c r="CA674">
        <f>LOG(1*$J674)</f>
        <v>4.3010299956639813</v>
      </c>
      <c r="DG674">
        <f t="shared" si="436"/>
        <v>-11.346787486224656</v>
      </c>
      <c r="DH674">
        <f t="shared" si="437"/>
        <v>84.93</v>
      </c>
      <c r="DK674">
        <f t="shared" ref="DK674" si="439">$H674</f>
        <v>84.93</v>
      </c>
      <c r="EY674" s="479">
        <f>VLOOKUP(B674,Literatuur!$A:$B,2,FALSE)</f>
        <v>7</v>
      </c>
      <c r="EZ674" t="str">
        <f t="shared" si="384"/>
        <v>Dichloromethane</v>
      </c>
      <c r="FA674" t="str">
        <f t="shared" si="385"/>
        <v>ClAlk</v>
      </c>
      <c r="FB674" t="str">
        <f t="shared" si="386"/>
        <v>HDPE</v>
      </c>
      <c r="FC674" t="str">
        <f t="shared" si="387"/>
        <v>Permeation</v>
      </c>
      <c r="FD674">
        <f t="shared" si="388"/>
        <v>298</v>
      </c>
      <c r="FE674" t="str">
        <f t="shared" si="389"/>
        <v>water</v>
      </c>
      <c r="FF674" t="str">
        <f t="shared" si="390"/>
        <v xml:space="preserve">saturated </v>
      </c>
      <c r="FG674" s="408">
        <f t="shared" si="382"/>
        <v>1</v>
      </c>
      <c r="FH674" s="138">
        <f t="shared" si="391"/>
        <v>-2.2143143317190987</v>
      </c>
      <c r="FI674" s="106" t="str">
        <f t="shared" si="383"/>
        <v>**</v>
      </c>
      <c r="FJ674" s="138">
        <f t="shared" si="392"/>
        <v>-11.346787486224656</v>
      </c>
      <c r="FK674" s="138" t="str">
        <f t="shared" si="379"/>
        <v>**</v>
      </c>
    </row>
    <row r="675" spans="1:167" s="13" customFormat="1" ht="12.75" hidden="1" customHeight="1" x14ac:dyDescent="0.2">
      <c r="A675">
        <v>640</v>
      </c>
      <c r="B675" s="14" t="s">
        <v>1936</v>
      </c>
      <c r="C675" s="14"/>
      <c r="D675" s="14" t="s">
        <v>540</v>
      </c>
      <c r="E675" s="14">
        <v>405</v>
      </c>
      <c r="F675" s="13" t="str">
        <f>VLOOKUP(E675,CompDbase!B:L,4,FALSE)</f>
        <v>Trichloroethylene</v>
      </c>
      <c r="G675" s="182" t="str">
        <f>VLOOKUP(E675,CompDbase!B:M,12,FALSE)</f>
        <v>ClAlk</v>
      </c>
      <c r="H675" s="182">
        <f>VLOOKUP(E675,CompDbase!B:L,8,FALSE)</f>
        <v>131.4</v>
      </c>
      <c r="I675" s="182" t="e">
        <f>VLOOKUP(E675,CompDbase!B:L,11,FALSE)</f>
        <v>#DIV/0!</v>
      </c>
      <c r="J675" s="182">
        <f>VLOOKUP(E675,CompDbase!B:L,9,FALSE)</f>
        <v>1164.8441611748488</v>
      </c>
      <c r="K675" s="182">
        <f>VLOOKUP(E675,CompDbase!B:L,10,FALSE)</f>
        <v>2.61</v>
      </c>
      <c r="L675" s="14" t="s">
        <v>717</v>
      </c>
      <c r="M675" s="424"/>
      <c r="N675" s="424"/>
      <c r="O675" s="14" t="s">
        <v>1044</v>
      </c>
      <c r="P675" s="13">
        <v>298</v>
      </c>
      <c r="Q675" s="14" t="s">
        <v>1049</v>
      </c>
      <c r="R675" s="405" t="s">
        <v>1988</v>
      </c>
      <c r="T675" s="405">
        <v>1</v>
      </c>
      <c r="U675" s="13">
        <v>119.9</v>
      </c>
      <c r="V675" s="182"/>
      <c r="W675" s="182">
        <f t="shared" si="427"/>
        <v>0.10293222389428489</v>
      </c>
      <c r="X675" s="261">
        <f t="shared" si="420"/>
        <v>-0.98744864400661192</v>
      </c>
      <c r="Y675" s="13">
        <v>1.1799999999999999E-11</v>
      </c>
      <c r="Z675" s="182">
        <f t="shared" si="413"/>
        <v>-10.928117992693874</v>
      </c>
      <c r="AA675" s="182">
        <f t="shared" si="421"/>
        <v>1.2146002419525616E-12</v>
      </c>
      <c r="AB675" s="182">
        <f t="shared" si="422"/>
        <v>-11.915566636700486</v>
      </c>
      <c r="AC675" s="182">
        <v>1</v>
      </c>
      <c r="AD675" s="182"/>
      <c r="AF675"/>
      <c r="AG675" s="138">
        <f t="shared" si="423"/>
        <v>-0.98744864400661192</v>
      </c>
      <c r="AH675">
        <f t="shared" si="424"/>
        <v>2.61</v>
      </c>
      <c r="AI675"/>
      <c r="BW675" s="138"/>
      <c r="BX675">
        <f t="shared" si="428"/>
        <v>3.0662678271054604</v>
      </c>
      <c r="BY675"/>
      <c r="DF675"/>
      <c r="DG675">
        <f t="shared" si="436"/>
        <v>-10.928117992693874</v>
      </c>
      <c r="DH675">
        <f t="shared" si="437"/>
        <v>131.4</v>
      </c>
      <c r="DI675">
        <f t="shared" si="437"/>
        <v>131.4</v>
      </c>
      <c r="DP675"/>
      <c r="EY675" s="479">
        <f>VLOOKUP(B675,Literatuur!$A:$B,2,FALSE)</f>
        <v>7</v>
      </c>
      <c r="EZ675" t="str">
        <f t="shared" si="384"/>
        <v>Trichloroethylene</v>
      </c>
      <c r="FA675" t="str">
        <f t="shared" si="385"/>
        <v>ClAlk</v>
      </c>
      <c r="FB675" t="str">
        <f t="shared" si="386"/>
        <v>HDPE</v>
      </c>
      <c r="FC675" t="str">
        <f t="shared" si="387"/>
        <v>Immersion</v>
      </c>
      <c r="FD675">
        <f t="shared" si="388"/>
        <v>298</v>
      </c>
      <c r="FE675" t="str">
        <f t="shared" si="389"/>
        <v>water</v>
      </c>
      <c r="FF675" t="str">
        <f t="shared" si="390"/>
        <v xml:space="preserve">saturated </v>
      </c>
      <c r="FG675" s="408">
        <f t="shared" si="382"/>
        <v>1</v>
      </c>
      <c r="FH675" s="138">
        <f t="shared" si="391"/>
        <v>-0.98744864400661192</v>
      </c>
      <c r="FI675" s="106" t="str">
        <f t="shared" si="383"/>
        <v>**</v>
      </c>
      <c r="FJ675" s="138">
        <f t="shared" si="392"/>
        <v>-10.928117992693874</v>
      </c>
      <c r="FK675" s="138" t="str">
        <f t="shared" si="379"/>
        <v>**</v>
      </c>
    </row>
    <row r="676" spans="1:167" ht="12.75" hidden="1" customHeight="1" x14ac:dyDescent="0.2">
      <c r="A676">
        <v>641</v>
      </c>
      <c r="B676" s="4" t="s">
        <v>1936</v>
      </c>
      <c r="C676" s="4"/>
      <c r="D676" s="4" t="s">
        <v>540</v>
      </c>
      <c r="E676" s="4">
        <v>405</v>
      </c>
      <c r="F676" t="str">
        <f>VLOOKUP(E676,CompDbase!B:L,4,FALSE)</f>
        <v>Trichloroethylene</v>
      </c>
      <c r="G676" s="95" t="str">
        <f>VLOOKUP(E676,CompDbase!B:M,12,FALSE)</f>
        <v>ClAlk</v>
      </c>
      <c r="H676" s="95">
        <f>VLOOKUP(E676,CompDbase!B:L,8,FALSE)</f>
        <v>131.4</v>
      </c>
      <c r="I676" s="95" t="e">
        <f>VLOOKUP(E676,CompDbase!B:L,11,FALSE)</f>
        <v>#DIV/0!</v>
      </c>
      <c r="J676" s="95">
        <f>VLOOKUP(E676,CompDbase!B:L,9,FALSE)</f>
        <v>1164.8441611748488</v>
      </c>
      <c r="K676" s="95">
        <f>VLOOKUP(E676,CompDbase!B:L,10,FALSE)</f>
        <v>2.61</v>
      </c>
      <c r="L676" s="4" t="s">
        <v>717</v>
      </c>
      <c r="M676" s="423"/>
      <c r="N676" s="423"/>
      <c r="O676" s="4" t="s">
        <v>1044</v>
      </c>
      <c r="P676">
        <v>298</v>
      </c>
      <c r="Q676" s="4" t="s">
        <v>1049</v>
      </c>
      <c r="R676" s="289" t="s">
        <v>1988</v>
      </c>
      <c r="T676" s="289">
        <v>1</v>
      </c>
      <c r="U676">
        <v>112.19999999999999</v>
      </c>
      <c r="V676" s="95"/>
      <c r="W676" s="95">
        <f t="shared" si="427"/>
        <v>9.6321897589147318E-2</v>
      </c>
      <c r="X676" s="183">
        <f t="shared" si="420"/>
        <v>-1.016274970185318</v>
      </c>
      <c r="Y676">
        <v>1.0200000000000001E-11</v>
      </c>
      <c r="Z676" s="95">
        <f t="shared" si="413"/>
        <v>-10.991399828238082</v>
      </c>
      <c r="AA676" s="95">
        <f t="shared" si="421"/>
        <v>9.8248335540930277E-13</v>
      </c>
      <c r="AB676" s="95">
        <f t="shared" si="422"/>
        <v>-12.0076747984234</v>
      </c>
      <c r="AC676" s="95"/>
      <c r="AD676" s="95"/>
      <c r="AE676" s="4" t="s">
        <v>2011</v>
      </c>
      <c r="AG676" s="138">
        <f t="shared" si="423"/>
        <v>-1.016274970185318</v>
      </c>
      <c r="AH676">
        <f t="shared" si="424"/>
        <v>2.61</v>
      </c>
      <c r="BW676" s="138"/>
      <c r="BX676">
        <f t="shared" si="428"/>
        <v>3.0662678271054604</v>
      </c>
      <c r="EY676" s="479">
        <f>VLOOKUP(B676,Literatuur!$A:$B,2,FALSE)</f>
        <v>7</v>
      </c>
      <c r="EZ676" t="str">
        <f t="shared" si="384"/>
        <v>Trichloroethylene</v>
      </c>
      <c r="FA676" t="str">
        <f t="shared" si="385"/>
        <v>ClAlk</v>
      </c>
      <c r="FB676" t="str">
        <f t="shared" si="386"/>
        <v>HDPE</v>
      </c>
      <c r="FC676" t="str">
        <f t="shared" si="387"/>
        <v>Immersion</v>
      </c>
      <c r="FD676">
        <f t="shared" si="388"/>
        <v>298</v>
      </c>
      <c r="FE676" t="str">
        <f t="shared" si="389"/>
        <v>water</v>
      </c>
      <c r="FF676" t="str">
        <f t="shared" si="390"/>
        <v xml:space="preserve">saturated </v>
      </c>
      <c r="FG676" s="408">
        <f t="shared" si="382"/>
        <v>1</v>
      </c>
      <c r="FH676" s="138">
        <f t="shared" si="391"/>
        <v>-1.016274970185318</v>
      </c>
      <c r="FI676" s="106" t="str">
        <f t="shared" si="383"/>
        <v>**</v>
      </c>
      <c r="FJ676" s="138">
        <f t="shared" si="392"/>
        <v>-10.991399828238082</v>
      </c>
      <c r="FK676" s="138" t="str">
        <f t="shared" si="379"/>
        <v>**</v>
      </c>
    </row>
    <row r="677" spans="1:167" ht="12.75" hidden="1" customHeight="1" x14ac:dyDescent="0.2">
      <c r="A677">
        <v>642</v>
      </c>
      <c r="B677" s="4" t="s">
        <v>1936</v>
      </c>
      <c r="C677" s="4"/>
      <c r="D677" s="4" t="s">
        <v>540</v>
      </c>
      <c r="E677" s="4">
        <v>405</v>
      </c>
      <c r="F677" t="str">
        <f>VLOOKUP(E677,CompDbase!B:L,4,FALSE)</f>
        <v>Trichloroethylene</v>
      </c>
      <c r="G677" s="95" t="str">
        <f>VLOOKUP(E677,CompDbase!B:M,12,FALSE)</f>
        <v>ClAlk</v>
      </c>
      <c r="H677" s="95">
        <f>VLOOKUP(E677,CompDbase!B:L,8,FALSE)</f>
        <v>131.4</v>
      </c>
      <c r="I677" s="95" t="e">
        <f>VLOOKUP(E677,CompDbase!B:L,11,FALSE)</f>
        <v>#DIV/0!</v>
      </c>
      <c r="J677" s="95">
        <f>VLOOKUP(E677,CompDbase!B:L,9,FALSE)</f>
        <v>1164.8441611748488</v>
      </c>
      <c r="K677" s="95">
        <f>VLOOKUP(E677,CompDbase!B:L,10,FALSE)</f>
        <v>2.61</v>
      </c>
      <c r="L677" s="4" t="s">
        <v>717</v>
      </c>
      <c r="M677" s="423"/>
      <c r="N677" s="423"/>
      <c r="O677" s="4" t="s">
        <v>1082</v>
      </c>
      <c r="P677">
        <v>298</v>
      </c>
      <c r="Q677" s="4" t="s">
        <v>1049</v>
      </c>
      <c r="R677" s="289" t="s">
        <v>1988</v>
      </c>
      <c r="T677" s="289">
        <v>1</v>
      </c>
      <c r="U677">
        <v>209.8</v>
      </c>
      <c r="V677" s="95"/>
      <c r="W677" s="95">
        <f t="shared" si="427"/>
        <v>0.18010992971660525</v>
      </c>
      <c r="X677" s="183">
        <f t="shared" si="420"/>
        <v>-0.74446234324792149</v>
      </c>
      <c r="Y677">
        <v>7.9000000000000015E-12</v>
      </c>
      <c r="Z677" s="95">
        <f t="shared" si="413"/>
        <v>-11.102372908709558</v>
      </c>
      <c r="AA677" s="95">
        <f t="shared" si="421"/>
        <v>1.4228684447611817E-12</v>
      </c>
      <c r="AB677" s="95">
        <f t="shared" si="422"/>
        <v>-11.846835251957479</v>
      </c>
      <c r="AC677" s="95">
        <v>1</v>
      </c>
      <c r="AD677" s="95"/>
      <c r="AG677" s="138">
        <f t="shared" si="423"/>
        <v>-0.74446234324792149</v>
      </c>
      <c r="AH677">
        <f t="shared" si="424"/>
        <v>2.61</v>
      </c>
      <c r="BW677" s="138"/>
      <c r="BX677">
        <f t="shared" si="428"/>
        <v>3.0662678271054604</v>
      </c>
      <c r="DG677">
        <f>Z677</f>
        <v>-11.102372908709558</v>
      </c>
      <c r="DH677">
        <f>$H677</f>
        <v>131.4</v>
      </c>
      <c r="DK677">
        <f t="shared" ref="DK677" si="440">$H677</f>
        <v>131.4</v>
      </c>
      <c r="EY677" s="479">
        <f>VLOOKUP(B677,Literatuur!$A:$B,2,FALSE)</f>
        <v>7</v>
      </c>
      <c r="EZ677" t="str">
        <f t="shared" si="384"/>
        <v>Trichloroethylene</v>
      </c>
      <c r="FA677" t="str">
        <f t="shared" si="385"/>
        <v>ClAlk</v>
      </c>
      <c r="FB677" t="str">
        <f t="shared" si="386"/>
        <v>HDPE</v>
      </c>
      <c r="FC677" t="str">
        <f t="shared" si="387"/>
        <v>Permeation</v>
      </c>
      <c r="FD677">
        <f t="shared" si="388"/>
        <v>298</v>
      </c>
      <c r="FE677" t="str">
        <f t="shared" si="389"/>
        <v>water</v>
      </c>
      <c r="FF677" t="str">
        <f t="shared" si="390"/>
        <v xml:space="preserve">saturated </v>
      </c>
      <c r="FG677" s="408">
        <f t="shared" si="382"/>
        <v>1</v>
      </c>
      <c r="FH677" s="138">
        <f t="shared" si="391"/>
        <v>-0.74446234324792149</v>
      </c>
      <c r="FI677" s="106" t="str">
        <f t="shared" si="383"/>
        <v>**</v>
      </c>
      <c r="FJ677" s="138">
        <f t="shared" si="392"/>
        <v>-11.102372908709558</v>
      </c>
      <c r="FK677" s="138" t="str">
        <f t="shared" si="379"/>
        <v>**</v>
      </c>
    </row>
    <row r="678" spans="1:167" ht="12.75" hidden="1" customHeight="1" x14ac:dyDescent="0.2">
      <c r="A678">
        <v>643</v>
      </c>
      <c r="B678" s="4" t="s">
        <v>1936</v>
      </c>
      <c r="C678" s="4"/>
      <c r="D678" s="4" t="s">
        <v>540</v>
      </c>
      <c r="E678" s="4">
        <v>405</v>
      </c>
      <c r="F678" t="str">
        <f>VLOOKUP(E678,CompDbase!B:L,4,FALSE)</f>
        <v>Trichloroethylene</v>
      </c>
      <c r="G678" s="95" t="str">
        <f>VLOOKUP(E678,CompDbase!B:M,12,FALSE)</f>
        <v>ClAlk</v>
      </c>
      <c r="H678" s="95">
        <f>VLOOKUP(E678,CompDbase!B:L,8,FALSE)</f>
        <v>131.4</v>
      </c>
      <c r="I678" s="95" t="e">
        <f>VLOOKUP(E678,CompDbase!B:L,11,FALSE)</f>
        <v>#DIV/0!</v>
      </c>
      <c r="J678" s="95">
        <f>VLOOKUP(E678,CompDbase!B:L,9,FALSE)</f>
        <v>1164.8441611748488</v>
      </c>
      <c r="K678" s="95">
        <f>VLOOKUP(E678,CompDbase!B:L,10,FALSE)</f>
        <v>2.61</v>
      </c>
      <c r="L678" s="4" t="s">
        <v>717</v>
      </c>
      <c r="M678" s="423"/>
      <c r="N678" s="423"/>
      <c r="O678" s="4" t="s">
        <v>1082</v>
      </c>
      <c r="P678">
        <v>298</v>
      </c>
      <c r="Q678" s="4" t="s">
        <v>1049</v>
      </c>
      <c r="R678" s="289" t="s">
        <v>1988</v>
      </c>
      <c r="T678" s="289">
        <v>1</v>
      </c>
      <c r="U678">
        <v>153.19999999999999</v>
      </c>
      <c r="V678" s="95"/>
      <c r="W678" s="95">
        <f t="shared" si="427"/>
        <v>0.13151973895416549</v>
      </c>
      <c r="X678" s="183">
        <f t="shared" si="420"/>
        <v>-0.8810090618088755</v>
      </c>
      <c r="Y678">
        <v>8.9000000000000013E-12</v>
      </c>
      <c r="Z678" s="95">
        <f t="shared" si="413"/>
        <v>-11.050609993355087</v>
      </c>
      <c r="AA678" s="95">
        <f t="shared" si="421"/>
        <v>1.1705256766920731E-12</v>
      </c>
      <c r="AB678" s="95">
        <f t="shared" si="422"/>
        <v>-11.931619055163962</v>
      </c>
      <c r="AC678" s="95" t="s">
        <v>68</v>
      </c>
      <c r="AD678" s="95"/>
      <c r="AE678" s="4" t="s">
        <v>2011</v>
      </c>
      <c r="AG678" s="138">
        <f t="shared" si="423"/>
        <v>-0.8810090618088755</v>
      </c>
      <c r="AH678">
        <f t="shared" si="424"/>
        <v>2.61</v>
      </c>
      <c r="BW678" s="138"/>
      <c r="BX678">
        <f t="shared" si="428"/>
        <v>3.0662678271054604</v>
      </c>
      <c r="EY678" s="479">
        <f>VLOOKUP(B678,Literatuur!$A:$B,2,FALSE)</f>
        <v>7</v>
      </c>
      <c r="EZ678" t="str">
        <f t="shared" si="384"/>
        <v>Trichloroethylene</v>
      </c>
      <c r="FA678" t="str">
        <f t="shared" si="385"/>
        <v>ClAlk</v>
      </c>
      <c r="FB678" t="str">
        <f t="shared" si="386"/>
        <v>HDPE</v>
      </c>
      <c r="FC678" t="str">
        <f t="shared" si="387"/>
        <v>Permeation</v>
      </c>
      <c r="FD678">
        <f t="shared" si="388"/>
        <v>298</v>
      </c>
      <c r="FE678" t="str">
        <f t="shared" si="389"/>
        <v>water</v>
      </c>
      <c r="FF678" t="str">
        <f t="shared" si="390"/>
        <v xml:space="preserve">saturated </v>
      </c>
      <c r="FG678" s="408">
        <f t="shared" si="382"/>
        <v>1</v>
      </c>
      <c r="FH678" s="138">
        <f t="shared" si="391"/>
        <v>-0.8810090618088755</v>
      </c>
      <c r="FI678" s="106" t="str">
        <f t="shared" si="383"/>
        <v>**</v>
      </c>
      <c r="FJ678" s="138">
        <f t="shared" si="392"/>
        <v>-11.050609993355087</v>
      </c>
      <c r="FK678" s="138" t="str">
        <f t="shared" si="379"/>
        <v>**</v>
      </c>
    </row>
    <row r="679" spans="1:167" ht="12.75" hidden="1" customHeight="1" x14ac:dyDescent="0.2">
      <c r="A679">
        <v>644</v>
      </c>
      <c r="B679" s="4" t="s">
        <v>1859</v>
      </c>
      <c r="D679" s="4" t="s">
        <v>539</v>
      </c>
      <c r="E679">
        <v>-1534</v>
      </c>
      <c r="F679" t="str">
        <f>VLOOKUP(E679,CompDbase!B:L,4,FALSE)</f>
        <v>Chloroform</v>
      </c>
      <c r="G679" s="95" t="str">
        <f>VLOOKUP(E679,CompDbase!B:M,12,FALSE)</f>
        <v>ClAlk</v>
      </c>
      <c r="H679" s="95">
        <f>VLOOKUP(E679,CompDbase!B:L,8,FALSE)</f>
        <v>119.38</v>
      </c>
      <c r="I679" s="95" t="e">
        <f>VLOOKUP(E679,CompDbase!B:L,11,FALSE)</f>
        <v>#DIV/0!</v>
      </c>
      <c r="J679" s="95">
        <f>VLOOKUP(E679,CompDbase!B:L,9,FALSE)</f>
        <v>7950</v>
      </c>
      <c r="K679" s="95">
        <f>VLOOKUP(E679,CompDbase!B:L,10,FALSE)</f>
        <v>1.97</v>
      </c>
      <c r="L679" s="4" t="s">
        <v>717</v>
      </c>
      <c r="O679" s="4" t="s">
        <v>1044</v>
      </c>
      <c r="P679">
        <f>22+273</f>
        <v>295</v>
      </c>
      <c r="Q679" s="4" t="s">
        <v>1049</v>
      </c>
      <c r="R679" s="289" t="s">
        <v>1982</v>
      </c>
      <c r="S679">
        <v>2.3E-3</v>
      </c>
      <c r="T679" s="95">
        <f t="shared" ref="T679:T708" si="441">S679/J679</f>
        <v>2.8930817610062893E-7</v>
      </c>
      <c r="W679">
        <v>125</v>
      </c>
      <c r="X679" s="95">
        <f t="shared" si="420"/>
        <v>2.0969100130080562</v>
      </c>
      <c r="Z679" s="95"/>
      <c r="AB679" s="95"/>
      <c r="AC679" s="95"/>
      <c r="AD679" s="95"/>
      <c r="AG679" s="138">
        <f t="shared" si="423"/>
        <v>2.0969100130080562</v>
      </c>
      <c r="AH679">
        <f t="shared" si="424"/>
        <v>1.97</v>
      </c>
      <c r="AI679">
        <f t="shared" si="424"/>
        <v>1.97</v>
      </c>
      <c r="AL679">
        <f t="shared" ref="AL679:AL680" si="442">$K679</f>
        <v>1.97</v>
      </c>
      <c r="BW679" s="138"/>
      <c r="BX679">
        <f t="shared" si="428"/>
        <v>3.9003671286564705</v>
      </c>
      <c r="BY679">
        <f>LOG(1*$J679)</f>
        <v>3.9003671286564705</v>
      </c>
      <c r="CB679">
        <f>LOG(1*$J679)</f>
        <v>3.9003671286564705</v>
      </c>
      <c r="DG679" s="138"/>
      <c r="EY679" s="479">
        <f>VLOOKUP(B679,Literatuur!$A:$B,2,FALSE)</f>
        <v>14</v>
      </c>
      <c r="EZ679" t="str">
        <f t="shared" si="384"/>
        <v>Chloroform</v>
      </c>
      <c r="FA679" t="str">
        <f t="shared" si="385"/>
        <v>ClAlk</v>
      </c>
      <c r="FB679" t="str">
        <f t="shared" si="386"/>
        <v>HDPE</v>
      </c>
      <c r="FC679" t="str">
        <f t="shared" si="387"/>
        <v>Immersion</v>
      </c>
      <c r="FD679">
        <f t="shared" si="388"/>
        <v>295</v>
      </c>
      <c r="FE679" t="str">
        <f t="shared" si="389"/>
        <v>water</v>
      </c>
      <c r="FF679" t="str">
        <f t="shared" si="390"/>
        <v>measured 0.0023</v>
      </c>
      <c r="FG679" s="408">
        <f t="shared" si="382"/>
        <v>2.8930817610062893E-7</v>
      </c>
      <c r="FH679" s="138">
        <f t="shared" si="391"/>
        <v>2.0969100130080562</v>
      </c>
      <c r="FI679" s="106">
        <f t="shared" si="383"/>
        <v>0.89254381030335894</v>
      </c>
      <c r="FJ679" s="138" t="str">
        <f t="shared" si="392"/>
        <v/>
      </c>
      <c r="FK679" s="138" t="str">
        <f t="shared" si="379"/>
        <v>**</v>
      </c>
    </row>
    <row r="680" spans="1:167" ht="12.75" hidden="1" customHeight="1" x14ac:dyDescent="0.2">
      <c r="A680">
        <v>645</v>
      </c>
      <c r="B680" s="4" t="s">
        <v>1859</v>
      </c>
      <c r="D680" s="4" t="s">
        <v>539</v>
      </c>
      <c r="E680">
        <v>-1534</v>
      </c>
      <c r="F680" t="str">
        <f>VLOOKUP(E680,CompDbase!B:L,4,FALSE)</f>
        <v>Chloroform</v>
      </c>
      <c r="G680" s="95" t="str">
        <f>VLOOKUP(E680,CompDbase!B:M,12,FALSE)</f>
        <v>ClAlk</v>
      </c>
      <c r="H680" s="95">
        <f>VLOOKUP(E680,CompDbase!B:L,8,FALSE)</f>
        <v>119.38</v>
      </c>
      <c r="I680" s="95" t="e">
        <f>VLOOKUP(E680,CompDbase!B:L,11,FALSE)</f>
        <v>#DIV/0!</v>
      </c>
      <c r="J680" s="95">
        <f>VLOOKUP(E680,CompDbase!B:L,9,FALSE)</f>
        <v>7950</v>
      </c>
      <c r="K680" s="95">
        <f>VLOOKUP(E680,CompDbase!B:L,10,FALSE)</f>
        <v>1.97</v>
      </c>
      <c r="L680" s="4" t="s">
        <v>717</v>
      </c>
      <c r="O680" s="4" t="s">
        <v>1044</v>
      </c>
      <c r="P680">
        <f>22+273</f>
        <v>295</v>
      </c>
      <c r="Q680" s="4" t="s">
        <v>1049</v>
      </c>
      <c r="R680" s="289" t="s">
        <v>1982</v>
      </c>
      <c r="S680">
        <v>2.3E-3</v>
      </c>
      <c r="T680" s="95">
        <f t="shared" si="441"/>
        <v>2.8930817610062893E-7</v>
      </c>
      <c r="W680">
        <v>100</v>
      </c>
      <c r="X680" s="95">
        <f t="shared" si="420"/>
        <v>2</v>
      </c>
      <c r="Z680" s="95"/>
      <c r="AB680" s="95"/>
      <c r="AC680" s="95"/>
      <c r="AD680" s="95"/>
      <c r="AG680" s="138">
        <f t="shared" si="423"/>
        <v>2</v>
      </c>
      <c r="AH680">
        <f t="shared" si="424"/>
        <v>1.97</v>
      </c>
      <c r="AI680">
        <f t="shared" si="424"/>
        <v>1.97</v>
      </c>
      <c r="AL680">
        <f t="shared" si="442"/>
        <v>1.97</v>
      </c>
      <c r="BW680" s="138"/>
      <c r="BX680">
        <f t="shared" si="428"/>
        <v>3.9003671286564705</v>
      </c>
      <c r="BY680">
        <f>LOG(1*$J680)</f>
        <v>3.9003671286564705</v>
      </c>
      <c r="CB680">
        <f>LOG(1*$J680)</f>
        <v>3.9003671286564705</v>
      </c>
      <c r="DG680" s="138"/>
      <c r="EY680" s="479">
        <f>VLOOKUP(B680,Literatuur!$A:$B,2,FALSE)</f>
        <v>14</v>
      </c>
      <c r="EZ680" t="str">
        <f t="shared" si="384"/>
        <v>Chloroform</v>
      </c>
      <c r="FA680" t="str">
        <f t="shared" si="385"/>
        <v>ClAlk</v>
      </c>
      <c r="FB680" t="str">
        <f t="shared" si="386"/>
        <v>HDPE</v>
      </c>
      <c r="FC680" t="str">
        <f t="shared" si="387"/>
        <v>Immersion</v>
      </c>
      <c r="FD680">
        <f t="shared" si="388"/>
        <v>295</v>
      </c>
      <c r="FE680" t="str">
        <f t="shared" si="389"/>
        <v>water</v>
      </c>
      <c r="FF680" t="str">
        <f t="shared" si="390"/>
        <v>measured 0.0023</v>
      </c>
      <c r="FG680" s="408">
        <f t="shared" si="382"/>
        <v>2.8930817610062893E-7</v>
      </c>
      <c r="FH680" s="138">
        <f t="shared" si="391"/>
        <v>2</v>
      </c>
      <c r="FI680" s="106">
        <f t="shared" si="383"/>
        <v>0.89254381030335894</v>
      </c>
      <c r="FJ680" s="138" t="str">
        <f t="shared" si="392"/>
        <v/>
      </c>
      <c r="FK680" s="138" t="str">
        <f t="shared" si="379"/>
        <v>**</v>
      </c>
    </row>
    <row r="681" spans="1:167" ht="12.75" hidden="1" customHeight="1" x14ac:dyDescent="0.2">
      <c r="A681">
        <v>646</v>
      </c>
      <c r="B681" s="4" t="s">
        <v>1859</v>
      </c>
      <c r="D681" s="4" t="s">
        <v>539</v>
      </c>
      <c r="E681">
        <v>-1534</v>
      </c>
      <c r="F681" t="str">
        <f>VLOOKUP(E681,CompDbase!B:L,4,FALSE)</f>
        <v>Chloroform</v>
      </c>
      <c r="G681" s="95" t="str">
        <f>VLOOKUP(E681,CompDbase!B:M,12,FALSE)</f>
        <v>ClAlk</v>
      </c>
      <c r="H681" s="95">
        <f>VLOOKUP(E681,CompDbase!B:L,8,FALSE)</f>
        <v>119.38</v>
      </c>
      <c r="I681" s="95" t="e">
        <f>VLOOKUP(E681,CompDbase!B:L,11,FALSE)</f>
        <v>#DIV/0!</v>
      </c>
      <c r="J681" s="95">
        <f>VLOOKUP(E681,CompDbase!B:L,9,FALSE)</f>
        <v>7950</v>
      </c>
      <c r="K681" s="95">
        <f>VLOOKUP(E681,CompDbase!B:L,10,FALSE)</f>
        <v>1.97</v>
      </c>
      <c r="L681" s="4" t="s">
        <v>717</v>
      </c>
      <c r="O681" s="4" t="s">
        <v>1082</v>
      </c>
      <c r="P681">
        <f>22+273</f>
        <v>295</v>
      </c>
      <c r="Q681" s="4" t="s">
        <v>1049</v>
      </c>
      <c r="R681" s="289" t="s">
        <v>1982</v>
      </c>
      <c r="S681">
        <v>2.3E-3</v>
      </c>
      <c r="T681" s="95">
        <f t="shared" si="441"/>
        <v>2.8930817610062893E-7</v>
      </c>
      <c r="X681" s="95"/>
      <c r="Y681">
        <f>0.22*10^-12</f>
        <v>2.2E-13</v>
      </c>
      <c r="Z681" s="95">
        <f t="shared" ref="Z681:Z714" si="443">LOG(Y681)</f>
        <v>-12.657577319177793</v>
      </c>
      <c r="AB681" s="95"/>
      <c r="AC681" s="95"/>
      <c r="AD681" s="95"/>
      <c r="AG681" s="138"/>
      <c r="BW681" s="138"/>
      <c r="DG681">
        <f t="shared" ref="DG681:DG683" si="444">Z681</f>
        <v>-12.657577319177793</v>
      </c>
      <c r="DH681">
        <f t="shared" ref="DH681:DI683" si="445">$H681</f>
        <v>119.38</v>
      </c>
      <c r="DK681">
        <f t="shared" ref="DK681:DK682" si="446">$H681</f>
        <v>119.38</v>
      </c>
      <c r="DM681">
        <f t="shared" ref="DM681:DM682" si="447">$H681</f>
        <v>119.38</v>
      </c>
      <c r="EY681" s="479">
        <f>VLOOKUP(B681,Literatuur!$A:$B,2,FALSE)</f>
        <v>14</v>
      </c>
      <c r="EZ681" t="str">
        <f t="shared" si="384"/>
        <v>Chloroform</v>
      </c>
      <c r="FA681" t="str">
        <f t="shared" si="385"/>
        <v>ClAlk</v>
      </c>
      <c r="FB681" t="str">
        <f t="shared" si="386"/>
        <v>HDPE</v>
      </c>
      <c r="FC681" t="str">
        <f t="shared" si="387"/>
        <v>Permeation</v>
      </c>
      <c r="FD681">
        <f t="shared" si="388"/>
        <v>295</v>
      </c>
      <c r="FE681" t="str">
        <f t="shared" si="389"/>
        <v>water</v>
      </c>
      <c r="FF681" t="str">
        <f t="shared" si="390"/>
        <v>measured 0.0023</v>
      </c>
      <c r="FG681" s="408">
        <f t="shared" si="382"/>
        <v>2.8930817610062893E-7</v>
      </c>
      <c r="FH681" s="138" t="str">
        <f t="shared" si="391"/>
        <v/>
      </c>
      <c r="FI681" s="106" t="str">
        <f t="shared" si="383"/>
        <v>**</v>
      </c>
      <c r="FJ681" s="138">
        <f t="shared" si="392"/>
        <v>-12.657577319177793</v>
      </c>
      <c r="FK681" s="138">
        <f t="shared" si="379"/>
        <v>-12.529490579696494</v>
      </c>
    </row>
    <row r="682" spans="1:167" ht="12.75" hidden="1" customHeight="1" x14ac:dyDescent="0.2">
      <c r="A682">
        <v>647</v>
      </c>
      <c r="B682" s="4" t="s">
        <v>1859</v>
      </c>
      <c r="D682" s="4" t="s">
        <v>539</v>
      </c>
      <c r="E682">
        <v>-1534</v>
      </c>
      <c r="F682" t="str">
        <f>VLOOKUP(E682,CompDbase!B:L,4,FALSE)</f>
        <v>Chloroform</v>
      </c>
      <c r="G682" s="95" t="str">
        <f>VLOOKUP(E682,CompDbase!B:M,12,FALSE)</f>
        <v>ClAlk</v>
      </c>
      <c r="H682" s="95">
        <f>VLOOKUP(E682,CompDbase!B:L,8,FALSE)</f>
        <v>119.38</v>
      </c>
      <c r="I682" s="95" t="e">
        <f>VLOOKUP(E682,CompDbase!B:L,11,FALSE)</f>
        <v>#DIV/0!</v>
      </c>
      <c r="J682" s="95">
        <f>VLOOKUP(E682,CompDbase!B:L,9,FALSE)</f>
        <v>7950</v>
      </c>
      <c r="K682" s="95">
        <f>VLOOKUP(E682,CompDbase!B:L,10,FALSE)</f>
        <v>1.97</v>
      </c>
      <c r="L682" s="4" t="s">
        <v>717</v>
      </c>
      <c r="O682" s="4" t="s">
        <v>1082</v>
      </c>
      <c r="P682">
        <f>22+273</f>
        <v>295</v>
      </c>
      <c r="Q682" s="4" t="s">
        <v>1049</v>
      </c>
      <c r="R682" s="289" t="s">
        <v>1982</v>
      </c>
      <c r="S682">
        <v>2.3E-3</v>
      </c>
      <c r="T682" s="95">
        <f t="shared" si="441"/>
        <v>2.8930817610062893E-7</v>
      </c>
      <c r="X682" s="95"/>
      <c r="Y682">
        <f>0.19*10^-12</f>
        <v>1.9E-13</v>
      </c>
      <c r="Z682" s="95">
        <f t="shared" si="443"/>
        <v>-12.721246399047171</v>
      </c>
      <c r="AB682" s="95"/>
      <c r="AC682" s="95" t="s">
        <v>68</v>
      </c>
      <c r="AD682" s="95"/>
      <c r="AG682" s="138"/>
      <c r="BW682" s="138"/>
      <c r="DG682">
        <f t="shared" si="444"/>
        <v>-12.721246399047171</v>
      </c>
      <c r="DH682">
        <f t="shared" si="445"/>
        <v>119.38</v>
      </c>
      <c r="DK682">
        <f t="shared" si="446"/>
        <v>119.38</v>
      </c>
      <c r="DM682">
        <f t="shared" si="447"/>
        <v>119.38</v>
      </c>
      <c r="EY682" s="479">
        <f>VLOOKUP(B682,Literatuur!$A:$B,2,FALSE)</f>
        <v>14</v>
      </c>
      <c r="EZ682" t="str">
        <f t="shared" si="384"/>
        <v>Chloroform</v>
      </c>
      <c r="FA682" t="str">
        <f t="shared" si="385"/>
        <v>ClAlk</v>
      </c>
      <c r="FB682" t="str">
        <f t="shared" si="386"/>
        <v>HDPE</v>
      </c>
      <c r="FC682" t="str">
        <f t="shared" si="387"/>
        <v>Permeation</v>
      </c>
      <c r="FD682">
        <f t="shared" si="388"/>
        <v>295</v>
      </c>
      <c r="FE682" t="str">
        <f t="shared" si="389"/>
        <v>water</v>
      </c>
      <c r="FF682" t="str">
        <f t="shared" si="390"/>
        <v>measured 0.0023</v>
      </c>
      <c r="FG682" s="408">
        <f t="shared" si="382"/>
        <v>2.8930817610062893E-7</v>
      </c>
      <c r="FH682" s="138" t="str">
        <f t="shared" si="391"/>
        <v/>
      </c>
      <c r="FI682" s="106" t="str">
        <f t="shared" si="383"/>
        <v>**</v>
      </c>
      <c r="FJ682" s="138">
        <f t="shared" si="392"/>
        <v>-12.721246399047171</v>
      </c>
      <c r="FK682" s="138">
        <f t="shared" si="379"/>
        <v>-12.529490579696494</v>
      </c>
    </row>
    <row r="683" spans="1:167" ht="12.75" hidden="1" customHeight="1" x14ac:dyDescent="0.2">
      <c r="A683">
        <v>648</v>
      </c>
      <c r="B683" s="4" t="s">
        <v>1939</v>
      </c>
      <c r="C683" s="4"/>
      <c r="D683" s="4" t="s">
        <v>696</v>
      </c>
      <c r="E683">
        <v>408</v>
      </c>
      <c r="F683" t="str">
        <f>VLOOKUP(E683,CompDbase!B:L,4,FALSE)</f>
        <v>1,1,1-Trichloroethane</v>
      </c>
      <c r="G683" s="95" t="str">
        <f>VLOOKUP(E683,CompDbase!B:M,12,FALSE)</f>
        <v>ClAlk</v>
      </c>
      <c r="H683" s="95">
        <f>VLOOKUP(E683,CompDbase!B:L,8,FALSE)</f>
        <v>133.4</v>
      </c>
      <c r="I683" s="95" t="e">
        <f>VLOOKUP(E683,CompDbase!B:L,11,FALSE)</f>
        <v>#DIV/0!</v>
      </c>
      <c r="J683" s="95">
        <f>VLOOKUP(E683,CompDbase!B:L,9,FALSE)</f>
        <v>2343.3333333333335</v>
      </c>
      <c r="K683" s="95">
        <f>VLOOKUP(E683,CompDbase!B:L,10,FALSE)</f>
        <v>2.8000000000000003</v>
      </c>
      <c r="L683" s="4" t="s">
        <v>717</v>
      </c>
      <c r="M683" s="420">
        <v>940000</v>
      </c>
      <c r="N683" s="420"/>
      <c r="O683" s="4" t="s">
        <v>1986</v>
      </c>
      <c r="P683">
        <v>293</v>
      </c>
      <c r="Q683" s="4" t="s">
        <v>1049</v>
      </c>
      <c r="R683" s="289" t="s">
        <v>1982</v>
      </c>
      <c r="S683">
        <v>0.05</v>
      </c>
      <c r="T683" s="95">
        <f t="shared" si="441"/>
        <v>2.1337126600284495E-5</v>
      </c>
      <c r="W683">
        <v>51.26</v>
      </c>
      <c r="X683" s="288">
        <f t="shared" ref="X683:X714" si="448">LOG(W683)</f>
        <v>1.7097786018482253</v>
      </c>
      <c r="Y683">
        <v>3.0800000000000005E-13</v>
      </c>
      <c r="Z683" s="95">
        <f t="shared" si="443"/>
        <v>-12.511449283499555</v>
      </c>
      <c r="AA683">
        <f t="shared" ref="AA683:AA714" si="449">W683*Y683</f>
        <v>1.5788080000000001E-11</v>
      </c>
      <c r="AB683" s="288">
        <f t="shared" ref="AB683:AB714" si="450">LOG(AA683)</f>
        <v>-10.801670681651331</v>
      </c>
      <c r="AC683" s="95"/>
      <c r="AD683" s="95"/>
      <c r="AG683" s="138">
        <f t="shared" ref="AG683:AG732" si="451">X683</f>
        <v>1.7097786018482253</v>
      </c>
      <c r="AH683">
        <f t="shared" ref="AH683:AI732" si="452">$K683</f>
        <v>2.8000000000000003</v>
      </c>
      <c r="AI683">
        <f>$K683</f>
        <v>2.8000000000000003</v>
      </c>
      <c r="AL683">
        <f t="shared" ref="AL683" si="453">$K683</f>
        <v>2.8000000000000003</v>
      </c>
      <c r="BW683" s="138"/>
      <c r="BX683">
        <f>LOG(1*$J683)</f>
        <v>3.3698340703001617</v>
      </c>
      <c r="BY683">
        <f>LOG(1*$J683)</f>
        <v>3.3698340703001617</v>
      </c>
      <c r="CB683">
        <f>LOG(1*$J683)</f>
        <v>3.3698340703001617</v>
      </c>
      <c r="DG683">
        <f t="shared" si="444"/>
        <v>-12.511449283499555</v>
      </c>
      <c r="DH683">
        <f t="shared" si="445"/>
        <v>133.4</v>
      </c>
      <c r="DI683">
        <f t="shared" si="445"/>
        <v>133.4</v>
      </c>
      <c r="EY683" s="479">
        <f>VLOOKUP(B683,Literatuur!$A:$B,2,FALSE)</f>
        <v>15</v>
      </c>
      <c r="EZ683" t="str">
        <f t="shared" si="384"/>
        <v>1,1,1-trichloroethane</v>
      </c>
      <c r="FA683" t="str">
        <f t="shared" si="385"/>
        <v>ClAlk</v>
      </c>
      <c r="FB683" t="str">
        <f t="shared" si="386"/>
        <v>HDPE</v>
      </c>
      <c r="FC683" t="str">
        <f t="shared" si="387"/>
        <v>Immersion (spinning)</v>
      </c>
      <c r="FD683">
        <f t="shared" si="388"/>
        <v>293</v>
      </c>
      <c r="FE683" t="str">
        <f t="shared" si="389"/>
        <v>water</v>
      </c>
      <c r="FF683" t="str">
        <f t="shared" si="390"/>
        <v>measured 0.05</v>
      </c>
      <c r="FG683" s="408">
        <f t="shared" si="382"/>
        <v>2.1337126600284495E-5</v>
      </c>
      <c r="FH683" s="138">
        <f t="shared" si="391"/>
        <v>1.7097786018482253</v>
      </c>
      <c r="FI683" s="106">
        <f t="shared" si="383"/>
        <v>1.8653527232170024</v>
      </c>
      <c r="FJ683" s="138">
        <f t="shared" si="392"/>
        <v>-12.511449283499555</v>
      </c>
      <c r="FK683" s="138" t="str">
        <f t="shared" si="379"/>
        <v>**</v>
      </c>
    </row>
    <row r="684" spans="1:167" ht="12.75" hidden="1" customHeight="1" x14ac:dyDescent="0.2">
      <c r="A684">
        <v>649</v>
      </c>
      <c r="B684" s="4" t="s">
        <v>1939</v>
      </c>
      <c r="C684" s="4"/>
      <c r="D684" s="4" t="s">
        <v>696</v>
      </c>
      <c r="E684">
        <v>408</v>
      </c>
      <c r="F684" t="str">
        <f>VLOOKUP(E684,CompDbase!B:L,4,FALSE)</f>
        <v>1,1,1-Trichloroethane</v>
      </c>
      <c r="G684" s="95" t="str">
        <f>VLOOKUP(E684,CompDbase!B:M,12,FALSE)</f>
        <v>ClAlk</v>
      </c>
      <c r="H684" s="95">
        <f>VLOOKUP(E684,CompDbase!B:L,8,FALSE)</f>
        <v>133.4</v>
      </c>
      <c r="I684" s="95" t="e">
        <f>VLOOKUP(E684,CompDbase!B:L,11,FALSE)</f>
        <v>#DIV/0!</v>
      </c>
      <c r="J684" s="95">
        <f>VLOOKUP(E684,CompDbase!B:L,9,FALSE)</f>
        <v>2343.3333333333335</v>
      </c>
      <c r="K684" s="95">
        <f>VLOOKUP(E684,CompDbase!B:L,10,FALSE)</f>
        <v>2.8000000000000003</v>
      </c>
      <c r="L684" s="4" t="s">
        <v>717</v>
      </c>
      <c r="M684" s="420">
        <v>940000</v>
      </c>
      <c r="N684" s="420"/>
      <c r="O684" s="4" t="s">
        <v>1082</v>
      </c>
      <c r="P684">
        <v>293</v>
      </c>
      <c r="Q684" s="4" t="s">
        <v>1049</v>
      </c>
      <c r="R684" s="289" t="s">
        <v>1982</v>
      </c>
      <c r="S684">
        <v>0.05</v>
      </c>
      <c r="T684" s="95">
        <f t="shared" si="441"/>
        <v>2.1337126600284495E-5</v>
      </c>
      <c r="W684">
        <v>82.13</v>
      </c>
      <c r="X684" s="288">
        <f t="shared" si="448"/>
        <v>1.9145018228273141</v>
      </c>
      <c r="Y684">
        <v>1.9900000000000001E-13</v>
      </c>
      <c r="Z684" s="95">
        <f t="shared" si="443"/>
        <v>-12.701146923590294</v>
      </c>
      <c r="AA684">
        <f t="shared" si="449"/>
        <v>1.634387E-11</v>
      </c>
      <c r="AB684" s="288">
        <f t="shared" si="450"/>
        <v>-10.786645100762978</v>
      </c>
      <c r="AC684" s="95">
        <v>1</v>
      </c>
      <c r="AD684" s="95">
        <v>1</v>
      </c>
      <c r="AG684" s="138">
        <f t="shared" si="451"/>
        <v>1.9145018228273141</v>
      </c>
      <c r="AH684">
        <f t="shared" si="452"/>
        <v>2.8000000000000003</v>
      </c>
      <c r="BW684" s="138"/>
      <c r="BX684">
        <f t="shared" ref="BX684:BX715" si="454">LOG(1*$J684)</f>
        <v>3.3698340703001617</v>
      </c>
      <c r="EY684" s="479">
        <f>VLOOKUP(B684,Literatuur!$A:$B,2,FALSE)</f>
        <v>15</v>
      </c>
      <c r="EZ684" t="str">
        <f t="shared" si="384"/>
        <v>1,1,1-trichloroethane</v>
      </c>
      <c r="FA684" t="str">
        <f t="shared" si="385"/>
        <v>ClAlk</v>
      </c>
      <c r="FB684" t="str">
        <f t="shared" si="386"/>
        <v>HDPE</v>
      </c>
      <c r="FC684" t="str">
        <f t="shared" si="387"/>
        <v>Permeation</v>
      </c>
      <c r="FD684">
        <f t="shared" si="388"/>
        <v>293</v>
      </c>
      <c r="FE684" t="str">
        <f t="shared" si="389"/>
        <v>water</v>
      </c>
      <c r="FF684" t="str">
        <f t="shared" si="390"/>
        <v>measured 0.05</v>
      </c>
      <c r="FG684" s="408">
        <f t="shared" si="382"/>
        <v>2.1337126600284495E-5</v>
      </c>
      <c r="FH684" s="138">
        <f t="shared" si="391"/>
        <v>1.9145018228273141</v>
      </c>
      <c r="FI684" s="106" t="str">
        <f t="shared" si="383"/>
        <v>**</v>
      </c>
      <c r="FJ684" s="138">
        <f t="shared" si="392"/>
        <v>-12.701146923590294</v>
      </c>
      <c r="FK684" s="138" t="str">
        <f t="shared" ref="FK684:FK747" si="455">IF(ISNUMBER(DM684),DM684*DP$33+DP$35,IF(ISNUMBER(DN684),DN684*DP$33+DP$35,IF(ISNUMBER(DO684),DO684*DP$33+DP$35,"**")))</f>
        <v>**</v>
      </c>
    </row>
    <row r="685" spans="1:167" ht="12.75" hidden="1" customHeight="1" x14ac:dyDescent="0.2">
      <c r="A685">
        <v>650</v>
      </c>
      <c r="B685" s="4" t="s">
        <v>1939</v>
      </c>
      <c r="C685" s="4"/>
      <c r="D685" s="4" t="s">
        <v>696</v>
      </c>
      <c r="E685">
        <v>408</v>
      </c>
      <c r="F685" t="str">
        <f>VLOOKUP(E685,CompDbase!B:L,4,FALSE)</f>
        <v>1,1,1-Trichloroethane</v>
      </c>
      <c r="G685" s="95" t="str">
        <f>VLOOKUP(E685,CompDbase!B:M,12,FALSE)</f>
        <v>ClAlk</v>
      </c>
      <c r="H685" s="95">
        <f>VLOOKUP(E685,CompDbase!B:L,8,FALSE)</f>
        <v>133.4</v>
      </c>
      <c r="I685" s="95" t="e">
        <f>VLOOKUP(E685,CompDbase!B:L,11,FALSE)</f>
        <v>#DIV/0!</v>
      </c>
      <c r="J685" s="95">
        <f>VLOOKUP(E685,CompDbase!B:L,9,FALSE)</f>
        <v>2343.3333333333335</v>
      </c>
      <c r="K685" s="95">
        <f>VLOOKUP(E685,CompDbase!B:L,10,FALSE)</f>
        <v>2.8000000000000003</v>
      </c>
      <c r="L685" s="4" t="s">
        <v>717</v>
      </c>
      <c r="M685" s="420">
        <v>940000</v>
      </c>
      <c r="N685" s="420"/>
      <c r="O685" s="4" t="s">
        <v>1082</v>
      </c>
      <c r="P685">
        <v>293</v>
      </c>
      <c r="Q685" s="4" t="s">
        <v>1049</v>
      </c>
      <c r="R685" s="289" t="s">
        <v>1982</v>
      </c>
      <c r="S685">
        <v>0.1</v>
      </c>
      <c r="T685" s="95">
        <f t="shared" si="441"/>
        <v>4.267425320056899E-5</v>
      </c>
      <c r="W685">
        <v>73.709999999999994</v>
      </c>
      <c r="X685" s="288">
        <f t="shared" si="448"/>
        <v>1.8675264111997434</v>
      </c>
      <c r="Y685">
        <v>4.1100000000000012E-13</v>
      </c>
      <c r="Z685" s="95">
        <f t="shared" si="443"/>
        <v>-12.38615817812393</v>
      </c>
      <c r="AA685">
        <f t="shared" si="449"/>
        <v>3.0294810000000004E-11</v>
      </c>
      <c r="AB685" s="288">
        <f t="shared" si="450"/>
        <v>-10.518631766924187</v>
      </c>
      <c r="AC685" s="95" t="s">
        <v>68</v>
      </c>
      <c r="AD685" s="95"/>
      <c r="AG685" s="138">
        <f t="shared" si="451"/>
        <v>1.8675264111997434</v>
      </c>
      <c r="AH685">
        <f t="shared" si="452"/>
        <v>2.8000000000000003</v>
      </c>
      <c r="AK685">
        <f t="shared" ref="AK685" si="456">$K685</f>
        <v>2.8000000000000003</v>
      </c>
      <c r="BW685" s="138"/>
      <c r="BX685">
        <f t="shared" si="454"/>
        <v>3.3698340703001617</v>
      </c>
      <c r="CA685">
        <f>LOG(1*$J685)</f>
        <v>3.3698340703001617</v>
      </c>
      <c r="DG685">
        <f t="shared" ref="DG685:DG686" si="457">Z685</f>
        <v>-12.38615817812393</v>
      </c>
      <c r="DH685">
        <f t="shared" ref="DH685:DI686" si="458">$H685</f>
        <v>133.4</v>
      </c>
      <c r="DK685">
        <f t="shared" ref="DK685" si="459">$H685</f>
        <v>133.4</v>
      </c>
      <c r="DM685">
        <f t="shared" ref="DM685" si="460">$H685</f>
        <v>133.4</v>
      </c>
      <c r="EY685" s="479">
        <f>VLOOKUP(B685,Literatuur!$A:$B,2,FALSE)</f>
        <v>15</v>
      </c>
      <c r="EZ685" t="str">
        <f t="shared" si="384"/>
        <v>1,1,1-trichloroethane</v>
      </c>
      <c r="FA685" t="str">
        <f t="shared" si="385"/>
        <v>ClAlk</v>
      </c>
      <c r="FB685" t="str">
        <f t="shared" si="386"/>
        <v>HDPE</v>
      </c>
      <c r="FC685" t="str">
        <f t="shared" si="387"/>
        <v>Permeation</v>
      </c>
      <c r="FD685">
        <f t="shared" si="388"/>
        <v>293</v>
      </c>
      <c r="FE685" t="str">
        <f t="shared" si="389"/>
        <v>water</v>
      </c>
      <c r="FF685" t="str">
        <f t="shared" si="390"/>
        <v>measured 0.1</v>
      </c>
      <c r="FG685" s="408">
        <f t="shared" si="382"/>
        <v>4.267425320056899E-5</v>
      </c>
      <c r="FH685" s="138">
        <f t="shared" si="391"/>
        <v>1.8675264111997434</v>
      </c>
      <c r="FI685" s="106" t="str">
        <f t="shared" si="383"/>
        <v>**</v>
      </c>
      <c r="FJ685" s="138">
        <f t="shared" si="392"/>
        <v>-12.38615817812393</v>
      </c>
      <c r="FK685" s="138">
        <f t="shared" si="455"/>
        <v>-12.686994820695279</v>
      </c>
    </row>
    <row r="686" spans="1:167" ht="12.75" hidden="1" customHeight="1" x14ac:dyDescent="0.2">
      <c r="A686">
        <v>651</v>
      </c>
      <c r="B686" s="4" t="s">
        <v>1939</v>
      </c>
      <c r="C686" s="4"/>
      <c r="D686" s="4" t="s">
        <v>539</v>
      </c>
      <c r="E686" s="33">
        <v>-1534</v>
      </c>
      <c r="F686" t="str">
        <f>VLOOKUP(E686,CompDbase!B:L,4,FALSE)</f>
        <v>Chloroform</v>
      </c>
      <c r="G686" s="95" t="str">
        <f>VLOOKUP(E686,CompDbase!B:M,12,FALSE)</f>
        <v>ClAlk</v>
      </c>
      <c r="H686" s="95">
        <f>VLOOKUP(E686,CompDbase!B:L,8,FALSE)</f>
        <v>119.38</v>
      </c>
      <c r="I686" s="95" t="e">
        <f>VLOOKUP(E686,CompDbase!B:L,11,FALSE)</f>
        <v>#DIV/0!</v>
      </c>
      <c r="J686" s="95">
        <f>VLOOKUP(E686,CompDbase!B:L,9,FALSE)</f>
        <v>7950</v>
      </c>
      <c r="K686" s="95">
        <f>VLOOKUP(E686,CompDbase!B:L,10,FALSE)</f>
        <v>1.97</v>
      </c>
      <c r="L686" s="4" t="s">
        <v>717</v>
      </c>
      <c r="M686" s="420">
        <v>940000</v>
      </c>
      <c r="N686" s="420"/>
      <c r="O686" s="4" t="s">
        <v>1986</v>
      </c>
      <c r="P686">
        <v>293</v>
      </c>
      <c r="Q686" s="4" t="s">
        <v>1049</v>
      </c>
      <c r="R686" s="289" t="s">
        <v>1982</v>
      </c>
      <c r="S686">
        <v>0.05</v>
      </c>
      <c r="T686" s="95">
        <f t="shared" si="441"/>
        <v>6.2893081761006293E-6</v>
      </c>
      <c r="W686">
        <v>43.51</v>
      </c>
      <c r="X686" s="288">
        <f t="shared" si="448"/>
        <v>1.638589083292717</v>
      </c>
      <c r="Y686">
        <v>3.19E-13</v>
      </c>
      <c r="Z686" s="95">
        <f t="shared" si="443"/>
        <v>-12.496209316942819</v>
      </c>
      <c r="AA686">
        <f t="shared" si="449"/>
        <v>1.387969E-11</v>
      </c>
      <c r="AB686" s="288">
        <f t="shared" si="450"/>
        <v>-10.857620233650103</v>
      </c>
      <c r="AC686" s="95"/>
      <c r="AD686" s="95"/>
      <c r="AG686" s="138">
        <f t="shared" si="451"/>
        <v>1.638589083292717</v>
      </c>
      <c r="AH686">
        <f t="shared" si="452"/>
        <v>1.97</v>
      </c>
      <c r="AI686">
        <f>$K686</f>
        <v>1.97</v>
      </c>
      <c r="AL686">
        <f t="shared" ref="AL686" si="461">$K686</f>
        <v>1.97</v>
      </c>
      <c r="BW686" s="138"/>
      <c r="BX686">
        <f t="shared" si="454"/>
        <v>3.9003671286564705</v>
      </c>
      <c r="BY686">
        <f>LOG(1*$J686)</f>
        <v>3.9003671286564705</v>
      </c>
      <c r="CB686">
        <f>LOG(1*$J686)</f>
        <v>3.9003671286564705</v>
      </c>
      <c r="DG686">
        <f t="shared" si="457"/>
        <v>-12.496209316942819</v>
      </c>
      <c r="DH686">
        <f t="shared" si="458"/>
        <v>119.38</v>
      </c>
      <c r="DI686">
        <f t="shared" si="458"/>
        <v>119.38</v>
      </c>
      <c r="EY686" s="479">
        <f>VLOOKUP(B686,Literatuur!$A:$B,2,FALSE)</f>
        <v>15</v>
      </c>
      <c r="EZ686" t="str">
        <f t="shared" si="384"/>
        <v>Chloroform</v>
      </c>
      <c r="FA686" t="str">
        <f t="shared" si="385"/>
        <v>ClAlk</v>
      </c>
      <c r="FB686" t="str">
        <f t="shared" si="386"/>
        <v>HDPE</v>
      </c>
      <c r="FC686" t="str">
        <f t="shared" si="387"/>
        <v>Immersion (spinning)</v>
      </c>
      <c r="FD686">
        <f t="shared" si="388"/>
        <v>293</v>
      </c>
      <c r="FE686" t="str">
        <f t="shared" si="389"/>
        <v>water</v>
      </c>
      <c r="FF686" t="str">
        <f t="shared" si="390"/>
        <v>measured 0.05</v>
      </c>
      <c r="FG686" s="408">
        <f t="shared" si="382"/>
        <v>6.2893081761006293E-6</v>
      </c>
      <c r="FH686" s="138">
        <f t="shared" si="391"/>
        <v>1.638589083292717</v>
      </c>
      <c r="FI686" s="106">
        <f t="shared" si="383"/>
        <v>0.89254381030335894</v>
      </c>
      <c r="FJ686" s="138">
        <f t="shared" si="392"/>
        <v>-12.496209316942819</v>
      </c>
      <c r="FK686" s="138" t="str">
        <f t="shared" si="455"/>
        <v>**</v>
      </c>
    </row>
    <row r="687" spans="1:167" ht="12.75" hidden="1" customHeight="1" x14ac:dyDescent="0.2">
      <c r="A687">
        <v>652</v>
      </c>
      <c r="B687" s="4" t="s">
        <v>1939</v>
      </c>
      <c r="C687" s="4"/>
      <c r="D687" s="4" t="s">
        <v>539</v>
      </c>
      <c r="E687" s="33">
        <v>-1534</v>
      </c>
      <c r="F687" t="str">
        <f>VLOOKUP(E687,CompDbase!B:L,4,FALSE)</f>
        <v>Chloroform</v>
      </c>
      <c r="G687" s="95" t="str">
        <f>VLOOKUP(E687,CompDbase!B:M,12,FALSE)</f>
        <v>ClAlk</v>
      </c>
      <c r="H687" s="95">
        <f>VLOOKUP(E687,CompDbase!B:L,8,FALSE)</f>
        <v>119.38</v>
      </c>
      <c r="I687" s="95" t="e">
        <f>VLOOKUP(E687,CompDbase!B:L,11,FALSE)</f>
        <v>#DIV/0!</v>
      </c>
      <c r="J687" s="95">
        <f>VLOOKUP(E687,CompDbase!B:L,9,FALSE)</f>
        <v>7950</v>
      </c>
      <c r="K687" s="95">
        <f>VLOOKUP(E687,CompDbase!B:L,10,FALSE)</f>
        <v>1.97</v>
      </c>
      <c r="L687" s="4" t="s">
        <v>717</v>
      </c>
      <c r="M687" s="420">
        <v>940000</v>
      </c>
      <c r="N687" s="420"/>
      <c r="O687" s="4" t="s">
        <v>1082</v>
      </c>
      <c r="P687">
        <v>293</v>
      </c>
      <c r="Q687" s="4" t="s">
        <v>1049</v>
      </c>
      <c r="R687" s="289" t="s">
        <v>1982</v>
      </c>
      <c r="S687">
        <v>0.05</v>
      </c>
      <c r="T687" s="95">
        <f t="shared" si="441"/>
        <v>6.2893081761006293E-6</v>
      </c>
      <c r="W687">
        <v>56.66</v>
      </c>
      <c r="X687" s="288">
        <f t="shared" si="448"/>
        <v>1.7532765701844184</v>
      </c>
      <c r="Y687">
        <v>4.1900000000000008E-13</v>
      </c>
      <c r="Z687" s="95">
        <f t="shared" si="443"/>
        <v>-12.377785977033705</v>
      </c>
      <c r="AA687">
        <f t="shared" si="449"/>
        <v>2.3740540000000002E-11</v>
      </c>
      <c r="AB687" s="288">
        <f t="shared" si="450"/>
        <v>-10.624509406849286</v>
      </c>
      <c r="AC687" s="95">
        <v>1</v>
      </c>
      <c r="AD687" s="95">
        <v>1</v>
      </c>
      <c r="AG687" s="138">
        <f t="shared" si="451"/>
        <v>1.7532765701844184</v>
      </c>
      <c r="AH687">
        <f t="shared" si="452"/>
        <v>1.97</v>
      </c>
      <c r="BW687" s="138"/>
      <c r="BX687">
        <f t="shared" si="454"/>
        <v>3.9003671286564705</v>
      </c>
      <c r="EY687" s="479">
        <f>VLOOKUP(B687,Literatuur!$A:$B,2,FALSE)</f>
        <v>15</v>
      </c>
      <c r="EZ687" t="str">
        <f t="shared" si="384"/>
        <v>Chloroform</v>
      </c>
      <c r="FA687" t="str">
        <f t="shared" si="385"/>
        <v>ClAlk</v>
      </c>
      <c r="FB687" t="str">
        <f t="shared" si="386"/>
        <v>HDPE</v>
      </c>
      <c r="FC687" t="str">
        <f t="shared" si="387"/>
        <v>Permeation</v>
      </c>
      <c r="FD687">
        <f t="shared" si="388"/>
        <v>293</v>
      </c>
      <c r="FE687" t="str">
        <f t="shared" si="389"/>
        <v>water</v>
      </c>
      <c r="FF687" t="str">
        <f t="shared" si="390"/>
        <v>measured 0.05</v>
      </c>
      <c r="FG687" s="408">
        <f t="shared" ref="FG687:FG750" si="462">IF(ISNUMBER(T687),T687,"")</f>
        <v>6.2893081761006293E-6</v>
      </c>
      <c r="FH687" s="138">
        <f t="shared" si="391"/>
        <v>1.7532765701844184</v>
      </c>
      <c r="FI687" s="106" t="str">
        <f t="shared" ref="FI687:FI750" si="463">IF(ISNUMBER(AL687),AL687*AL$33+AL$35,IF(ISNUMBER(AM687),AM687*AM$33+AM$35,IF(ISNUMBER(AN687),AN687*AN$33+AN$35,"**")))</f>
        <v>**</v>
      </c>
      <c r="FJ687" s="138">
        <f t="shared" si="392"/>
        <v>-12.377785977033705</v>
      </c>
      <c r="FK687" s="138" t="str">
        <f t="shared" si="455"/>
        <v>**</v>
      </c>
    </row>
    <row r="688" spans="1:167" ht="12.75" hidden="1" customHeight="1" x14ac:dyDescent="0.2">
      <c r="A688">
        <v>653</v>
      </c>
      <c r="B688" s="4" t="s">
        <v>1939</v>
      </c>
      <c r="C688" s="4"/>
      <c r="D688" s="4" t="s">
        <v>539</v>
      </c>
      <c r="E688" s="33">
        <v>-1534</v>
      </c>
      <c r="F688" t="str">
        <f>VLOOKUP(E688,CompDbase!B:L,4,FALSE)</f>
        <v>Chloroform</v>
      </c>
      <c r="G688" s="95" t="str">
        <f>VLOOKUP(E688,CompDbase!B:M,12,FALSE)</f>
        <v>ClAlk</v>
      </c>
      <c r="H688" s="95">
        <f>VLOOKUP(E688,CompDbase!B:L,8,FALSE)</f>
        <v>119.38</v>
      </c>
      <c r="I688" s="95" t="e">
        <f>VLOOKUP(E688,CompDbase!B:L,11,FALSE)</f>
        <v>#DIV/0!</v>
      </c>
      <c r="J688" s="95">
        <f>VLOOKUP(E688,CompDbase!B:L,9,FALSE)</f>
        <v>7950</v>
      </c>
      <c r="K688" s="95">
        <f>VLOOKUP(E688,CompDbase!B:L,10,FALSE)</f>
        <v>1.97</v>
      </c>
      <c r="L688" s="4" t="s">
        <v>717</v>
      </c>
      <c r="M688" s="420">
        <v>940000</v>
      </c>
      <c r="N688" s="420"/>
      <c r="O688" s="4" t="s">
        <v>1082</v>
      </c>
      <c r="P688">
        <v>293</v>
      </c>
      <c r="Q688" s="4" t="s">
        <v>1049</v>
      </c>
      <c r="R688" s="289" t="s">
        <v>1982</v>
      </c>
      <c r="S688">
        <v>0.1</v>
      </c>
      <c r="T688" s="95">
        <f t="shared" si="441"/>
        <v>1.2578616352201259E-5</v>
      </c>
      <c r="W688">
        <v>63.01</v>
      </c>
      <c r="X688" s="288">
        <f t="shared" si="448"/>
        <v>1.7994094796151268</v>
      </c>
      <c r="Y688">
        <v>3.5100000000000002E-13</v>
      </c>
      <c r="Z688" s="95">
        <f t="shared" si="443"/>
        <v>-12.454692883534175</v>
      </c>
      <c r="AA688">
        <f t="shared" si="449"/>
        <v>2.2116510000000002E-11</v>
      </c>
      <c r="AB688" s="288">
        <f t="shared" si="450"/>
        <v>-10.655283403919048</v>
      </c>
      <c r="AC688" s="95" t="s">
        <v>68</v>
      </c>
      <c r="AD688" s="95"/>
      <c r="AG688" s="138">
        <f t="shared" si="451"/>
        <v>1.7994094796151268</v>
      </c>
      <c r="AH688">
        <f t="shared" si="452"/>
        <v>1.97</v>
      </c>
      <c r="AK688">
        <f t="shared" ref="AK688" si="464">$K688</f>
        <v>1.97</v>
      </c>
      <c r="BW688" s="138"/>
      <c r="BX688">
        <f t="shared" si="454"/>
        <v>3.9003671286564705</v>
      </c>
      <c r="CA688">
        <f>LOG(1*$J688)</f>
        <v>3.9003671286564705</v>
      </c>
      <c r="DG688">
        <f t="shared" ref="DG688:DG689" si="465">Z688</f>
        <v>-12.454692883534175</v>
      </c>
      <c r="DH688">
        <f t="shared" ref="DH688:DI689" si="466">$H688</f>
        <v>119.38</v>
      </c>
      <c r="DK688">
        <f t="shared" ref="DK688" si="467">$H688</f>
        <v>119.38</v>
      </c>
      <c r="DM688">
        <f t="shared" ref="DM688" si="468">$H688</f>
        <v>119.38</v>
      </c>
      <c r="EY688" s="479">
        <f>VLOOKUP(B688,Literatuur!$A:$B,2,FALSE)</f>
        <v>15</v>
      </c>
      <c r="EZ688" t="str">
        <f t="shared" ref="EZ688:EZ751" si="469">D688</f>
        <v>Chloroform</v>
      </c>
      <c r="FA688" t="str">
        <f t="shared" ref="FA688:FA751" si="470">G688</f>
        <v>ClAlk</v>
      </c>
      <c r="FB688" t="str">
        <f t="shared" ref="FB688:FB751" si="471">L688</f>
        <v>HDPE</v>
      </c>
      <c r="FC688" t="str">
        <f t="shared" ref="FC688:FC751" si="472">CONCATENATE(O688)</f>
        <v>Permeation</v>
      </c>
      <c r="FD688">
        <f t="shared" ref="FD688:FD751" si="473">P688</f>
        <v>293</v>
      </c>
      <c r="FE688" t="str">
        <f t="shared" ref="FE688:FE751" si="474">Q688</f>
        <v>water</v>
      </c>
      <c r="FF688" t="str">
        <f t="shared" ref="FF688:FF751" si="475">CONCATENATE(R688," ",S688)</f>
        <v>measured 0.1</v>
      </c>
      <c r="FG688" s="408">
        <f t="shared" si="462"/>
        <v>1.2578616352201259E-5</v>
      </c>
      <c r="FH688" s="138">
        <f t="shared" ref="FH688:FH751" si="476">IF(ISNUMBER(X688),X688,"")</f>
        <v>1.7994094796151268</v>
      </c>
      <c r="FI688" s="106" t="str">
        <f t="shared" si="463"/>
        <v>**</v>
      </c>
      <c r="FJ688" s="138">
        <f t="shared" ref="FJ688:FJ751" si="477">IF(ISNUMBER(Z688),Z688,"")</f>
        <v>-12.454692883534175</v>
      </c>
      <c r="FK688" s="138">
        <f t="shared" si="455"/>
        <v>-12.529490579696494</v>
      </c>
    </row>
    <row r="689" spans="1:167" ht="12.75" hidden="1" customHeight="1" x14ac:dyDescent="0.2">
      <c r="A689">
        <v>654</v>
      </c>
      <c r="B689" s="4" t="s">
        <v>1939</v>
      </c>
      <c r="C689" s="4"/>
      <c r="D689" s="4" t="s">
        <v>703</v>
      </c>
      <c r="E689">
        <v>-402</v>
      </c>
      <c r="F689" t="str">
        <f>VLOOKUP(E689,CompDbase!B:L,4,FALSE)</f>
        <v>Dichloromethane</v>
      </c>
      <c r="G689" s="95" t="str">
        <f>VLOOKUP(E689,CompDbase!B:M,12,FALSE)</f>
        <v>ClAlk</v>
      </c>
      <c r="H689" s="95">
        <f>VLOOKUP(E689,CompDbase!B:L,8,FALSE)</f>
        <v>84.93</v>
      </c>
      <c r="I689" s="95">
        <f>VLOOKUP(E689,CompDbase!B:L,11,FALSE)</f>
        <v>64.5</v>
      </c>
      <c r="J689" s="95">
        <f>VLOOKUP(E689,CompDbase!B:L,9,FALSE)</f>
        <v>20000</v>
      </c>
      <c r="K689" s="95">
        <f>VLOOKUP(E689,CompDbase!B:L,10,FALSE)</f>
        <v>1.25</v>
      </c>
      <c r="L689" s="4" t="s">
        <v>717</v>
      </c>
      <c r="M689" s="420">
        <v>940000</v>
      </c>
      <c r="N689" s="420"/>
      <c r="O689" s="4" t="s">
        <v>1986</v>
      </c>
      <c r="P689">
        <v>293</v>
      </c>
      <c r="Q689" s="4" t="s">
        <v>1049</v>
      </c>
      <c r="R689" s="289" t="s">
        <v>1982</v>
      </c>
      <c r="S689">
        <v>0.05</v>
      </c>
      <c r="T689" s="95">
        <f t="shared" si="441"/>
        <v>2.5000000000000002E-6</v>
      </c>
      <c r="W689">
        <v>12.6</v>
      </c>
      <c r="X689" s="288">
        <f t="shared" si="448"/>
        <v>1.1003705451175629</v>
      </c>
      <c r="Y689">
        <v>5.1200000000000004E-13</v>
      </c>
      <c r="Z689" s="95">
        <f t="shared" si="443"/>
        <v>-12.290730039024169</v>
      </c>
      <c r="AA689">
        <f t="shared" si="449"/>
        <v>6.4512000000000006E-12</v>
      </c>
      <c r="AB689" s="288">
        <f t="shared" si="450"/>
        <v>-11.190359493906607</v>
      </c>
      <c r="AC689" s="95"/>
      <c r="AD689" s="95"/>
      <c r="AG689" s="138">
        <f t="shared" si="451"/>
        <v>1.1003705451175629</v>
      </c>
      <c r="AH689">
        <f t="shared" si="452"/>
        <v>1.25</v>
      </c>
      <c r="AI689">
        <f>$K689</f>
        <v>1.25</v>
      </c>
      <c r="AL689">
        <f t="shared" ref="AL689" si="478">$K689</f>
        <v>1.25</v>
      </c>
      <c r="BW689" s="138"/>
      <c r="BX689">
        <f t="shared" si="454"/>
        <v>4.3010299956639813</v>
      </c>
      <c r="BY689">
        <f>LOG(1*$J689)</f>
        <v>4.3010299956639813</v>
      </c>
      <c r="CB689">
        <f>LOG(1*$J689)</f>
        <v>4.3010299956639813</v>
      </c>
      <c r="DG689">
        <f t="shared" si="465"/>
        <v>-12.290730039024169</v>
      </c>
      <c r="DH689">
        <f t="shared" si="466"/>
        <v>84.93</v>
      </c>
      <c r="DI689">
        <f t="shared" si="466"/>
        <v>84.93</v>
      </c>
      <c r="EY689" s="479">
        <f>VLOOKUP(B689,Literatuur!$A:$B,2,FALSE)</f>
        <v>15</v>
      </c>
      <c r="EZ689" t="str">
        <f t="shared" si="469"/>
        <v>Methylene chloride</v>
      </c>
      <c r="FA689" t="str">
        <f t="shared" si="470"/>
        <v>ClAlk</v>
      </c>
      <c r="FB689" t="str">
        <f t="shared" si="471"/>
        <v>HDPE</v>
      </c>
      <c r="FC689" t="str">
        <f t="shared" si="472"/>
        <v>Immersion (spinning)</v>
      </c>
      <c r="FD689">
        <f t="shared" si="473"/>
        <v>293</v>
      </c>
      <c r="FE689" t="str">
        <f t="shared" si="474"/>
        <v>water</v>
      </c>
      <c r="FF689" t="str">
        <f t="shared" si="475"/>
        <v>measured 0.05</v>
      </c>
      <c r="FG689" s="408">
        <f t="shared" si="462"/>
        <v>2.5000000000000002E-6</v>
      </c>
      <c r="FH689" s="138">
        <f t="shared" si="476"/>
        <v>1.1003705451175629</v>
      </c>
      <c r="FI689" s="106">
        <f t="shared" si="463"/>
        <v>4.8661379824054052E-2</v>
      </c>
      <c r="FJ689" s="138">
        <f t="shared" si="477"/>
        <v>-12.290730039024169</v>
      </c>
      <c r="FK689" s="138" t="str">
        <f t="shared" si="455"/>
        <v>**</v>
      </c>
    </row>
    <row r="690" spans="1:167" ht="12.75" hidden="1" customHeight="1" x14ac:dyDescent="0.2">
      <c r="A690">
        <v>655</v>
      </c>
      <c r="B690" s="4" t="s">
        <v>1939</v>
      </c>
      <c r="C690" s="4"/>
      <c r="D690" s="4" t="s">
        <v>703</v>
      </c>
      <c r="E690">
        <v>-402</v>
      </c>
      <c r="F690" t="str">
        <f>VLOOKUP(E690,CompDbase!B:L,4,FALSE)</f>
        <v>Dichloromethane</v>
      </c>
      <c r="G690" s="95" t="str">
        <f>VLOOKUP(E690,CompDbase!B:M,12,FALSE)</f>
        <v>ClAlk</v>
      </c>
      <c r="H690" s="95">
        <f>VLOOKUP(E690,CompDbase!B:L,8,FALSE)</f>
        <v>84.93</v>
      </c>
      <c r="I690" s="95">
        <f>VLOOKUP(E690,CompDbase!B:L,11,FALSE)</f>
        <v>64.5</v>
      </c>
      <c r="J690" s="95">
        <f>VLOOKUP(E690,CompDbase!B:L,9,FALSE)</f>
        <v>20000</v>
      </c>
      <c r="K690" s="95">
        <f>VLOOKUP(E690,CompDbase!B:L,10,FALSE)</f>
        <v>1.25</v>
      </c>
      <c r="L690" s="4" t="s">
        <v>717</v>
      </c>
      <c r="M690" s="420">
        <v>940000</v>
      </c>
      <c r="N690" s="420"/>
      <c r="O690" s="4" t="s">
        <v>1082</v>
      </c>
      <c r="P690">
        <v>293</v>
      </c>
      <c r="Q690" s="4" t="s">
        <v>1049</v>
      </c>
      <c r="R690" s="289" t="s">
        <v>1982</v>
      </c>
      <c r="S690">
        <v>0.05</v>
      </c>
      <c r="T690" s="95">
        <f t="shared" si="441"/>
        <v>2.5000000000000002E-6</v>
      </c>
      <c r="W690">
        <v>17.260000000000002</v>
      </c>
      <c r="X690" s="288">
        <f t="shared" si="448"/>
        <v>1.2370407913791908</v>
      </c>
      <c r="Y690">
        <v>5.0900000000000005E-13</v>
      </c>
      <c r="Z690" s="95">
        <f t="shared" si="443"/>
        <v>-12.293282217663242</v>
      </c>
      <c r="AA690">
        <f t="shared" si="449"/>
        <v>8.785340000000001E-12</v>
      </c>
      <c r="AB690" s="288">
        <f t="shared" si="450"/>
        <v>-11.05624142628405</v>
      </c>
      <c r="AC690" s="95">
        <v>1</v>
      </c>
      <c r="AD690" s="95">
        <v>1</v>
      </c>
      <c r="AG690" s="138">
        <f t="shared" si="451"/>
        <v>1.2370407913791908</v>
      </c>
      <c r="AH690">
        <f t="shared" si="452"/>
        <v>1.25</v>
      </c>
      <c r="BW690" s="138"/>
      <c r="BX690">
        <f t="shared" si="454"/>
        <v>4.3010299956639813</v>
      </c>
      <c r="EY690" s="479">
        <f>VLOOKUP(B690,Literatuur!$A:$B,2,FALSE)</f>
        <v>15</v>
      </c>
      <c r="EZ690" t="str">
        <f t="shared" si="469"/>
        <v>Methylene chloride</v>
      </c>
      <c r="FA690" t="str">
        <f t="shared" si="470"/>
        <v>ClAlk</v>
      </c>
      <c r="FB690" t="str">
        <f t="shared" si="471"/>
        <v>HDPE</v>
      </c>
      <c r="FC690" t="str">
        <f t="shared" si="472"/>
        <v>Permeation</v>
      </c>
      <c r="FD690">
        <f t="shared" si="473"/>
        <v>293</v>
      </c>
      <c r="FE690" t="str">
        <f t="shared" si="474"/>
        <v>water</v>
      </c>
      <c r="FF690" t="str">
        <f t="shared" si="475"/>
        <v>measured 0.05</v>
      </c>
      <c r="FG690" s="408">
        <f t="shared" si="462"/>
        <v>2.5000000000000002E-6</v>
      </c>
      <c r="FH690" s="138">
        <f t="shared" si="476"/>
        <v>1.2370407913791908</v>
      </c>
      <c r="FI690" s="106" t="str">
        <f t="shared" si="463"/>
        <v>**</v>
      </c>
      <c r="FJ690" s="138">
        <f t="shared" si="477"/>
        <v>-12.293282217663242</v>
      </c>
      <c r="FK690" s="138" t="str">
        <f t="shared" si="455"/>
        <v>**</v>
      </c>
    </row>
    <row r="691" spans="1:167" ht="12.75" hidden="1" customHeight="1" x14ac:dyDescent="0.2">
      <c r="A691">
        <v>656</v>
      </c>
      <c r="B691" s="4" t="s">
        <v>1939</v>
      </c>
      <c r="C691" s="4"/>
      <c r="D691" s="4" t="s">
        <v>703</v>
      </c>
      <c r="E691">
        <v>-402</v>
      </c>
      <c r="F691" t="str">
        <f>VLOOKUP(E691,CompDbase!B:L,4,FALSE)</f>
        <v>Dichloromethane</v>
      </c>
      <c r="G691" s="95" t="str">
        <f>VLOOKUP(E691,CompDbase!B:M,12,FALSE)</f>
        <v>ClAlk</v>
      </c>
      <c r="H691" s="95">
        <f>VLOOKUP(E691,CompDbase!B:L,8,FALSE)</f>
        <v>84.93</v>
      </c>
      <c r="I691" s="95">
        <f>VLOOKUP(E691,CompDbase!B:L,11,FALSE)</f>
        <v>64.5</v>
      </c>
      <c r="J691" s="95">
        <f>VLOOKUP(E691,CompDbase!B:L,9,FALSE)</f>
        <v>20000</v>
      </c>
      <c r="K691" s="95">
        <f>VLOOKUP(E691,CompDbase!B:L,10,FALSE)</f>
        <v>1.25</v>
      </c>
      <c r="L691" s="4" t="s">
        <v>717</v>
      </c>
      <c r="M691" s="420">
        <v>940000</v>
      </c>
      <c r="N691" s="420"/>
      <c r="O691" s="4" t="s">
        <v>1082</v>
      </c>
      <c r="P691">
        <v>293</v>
      </c>
      <c r="Q691" s="4" t="s">
        <v>1049</v>
      </c>
      <c r="R691" s="289" t="s">
        <v>1982</v>
      </c>
      <c r="S691">
        <v>0.1</v>
      </c>
      <c r="T691" s="95">
        <f t="shared" si="441"/>
        <v>5.0000000000000004E-6</v>
      </c>
      <c r="W691">
        <v>17.07</v>
      </c>
      <c r="X691" s="288">
        <f t="shared" si="448"/>
        <v>1.2322335211147337</v>
      </c>
      <c r="Y691">
        <v>7.2100000000000006E-13</v>
      </c>
      <c r="Z691" s="95">
        <f t="shared" si="443"/>
        <v>-12.14206473528057</v>
      </c>
      <c r="AA691">
        <f t="shared" si="449"/>
        <v>1.2307470000000001E-11</v>
      </c>
      <c r="AB691" s="288">
        <f t="shared" si="450"/>
        <v>-10.909831214165838</v>
      </c>
      <c r="AC691" s="95" t="s">
        <v>68</v>
      </c>
      <c r="AD691" s="95"/>
      <c r="AG691" s="138">
        <f t="shared" si="451"/>
        <v>1.2322335211147337</v>
      </c>
      <c r="AH691">
        <f t="shared" si="452"/>
        <v>1.25</v>
      </c>
      <c r="AK691">
        <f t="shared" ref="AK691" si="479">$K691</f>
        <v>1.25</v>
      </c>
      <c r="BW691" s="138"/>
      <c r="BX691">
        <f t="shared" si="454"/>
        <v>4.3010299956639813</v>
      </c>
      <c r="CA691">
        <f>LOG(1*$J691)</f>
        <v>4.3010299956639813</v>
      </c>
      <c r="DG691">
        <f t="shared" ref="DG691:DG693" si="480">Z691</f>
        <v>-12.14206473528057</v>
      </c>
      <c r="DH691">
        <f t="shared" ref="DH691:DI693" si="481">$H691</f>
        <v>84.93</v>
      </c>
      <c r="DK691">
        <f t="shared" ref="DK691" si="482">$H691</f>
        <v>84.93</v>
      </c>
      <c r="DM691">
        <f t="shared" ref="DM691" si="483">$H691</f>
        <v>84.93</v>
      </c>
      <c r="EY691" s="479">
        <f>VLOOKUP(B691,Literatuur!$A:$B,2,FALSE)</f>
        <v>15</v>
      </c>
      <c r="EZ691" t="str">
        <f t="shared" si="469"/>
        <v>Methylene chloride</v>
      </c>
      <c r="FA691" t="str">
        <f t="shared" si="470"/>
        <v>ClAlk</v>
      </c>
      <c r="FB691" t="str">
        <f t="shared" si="471"/>
        <v>HDPE</v>
      </c>
      <c r="FC691" t="str">
        <f t="shared" si="472"/>
        <v>Permeation</v>
      </c>
      <c r="FD691">
        <f t="shared" si="473"/>
        <v>293</v>
      </c>
      <c r="FE691" t="str">
        <f t="shared" si="474"/>
        <v>water</v>
      </c>
      <c r="FF691" t="str">
        <f t="shared" si="475"/>
        <v>measured 0.1</v>
      </c>
      <c r="FG691" s="408">
        <f t="shared" si="462"/>
        <v>5.0000000000000004E-6</v>
      </c>
      <c r="FH691" s="138">
        <f t="shared" si="476"/>
        <v>1.2322335211147337</v>
      </c>
      <c r="FI691" s="106" t="str">
        <f t="shared" si="463"/>
        <v>**</v>
      </c>
      <c r="FJ691" s="138">
        <f t="shared" si="477"/>
        <v>-12.14206473528057</v>
      </c>
      <c r="FK691" s="138">
        <f t="shared" si="455"/>
        <v>-12.142470529596061</v>
      </c>
    </row>
    <row r="692" spans="1:167" ht="12.75" hidden="1" customHeight="1" x14ac:dyDescent="0.2">
      <c r="A692">
        <v>657</v>
      </c>
      <c r="B692" s="4" t="s">
        <v>1939</v>
      </c>
      <c r="C692" s="4"/>
      <c r="D692" s="4" t="s">
        <v>695</v>
      </c>
      <c r="E692">
        <v>403</v>
      </c>
      <c r="F692" t="str">
        <f>VLOOKUP(E692,CompDbase!B:L,4,FALSE)</f>
        <v>Tetrachloroethylene</v>
      </c>
      <c r="G692" s="95" t="str">
        <f>VLOOKUP(E692,CompDbase!B:M,12,FALSE)</f>
        <v>ClAlk</v>
      </c>
      <c r="H692" s="95">
        <f>VLOOKUP(E692,CompDbase!B:L,8,FALSE)</f>
        <v>165.80749949115744</v>
      </c>
      <c r="I692" s="95" t="e">
        <f>VLOOKUP(E692,CompDbase!B:L,11,FALSE)</f>
        <v>#DIV/0!</v>
      </c>
      <c r="J692" s="95">
        <f>VLOOKUP(E692,CompDbase!B:L,9,FALSE)</f>
        <v>118.88250367033854</v>
      </c>
      <c r="K692" s="95">
        <f>VLOOKUP(E692,CompDbase!B:L,10,FALSE)</f>
        <v>3.4</v>
      </c>
      <c r="L692" s="4" t="s">
        <v>717</v>
      </c>
      <c r="M692" s="420">
        <v>940000</v>
      </c>
      <c r="N692" s="420"/>
      <c r="O692" s="4" t="s">
        <v>1986</v>
      </c>
      <c r="P692">
        <v>293</v>
      </c>
      <c r="Q692" s="4" t="s">
        <v>1049</v>
      </c>
      <c r="R692" s="289" t="s">
        <v>1982</v>
      </c>
      <c r="S692">
        <v>0.05</v>
      </c>
      <c r="T692" s="95">
        <f t="shared" si="441"/>
        <v>4.205833361202597E-4</v>
      </c>
      <c r="W692">
        <v>175.19</v>
      </c>
      <c r="X692" s="288">
        <f t="shared" si="448"/>
        <v>2.2435093126267751</v>
      </c>
      <c r="Y692">
        <v>2.2500000000000005E-13</v>
      </c>
      <c r="Z692" s="95">
        <f t="shared" si="443"/>
        <v>-12.647817481888637</v>
      </c>
      <c r="AA692">
        <f t="shared" si="449"/>
        <v>3.9417750000000011E-11</v>
      </c>
      <c r="AB692" s="288">
        <f t="shared" si="450"/>
        <v>-10.404308169261862</v>
      </c>
      <c r="AC692" s="95"/>
      <c r="AD692" s="95"/>
      <c r="AG692" s="138">
        <f t="shared" si="451"/>
        <v>2.2435093126267751</v>
      </c>
      <c r="AH692">
        <f t="shared" si="452"/>
        <v>3.4</v>
      </c>
      <c r="AI692">
        <f>$K692</f>
        <v>3.4</v>
      </c>
      <c r="AL692">
        <f t="shared" ref="AL692" si="484">$K692</f>
        <v>3.4</v>
      </c>
      <c r="BW692" s="138"/>
      <c r="BX692">
        <f t="shared" si="454"/>
        <v>2.0751179427721769</v>
      </c>
      <c r="BY692">
        <f>LOG(1*$J692)</f>
        <v>2.0751179427721769</v>
      </c>
      <c r="CB692">
        <f>LOG(1*$J692)</f>
        <v>2.0751179427721769</v>
      </c>
      <c r="DG692">
        <f t="shared" si="480"/>
        <v>-12.647817481888637</v>
      </c>
      <c r="DH692">
        <f t="shared" si="481"/>
        <v>165.80749949115744</v>
      </c>
      <c r="DI692">
        <f t="shared" si="481"/>
        <v>165.80749949115744</v>
      </c>
      <c r="EY692" s="479">
        <f>VLOOKUP(B692,Literatuur!$A:$B,2,FALSE)</f>
        <v>15</v>
      </c>
      <c r="EZ692" t="str">
        <f t="shared" si="469"/>
        <v>Tetrachloroethylene</v>
      </c>
      <c r="FA692" t="str">
        <f t="shared" si="470"/>
        <v>ClAlk</v>
      </c>
      <c r="FB692" t="str">
        <f t="shared" si="471"/>
        <v>HDPE</v>
      </c>
      <c r="FC692" t="str">
        <f t="shared" si="472"/>
        <v>Immersion (spinning)</v>
      </c>
      <c r="FD692">
        <f t="shared" si="473"/>
        <v>293</v>
      </c>
      <c r="FE692" t="str">
        <f t="shared" si="474"/>
        <v>water</v>
      </c>
      <c r="FF692" t="str">
        <f t="shared" si="475"/>
        <v>measured 0.05</v>
      </c>
      <c r="FG692" s="408">
        <f t="shared" si="462"/>
        <v>4.205833361202597E-4</v>
      </c>
      <c r="FH692" s="138">
        <f t="shared" si="476"/>
        <v>2.2435093126267751</v>
      </c>
      <c r="FI692" s="106">
        <f t="shared" si="463"/>
        <v>2.5685880819497564</v>
      </c>
      <c r="FJ692" s="138">
        <f t="shared" si="477"/>
        <v>-12.647817481888637</v>
      </c>
      <c r="FK692" s="138" t="str">
        <f t="shared" si="455"/>
        <v>**</v>
      </c>
    </row>
    <row r="693" spans="1:167" ht="12.75" hidden="1" customHeight="1" x14ac:dyDescent="0.2">
      <c r="A693">
        <v>658</v>
      </c>
      <c r="B693" s="4" t="s">
        <v>1939</v>
      </c>
      <c r="C693" s="4"/>
      <c r="D693" s="4" t="s">
        <v>695</v>
      </c>
      <c r="E693">
        <v>403</v>
      </c>
      <c r="F693" t="str">
        <f>VLOOKUP(E693,CompDbase!B:L,4,FALSE)</f>
        <v>Tetrachloroethylene</v>
      </c>
      <c r="G693" s="95" t="str">
        <f>VLOOKUP(E693,CompDbase!B:M,12,FALSE)</f>
        <v>ClAlk</v>
      </c>
      <c r="H693" s="95">
        <f>VLOOKUP(E693,CompDbase!B:L,8,FALSE)</f>
        <v>165.80749949115744</v>
      </c>
      <c r="I693" s="95" t="e">
        <f>VLOOKUP(E693,CompDbase!B:L,11,FALSE)</f>
        <v>#DIV/0!</v>
      </c>
      <c r="J693" s="95">
        <f>VLOOKUP(E693,CompDbase!B:L,9,FALSE)</f>
        <v>118.88250367033854</v>
      </c>
      <c r="K693" s="95">
        <f>VLOOKUP(E693,CompDbase!B:L,10,FALSE)</f>
        <v>3.4</v>
      </c>
      <c r="L693" s="4" t="s">
        <v>717</v>
      </c>
      <c r="M693" s="420">
        <v>940000</v>
      </c>
      <c r="N693" s="420"/>
      <c r="O693" s="4" t="s">
        <v>1082</v>
      </c>
      <c r="P693">
        <v>293</v>
      </c>
      <c r="Q693" s="4" t="s">
        <v>1049</v>
      </c>
      <c r="R693" s="289" t="s">
        <v>1982</v>
      </c>
      <c r="S693">
        <v>0.05</v>
      </c>
      <c r="T693" s="95">
        <f t="shared" si="441"/>
        <v>4.205833361202597E-4</v>
      </c>
      <c r="W693">
        <v>273.77</v>
      </c>
      <c r="X693" s="288">
        <f t="shared" si="448"/>
        <v>2.4373858559663875</v>
      </c>
      <c r="Y693">
        <v>2.3100000000000003E-13</v>
      </c>
      <c r="Z693" s="95">
        <f t="shared" si="443"/>
        <v>-12.636388020107855</v>
      </c>
      <c r="AA693">
        <f t="shared" si="449"/>
        <v>6.3240870000000004E-11</v>
      </c>
      <c r="AB693" s="288">
        <f t="shared" si="450"/>
        <v>-10.199002164141469</v>
      </c>
      <c r="AC693" s="95">
        <v>1</v>
      </c>
      <c r="AD693" s="95"/>
      <c r="AG693" s="138">
        <f t="shared" si="451"/>
        <v>2.4373858559663875</v>
      </c>
      <c r="AH693">
        <f t="shared" si="452"/>
        <v>3.4</v>
      </c>
      <c r="BW693" s="138"/>
      <c r="BX693">
        <f t="shared" si="454"/>
        <v>2.0751179427721769</v>
      </c>
      <c r="DG693">
        <f t="shared" si="480"/>
        <v>-12.636388020107855</v>
      </c>
      <c r="DH693">
        <f t="shared" si="481"/>
        <v>165.80749949115744</v>
      </c>
      <c r="DK693">
        <f t="shared" ref="DK693" si="485">$H693</f>
        <v>165.80749949115744</v>
      </c>
      <c r="DM693">
        <f t="shared" ref="DM693" si="486">$H693</f>
        <v>165.80749949115744</v>
      </c>
      <c r="EY693" s="479">
        <f>VLOOKUP(B693,Literatuur!$A:$B,2,FALSE)</f>
        <v>15</v>
      </c>
      <c r="EZ693" t="str">
        <f t="shared" si="469"/>
        <v>Tetrachloroethylene</v>
      </c>
      <c r="FA693" t="str">
        <f t="shared" si="470"/>
        <v>ClAlk</v>
      </c>
      <c r="FB693" t="str">
        <f t="shared" si="471"/>
        <v>HDPE</v>
      </c>
      <c r="FC693" t="str">
        <f t="shared" si="472"/>
        <v>Permeation</v>
      </c>
      <c r="FD693">
        <f t="shared" si="473"/>
        <v>293</v>
      </c>
      <c r="FE693" t="str">
        <f t="shared" si="474"/>
        <v>water</v>
      </c>
      <c r="FF693" t="str">
        <f t="shared" si="475"/>
        <v>measured 0.05</v>
      </c>
      <c r="FG693" s="408">
        <f t="shared" si="462"/>
        <v>4.205833361202597E-4</v>
      </c>
      <c r="FH693" s="138">
        <f t="shared" si="476"/>
        <v>2.4373858559663875</v>
      </c>
      <c r="FI693" s="106" t="str">
        <f t="shared" si="463"/>
        <v>**</v>
      </c>
      <c r="FJ693" s="138">
        <f t="shared" si="477"/>
        <v>-12.636388020107855</v>
      </c>
      <c r="FK693" s="138">
        <f t="shared" si="455"/>
        <v>-13.051068901296079</v>
      </c>
    </row>
    <row r="694" spans="1:167" ht="12.75" hidden="1" customHeight="1" x14ac:dyDescent="0.2">
      <c r="A694">
        <v>659</v>
      </c>
      <c r="B694" s="4" t="s">
        <v>1939</v>
      </c>
      <c r="C694" s="4"/>
      <c r="D694" s="4" t="s">
        <v>695</v>
      </c>
      <c r="E694">
        <v>403</v>
      </c>
      <c r="F694" t="str">
        <f>VLOOKUP(E694,CompDbase!B:L,4,FALSE)</f>
        <v>Tetrachloroethylene</v>
      </c>
      <c r="G694" s="95" t="str">
        <f>VLOOKUP(E694,CompDbase!B:M,12,FALSE)</f>
        <v>ClAlk</v>
      </c>
      <c r="H694" s="95">
        <f>VLOOKUP(E694,CompDbase!B:L,8,FALSE)</f>
        <v>165.80749949115744</v>
      </c>
      <c r="I694" s="95" t="e">
        <f>VLOOKUP(E694,CompDbase!B:L,11,FALSE)</f>
        <v>#DIV/0!</v>
      </c>
      <c r="J694" s="95">
        <f>VLOOKUP(E694,CompDbase!B:L,9,FALSE)</f>
        <v>118.88250367033854</v>
      </c>
      <c r="K694" s="95">
        <f>VLOOKUP(E694,CompDbase!B:L,10,FALSE)</f>
        <v>3.4</v>
      </c>
      <c r="L694" s="4" t="s">
        <v>717</v>
      </c>
      <c r="M694" s="420">
        <v>940000</v>
      </c>
      <c r="N694" s="420"/>
      <c r="O694" s="4" t="s">
        <v>1082</v>
      </c>
      <c r="P694">
        <v>293</v>
      </c>
      <c r="Q694" s="4" t="s">
        <v>1049</v>
      </c>
      <c r="R694" s="289" t="s">
        <v>1982</v>
      </c>
      <c r="S694">
        <v>0.1</v>
      </c>
      <c r="T694" s="95">
        <f t="shared" si="441"/>
        <v>8.411666722405194E-4</v>
      </c>
      <c r="W694">
        <v>275.05</v>
      </c>
      <c r="X694" s="288">
        <f t="shared" si="448"/>
        <v>2.4394116492857849</v>
      </c>
      <c r="Y694">
        <v>2.9300000000000006E-13</v>
      </c>
      <c r="Z694" s="95">
        <f t="shared" si="443"/>
        <v>-12.53313237964589</v>
      </c>
      <c r="AA694">
        <f t="shared" si="449"/>
        <v>8.0589650000000021E-11</v>
      </c>
      <c r="AB694" s="288">
        <f t="shared" si="450"/>
        <v>-10.093720730360106</v>
      </c>
      <c r="AC694" s="95" t="s">
        <v>68</v>
      </c>
      <c r="AD694" s="95">
        <v>1</v>
      </c>
      <c r="AG694" s="138">
        <f t="shared" si="451"/>
        <v>2.4394116492857849</v>
      </c>
      <c r="AH694">
        <f t="shared" si="452"/>
        <v>3.4</v>
      </c>
      <c r="AK694">
        <f t="shared" ref="AK694" si="487">$K694</f>
        <v>3.4</v>
      </c>
      <c r="BW694" s="138"/>
      <c r="BX694">
        <f t="shared" si="454"/>
        <v>2.0751179427721769</v>
      </c>
      <c r="CA694">
        <f>LOG(1*$J694)</f>
        <v>2.0751179427721769</v>
      </c>
      <c r="EY694" s="479">
        <f>VLOOKUP(B694,Literatuur!$A:$B,2,FALSE)</f>
        <v>15</v>
      </c>
      <c r="EZ694" t="str">
        <f t="shared" si="469"/>
        <v>Tetrachloroethylene</v>
      </c>
      <c r="FA694" t="str">
        <f t="shared" si="470"/>
        <v>ClAlk</v>
      </c>
      <c r="FB694" t="str">
        <f t="shared" si="471"/>
        <v>HDPE</v>
      </c>
      <c r="FC694" t="str">
        <f t="shared" si="472"/>
        <v>Permeation</v>
      </c>
      <c r="FD694">
        <f t="shared" si="473"/>
        <v>293</v>
      </c>
      <c r="FE694" t="str">
        <f t="shared" si="474"/>
        <v>water</v>
      </c>
      <c r="FF694" t="str">
        <f t="shared" si="475"/>
        <v>measured 0.1</v>
      </c>
      <c r="FG694" s="408">
        <f t="shared" si="462"/>
        <v>8.411666722405194E-4</v>
      </c>
      <c r="FH694" s="138">
        <f t="shared" si="476"/>
        <v>2.4394116492857849</v>
      </c>
      <c r="FI694" s="106" t="str">
        <f t="shared" si="463"/>
        <v>**</v>
      </c>
      <c r="FJ694" s="138">
        <f t="shared" si="477"/>
        <v>-12.53313237964589</v>
      </c>
      <c r="FK694" s="138" t="str">
        <f t="shared" si="455"/>
        <v>**</v>
      </c>
    </row>
    <row r="695" spans="1:167" ht="12.75" hidden="1" customHeight="1" x14ac:dyDescent="0.2">
      <c r="A695">
        <v>660</v>
      </c>
      <c r="B695" s="4" t="s">
        <v>1939</v>
      </c>
      <c r="C695" s="4"/>
      <c r="D695" s="4" t="s">
        <v>697</v>
      </c>
      <c r="E695">
        <v>405</v>
      </c>
      <c r="F695" t="str">
        <f>VLOOKUP(E695,CompDbase!B:L,4,FALSE)</f>
        <v>Trichloroethylene</v>
      </c>
      <c r="G695" s="95" t="str">
        <f>VLOOKUP(E695,CompDbase!B:M,12,FALSE)</f>
        <v>ClAlk</v>
      </c>
      <c r="H695" s="95">
        <f>VLOOKUP(E695,CompDbase!B:L,8,FALSE)</f>
        <v>131.4</v>
      </c>
      <c r="I695" s="95" t="e">
        <f>VLOOKUP(E695,CompDbase!B:L,11,FALSE)</f>
        <v>#DIV/0!</v>
      </c>
      <c r="J695" s="95">
        <f>VLOOKUP(E695,CompDbase!B:L,9,FALSE)</f>
        <v>1164.8441611748488</v>
      </c>
      <c r="K695" s="95">
        <f>VLOOKUP(E695,CompDbase!B:L,10,FALSE)</f>
        <v>2.61</v>
      </c>
      <c r="L695" s="4" t="s">
        <v>717</v>
      </c>
      <c r="M695" s="420">
        <v>940000</v>
      </c>
      <c r="N695" s="420"/>
      <c r="O695" s="4" t="s">
        <v>1986</v>
      </c>
      <c r="P695">
        <v>293</v>
      </c>
      <c r="Q695" s="4" t="s">
        <v>1049</v>
      </c>
      <c r="R695" s="289" t="s">
        <v>1982</v>
      </c>
      <c r="S695">
        <v>0.05</v>
      </c>
      <c r="T695" s="95">
        <f t="shared" si="441"/>
        <v>4.2924196786607542E-5</v>
      </c>
      <c r="W695">
        <v>62.29</v>
      </c>
      <c r="X695" s="288">
        <f t="shared" si="448"/>
        <v>1.794418330874141</v>
      </c>
      <c r="Y695">
        <v>3.6300000000000002E-13</v>
      </c>
      <c r="Z695" s="95">
        <f t="shared" si="443"/>
        <v>-12.440093374963887</v>
      </c>
      <c r="AA695">
        <f t="shared" si="449"/>
        <v>2.261127E-11</v>
      </c>
      <c r="AB695" s="288">
        <f t="shared" si="450"/>
        <v>-10.645675044089746</v>
      </c>
      <c r="AC695" s="95"/>
      <c r="AD695" s="95"/>
      <c r="AG695" s="138">
        <f t="shared" si="451"/>
        <v>1.794418330874141</v>
      </c>
      <c r="AH695">
        <f t="shared" si="452"/>
        <v>2.61</v>
      </c>
      <c r="AI695">
        <f>$K695</f>
        <v>2.61</v>
      </c>
      <c r="AL695">
        <f t="shared" ref="AL695" si="488">$K695</f>
        <v>2.61</v>
      </c>
      <c r="BW695" s="138"/>
      <c r="BX695">
        <f t="shared" si="454"/>
        <v>3.0662678271054604</v>
      </c>
      <c r="BY695">
        <f>LOG(1*$J695)</f>
        <v>3.0662678271054604</v>
      </c>
      <c r="CB695">
        <f>LOG(1*$J695)</f>
        <v>3.0662678271054604</v>
      </c>
      <c r="DG695">
        <f>Z695</f>
        <v>-12.440093374963887</v>
      </c>
      <c r="DH695">
        <f>$H695</f>
        <v>131.4</v>
      </c>
      <c r="DI695">
        <f t="shared" ref="DI695" si="489">$H695</f>
        <v>131.4</v>
      </c>
      <c r="EY695" s="479">
        <f>VLOOKUP(B695,Literatuur!$A:$B,2,FALSE)</f>
        <v>15</v>
      </c>
      <c r="EZ695" t="str">
        <f t="shared" si="469"/>
        <v>trichloroethylene</v>
      </c>
      <c r="FA695" t="str">
        <f t="shared" si="470"/>
        <v>ClAlk</v>
      </c>
      <c r="FB695" t="str">
        <f t="shared" si="471"/>
        <v>HDPE</v>
      </c>
      <c r="FC695" t="str">
        <f t="shared" si="472"/>
        <v>Immersion (spinning)</v>
      </c>
      <c r="FD695">
        <f t="shared" si="473"/>
        <v>293</v>
      </c>
      <c r="FE695" t="str">
        <f t="shared" si="474"/>
        <v>water</v>
      </c>
      <c r="FF695" t="str">
        <f t="shared" si="475"/>
        <v>measured 0.05</v>
      </c>
      <c r="FG695" s="408">
        <f t="shared" si="462"/>
        <v>4.2924196786607542E-5</v>
      </c>
      <c r="FH695" s="138">
        <f t="shared" si="476"/>
        <v>1.794418330874141</v>
      </c>
      <c r="FI695" s="106">
        <f t="shared" si="463"/>
        <v>1.6426615262849631</v>
      </c>
      <c r="FJ695" s="138">
        <f t="shared" si="477"/>
        <v>-12.440093374963887</v>
      </c>
      <c r="FK695" s="138" t="str">
        <f t="shared" si="455"/>
        <v>**</v>
      </c>
    </row>
    <row r="696" spans="1:167" ht="12.75" hidden="1" customHeight="1" x14ac:dyDescent="0.2">
      <c r="A696">
        <v>661</v>
      </c>
      <c r="B696" s="4" t="s">
        <v>1939</v>
      </c>
      <c r="C696" s="4"/>
      <c r="D696" s="4" t="s">
        <v>697</v>
      </c>
      <c r="E696">
        <v>405</v>
      </c>
      <c r="F696" t="str">
        <f>VLOOKUP(E696,CompDbase!B:L,4,FALSE)</f>
        <v>Trichloroethylene</v>
      </c>
      <c r="G696" s="95" t="str">
        <f>VLOOKUP(E696,CompDbase!B:M,12,FALSE)</f>
        <v>ClAlk</v>
      </c>
      <c r="H696" s="95">
        <f>VLOOKUP(E696,CompDbase!B:L,8,FALSE)</f>
        <v>131.4</v>
      </c>
      <c r="I696" s="95" t="e">
        <f>VLOOKUP(E696,CompDbase!B:L,11,FALSE)</f>
        <v>#DIV/0!</v>
      </c>
      <c r="J696" s="95">
        <f>VLOOKUP(E696,CompDbase!B:L,9,FALSE)</f>
        <v>1164.8441611748488</v>
      </c>
      <c r="K696" s="95">
        <f>VLOOKUP(E696,CompDbase!B:L,10,FALSE)</f>
        <v>2.61</v>
      </c>
      <c r="L696" s="4" t="s">
        <v>717</v>
      </c>
      <c r="M696" s="420">
        <v>940000</v>
      </c>
      <c r="N696" s="420"/>
      <c r="O696" s="4" t="s">
        <v>1082</v>
      </c>
      <c r="P696">
        <v>293</v>
      </c>
      <c r="Q696" s="4" t="s">
        <v>1049</v>
      </c>
      <c r="R696" s="289" t="s">
        <v>1982</v>
      </c>
      <c r="S696">
        <v>0.05</v>
      </c>
      <c r="T696" s="95">
        <f t="shared" si="441"/>
        <v>4.2924196786607542E-5</v>
      </c>
      <c r="W696">
        <v>131.44</v>
      </c>
      <c r="X696" s="288">
        <f t="shared" si="448"/>
        <v>2.1187275504270051</v>
      </c>
      <c r="Y696">
        <v>2.8900000000000003E-13</v>
      </c>
      <c r="Z696" s="95">
        <f t="shared" si="443"/>
        <v>-12.539102157243452</v>
      </c>
      <c r="AA696">
        <f t="shared" si="449"/>
        <v>3.7986160000000003E-11</v>
      </c>
      <c r="AB696" s="288">
        <f t="shared" si="450"/>
        <v>-10.420374606816447</v>
      </c>
      <c r="AC696" s="95">
        <v>1</v>
      </c>
      <c r="AD696" s="95">
        <v>1</v>
      </c>
      <c r="AG696" s="138">
        <f t="shared" si="451"/>
        <v>2.1187275504270051</v>
      </c>
      <c r="AH696">
        <f t="shared" si="452"/>
        <v>2.61</v>
      </c>
      <c r="BW696" s="138"/>
      <c r="BX696">
        <f t="shared" si="454"/>
        <v>3.0662678271054604</v>
      </c>
      <c r="EY696" s="479">
        <f>VLOOKUP(B696,Literatuur!$A:$B,2,FALSE)</f>
        <v>15</v>
      </c>
      <c r="EZ696" t="str">
        <f t="shared" si="469"/>
        <v>trichloroethylene</v>
      </c>
      <c r="FA696" t="str">
        <f t="shared" si="470"/>
        <v>ClAlk</v>
      </c>
      <c r="FB696" t="str">
        <f t="shared" si="471"/>
        <v>HDPE</v>
      </c>
      <c r="FC696" t="str">
        <f t="shared" si="472"/>
        <v>Permeation</v>
      </c>
      <c r="FD696">
        <f t="shared" si="473"/>
        <v>293</v>
      </c>
      <c r="FE696" t="str">
        <f t="shared" si="474"/>
        <v>water</v>
      </c>
      <c r="FF696" t="str">
        <f t="shared" si="475"/>
        <v>measured 0.05</v>
      </c>
      <c r="FG696" s="408">
        <f t="shared" si="462"/>
        <v>4.2924196786607542E-5</v>
      </c>
      <c r="FH696" s="138">
        <f t="shared" si="476"/>
        <v>2.1187275504270051</v>
      </c>
      <c r="FI696" s="106" t="str">
        <f t="shared" si="463"/>
        <v>**</v>
      </c>
      <c r="FJ696" s="138">
        <f t="shared" si="477"/>
        <v>-12.539102157243452</v>
      </c>
      <c r="FK696" s="138" t="str">
        <f t="shared" si="455"/>
        <v>**</v>
      </c>
    </row>
    <row r="697" spans="1:167" ht="12.75" hidden="1" customHeight="1" x14ac:dyDescent="0.2">
      <c r="A697">
        <v>662</v>
      </c>
      <c r="B697" s="4" t="s">
        <v>1939</v>
      </c>
      <c r="C697" s="4"/>
      <c r="D697" s="4" t="s">
        <v>697</v>
      </c>
      <c r="E697">
        <v>405</v>
      </c>
      <c r="F697" t="str">
        <f>VLOOKUP(E697,CompDbase!B:L,4,FALSE)</f>
        <v>Trichloroethylene</v>
      </c>
      <c r="G697" s="95" t="str">
        <f>VLOOKUP(E697,CompDbase!B:M,12,FALSE)</f>
        <v>ClAlk</v>
      </c>
      <c r="H697" s="95">
        <f>VLOOKUP(E697,CompDbase!B:L,8,FALSE)</f>
        <v>131.4</v>
      </c>
      <c r="I697" s="95" t="e">
        <f>VLOOKUP(E697,CompDbase!B:L,11,FALSE)</f>
        <v>#DIV/0!</v>
      </c>
      <c r="J697" s="95">
        <f>VLOOKUP(E697,CompDbase!B:L,9,FALSE)</f>
        <v>1164.8441611748488</v>
      </c>
      <c r="K697" s="95">
        <f>VLOOKUP(E697,CompDbase!B:L,10,FALSE)</f>
        <v>2.61</v>
      </c>
      <c r="L697" s="4" t="s">
        <v>717</v>
      </c>
      <c r="M697" s="420">
        <v>940000</v>
      </c>
      <c r="N697" s="420"/>
      <c r="O697" s="4" t="s">
        <v>1082</v>
      </c>
      <c r="P697">
        <v>293</v>
      </c>
      <c r="Q697" s="4" t="s">
        <v>1049</v>
      </c>
      <c r="R697" s="289" t="s">
        <v>1982</v>
      </c>
      <c r="S697">
        <v>0.1</v>
      </c>
      <c r="T697" s="95">
        <f t="shared" si="441"/>
        <v>8.5848393573215084E-5</v>
      </c>
      <c r="W697">
        <v>148.91999999999999</v>
      </c>
      <c r="X697" s="288">
        <f t="shared" si="448"/>
        <v>2.1729530275463547</v>
      </c>
      <c r="Y697">
        <v>4.5400000000000008E-13</v>
      </c>
      <c r="Z697" s="95">
        <f t="shared" si="443"/>
        <v>-12.342944147142896</v>
      </c>
      <c r="AA697">
        <f t="shared" si="449"/>
        <v>6.7609680000000009E-11</v>
      </c>
      <c r="AB697" s="288">
        <f t="shared" si="450"/>
        <v>-10.169991119596542</v>
      </c>
      <c r="AC697" s="95" t="s">
        <v>68</v>
      </c>
      <c r="AD697" s="95"/>
      <c r="AG697" s="138">
        <f t="shared" si="451"/>
        <v>2.1729530275463547</v>
      </c>
      <c r="AH697">
        <f t="shared" si="452"/>
        <v>2.61</v>
      </c>
      <c r="AK697">
        <f t="shared" ref="AK697:AK703" si="490">$K697</f>
        <v>2.61</v>
      </c>
      <c r="BW697" s="138"/>
      <c r="BX697">
        <f t="shared" si="454"/>
        <v>3.0662678271054604</v>
      </c>
      <c r="CA697">
        <f>LOG(1*$J697)</f>
        <v>3.0662678271054604</v>
      </c>
      <c r="DG697">
        <f>Z697</f>
        <v>-12.342944147142896</v>
      </c>
      <c r="DH697">
        <f>$H697</f>
        <v>131.4</v>
      </c>
      <c r="DK697">
        <f t="shared" ref="DK697" si="491">$H697</f>
        <v>131.4</v>
      </c>
      <c r="DM697">
        <f t="shared" ref="DM697" si="492">$H697</f>
        <v>131.4</v>
      </c>
      <c r="EY697" s="479">
        <f>VLOOKUP(B697,Literatuur!$A:$B,2,FALSE)</f>
        <v>15</v>
      </c>
      <c r="EZ697" t="str">
        <f t="shared" si="469"/>
        <v>trichloroethylene</v>
      </c>
      <c r="FA697" t="str">
        <f t="shared" si="470"/>
        <v>ClAlk</v>
      </c>
      <c r="FB697" t="str">
        <f t="shared" si="471"/>
        <v>HDPE</v>
      </c>
      <c r="FC697" t="str">
        <f t="shared" si="472"/>
        <v>Permeation</v>
      </c>
      <c r="FD697">
        <f t="shared" si="473"/>
        <v>293</v>
      </c>
      <c r="FE697" t="str">
        <f t="shared" si="474"/>
        <v>water</v>
      </c>
      <c r="FF697" t="str">
        <f t="shared" si="475"/>
        <v>measured 0.1</v>
      </c>
      <c r="FG697" s="408">
        <f t="shared" si="462"/>
        <v>8.5848393573215084E-5</v>
      </c>
      <c r="FH697" s="138">
        <f t="shared" si="476"/>
        <v>2.1729530275463547</v>
      </c>
      <c r="FI697" s="106" t="str">
        <f t="shared" si="463"/>
        <v>**</v>
      </c>
      <c r="FJ697" s="138">
        <f t="shared" si="477"/>
        <v>-12.342944147142896</v>
      </c>
      <c r="FK697" s="138">
        <f t="shared" si="455"/>
        <v>-12.664526312706865</v>
      </c>
    </row>
    <row r="698" spans="1:167" ht="12.75" hidden="1" customHeight="1" x14ac:dyDescent="0.2">
      <c r="A698">
        <v>663</v>
      </c>
      <c r="B698" t="s">
        <v>1817</v>
      </c>
      <c r="D698" s="4" t="s">
        <v>703</v>
      </c>
      <c r="E698">
        <v>-402</v>
      </c>
      <c r="F698" t="str">
        <f>VLOOKUP(E698,CompDbase!B:L,4,FALSE)</f>
        <v>Dichloromethane</v>
      </c>
      <c r="G698" s="95" t="str">
        <f>VLOOKUP(E698,CompDbase!B:M,12,FALSE)</f>
        <v>ClAlk</v>
      </c>
      <c r="H698" s="95">
        <f>VLOOKUP(E698,CompDbase!B:L,8,FALSE)</f>
        <v>84.93</v>
      </c>
      <c r="I698" s="95">
        <f>VLOOKUP(E698,CompDbase!B:L,11,FALSE)</f>
        <v>64.5</v>
      </c>
      <c r="J698" s="95">
        <f>VLOOKUP(E698,CompDbase!B:L,9,FALSE)</f>
        <v>20000</v>
      </c>
      <c r="K698" s="95">
        <f>VLOOKUP(E698,CompDbase!B:L,10,FALSE)</f>
        <v>1.25</v>
      </c>
      <c r="L698" s="4" t="s">
        <v>717</v>
      </c>
      <c r="M698" s="423"/>
      <c r="N698" s="423"/>
      <c r="O698" s="4" t="s">
        <v>1082</v>
      </c>
      <c r="P698">
        <v>293</v>
      </c>
      <c r="Q698" s="4" t="s">
        <v>1049</v>
      </c>
      <c r="R698" s="289" t="s">
        <v>1982</v>
      </c>
      <c r="S698">
        <v>0.01</v>
      </c>
      <c r="T698" s="95">
        <f t="shared" si="441"/>
        <v>4.9999999999999998E-7</v>
      </c>
      <c r="W698">
        <v>440</v>
      </c>
      <c r="X698" s="288">
        <f t="shared" si="448"/>
        <v>2.6434526764861874</v>
      </c>
      <c r="Y698">
        <v>2.2000000000000005E-13</v>
      </c>
      <c r="Z698" s="95">
        <f t="shared" si="443"/>
        <v>-12.657577319177793</v>
      </c>
      <c r="AA698" s="95">
        <f t="shared" si="449"/>
        <v>9.6800000000000017E-11</v>
      </c>
      <c r="AB698" s="288">
        <f t="shared" si="450"/>
        <v>-10.014124642691606</v>
      </c>
      <c r="AC698" s="95">
        <v>1</v>
      </c>
      <c r="AD698" s="95">
        <v>1</v>
      </c>
      <c r="AG698" s="138">
        <f t="shared" si="451"/>
        <v>2.6434526764861874</v>
      </c>
      <c r="AH698">
        <f t="shared" si="452"/>
        <v>1.25</v>
      </c>
      <c r="BW698" s="138"/>
      <c r="BX698">
        <f t="shared" si="454"/>
        <v>4.3010299956639813</v>
      </c>
      <c r="EY698" s="479">
        <f>VLOOKUP(B698,Literatuur!$A:$B,2,FALSE)</f>
        <v>18</v>
      </c>
      <c r="EZ698" t="str">
        <f t="shared" si="469"/>
        <v>Methylene chloride</v>
      </c>
      <c r="FA698" t="str">
        <f t="shared" si="470"/>
        <v>ClAlk</v>
      </c>
      <c r="FB698" t="str">
        <f t="shared" si="471"/>
        <v>HDPE</v>
      </c>
      <c r="FC698" t="str">
        <f t="shared" si="472"/>
        <v>Permeation</v>
      </c>
      <c r="FD698">
        <f t="shared" si="473"/>
        <v>293</v>
      </c>
      <c r="FE698" t="str">
        <f t="shared" si="474"/>
        <v>water</v>
      </c>
      <c r="FF698" t="str">
        <f t="shared" si="475"/>
        <v>measured 0.01</v>
      </c>
      <c r="FG698" s="408">
        <f t="shared" si="462"/>
        <v>4.9999999999999998E-7</v>
      </c>
      <c r="FH698" s="138">
        <f t="shared" si="476"/>
        <v>2.6434526764861874</v>
      </c>
      <c r="FI698" s="106" t="str">
        <f t="shared" si="463"/>
        <v>**</v>
      </c>
      <c r="FJ698" s="138">
        <f t="shared" si="477"/>
        <v>-12.657577319177793</v>
      </c>
      <c r="FK698" s="138" t="str">
        <f t="shared" si="455"/>
        <v>**</v>
      </c>
    </row>
    <row r="699" spans="1:167" ht="12.75" hidden="1" customHeight="1" x14ac:dyDescent="0.2">
      <c r="A699">
        <v>664</v>
      </c>
      <c r="B699" t="s">
        <v>1817</v>
      </c>
      <c r="D699" s="4" t="s">
        <v>703</v>
      </c>
      <c r="E699">
        <v>-402</v>
      </c>
      <c r="F699" t="str">
        <f>VLOOKUP(E699,CompDbase!B:L,4,FALSE)</f>
        <v>Dichloromethane</v>
      </c>
      <c r="G699" s="95" t="str">
        <f>VLOOKUP(E699,CompDbase!B:M,12,FALSE)</f>
        <v>ClAlk</v>
      </c>
      <c r="H699" s="95">
        <f>VLOOKUP(E699,CompDbase!B:L,8,FALSE)</f>
        <v>84.93</v>
      </c>
      <c r="I699" s="95">
        <f>VLOOKUP(E699,CompDbase!B:L,11,FALSE)</f>
        <v>64.5</v>
      </c>
      <c r="J699" s="95">
        <f>VLOOKUP(E699,CompDbase!B:L,9,FALSE)</f>
        <v>20000</v>
      </c>
      <c r="K699" s="95">
        <f>VLOOKUP(E699,CompDbase!B:L,10,FALSE)</f>
        <v>1.25</v>
      </c>
      <c r="L699" s="4" t="s">
        <v>717</v>
      </c>
      <c r="O699" s="4" t="s">
        <v>1082</v>
      </c>
      <c r="P699">
        <v>293</v>
      </c>
      <c r="Q699" s="4" t="s">
        <v>1049</v>
      </c>
      <c r="R699" s="289" t="s">
        <v>1982</v>
      </c>
      <c r="S699">
        <v>0.05</v>
      </c>
      <c r="T699" s="95">
        <f t="shared" si="441"/>
        <v>2.5000000000000002E-6</v>
      </c>
      <c r="W699">
        <v>450</v>
      </c>
      <c r="X699" s="288">
        <f t="shared" si="448"/>
        <v>2.6532125137753435</v>
      </c>
      <c r="Y699">
        <v>2.3999999999999999E-13</v>
      </c>
      <c r="Z699" s="95">
        <f t="shared" si="443"/>
        <v>-12.619788758288394</v>
      </c>
      <c r="AA699" s="95">
        <f t="shared" si="449"/>
        <v>1.0799999999999999E-10</v>
      </c>
      <c r="AB699" s="288">
        <f t="shared" si="450"/>
        <v>-9.9665762445130497</v>
      </c>
      <c r="AC699" s="95"/>
      <c r="AD699" s="95"/>
      <c r="AG699" s="138">
        <f t="shared" si="451"/>
        <v>2.6532125137753435</v>
      </c>
      <c r="AH699">
        <f t="shared" si="452"/>
        <v>1.25</v>
      </c>
      <c r="AK699">
        <f t="shared" si="490"/>
        <v>1.25</v>
      </c>
      <c r="BW699" s="138"/>
      <c r="BX699">
        <f t="shared" si="454"/>
        <v>4.3010299956639813</v>
      </c>
      <c r="CA699">
        <f>LOG(1*$J699)</f>
        <v>4.3010299956639813</v>
      </c>
      <c r="DG699">
        <f t="shared" ref="DG699:DG700" si="493">Z699</f>
        <v>-12.619788758288394</v>
      </c>
      <c r="DH699">
        <f t="shared" ref="DH699:DH700" si="494">$H699</f>
        <v>84.93</v>
      </c>
      <c r="DK699">
        <f t="shared" ref="DK699:DK700" si="495">$H699</f>
        <v>84.93</v>
      </c>
      <c r="DM699">
        <f t="shared" ref="DM699:DM700" si="496">$H699</f>
        <v>84.93</v>
      </c>
      <c r="EY699" s="479">
        <f>VLOOKUP(B699,Literatuur!$A:$B,2,FALSE)</f>
        <v>18</v>
      </c>
      <c r="EZ699" t="str">
        <f t="shared" si="469"/>
        <v>Methylene chloride</v>
      </c>
      <c r="FA699" t="str">
        <f t="shared" si="470"/>
        <v>ClAlk</v>
      </c>
      <c r="FB699" t="str">
        <f t="shared" si="471"/>
        <v>HDPE</v>
      </c>
      <c r="FC699" t="str">
        <f t="shared" si="472"/>
        <v>Permeation</v>
      </c>
      <c r="FD699">
        <f t="shared" si="473"/>
        <v>293</v>
      </c>
      <c r="FE699" t="str">
        <f t="shared" si="474"/>
        <v>water</v>
      </c>
      <c r="FF699" t="str">
        <f t="shared" si="475"/>
        <v>measured 0.05</v>
      </c>
      <c r="FG699" s="408">
        <f t="shared" si="462"/>
        <v>2.5000000000000002E-6</v>
      </c>
      <c r="FH699" s="138">
        <f t="shared" si="476"/>
        <v>2.6532125137753435</v>
      </c>
      <c r="FI699" s="106" t="str">
        <f t="shared" si="463"/>
        <v>**</v>
      </c>
      <c r="FJ699" s="138">
        <f t="shared" si="477"/>
        <v>-12.619788758288394</v>
      </c>
      <c r="FK699" s="138">
        <f t="shared" si="455"/>
        <v>-12.142470529596061</v>
      </c>
    </row>
    <row r="700" spans="1:167" ht="12.75" hidden="1" customHeight="1" x14ac:dyDescent="0.2">
      <c r="A700">
        <v>665</v>
      </c>
      <c r="B700" t="s">
        <v>1817</v>
      </c>
      <c r="D700" s="4" t="s">
        <v>703</v>
      </c>
      <c r="E700">
        <v>-402</v>
      </c>
      <c r="F700" t="str">
        <f>VLOOKUP(E700,CompDbase!B:L,4,FALSE)</f>
        <v>Dichloromethane</v>
      </c>
      <c r="G700" s="95" t="str">
        <f>VLOOKUP(E700,CompDbase!B:M,12,FALSE)</f>
        <v>ClAlk</v>
      </c>
      <c r="H700" s="95">
        <f>VLOOKUP(E700,CompDbase!B:L,8,FALSE)</f>
        <v>84.93</v>
      </c>
      <c r="I700" s="95">
        <f>VLOOKUP(E700,CompDbase!B:L,11,FALSE)</f>
        <v>64.5</v>
      </c>
      <c r="J700" s="95">
        <f>VLOOKUP(E700,CompDbase!B:L,9,FALSE)</f>
        <v>20000</v>
      </c>
      <c r="K700" s="95">
        <f>VLOOKUP(E700,CompDbase!B:L,10,FALSE)</f>
        <v>1.25</v>
      </c>
      <c r="L700" s="4" t="s">
        <v>717</v>
      </c>
      <c r="M700" s="423"/>
      <c r="N700" s="423"/>
      <c r="O700" s="4" t="s">
        <v>1082</v>
      </c>
      <c r="P700">
        <v>293</v>
      </c>
      <c r="Q700" s="4" t="s">
        <v>1049</v>
      </c>
      <c r="R700" s="289" t="s">
        <v>1982</v>
      </c>
      <c r="S700">
        <v>0.1</v>
      </c>
      <c r="T700" s="95">
        <f t="shared" si="441"/>
        <v>5.0000000000000004E-6</v>
      </c>
      <c r="W700">
        <v>455</v>
      </c>
      <c r="X700" s="288">
        <f t="shared" si="448"/>
        <v>2.6580113966571126</v>
      </c>
      <c r="Y700">
        <v>3.6000000000000003E-13</v>
      </c>
      <c r="Z700" s="95">
        <f t="shared" si="443"/>
        <v>-12.443697499232712</v>
      </c>
      <c r="AA700" s="95">
        <f t="shared" si="449"/>
        <v>1.6380000000000002E-10</v>
      </c>
      <c r="AB700" s="288">
        <f t="shared" si="450"/>
        <v>-9.7856861025755997</v>
      </c>
      <c r="AC700" s="95" t="s">
        <v>68</v>
      </c>
      <c r="AD700" s="95"/>
      <c r="AG700" s="138">
        <f t="shared" si="451"/>
        <v>2.6580113966571126</v>
      </c>
      <c r="AH700">
        <f t="shared" si="452"/>
        <v>1.25</v>
      </c>
      <c r="AK700">
        <f t="shared" si="490"/>
        <v>1.25</v>
      </c>
      <c r="BW700" s="138"/>
      <c r="BX700">
        <f t="shared" si="454"/>
        <v>4.3010299956639813</v>
      </c>
      <c r="CA700">
        <f>LOG(1*$J700)</f>
        <v>4.3010299956639813</v>
      </c>
      <c r="DG700">
        <f t="shared" si="493"/>
        <v>-12.443697499232712</v>
      </c>
      <c r="DH700">
        <f t="shared" si="494"/>
        <v>84.93</v>
      </c>
      <c r="DK700">
        <f t="shared" si="495"/>
        <v>84.93</v>
      </c>
      <c r="DM700">
        <f t="shared" si="496"/>
        <v>84.93</v>
      </c>
      <c r="EY700" s="479">
        <f>VLOOKUP(B700,Literatuur!$A:$B,2,FALSE)</f>
        <v>18</v>
      </c>
      <c r="EZ700" t="str">
        <f t="shared" si="469"/>
        <v>Methylene chloride</v>
      </c>
      <c r="FA700" t="str">
        <f t="shared" si="470"/>
        <v>ClAlk</v>
      </c>
      <c r="FB700" t="str">
        <f t="shared" si="471"/>
        <v>HDPE</v>
      </c>
      <c r="FC700" t="str">
        <f t="shared" si="472"/>
        <v>Permeation</v>
      </c>
      <c r="FD700">
        <f t="shared" si="473"/>
        <v>293</v>
      </c>
      <c r="FE700" t="str">
        <f t="shared" si="474"/>
        <v>water</v>
      </c>
      <c r="FF700" t="str">
        <f t="shared" si="475"/>
        <v>measured 0.1</v>
      </c>
      <c r="FG700" s="408">
        <f t="shared" si="462"/>
        <v>5.0000000000000004E-6</v>
      </c>
      <c r="FH700" s="138">
        <f t="shared" si="476"/>
        <v>2.6580113966571126</v>
      </c>
      <c r="FI700" s="106" t="str">
        <f t="shared" si="463"/>
        <v>**</v>
      </c>
      <c r="FJ700" s="138">
        <f t="shared" si="477"/>
        <v>-12.443697499232712</v>
      </c>
      <c r="FK700" s="138">
        <f t="shared" si="455"/>
        <v>-12.142470529596061</v>
      </c>
    </row>
    <row r="701" spans="1:167" ht="12.75" hidden="1" customHeight="1" x14ac:dyDescent="0.2">
      <c r="A701">
        <v>666</v>
      </c>
      <c r="B701" t="s">
        <v>1817</v>
      </c>
      <c r="D701" s="4" t="s">
        <v>788</v>
      </c>
      <c r="E701">
        <v>405</v>
      </c>
      <c r="F701" t="str">
        <f>VLOOKUP(E701,CompDbase!B:L,4,FALSE)</f>
        <v>Trichloroethylene</v>
      </c>
      <c r="G701" s="95" t="str">
        <f>VLOOKUP(E701,CompDbase!B:M,12,FALSE)</f>
        <v>ClAlk</v>
      </c>
      <c r="H701" s="95">
        <f>VLOOKUP(E701,CompDbase!B:L,8,FALSE)</f>
        <v>131.4</v>
      </c>
      <c r="I701" s="95" t="e">
        <f>VLOOKUP(E701,CompDbase!B:L,11,FALSE)</f>
        <v>#DIV/0!</v>
      </c>
      <c r="J701" s="95">
        <f>VLOOKUP(E701,CompDbase!B:L,9,FALSE)</f>
        <v>1164.8441611748488</v>
      </c>
      <c r="K701" s="95">
        <f>VLOOKUP(E701,CompDbase!B:L,10,FALSE)</f>
        <v>2.61</v>
      </c>
      <c r="L701" s="4" t="s">
        <v>717</v>
      </c>
      <c r="O701" s="4" t="s">
        <v>1082</v>
      </c>
      <c r="P701">
        <v>293</v>
      </c>
      <c r="Q701" s="4" t="s">
        <v>1049</v>
      </c>
      <c r="R701" s="289" t="s">
        <v>1982</v>
      </c>
      <c r="S701">
        <v>0.01</v>
      </c>
      <c r="T701" s="95">
        <f t="shared" si="441"/>
        <v>8.584839357321509E-6</v>
      </c>
      <c r="W701">
        <v>112</v>
      </c>
      <c r="X701" s="288">
        <f t="shared" si="448"/>
        <v>2.0492180226701815</v>
      </c>
      <c r="Y701">
        <v>4.0999999999999997E-13</v>
      </c>
      <c r="Z701" s="95">
        <f t="shared" si="443"/>
        <v>-12.387216143280265</v>
      </c>
      <c r="AA701" s="95">
        <f t="shared" si="449"/>
        <v>4.5919999999999995E-11</v>
      </c>
      <c r="AB701" s="288">
        <f t="shared" si="450"/>
        <v>-10.337998120610083</v>
      </c>
      <c r="AC701" s="95">
        <v>1</v>
      </c>
      <c r="AD701" s="95">
        <v>1</v>
      </c>
      <c r="AG701" s="138">
        <f t="shared" si="451"/>
        <v>2.0492180226701815</v>
      </c>
      <c r="AH701">
        <f t="shared" si="452"/>
        <v>2.61</v>
      </c>
      <c r="BW701" s="138"/>
      <c r="BX701">
        <f t="shared" si="454"/>
        <v>3.0662678271054604</v>
      </c>
      <c r="EY701" s="479">
        <f>VLOOKUP(B701,Literatuur!$A:$B,2,FALSE)</f>
        <v>18</v>
      </c>
      <c r="EZ701" t="str">
        <f t="shared" si="469"/>
        <v>Trichlorethylene</v>
      </c>
      <c r="FA701" t="str">
        <f t="shared" si="470"/>
        <v>ClAlk</v>
      </c>
      <c r="FB701" t="str">
        <f t="shared" si="471"/>
        <v>HDPE</v>
      </c>
      <c r="FC701" t="str">
        <f t="shared" si="472"/>
        <v>Permeation</v>
      </c>
      <c r="FD701">
        <f t="shared" si="473"/>
        <v>293</v>
      </c>
      <c r="FE701" t="str">
        <f t="shared" si="474"/>
        <v>water</v>
      </c>
      <c r="FF701" t="str">
        <f t="shared" si="475"/>
        <v>measured 0.01</v>
      </c>
      <c r="FG701" s="408">
        <f t="shared" si="462"/>
        <v>8.584839357321509E-6</v>
      </c>
      <c r="FH701" s="138">
        <f t="shared" si="476"/>
        <v>2.0492180226701815</v>
      </c>
      <c r="FI701" s="106" t="str">
        <f t="shared" si="463"/>
        <v>**</v>
      </c>
      <c r="FJ701" s="138">
        <f t="shared" si="477"/>
        <v>-12.387216143280265</v>
      </c>
      <c r="FK701" s="138" t="str">
        <f t="shared" si="455"/>
        <v>**</v>
      </c>
    </row>
    <row r="702" spans="1:167" ht="12.75" hidden="1" customHeight="1" x14ac:dyDescent="0.2">
      <c r="A702">
        <v>667</v>
      </c>
      <c r="B702" t="s">
        <v>1817</v>
      </c>
      <c r="D702" s="4" t="s">
        <v>788</v>
      </c>
      <c r="E702">
        <v>405</v>
      </c>
      <c r="F702" t="str">
        <f>VLOOKUP(E702,CompDbase!B:L,4,FALSE)</f>
        <v>Trichloroethylene</v>
      </c>
      <c r="G702" s="95" t="str">
        <f>VLOOKUP(E702,CompDbase!B:M,12,FALSE)</f>
        <v>ClAlk</v>
      </c>
      <c r="H702" s="95">
        <f>VLOOKUP(E702,CompDbase!B:L,8,FALSE)</f>
        <v>131.4</v>
      </c>
      <c r="I702" s="95" t="e">
        <f>VLOOKUP(E702,CompDbase!B:L,11,FALSE)</f>
        <v>#DIV/0!</v>
      </c>
      <c r="J702" s="95">
        <f>VLOOKUP(E702,CompDbase!B:L,9,FALSE)</f>
        <v>1164.8441611748488</v>
      </c>
      <c r="K702" s="95">
        <f>VLOOKUP(E702,CompDbase!B:L,10,FALSE)</f>
        <v>2.61</v>
      </c>
      <c r="L702" s="4" t="s">
        <v>717</v>
      </c>
      <c r="M702" s="423"/>
      <c r="N702" s="423"/>
      <c r="O702" s="4" t="s">
        <v>1082</v>
      </c>
      <c r="P702">
        <v>293</v>
      </c>
      <c r="Q702" s="4" t="s">
        <v>1049</v>
      </c>
      <c r="R702" s="289" t="s">
        <v>1982</v>
      </c>
      <c r="S702">
        <v>0.05</v>
      </c>
      <c r="T702" s="95">
        <f t="shared" si="441"/>
        <v>4.2924196786607542E-5</v>
      </c>
      <c r="W702">
        <v>113</v>
      </c>
      <c r="X702" s="288">
        <f t="shared" si="448"/>
        <v>2.0530784434834195</v>
      </c>
      <c r="Y702">
        <v>4.7000000000000012E-13</v>
      </c>
      <c r="Z702" s="95">
        <f t="shared" si="443"/>
        <v>-12.327902142064282</v>
      </c>
      <c r="AA702" s="95">
        <f t="shared" si="449"/>
        <v>5.3110000000000011E-11</v>
      </c>
      <c r="AB702" s="288">
        <f t="shared" si="450"/>
        <v>-10.274823698580862</v>
      </c>
      <c r="AC702" s="95"/>
      <c r="AD702" s="95"/>
      <c r="AG702" s="138">
        <f t="shared" si="451"/>
        <v>2.0530784434834195</v>
      </c>
      <c r="AH702">
        <f t="shared" si="452"/>
        <v>2.61</v>
      </c>
      <c r="AK702">
        <f t="shared" si="490"/>
        <v>2.61</v>
      </c>
      <c r="BW702" s="138"/>
      <c r="BX702">
        <f t="shared" si="454"/>
        <v>3.0662678271054604</v>
      </c>
      <c r="CA702">
        <f>LOG(1*$J702)</f>
        <v>3.0662678271054604</v>
      </c>
      <c r="DG702">
        <f t="shared" ref="DG702:DG703" si="497">Z702</f>
        <v>-12.327902142064282</v>
      </c>
      <c r="DH702">
        <f t="shared" ref="DH702:DH703" si="498">$H702</f>
        <v>131.4</v>
      </c>
      <c r="DK702">
        <f t="shared" ref="DK702:DK703" si="499">$H702</f>
        <v>131.4</v>
      </c>
      <c r="DM702">
        <f t="shared" ref="DM702:DM703" si="500">$H702</f>
        <v>131.4</v>
      </c>
      <c r="EY702" s="479">
        <f>VLOOKUP(B702,Literatuur!$A:$B,2,FALSE)</f>
        <v>18</v>
      </c>
      <c r="EZ702" t="str">
        <f t="shared" si="469"/>
        <v>Trichlorethylene</v>
      </c>
      <c r="FA702" t="str">
        <f t="shared" si="470"/>
        <v>ClAlk</v>
      </c>
      <c r="FB702" t="str">
        <f t="shared" si="471"/>
        <v>HDPE</v>
      </c>
      <c r="FC702" t="str">
        <f t="shared" si="472"/>
        <v>Permeation</v>
      </c>
      <c r="FD702">
        <f t="shared" si="473"/>
        <v>293</v>
      </c>
      <c r="FE702" t="str">
        <f t="shared" si="474"/>
        <v>water</v>
      </c>
      <c r="FF702" t="str">
        <f t="shared" si="475"/>
        <v>measured 0.05</v>
      </c>
      <c r="FG702" s="408">
        <f t="shared" si="462"/>
        <v>4.2924196786607542E-5</v>
      </c>
      <c r="FH702" s="138">
        <f t="shared" si="476"/>
        <v>2.0530784434834195</v>
      </c>
      <c r="FI702" s="106" t="str">
        <f t="shared" si="463"/>
        <v>**</v>
      </c>
      <c r="FJ702" s="138">
        <f t="shared" si="477"/>
        <v>-12.327902142064282</v>
      </c>
      <c r="FK702" s="138">
        <f t="shared" si="455"/>
        <v>-12.664526312706865</v>
      </c>
    </row>
    <row r="703" spans="1:167" s="9" customFormat="1" ht="12.75" hidden="1" customHeight="1" x14ac:dyDescent="0.2">
      <c r="A703">
        <v>668</v>
      </c>
      <c r="B703" s="9" t="s">
        <v>1817</v>
      </c>
      <c r="D703" s="10" t="s">
        <v>788</v>
      </c>
      <c r="E703" s="9">
        <v>405</v>
      </c>
      <c r="F703" s="9" t="str">
        <f>VLOOKUP(E703,CompDbase!B:L,4,FALSE)</f>
        <v>Trichloroethylene</v>
      </c>
      <c r="G703" s="181" t="str">
        <f>VLOOKUP(E703,CompDbase!B:M,12,FALSE)</f>
        <v>ClAlk</v>
      </c>
      <c r="H703" s="181">
        <f>VLOOKUP(E703,CompDbase!B:L,8,FALSE)</f>
        <v>131.4</v>
      </c>
      <c r="I703" s="181" t="e">
        <f>VLOOKUP(E703,CompDbase!B:L,11,FALSE)</f>
        <v>#DIV/0!</v>
      </c>
      <c r="J703" s="181">
        <f>VLOOKUP(E703,CompDbase!B:L,9,FALSE)</f>
        <v>1164.8441611748488</v>
      </c>
      <c r="K703" s="181">
        <f>VLOOKUP(E703,CompDbase!B:L,10,FALSE)</f>
        <v>2.61</v>
      </c>
      <c r="L703" s="10" t="s">
        <v>717</v>
      </c>
      <c r="M703" s="425"/>
      <c r="N703" s="425"/>
      <c r="O703" s="10" t="s">
        <v>1082</v>
      </c>
      <c r="P703" s="9">
        <v>293</v>
      </c>
      <c r="Q703" s="10" t="s">
        <v>1049</v>
      </c>
      <c r="R703" s="393" t="s">
        <v>1982</v>
      </c>
      <c r="S703" s="9">
        <v>0.1</v>
      </c>
      <c r="T703" s="181">
        <f t="shared" si="441"/>
        <v>8.5848393573215084E-5</v>
      </c>
      <c r="W703" s="9">
        <v>113</v>
      </c>
      <c r="X703" s="316">
        <f t="shared" si="448"/>
        <v>2.0530784434834195</v>
      </c>
      <c r="Y703" s="9">
        <v>6.6000000000000012E-13</v>
      </c>
      <c r="Z703" s="181">
        <f t="shared" si="443"/>
        <v>-12.180456064458131</v>
      </c>
      <c r="AA703" s="181">
        <f t="shared" si="449"/>
        <v>7.4580000000000015E-11</v>
      </c>
      <c r="AB703" s="316">
        <f t="shared" si="450"/>
        <v>-10.127377620974711</v>
      </c>
      <c r="AC703" s="181" t="s">
        <v>68</v>
      </c>
      <c r="AD703" s="181"/>
      <c r="AG703" s="138">
        <f t="shared" si="451"/>
        <v>2.0530784434834195</v>
      </c>
      <c r="AH703">
        <f t="shared" si="452"/>
        <v>2.61</v>
      </c>
      <c r="AK703">
        <f t="shared" si="490"/>
        <v>2.61</v>
      </c>
      <c r="AL703"/>
      <c r="AM703"/>
      <c r="AN703"/>
      <c r="BW703" s="138"/>
      <c r="BX703">
        <f t="shared" si="454"/>
        <v>3.0662678271054604</v>
      </c>
      <c r="CA703">
        <f>LOG(1*$J703)</f>
        <v>3.0662678271054604</v>
      </c>
      <c r="CB703"/>
      <c r="CC703"/>
      <c r="CD703"/>
      <c r="DF703"/>
      <c r="DG703">
        <f t="shared" si="497"/>
        <v>-12.180456064458131</v>
      </c>
      <c r="DH703">
        <f t="shared" si="498"/>
        <v>131.4</v>
      </c>
      <c r="DK703">
        <f t="shared" si="499"/>
        <v>131.4</v>
      </c>
      <c r="DL703"/>
      <c r="DM703">
        <f t="shared" si="500"/>
        <v>131.4</v>
      </c>
      <c r="DN703"/>
      <c r="DO703"/>
      <c r="DP703"/>
      <c r="EY703" s="479">
        <f>VLOOKUP(B703,Literatuur!$A:$B,2,FALSE)</f>
        <v>18</v>
      </c>
      <c r="EZ703" t="str">
        <f t="shared" si="469"/>
        <v>Trichlorethylene</v>
      </c>
      <c r="FA703" t="str">
        <f t="shared" si="470"/>
        <v>ClAlk</v>
      </c>
      <c r="FB703" t="str">
        <f t="shared" si="471"/>
        <v>HDPE</v>
      </c>
      <c r="FC703" t="str">
        <f t="shared" si="472"/>
        <v>Permeation</v>
      </c>
      <c r="FD703">
        <f t="shared" si="473"/>
        <v>293</v>
      </c>
      <c r="FE703" t="str">
        <f t="shared" si="474"/>
        <v>water</v>
      </c>
      <c r="FF703" t="str">
        <f t="shared" si="475"/>
        <v>measured 0.1</v>
      </c>
      <c r="FG703" s="408">
        <f t="shared" si="462"/>
        <v>8.5848393573215084E-5</v>
      </c>
      <c r="FH703" s="138">
        <f t="shared" si="476"/>
        <v>2.0530784434834195</v>
      </c>
      <c r="FI703" s="106" t="str">
        <f t="shared" si="463"/>
        <v>**</v>
      </c>
      <c r="FJ703" s="138">
        <f t="shared" si="477"/>
        <v>-12.180456064458131</v>
      </c>
      <c r="FK703" s="138">
        <f t="shared" si="455"/>
        <v>-12.664526312706865</v>
      </c>
    </row>
    <row r="704" spans="1:167" ht="12.75" hidden="1" customHeight="1" x14ac:dyDescent="0.2">
      <c r="A704">
        <v>669</v>
      </c>
      <c r="B704" t="s">
        <v>1231</v>
      </c>
      <c r="D704" s="4" t="s">
        <v>760</v>
      </c>
      <c r="E704">
        <v>-402</v>
      </c>
      <c r="F704" t="str">
        <f>VLOOKUP(E704,CompDbase!B:L,4,FALSE)</f>
        <v>Dichloromethane</v>
      </c>
      <c r="G704" s="95" t="str">
        <f>VLOOKUP(E704,CompDbase!B:M,12,FALSE)</f>
        <v>ClAlk</v>
      </c>
      <c r="H704" s="95">
        <f>VLOOKUP(E704,CompDbase!B:L,8,FALSE)</f>
        <v>84.93</v>
      </c>
      <c r="I704" s="95">
        <f>VLOOKUP(E704,CompDbase!B:L,11,FALSE)</f>
        <v>64.5</v>
      </c>
      <c r="J704" s="95">
        <f>VLOOKUP(E704,CompDbase!B:L,9,FALSE)</f>
        <v>20000</v>
      </c>
      <c r="K704" s="95">
        <f>VLOOKUP(E704,CompDbase!B:L,10,FALSE)</f>
        <v>1.25</v>
      </c>
      <c r="L704" s="4" t="s">
        <v>717</v>
      </c>
      <c r="M704" s="420">
        <v>940000</v>
      </c>
      <c r="N704" s="420"/>
      <c r="O704" s="4" t="s">
        <v>1044</v>
      </c>
      <c r="P704">
        <v>293</v>
      </c>
      <c r="Q704" s="4" t="s">
        <v>1049</v>
      </c>
      <c r="S704">
        <v>1.1000000000000001</v>
      </c>
      <c r="T704" s="95">
        <f t="shared" si="441"/>
        <v>5.5000000000000002E-5</v>
      </c>
      <c r="W704">
        <v>2.85</v>
      </c>
      <c r="X704" s="288">
        <f t="shared" si="448"/>
        <v>0.45484486000851021</v>
      </c>
      <c r="Y704">
        <v>5.83E-12</v>
      </c>
      <c r="Z704" s="95">
        <f t="shared" si="443"/>
        <v>-11.234331445240986</v>
      </c>
      <c r="AA704" s="95">
        <f t="shared" si="449"/>
        <v>1.66155E-11</v>
      </c>
      <c r="AB704" s="288">
        <f t="shared" si="450"/>
        <v>-10.779486585232476</v>
      </c>
      <c r="AC704" s="95">
        <v>1</v>
      </c>
      <c r="AD704" s="95">
        <v>1</v>
      </c>
      <c r="AG704" s="138">
        <f t="shared" si="451"/>
        <v>0.45484486000851021</v>
      </c>
      <c r="AH704">
        <f t="shared" si="452"/>
        <v>1.25</v>
      </c>
      <c r="BW704" s="138"/>
      <c r="BX704">
        <f t="shared" si="454"/>
        <v>4.3010299956639813</v>
      </c>
      <c r="EY704" s="479">
        <f>VLOOKUP(B704,Literatuur!$A:$B,2,FALSE)</f>
        <v>19</v>
      </c>
      <c r="EZ704" t="str">
        <f t="shared" si="469"/>
        <v>Metheylene chloride</v>
      </c>
      <c r="FA704" t="str">
        <f t="shared" si="470"/>
        <v>ClAlk</v>
      </c>
      <c r="FB704" t="str">
        <f t="shared" si="471"/>
        <v>HDPE</v>
      </c>
      <c r="FC704" t="str">
        <f t="shared" si="472"/>
        <v>Immersion</v>
      </c>
      <c r="FD704">
        <f t="shared" si="473"/>
        <v>293</v>
      </c>
      <c r="FE704" t="str">
        <f t="shared" si="474"/>
        <v>water</v>
      </c>
      <c r="FF704" t="str">
        <f t="shared" si="475"/>
        <v xml:space="preserve"> 1.1</v>
      </c>
      <c r="FG704" s="408">
        <f t="shared" si="462"/>
        <v>5.5000000000000002E-5</v>
      </c>
      <c r="FH704" s="138">
        <f t="shared" si="476"/>
        <v>0.45484486000851021</v>
      </c>
      <c r="FI704" s="106" t="str">
        <f t="shared" si="463"/>
        <v>**</v>
      </c>
      <c r="FJ704" s="138">
        <f t="shared" si="477"/>
        <v>-11.234331445240986</v>
      </c>
      <c r="FK704" s="138" t="str">
        <f t="shared" si="455"/>
        <v>**</v>
      </c>
    </row>
    <row r="705" spans="1:167" ht="12.75" hidden="1" customHeight="1" x14ac:dyDescent="0.2">
      <c r="A705">
        <v>670</v>
      </c>
      <c r="B705" t="s">
        <v>1231</v>
      </c>
      <c r="D705" s="4" t="s">
        <v>760</v>
      </c>
      <c r="E705">
        <v>-402</v>
      </c>
      <c r="F705" t="str">
        <f>VLOOKUP(E705,CompDbase!B:L,4,FALSE)</f>
        <v>Dichloromethane</v>
      </c>
      <c r="G705" s="95" t="str">
        <f>VLOOKUP(E705,CompDbase!B:M,12,FALSE)</f>
        <v>ClAlk</v>
      </c>
      <c r="H705" s="95">
        <f>VLOOKUP(E705,CompDbase!B:L,8,FALSE)</f>
        <v>84.93</v>
      </c>
      <c r="I705" s="95">
        <f>VLOOKUP(E705,CompDbase!B:L,11,FALSE)</f>
        <v>64.5</v>
      </c>
      <c r="J705" s="95">
        <f>VLOOKUP(E705,CompDbase!B:L,9,FALSE)</f>
        <v>20000</v>
      </c>
      <c r="K705" s="95">
        <f>VLOOKUP(E705,CompDbase!B:L,10,FALSE)</f>
        <v>1.25</v>
      </c>
      <c r="L705" s="4" t="s">
        <v>717</v>
      </c>
      <c r="M705" s="420">
        <v>940000</v>
      </c>
      <c r="N705" s="420"/>
      <c r="O705" s="4" t="s">
        <v>1044</v>
      </c>
      <c r="P705">
        <v>293</v>
      </c>
      <c r="Q705" s="4" t="s">
        <v>1049</v>
      </c>
      <c r="S705">
        <v>6.6</v>
      </c>
      <c r="T705" s="95">
        <f t="shared" si="441"/>
        <v>3.3E-4</v>
      </c>
      <c r="W705">
        <v>1.77</v>
      </c>
      <c r="X705" s="288">
        <f t="shared" si="448"/>
        <v>0.24797326636180664</v>
      </c>
      <c r="Y705">
        <v>1.1699999999999999E-11</v>
      </c>
      <c r="Z705" s="95">
        <f t="shared" si="443"/>
        <v>-10.931814138253838</v>
      </c>
      <c r="AA705" s="95">
        <f t="shared" si="449"/>
        <v>2.0709E-11</v>
      </c>
      <c r="AB705" s="288">
        <f t="shared" si="450"/>
        <v>-10.683840871892032</v>
      </c>
      <c r="AC705" s="95">
        <v>1</v>
      </c>
      <c r="AD705" s="95">
        <v>1</v>
      </c>
      <c r="AG705" s="138">
        <f t="shared" si="451"/>
        <v>0.24797326636180664</v>
      </c>
      <c r="AH705">
        <f t="shared" si="452"/>
        <v>1.25</v>
      </c>
      <c r="BW705" s="138"/>
      <c r="BX705">
        <f t="shared" si="454"/>
        <v>4.3010299956639813</v>
      </c>
      <c r="EY705" s="479">
        <f>VLOOKUP(B705,Literatuur!$A:$B,2,FALSE)</f>
        <v>19</v>
      </c>
      <c r="EZ705" t="str">
        <f t="shared" si="469"/>
        <v>Metheylene chloride</v>
      </c>
      <c r="FA705" t="str">
        <f t="shared" si="470"/>
        <v>ClAlk</v>
      </c>
      <c r="FB705" t="str">
        <f t="shared" si="471"/>
        <v>HDPE</v>
      </c>
      <c r="FC705" t="str">
        <f t="shared" si="472"/>
        <v>Immersion</v>
      </c>
      <c r="FD705">
        <f t="shared" si="473"/>
        <v>293</v>
      </c>
      <c r="FE705" t="str">
        <f t="shared" si="474"/>
        <v>water</v>
      </c>
      <c r="FF705" t="str">
        <f t="shared" si="475"/>
        <v xml:space="preserve"> 6.6</v>
      </c>
      <c r="FG705" s="408">
        <f t="shared" si="462"/>
        <v>3.3E-4</v>
      </c>
      <c r="FH705" s="138">
        <f t="shared" si="476"/>
        <v>0.24797326636180664</v>
      </c>
      <c r="FI705" s="106" t="str">
        <f t="shared" si="463"/>
        <v>**</v>
      </c>
      <c r="FJ705" s="138">
        <f t="shared" si="477"/>
        <v>-10.931814138253838</v>
      </c>
      <c r="FK705" s="138" t="str">
        <f t="shared" si="455"/>
        <v>**</v>
      </c>
    </row>
    <row r="706" spans="1:167" ht="12.75" hidden="1" customHeight="1" x14ac:dyDescent="0.2">
      <c r="A706">
        <v>671</v>
      </c>
      <c r="B706" t="s">
        <v>1231</v>
      </c>
      <c r="D706" s="4" t="s">
        <v>760</v>
      </c>
      <c r="E706">
        <v>-402</v>
      </c>
      <c r="F706" t="str">
        <f>VLOOKUP(E706,CompDbase!B:L,4,FALSE)</f>
        <v>Dichloromethane</v>
      </c>
      <c r="G706" s="95" t="str">
        <f>VLOOKUP(E706,CompDbase!B:M,12,FALSE)</f>
        <v>ClAlk</v>
      </c>
      <c r="H706" s="95">
        <f>VLOOKUP(E706,CompDbase!B:L,8,FALSE)</f>
        <v>84.93</v>
      </c>
      <c r="I706" s="95">
        <f>VLOOKUP(E706,CompDbase!B:L,11,FALSE)</f>
        <v>64.5</v>
      </c>
      <c r="J706" s="95">
        <f>VLOOKUP(E706,CompDbase!B:L,9,FALSE)</f>
        <v>20000</v>
      </c>
      <c r="K706" s="95">
        <f>VLOOKUP(E706,CompDbase!B:L,10,FALSE)</f>
        <v>1.25</v>
      </c>
      <c r="L706" s="4" t="s">
        <v>717</v>
      </c>
      <c r="M706" s="420">
        <v>940000</v>
      </c>
      <c r="N706" s="420"/>
      <c r="O706" s="4" t="s">
        <v>1044</v>
      </c>
      <c r="P706">
        <v>293</v>
      </c>
      <c r="Q706" s="4" t="s">
        <v>1049</v>
      </c>
      <c r="S706">
        <v>9.9</v>
      </c>
      <c r="T706" s="95">
        <f t="shared" si="441"/>
        <v>4.95E-4</v>
      </c>
      <c r="W706">
        <v>1.68</v>
      </c>
      <c r="X706" s="288">
        <f t="shared" si="448"/>
        <v>0.22530928172586284</v>
      </c>
      <c r="Y706">
        <v>1.97E-11</v>
      </c>
      <c r="Z706" s="95">
        <f t="shared" si="443"/>
        <v>-10.705533773838408</v>
      </c>
      <c r="AA706" s="95">
        <f t="shared" si="449"/>
        <v>3.3095999999999999E-11</v>
      </c>
      <c r="AB706" s="288">
        <f t="shared" si="450"/>
        <v>-10.480224492112544</v>
      </c>
      <c r="AC706" s="95">
        <v>1</v>
      </c>
      <c r="AD706" s="95"/>
      <c r="AG706" s="138">
        <f t="shared" si="451"/>
        <v>0.22530928172586284</v>
      </c>
      <c r="AH706">
        <f t="shared" si="452"/>
        <v>1.25</v>
      </c>
      <c r="BW706" s="138"/>
      <c r="BX706">
        <f t="shared" si="454"/>
        <v>4.3010299956639813</v>
      </c>
      <c r="DG706">
        <f>Z706</f>
        <v>-10.705533773838408</v>
      </c>
      <c r="DH706">
        <f>$H706</f>
        <v>84.93</v>
      </c>
      <c r="DI706">
        <f t="shared" ref="DI706" si="501">$H706</f>
        <v>84.93</v>
      </c>
      <c r="EY706" s="479">
        <f>VLOOKUP(B706,Literatuur!$A:$B,2,FALSE)</f>
        <v>19</v>
      </c>
      <c r="EZ706" t="str">
        <f t="shared" si="469"/>
        <v>Metheylene chloride</v>
      </c>
      <c r="FA706" t="str">
        <f t="shared" si="470"/>
        <v>ClAlk</v>
      </c>
      <c r="FB706" t="str">
        <f t="shared" si="471"/>
        <v>HDPE</v>
      </c>
      <c r="FC706" t="str">
        <f t="shared" si="472"/>
        <v>Immersion</v>
      </c>
      <c r="FD706">
        <f t="shared" si="473"/>
        <v>293</v>
      </c>
      <c r="FE706" t="str">
        <f t="shared" si="474"/>
        <v>water</v>
      </c>
      <c r="FF706" t="str">
        <f t="shared" si="475"/>
        <v xml:space="preserve"> 9.9</v>
      </c>
      <c r="FG706" s="408">
        <f t="shared" si="462"/>
        <v>4.95E-4</v>
      </c>
      <c r="FH706" s="138">
        <f t="shared" si="476"/>
        <v>0.22530928172586284</v>
      </c>
      <c r="FI706" s="106" t="str">
        <f t="shared" si="463"/>
        <v>**</v>
      </c>
      <c r="FJ706" s="138">
        <f t="shared" si="477"/>
        <v>-10.705533773838408</v>
      </c>
      <c r="FK706" s="138" t="str">
        <f t="shared" si="455"/>
        <v>**</v>
      </c>
    </row>
    <row r="707" spans="1:167" ht="12.75" hidden="1" customHeight="1" x14ac:dyDescent="0.2">
      <c r="A707">
        <v>672</v>
      </c>
      <c r="B707" t="s">
        <v>1231</v>
      </c>
      <c r="D707" s="4" t="s">
        <v>760</v>
      </c>
      <c r="E707">
        <v>-402</v>
      </c>
      <c r="F707" t="str">
        <f>VLOOKUP(E707,CompDbase!B:L,4,FALSE)</f>
        <v>Dichloromethane</v>
      </c>
      <c r="G707" s="95" t="str">
        <f>VLOOKUP(E707,CompDbase!B:M,12,FALSE)</f>
        <v>ClAlk</v>
      </c>
      <c r="H707" s="95">
        <f>VLOOKUP(E707,CompDbase!B:L,8,FALSE)</f>
        <v>84.93</v>
      </c>
      <c r="I707" s="95">
        <f>VLOOKUP(E707,CompDbase!B:L,11,FALSE)</f>
        <v>64.5</v>
      </c>
      <c r="J707" s="95">
        <f>VLOOKUP(E707,CompDbase!B:L,9,FALSE)</f>
        <v>20000</v>
      </c>
      <c r="K707" s="95">
        <f>VLOOKUP(E707,CompDbase!B:L,10,FALSE)</f>
        <v>1.25</v>
      </c>
      <c r="L707" s="4" t="s">
        <v>717</v>
      </c>
      <c r="M707" s="420">
        <v>940000</v>
      </c>
      <c r="N707" s="420"/>
      <c r="O707" s="4" t="s">
        <v>1044</v>
      </c>
      <c r="P707">
        <v>293</v>
      </c>
      <c r="Q707" s="4" t="s">
        <v>1049</v>
      </c>
      <c r="S707">
        <v>13.2</v>
      </c>
      <c r="T707" s="95">
        <f t="shared" si="441"/>
        <v>6.6E-4</v>
      </c>
      <c r="W707">
        <v>2.0099999999999998</v>
      </c>
      <c r="X707" s="288">
        <f t="shared" si="448"/>
        <v>0.30319605742048883</v>
      </c>
      <c r="Y707">
        <v>1.5800000000000003E-11</v>
      </c>
      <c r="Z707" s="95">
        <f t="shared" si="443"/>
        <v>-10.801342913045577</v>
      </c>
      <c r="AA707" s="95">
        <f t="shared" si="449"/>
        <v>3.1758000000000004E-11</v>
      </c>
      <c r="AB707" s="288">
        <f t="shared" si="450"/>
        <v>-10.498146855625089</v>
      </c>
      <c r="AC707" s="95">
        <v>1</v>
      </c>
      <c r="AD707" s="95">
        <v>1</v>
      </c>
      <c r="AG707" s="138">
        <f t="shared" si="451"/>
        <v>0.30319605742048883</v>
      </c>
      <c r="AH707">
        <f t="shared" si="452"/>
        <v>1.25</v>
      </c>
      <c r="BW707" s="138"/>
      <c r="BX707">
        <f t="shared" si="454"/>
        <v>4.3010299956639813</v>
      </c>
      <c r="EY707" s="479">
        <f>VLOOKUP(B707,Literatuur!$A:$B,2,FALSE)</f>
        <v>19</v>
      </c>
      <c r="EZ707" t="str">
        <f t="shared" si="469"/>
        <v>Metheylene chloride</v>
      </c>
      <c r="FA707" t="str">
        <f t="shared" si="470"/>
        <v>ClAlk</v>
      </c>
      <c r="FB707" t="str">
        <f t="shared" si="471"/>
        <v>HDPE</v>
      </c>
      <c r="FC707" t="str">
        <f t="shared" si="472"/>
        <v>Immersion</v>
      </c>
      <c r="FD707">
        <f t="shared" si="473"/>
        <v>293</v>
      </c>
      <c r="FE707" t="str">
        <f t="shared" si="474"/>
        <v>water</v>
      </c>
      <c r="FF707" t="str">
        <f t="shared" si="475"/>
        <v xml:space="preserve"> 13.2</v>
      </c>
      <c r="FG707" s="408">
        <f t="shared" si="462"/>
        <v>6.6E-4</v>
      </c>
      <c r="FH707" s="138">
        <f t="shared" si="476"/>
        <v>0.30319605742048883</v>
      </c>
      <c r="FI707" s="106" t="str">
        <f t="shared" si="463"/>
        <v>**</v>
      </c>
      <c r="FJ707" s="138">
        <f t="shared" si="477"/>
        <v>-10.801342913045577</v>
      </c>
      <c r="FK707" s="138" t="str">
        <f t="shared" si="455"/>
        <v>**</v>
      </c>
    </row>
    <row r="708" spans="1:167" ht="12.75" hidden="1" customHeight="1" x14ac:dyDescent="0.2">
      <c r="A708">
        <v>673</v>
      </c>
      <c r="B708" t="s">
        <v>1231</v>
      </c>
      <c r="D708" s="4" t="s">
        <v>760</v>
      </c>
      <c r="E708">
        <v>-402</v>
      </c>
      <c r="F708" t="str">
        <f>VLOOKUP(E708,CompDbase!B:L,4,FALSE)</f>
        <v>Dichloromethane</v>
      </c>
      <c r="G708" s="95" t="str">
        <f>VLOOKUP(E708,CompDbase!B:M,12,FALSE)</f>
        <v>ClAlk</v>
      </c>
      <c r="H708" s="95">
        <f>VLOOKUP(E708,CompDbase!B:L,8,FALSE)</f>
        <v>84.93</v>
      </c>
      <c r="I708" s="95">
        <f>VLOOKUP(E708,CompDbase!B:L,11,FALSE)</f>
        <v>64.5</v>
      </c>
      <c r="J708" s="95">
        <f>VLOOKUP(E708,CompDbase!B:L,9,FALSE)</f>
        <v>20000</v>
      </c>
      <c r="K708" s="95">
        <f>VLOOKUP(E708,CompDbase!B:L,10,FALSE)</f>
        <v>1.25</v>
      </c>
      <c r="L708" s="4" t="s">
        <v>717</v>
      </c>
      <c r="M708" s="420">
        <v>940000</v>
      </c>
      <c r="N708" s="420"/>
      <c r="O708" s="4" t="s">
        <v>1044</v>
      </c>
      <c r="P708">
        <v>293</v>
      </c>
      <c r="Q708" s="4" t="s">
        <v>1049</v>
      </c>
      <c r="S708">
        <v>19.690000000000001</v>
      </c>
      <c r="T708" s="95">
        <f t="shared" si="441"/>
        <v>9.8450000000000013E-4</v>
      </c>
      <c r="W708">
        <v>2.36</v>
      </c>
      <c r="X708" s="288">
        <f t="shared" si="448"/>
        <v>0.37291200297010657</v>
      </c>
      <c r="Y708">
        <v>2.2800000000000001E-11</v>
      </c>
      <c r="Z708" s="95">
        <f t="shared" si="443"/>
        <v>-10.642065152999546</v>
      </c>
      <c r="AA708" s="95">
        <f t="shared" si="449"/>
        <v>5.3808000000000002E-11</v>
      </c>
      <c r="AB708" s="288">
        <f t="shared" si="450"/>
        <v>-10.269153150029439</v>
      </c>
      <c r="AC708" s="95">
        <v>1</v>
      </c>
      <c r="AD708" s="95">
        <v>1</v>
      </c>
      <c r="AG708" s="138">
        <f t="shared" si="451"/>
        <v>0.37291200297010657</v>
      </c>
      <c r="AH708">
        <f t="shared" si="452"/>
        <v>1.25</v>
      </c>
      <c r="BW708" s="138"/>
      <c r="BX708">
        <f t="shared" si="454"/>
        <v>4.3010299956639813</v>
      </c>
      <c r="EY708" s="479">
        <f>VLOOKUP(B708,Literatuur!$A:$B,2,FALSE)</f>
        <v>19</v>
      </c>
      <c r="EZ708" t="str">
        <f t="shared" si="469"/>
        <v>Metheylene chloride</v>
      </c>
      <c r="FA708" t="str">
        <f t="shared" si="470"/>
        <v>ClAlk</v>
      </c>
      <c r="FB708" t="str">
        <f t="shared" si="471"/>
        <v>HDPE</v>
      </c>
      <c r="FC708" t="str">
        <f t="shared" si="472"/>
        <v>Immersion</v>
      </c>
      <c r="FD708">
        <f t="shared" si="473"/>
        <v>293</v>
      </c>
      <c r="FE708" t="str">
        <f t="shared" si="474"/>
        <v>water</v>
      </c>
      <c r="FF708" t="str">
        <f t="shared" si="475"/>
        <v xml:space="preserve"> 19.69</v>
      </c>
      <c r="FG708" s="408">
        <f t="shared" si="462"/>
        <v>9.8450000000000013E-4</v>
      </c>
      <c r="FH708" s="138">
        <f t="shared" si="476"/>
        <v>0.37291200297010657</v>
      </c>
      <c r="FI708" s="106" t="str">
        <f t="shared" si="463"/>
        <v>**</v>
      </c>
      <c r="FJ708" s="138">
        <f t="shared" si="477"/>
        <v>-10.642065152999546</v>
      </c>
      <c r="FK708" s="138" t="str">
        <f t="shared" si="455"/>
        <v>**</v>
      </c>
    </row>
    <row r="709" spans="1:167" ht="12.75" hidden="1" customHeight="1" x14ac:dyDescent="0.2">
      <c r="A709">
        <v>674</v>
      </c>
      <c r="B709" t="s">
        <v>1231</v>
      </c>
      <c r="D709" s="4" t="s">
        <v>760</v>
      </c>
      <c r="E709">
        <v>-402</v>
      </c>
      <c r="F709" t="str">
        <f>VLOOKUP(E709,CompDbase!B:L,4,FALSE)</f>
        <v>Dichloromethane</v>
      </c>
      <c r="G709" s="95" t="str">
        <f>VLOOKUP(E709,CompDbase!B:M,12,FALSE)</f>
        <v>ClAlk</v>
      </c>
      <c r="H709" s="95">
        <f>VLOOKUP(E709,CompDbase!B:L,8,FALSE)</f>
        <v>84.93</v>
      </c>
      <c r="I709" s="95">
        <f>VLOOKUP(E709,CompDbase!B:L,11,FALSE)</f>
        <v>64.5</v>
      </c>
      <c r="J709" s="95">
        <f>VLOOKUP(E709,CompDbase!B:L,9,FALSE)</f>
        <v>20000</v>
      </c>
      <c r="K709" s="95">
        <f>VLOOKUP(E709,CompDbase!B:L,10,FALSE)</f>
        <v>1.25</v>
      </c>
      <c r="L709" s="4" t="s">
        <v>717</v>
      </c>
      <c r="M709" s="420">
        <v>940000</v>
      </c>
      <c r="N709" s="420"/>
      <c r="O709" s="4" t="s">
        <v>1044</v>
      </c>
      <c r="P709">
        <v>293</v>
      </c>
      <c r="Q709" s="4" t="s">
        <v>1049</v>
      </c>
      <c r="T709" s="95">
        <v>1</v>
      </c>
      <c r="V709">
        <v>8.4099999999999994E-2</v>
      </c>
      <c r="W709" s="95">
        <f>V709*M709/J709</f>
        <v>3.9527000000000001</v>
      </c>
      <c r="X709" s="288">
        <f t="shared" si="448"/>
        <v>0.59689385373362969</v>
      </c>
      <c r="Y709">
        <v>4.6599999999999999E-12</v>
      </c>
      <c r="Z709" s="95">
        <f t="shared" si="443"/>
        <v>-11.331614083309999</v>
      </c>
      <c r="AA709" s="95">
        <f t="shared" si="449"/>
        <v>1.8419582000000001E-11</v>
      </c>
      <c r="AB709" s="288">
        <f t="shared" si="450"/>
        <v>-10.73472022957637</v>
      </c>
      <c r="AC709" s="95" t="s">
        <v>68</v>
      </c>
      <c r="AD709" s="95">
        <v>1</v>
      </c>
      <c r="AG709" s="138">
        <f t="shared" si="451"/>
        <v>0.59689385373362969</v>
      </c>
      <c r="AH709">
        <f t="shared" si="452"/>
        <v>1.25</v>
      </c>
      <c r="AI709">
        <f t="shared" si="452"/>
        <v>1.25</v>
      </c>
      <c r="AL709">
        <f t="shared" ref="AL709" si="502">$K709</f>
        <v>1.25</v>
      </c>
      <c r="AO709">
        <f t="shared" ref="AO709" si="503">$K709</f>
        <v>1.25</v>
      </c>
      <c r="BW709" s="138"/>
      <c r="BX709">
        <f t="shared" si="454"/>
        <v>4.3010299956639813</v>
      </c>
      <c r="BY709">
        <f>LOG(1*$J709)</f>
        <v>4.3010299956639813</v>
      </c>
      <c r="CB709">
        <f>LOG(1*$J709)</f>
        <v>4.3010299956639813</v>
      </c>
      <c r="CE709">
        <f>LOG(1*$J709)</f>
        <v>4.3010299956639813</v>
      </c>
      <c r="EY709" s="479">
        <f>VLOOKUP(B709,Literatuur!$A:$B,2,FALSE)</f>
        <v>19</v>
      </c>
      <c r="EZ709" t="str">
        <f t="shared" si="469"/>
        <v>Metheylene chloride</v>
      </c>
      <c r="FA709" t="str">
        <f t="shared" si="470"/>
        <v>ClAlk</v>
      </c>
      <c r="FB709" t="str">
        <f t="shared" si="471"/>
        <v>HDPE</v>
      </c>
      <c r="FC709" t="str">
        <f t="shared" si="472"/>
        <v>Immersion</v>
      </c>
      <c r="FD709">
        <f t="shared" si="473"/>
        <v>293</v>
      </c>
      <c r="FE709" t="str">
        <f t="shared" si="474"/>
        <v>water</v>
      </c>
      <c r="FF709" t="str">
        <f t="shared" si="475"/>
        <v xml:space="preserve"> </v>
      </c>
      <c r="FG709" s="408">
        <f t="shared" si="462"/>
        <v>1</v>
      </c>
      <c r="FH709" s="138">
        <f t="shared" si="476"/>
        <v>0.59689385373362969</v>
      </c>
      <c r="FI709" s="106">
        <f t="shared" si="463"/>
        <v>4.8661379824054052E-2</v>
      </c>
      <c r="FJ709" s="138">
        <f t="shared" si="477"/>
        <v>-11.331614083309999</v>
      </c>
      <c r="FK709" s="138" t="str">
        <f t="shared" si="455"/>
        <v>**</v>
      </c>
    </row>
    <row r="710" spans="1:167" ht="12.75" hidden="1" customHeight="1" x14ac:dyDescent="0.2">
      <c r="A710">
        <v>675</v>
      </c>
      <c r="B710" t="s">
        <v>1231</v>
      </c>
      <c r="D710" s="4" t="s">
        <v>540</v>
      </c>
      <c r="E710">
        <v>405</v>
      </c>
      <c r="F710" t="str">
        <f>VLOOKUP(E710,CompDbase!B:L,4,FALSE)</f>
        <v>Trichloroethylene</v>
      </c>
      <c r="G710" s="95" t="str">
        <f>VLOOKUP(E710,CompDbase!B:M,12,FALSE)</f>
        <v>ClAlk</v>
      </c>
      <c r="H710" s="95">
        <f>VLOOKUP(E710,CompDbase!B:L,8,FALSE)</f>
        <v>131.4</v>
      </c>
      <c r="I710" s="95" t="e">
        <f>VLOOKUP(E710,CompDbase!B:L,11,FALSE)</f>
        <v>#DIV/0!</v>
      </c>
      <c r="J710" s="95">
        <f>VLOOKUP(E710,CompDbase!B:L,9,FALSE)</f>
        <v>1164.8441611748488</v>
      </c>
      <c r="K710" s="95">
        <f>VLOOKUP(E710,CompDbase!B:L,10,FALSE)</f>
        <v>2.61</v>
      </c>
      <c r="L710" s="4" t="s">
        <v>717</v>
      </c>
      <c r="M710" s="420">
        <v>940000</v>
      </c>
      <c r="N710" s="420"/>
      <c r="O710" s="4" t="s">
        <v>1044</v>
      </c>
      <c r="P710">
        <v>293</v>
      </c>
      <c r="Q710" s="4" t="s">
        <v>1049</v>
      </c>
      <c r="R710" s="289" t="s">
        <v>1982</v>
      </c>
      <c r="S710">
        <v>4.8399999999999999E-2</v>
      </c>
      <c r="T710" s="95">
        <f>S710/J710</f>
        <v>4.1550622489436096E-5</v>
      </c>
      <c r="W710">
        <v>82.31</v>
      </c>
      <c r="X710" s="288">
        <f t="shared" si="448"/>
        <v>1.9154526016884788</v>
      </c>
      <c r="Y710">
        <v>4.4400000000000013E-12</v>
      </c>
      <c r="Z710" s="95">
        <f t="shared" si="443"/>
        <v>-11.35261702988538</v>
      </c>
      <c r="AA710" s="95">
        <f t="shared" si="449"/>
        <v>3.6545640000000009E-10</v>
      </c>
      <c r="AB710" s="288">
        <f t="shared" si="450"/>
        <v>-9.4371644281969012</v>
      </c>
      <c r="AC710" s="95">
        <v>1</v>
      </c>
      <c r="AD710" s="95">
        <v>1</v>
      </c>
      <c r="AG710" s="138">
        <f t="shared" si="451"/>
        <v>1.9154526016884788</v>
      </c>
      <c r="AH710">
        <f t="shared" si="452"/>
        <v>2.61</v>
      </c>
      <c r="BW710" s="138"/>
      <c r="BX710">
        <f t="shared" si="454"/>
        <v>3.0662678271054604</v>
      </c>
      <c r="EY710" s="479">
        <f>VLOOKUP(B710,Literatuur!$A:$B,2,FALSE)</f>
        <v>19</v>
      </c>
      <c r="EZ710" t="str">
        <f t="shared" si="469"/>
        <v>Trichloroethylene</v>
      </c>
      <c r="FA710" t="str">
        <f t="shared" si="470"/>
        <v>ClAlk</v>
      </c>
      <c r="FB710" t="str">
        <f t="shared" si="471"/>
        <v>HDPE</v>
      </c>
      <c r="FC710" t="str">
        <f t="shared" si="472"/>
        <v>Immersion</v>
      </c>
      <c r="FD710">
        <f t="shared" si="473"/>
        <v>293</v>
      </c>
      <c r="FE710" t="str">
        <f t="shared" si="474"/>
        <v>water</v>
      </c>
      <c r="FF710" t="str">
        <f t="shared" si="475"/>
        <v>measured 0.0484</v>
      </c>
      <c r="FG710" s="408">
        <f t="shared" si="462"/>
        <v>4.1550622489436096E-5</v>
      </c>
      <c r="FH710" s="138">
        <f t="shared" si="476"/>
        <v>1.9154526016884788</v>
      </c>
      <c r="FI710" s="106" t="str">
        <f t="shared" si="463"/>
        <v>**</v>
      </c>
      <c r="FJ710" s="138">
        <f t="shared" si="477"/>
        <v>-11.35261702988538</v>
      </c>
      <c r="FK710" s="138" t="str">
        <f t="shared" si="455"/>
        <v>**</v>
      </c>
    </row>
    <row r="711" spans="1:167" ht="12.75" hidden="1" customHeight="1" x14ac:dyDescent="0.2">
      <c r="A711">
        <v>676</v>
      </c>
      <c r="B711" t="s">
        <v>1231</v>
      </c>
      <c r="D711" s="4" t="s">
        <v>540</v>
      </c>
      <c r="E711">
        <v>405</v>
      </c>
      <c r="F711" t="str">
        <f>VLOOKUP(E711,CompDbase!B:L,4,FALSE)</f>
        <v>Trichloroethylene</v>
      </c>
      <c r="G711" s="95" t="str">
        <f>VLOOKUP(E711,CompDbase!B:M,12,FALSE)</f>
        <v>ClAlk</v>
      </c>
      <c r="H711" s="95">
        <f>VLOOKUP(E711,CompDbase!B:L,8,FALSE)</f>
        <v>131.4</v>
      </c>
      <c r="I711" s="95" t="e">
        <f>VLOOKUP(E711,CompDbase!B:L,11,FALSE)</f>
        <v>#DIV/0!</v>
      </c>
      <c r="J711" s="95">
        <f>VLOOKUP(E711,CompDbase!B:L,9,FALSE)</f>
        <v>1164.8441611748488</v>
      </c>
      <c r="K711" s="95">
        <f>VLOOKUP(E711,CompDbase!B:L,10,FALSE)</f>
        <v>2.61</v>
      </c>
      <c r="L711" s="4" t="s">
        <v>717</v>
      </c>
      <c r="M711" s="420">
        <v>940000</v>
      </c>
      <c r="N711" s="420"/>
      <c r="O711" s="4" t="s">
        <v>1044</v>
      </c>
      <c r="P711">
        <v>293</v>
      </c>
      <c r="Q711" s="4" t="s">
        <v>1049</v>
      </c>
      <c r="R711" s="289" t="s">
        <v>1982</v>
      </c>
      <c r="S711">
        <v>0.30304999999999993</v>
      </c>
      <c r="T711" s="95">
        <f>S711/J711</f>
        <v>2.6016355672362824E-4</v>
      </c>
      <c r="W711">
        <v>53.79</v>
      </c>
      <c r="X711" s="288">
        <f t="shared" si="448"/>
        <v>1.7307015442818452</v>
      </c>
      <c r="Y711">
        <v>4.9999999999999997E-12</v>
      </c>
      <c r="Z711" s="95">
        <f t="shared" si="443"/>
        <v>-11.301029995663981</v>
      </c>
      <c r="AA711" s="95">
        <f t="shared" si="449"/>
        <v>2.6894999999999999E-10</v>
      </c>
      <c r="AB711" s="288">
        <f t="shared" si="450"/>
        <v>-9.5703284513821352</v>
      </c>
      <c r="AC711" s="95">
        <v>1</v>
      </c>
      <c r="AD711" s="95">
        <v>1</v>
      </c>
      <c r="AG711" s="138">
        <f t="shared" si="451"/>
        <v>1.7307015442818452</v>
      </c>
      <c r="AH711">
        <f t="shared" si="452"/>
        <v>2.61</v>
      </c>
      <c r="BW711" s="138"/>
      <c r="BX711">
        <f t="shared" si="454"/>
        <v>3.0662678271054604</v>
      </c>
      <c r="EY711" s="479">
        <f>VLOOKUP(B711,Literatuur!$A:$B,2,FALSE)</f>
        <v>19</v>
      </c>
      <c r="EZ711" t="str">
        <f t="shared" si="469"/>
        <v>Trichloroethylene</v>
      </c>
      <c r="FA711" t="str">
        <f t="shared" si="470"/>
        <v>ClAlk</v>
      </c>
      <c r="FB711" t="str">
        <f t="shared" si="471"/>
        <v>HDPE</v>
      </c>
      <c r="FC711" t="str">
        <f t="shared" si="472"/>
        <v>Immersion</v>
      </c>
      <c r="FD711">
        <f t="shared" si="473"/>
        <v>293</v>
      </c>
      <c r="FE711" t="str">
        <f t="shared" si="474"/>
        <v>water</v>
      </c>
      <c r="FF711" t="str">
        <f t="shared" si="475"/>
        <v>measured 0.30305</v>
      </c>
      <c r="FG711" s="408">
        <f t="shared" si="462"/>
        <v>2.6016355672362824E-4</v>
      </c>
      <c r="FH711" s="138">
        <f t="shared" si="476"/>
        <v>1.7307015442818452</v>
      </c>
      <c r="FI711" s="106" t="str">
        <f t="shared" si="463"/>
        <v>**</v>
      </c>
      <c r="FJ711" s="138">
        <f t="shared" si="477"/>
        <v>-11.301029995663981</v>
      </c>
      <c r="FK711" s="138" t="str">
        <f t="shared" si="455"/>
        <v>**</v>
      </c>
    </row>
    <row r="712" spans="1:167" ht="12.75" hidden="1" customHeight="1" x14ac:dyDescent="0.2">
      <c r="A712">
        <v>677</v>
      </c>
      <c r="B712" t="s">
        <v>1231</v>
      </c>
      <c r="D712" s="4" t="s">
        <v>540</v>
      </c>
      <c r="E712">
        <v>405</v>
      </c>
      <c r="F712" t="str">
        <f>VLOOKUP(E712,CompDbase!B:L,4,FALSE)</f>
        <v>Trichloroethylene</v>
      </c>
      <c r="G712" s="95" t="str">
        <f>VLOOKUP(E712,CompDbase!B:M,12,FALSE)</f>
        <v>ClAlk</v>
      </c>
      <c r="H712" s="95">
        <f>VLOOKUP(E712,CompDbase!B:L,8,FALSE)</f>
        <v>131.4</v>
      </c>
      <c r="I712" s="95" t="e">
        <f>VLOOKUP(E712,CompDbase!B:L,11,FALSE)</f>
        <v>#DIV/0!</v>
      </c>
      <c r="J712" s="95">
        <f>VLOOKUP(E712,CompDbase!B:L,9,FALSE)</f>
        <v>1164.8441611748488</v>
      </c>
      <c r="K712" s="95">
        <f>VLOOKUP(E712,CompDbase!B:L,10,FALSE)</f>
        <v>2.61</v>
      </c>
      <c r="L712" s="4" t="s">
        <v>717</v>
      </c>
      <c r="M712" s="420">
        <v>940000</v>
      </c>
      <c r="N712" s="420"/>
      <c r="O712" s="4" t="s">
        <v>1044</v>
      </c>
      <c r="P712">
        <v>293</v>
      </c>
      <c r="Q712" s="4" t="s">
        <v>1049</v>
      </c>
      <c r="R712" s="289" t="s">
        <v>1982</v>
      </c>
      <c r="S712">
        <v>0.61214999999999997</v>
      </c>
      <c r="T712" s="95">
        <f>S712/J712</f>
        <v>5.2552094125843613E-4</v>
      </c>
      <c r="W712">
        <v>44.48</v>
      </c>
      <c r="X712" s="288">
        <f t="shared" si="448"/>
        <v>1.648164778574001</v>
      </c>
      <c r="Y712">
        <v>7.2200000000000003E-12</v>
      </c>
      <c r="Z712" s="95">
        <f t="shared" si="443"/>
        <v>-11.141462802430361</v>
      </c>
      <c r="AA712" s="95">
        <f t="shared" si="449"/>
        <v>3.2114560000000002E-10</v>
      </c>
      <c r="AB712" s="288">
        <f t="shared" si="450"/>
        <v>-9.4932980238563598</v>
      </c>
      <c r="AC712" s="95">
        <v>1</v>
      </c>
      <c r="AD712" s="95"/>
      <c r="AG712" s="138">
        <f t="shared" si="451"/>
        <v>1.648164778574001</v>
      </c>
      <c r="AH712">
        <f t="shared" si="452"/>
        <v>2.61</v>
      </c>
      <c r="BW712" s="138"/>
      <c r="BX712">
        <f t="shared" si="454"/>
        <v>3.0662678271054604</v>
      </c>
      <c r="DG712">
        <f>Z712</f>
        <v>-11.141462802430361</v>
      </c>
      <c r="DH712">
        <f>$H712</f>
        <v>131.4</v>
      </c>
      <c r="DI712">
        <f t="shared" ref="DI712" si="504">$H712</f>
        <v>131.4</v>
      </c>
      <c r="EY712" s="479">
        <f>VLOOKUP(B712,Literatuur!$A:$B,2,FALSE)</f>
        <v>19</v>
      </c>
      <c r="EZ712" t="str">
        <f t="shared" si="469"/>
        <v>Trichloroethylene</v>
      </c>
      <c r="FA712" t="str">
        <f t="shared" si="470"/>
        <v>ClAlk</v>
      </c>
      <c r="FB712" t="str">
        <f t="shared" si="471"/>
        <v>HDPE</v>
      </c>
      <c r="FC712" t="str">
        <f t="shared" si="472"/>
        <v>Immersion</v>
      </c>
      <c r="FD712">
        <f t="shared" si="473"/>
        <v>293</v>
      </c>
      <c r="FE712" t="str">
        <f t="shared" si="474"/>
        <v>water</v>
      </c>
      <c r="FF712" t="str">
        <f t="shared" si="475"/>
        <v>measured 0.61215</v>
      </c>
      <c r="FG712" s="408">
        <f t="shared" si="462"/>
        <v>5.2552094125843613E-4</v>
      </c>
      <c r="FH712" s="138">
        <f t="shared" si="476"/>
        <v>1.648164778574001</v>
      </c>
      <c r="FI712" s="106" t="str">
        <f t="shared" si="463"/>
        <v>**</v>
      </c>
      <c r="FJ712" s="138">
        <f t="shared" si="477"/>
        <v>-11.141462802430361</v>
      </c>
      <c r="FK712" s="138" t="str">
        <f t="shared" si="455"/>
        <v>**</v>
      </c>
    </row>
    <row r="713" spans="1:167" ht="12.75" hidden="1" customHeight="1" x14ac:dyDescent="0.2">
      <c r="A713">
        <v>678</v>
      </c>
      <c r="B713" t="s">
        <v>1231</v>
      </c>
      <c r="D713" s="4" t="s">
        <v>540</v>
      </c>
      <c r="E713">
        <v>405</v>
      </c>
      <c r="F713" t="str">
        <f>VLOOKUP(E713,CompDbase!B:L,4,FALSE)</f>
        <v>Trichloroethylene</v>
      </c>
      <c r="G713" s="95" t="str">
        <f>VLOOKUP(E713,CompDbase!B:M,12,FALSE)</f>
        <v>ClAlk</v>
      </c>
      <c r="H713" s="95">
        <f>VLOOKUP(E713,CompDbase!B:L,8,FALSE)</f>
        <v>131.4</v>
      </c>
      <c r="I713" s="95" t="e">
        <f>VLOOKUP(E713,CompDbase!B:L,11,FALSE)</f>
        <v>#DIV/0!</v>
      </c>
      <c r="J713" s="95">
        <f>VLOOKUP(E713,CompDbase!B:L,9,FALSE)</f>
        <v>1164.8441611748488</v>
      </c>
      <c r="K713" s="95">
        <f>VLOOKUP(E713,CompDbase!B:L,10,FALSE)</f>
        <v>2.61</v>
      </c>
      <c r="L713" s="4" t="s">
        <v>717</v>
      </c>
      <c r="M713" s="420">
        <v>940000</v>
      </c>
      <c r="N713" s="420"/>
      <c r="O713" s="4" t="s">
        <v>1044</v>
      </c>
      <c r="P713">
        <v>293</v>
      </c>
      <c r="Q713" s="4" t="s">
        <v>1049</v>
      </c>
      <c r="R713" s="289" t="s">
        <v>1982</v>
      </c>
      <c r="S713">
        <v>1.0065</v>
      </c>
      <c r="T713" s="95">
        <f>S713/J713</f>
        <v>8.6406408131440974E-4</v>
      </c>
      <c r="W713">
        <v>52.25</v>
      </c>
      <c r="X713" s="288">
        <f t="shared" si="448"/>
        <v>1.7180862947830917</v>
      </c>
      <c r="Y713">
        <v>7.5499999999999991E-12</v>
      </c>
      <c r="Z713" s="95">
        <f t="shared" si="443"/>
        <v>-11.122053048370812</v>
      </c>
      <c r="AA713" s="95">
        <f t="shared" si="449"/>
        <v>3.9448749999999998E-10</v>
      </c>
      <c r="AB713" s="288">
        <f t="shared" si="450"/>
        <v>-9.4039667535877207</v>
      </c>
      <c r="AC713" s="95">
        <v>1</v>
      </c>
      <c r="AD713" s="95">
        <v>1</v>
      </c>
      <c r="AG713" s="138">
        <f t="shared" si="451"/>
        <v>1.7180862947830917</v>
      </c>
      <c r="AH713">
        <f t="shared" si="452"/>
        <v>2.61</v>
      </c>
      <c r="BW713" s="138"/>
      <c r="BX713">
        <f t="shared" si="454"/>
        <v>3.0662678271054604</v>
      </c>
      <c r="EY713" s="479">
        <f>VLOOKUP(B713,Literatuur!$A:$B,2,FALSE)</f>
        <v>19</v>
      </c>
      <c r="EZ713" t="str">
        <f t="shared" si="469"/>
        <v>Trichloroethylene</v>
      </c>
      <c r="FA713" t="str">
        <f t="shared" si="470"/>
        <v>ClAlk</v>
      </c>
      <c r="FB713" t="str">
        <f t="shared" si="471"/>
        <v>HDPE</v>
      </c>
      <c r="FC713" t="str">
        <f t="shared" si="472"/>
        <v>Immersion</v>
      </c>
      <c r="FD713">
        <f t="shared" si="473"/>
        <v>293</v>
      </c>
      <c r="FE713" t="str">
        <f t="shared" si="474"/>
        <v>water</v>
      </c>
      <c r="FF713" t="str">
        <f t="shared" si="475"/>
        <v>measured 1.0065</v>
      </c>
      <c r="FG713" s="408">
        <f t="shared" si="462"/>
        <v>8.6406408131440974E-4</v>
      </c>
      <c r="FH713" s="138">
        <f t="shared" si="476"/>
        <v>1.7180862947830917</v>
      </c>
      <c r="FI713" s="106" t="str">
        <f t="shared" si="463"/>
        <v>**</v>
      </c>
      <c r="FJ713" s="138">
        <f t="shared" si="477"/>
        <v>-11.122053048370812</v>
      </c>
      <c r="FK713" s="138" t="str">
        <f t="shared" si="455"/>
        <v>**</v>
      </c>
    </row>
    <row r="714" spans="1:167" ht="12.75" hidden="1" customHeight="1" x14ac:dyDescent="0.2">
      <c r="A714">
        <v>679</v>
      </c>
      <c r="B714" t="s">
        <v>1231</v>
      </c>
      <c r="D714" s="4" t="s">
        <v>540</v>
      </c>
      <c r="E714">
        <v>405</v>
      </c>
      <c r="F714" t="str">
        <f>VLOOKUP(E714,CompDbase!B:L,4,FALSE)</f>
        <v>Trichloroethylene</v>
      </c>
      <c r="G714" s="95" t="str">
        <f>VLOOKUP(E714,CompDbase!B:M,12,FALSE)</f>
        <v>ClAlk</v>
      </c>
      <c r="H714" s="95">
        <f>VLOOKUP(E714,CompDbase!B:L,8,FALSE)</f>
        <v>131.4</v>
      </c>
      <c r="I714" s="95" t="e">
        <f>VLOOKUP(E714,CompDbase!B:L,11,FALSE)</f>
        <v>#DIV/0!</v>
      </c>
      <c r="J714" s="95">
        <f>VLOOKUP(E714,CompDbase!B:L,9,FALSE)</f>
        <v>1164.8441611748488</v>
      </c>
      <c r="K714" s="95">
        <f>VLOOKUP(E714,CompDbase!B:L,10,FALSE)</f>
        <v>2.61</v>
      </c>
      <c r="L714" s="4" t="s">
        <v>717</v>
      </c>
      <c r="M714" s="420">
        <v>940000</v>
      </c>
      <c r="N714" s="420"/>
      <c r="O714" s="4" t="s">
        <v>1044</v>
      </c>
      <c r="P714">
        <v>293</v>
      </c>
      <c r="Q714" s="4" t="s">
        <v>1049</v>
      </c>
      <c r="R714" s="289" t="s">
        <v>1993</v>
      </c>
      <c r="T714" s="95">
        <v>1</v>
      </c>
      <c r="V714">
        <v>0.17069999999999999</v>
      </c>
      <c r="W714" s="95">
        <f>V714*M714/J714</f>
        <v>137.75061535970946</v>
      </c>
      <c r="X714" s="288">
        <f t="shared" si="448"/>
        <v>2.1390935476089719</v>
      </c>
      <c r="Y714">
        <v>1.1900000000000001E-11</v>
      </c>
      <c r="Z714" s="95">
        <f t="shared" si="443"/>
        <v>-10.924453038607469</v>
      </c>
      <c r="AA714" s="95">
        <f t="shared" si="449"/>
        <v>1.6392323227805425E-9</v>
      </c>
      <c r="AB714" s="288">
        <f t="shared" si="450"/>
        <v>-8.7853594909984984</v>
      </c>
      <c r="AC714" s="95" t="s">
        <v>68</v>
      </c>
      <c r="AD714" s="95">
        <v>1</v>
      </c>
      <c r="AG714" s="138">
        <f t="shared" si="451"/>
        <v>2.1390935476089719</v>
      </c>
      <c r="AH714">
        <f t="shared" si="452"/>
        <v>2.61</v>
      </c>
      <c r="AI714">
        <f t="shared" si="452"/>
        <v>2.61</v>
      </c>
      <c r="AL714">
        <f t="shared" ref="AL714:AL715" si="505">$K714</f>
        <v>2.61</v>
      </c>
      <c r="AO714">
        <f t="shared" ref="AO714" si="506">$K714</f>
        <v>2.61</v>
      </c>
      <c r="BW714" s="138"/>
      <c r="BX714">
        <f t="shared" si="454"/>
        <v>3.0662678271054604</v>
      </c>
      <c r="BY714">
        <f>LOG(1*$J714)</f>
        <v>3.0662678271054604</v>
      </c>
      <c r="CB714">
        <f>LOG(1*$J714)</f>
        <v>3.0662678271054604</v>
      </c>
      <c r="CE714">
        <f>LOG(1*$J714)</f>
        <v>3.0662678271054604</v>
      </c>
      <c r="EY714" s="479">
        <f>VLOOKUP(B714,Literatuur!$A:$B,2,FALSE)</f>
        <v>19</v>
      </c>
      <c r="EZ714" t="str">
        <f t="shared" si="469"/>
        <v>Trichloroethylene</v>
      </c>
      <c r="FA714" t="str">
        <f t="shared" si="470"/>
        <v>ClAlk</v>
      </c>
      <c r="FB714" t="str">
        <f t="shared" si="471"/>
        <v>HDPE</v>
      </c>
      <c r="FC714" t="str">
        <f t="shared" si="472"/>
        <v>Immersion</v>
      </c>
      <c r="FD714">
        <f t="shared" si="473"/>
        <v>293</v>
      </c>
      <c r="FE714" t="str">
        <f t="shared" si="474"/>
        <v>water</v>
      </c>
      <c r="FF714" t="str">
        <f t="shared" si="475"/>
        <v xml:space="preserve">pure product </v>
      </c>
      <c r="FG714" s="408">
        <f t="shared" si="462"/>
        <v>1</v>
      </c>
      <c r="FH714" s="138">
        <f t="shared" si="476"/>
        <v>2.1390935476089719</v>
      </c>
      <c r="FI714" s="106">
        <f t="shared" si="463"/>
        <v>1.6426615262849631</v>
      </c>
      <c r="FJ714" s="138">
        <f t="shared" si="477"/>
        <v>-10.924453038607469</v>
      </c>
      <c r="FK714" s="138" t="str">
        <f t="shared" si="455"/>
        <v>**</v>
      </c>
    </row>
    <row r="715" spans="1:167" ht="12.75" hidden="1" customHeight="1" x14ac:dyDescent="0.2">
      <c r="A715">
        <v>680</v>
      </c>
      <c r="B715" t="s">
        <v>1236</v>
      </c>
      <c r="D715" s="4" t="s">
        <v>907</v>
      </c>
      <c r="E715">
        <v>400</v>
      </c>
      <c r="F715" t="str">
        <f>VLOOKUP(E715,CompDbase!B:L,4,FALSE)</f>
        <v>1,2-Dichloroethane</v>
      </c>
      <c r="G715" s="95" t="str">
        <f>VLOOKUP(E715,CompDbase!B:M,12,FALSE)</f>
        <v>ClAlk</v>
      </c>
      <c r="H715" s="95">
        <f>VLOOKUP(E715,CompDbase!B:L,8,FALSE)</f>
        <v>98.973331537275584</v>
      </c>
      <c r="I715" s="95">
        <f>VLOOKUP(E715,CompDbase!B:L,11,FALSE)</f>
        <v>79.400000000000006</v>
      </c>
      <c r="J715" s="95">
        <f>VLOOKUP(E715,CompDbase!B:L,9,FALSE)</f>
        <v>10188.832473485421</v>
      </c>
      <c r="K715" s="95">
        <f>VLOOKUP(E715,CompDbase!B:L,10,FALSE)</f>
        <v>1.47</v>
      </c>
      <c r="L715" s="4" t="s">
        <v>717</v>
      </c>
      <c r="M715" s="423">
        <v>940000</v>
      </c>
      <c r="N715" s="423"/>
      <c r="O715" s="4" t="s">
        <v>1044</v>
      </c>
      <c r="P715">
        <v>295</v>
      </c>
      <c r="Q715" s="4" t="s">
        <v>1049</v>
      </c>
      <c r="R715" s="289" t="s">
        <v>1982</v>
      </c>
      <c r="S715">
        <v>3.0000000000000001E-3</v>
      </c>
      <c r="T715" s="95">
        <f t="shared" ref="T715:T720" si="507">S715/J715</f>
        <v>2.9444001634210331E-7</v>
      </c>
      <c r="W715">
        <v>9.4</v>
      </c>
      <c r="X715" s="288">
        <f t="shared" ref="X715:X732" si="508">LOG(W715)</f>
        <v>0.97312785359969867</v>
      </c>
      <c r="Z715" s="190"/>
      <c r="AG715" s="138">
        <f t="shared" si="451"/>
        <v>0.97312785359969867</v>
      </c>
      <c r="AH715">
        <f t="shared" si="452"/>
        <v>1.47</v>
      </c>
      <c r="AI715">
        <f t="shared" si="452"/>
        <v>1.47</v>
      </c>
      <c r="AL715">
        <f t="shared" si="505"/>
        <v>1.47</v>
      </c>
      <c r="BW715" s="138"/>
      <c r="BX715">
        <f t="shared" si="454"/>
        <v>4.0081244215557099</v>
      </c>
      <c r="BY715">
        <f>LOG(1*$J715)</f>
        <v>4.0081244215557099</v>
      </c>
      <c r="CB715">
        <f>LOG(1*$J715)</f>
        <v>4.0081244215557099</v>
      </c>
      <c r="DG715" s="138"/>
      <c r="EY715" s="479">
        <f>VLOOKUP(B715,Literatuur!$A:$B,2,FALSE)</f>
        <v>26</v>
      </c>
      <c r="EZ715" t="str">
        <f t="shared" si="469"/>
        <v>1,2-Dichloroethane</v>
      </c>
      <c r="FA715" t="str">
        <f t="shared" si="470"/>
        <v>ClAlk</v>
      </c>
      <c r="FB715" t="str">
        <f t="shared" si="471"/>
        <v>HDPE</v>
      </c>
      <c r="FC715" t="str">
        <f t="shared" si="472"/>
        <v>Immersion</v>
      </c>
      <c r="FD715">
        <f t="shared" si="473"/>
        <v>295</v>
      </c>
      <c r="FE715" t="str">
        <f t="shared" si="474"/>
        <v>water</v>
      </c>
      <c r="FF715" t="str">
        <f t="shared" si="475"/>
        <v>measured 0.003</v>
      </c>
      <c r="FG715" s="408">
        <f t="shared" si="462"/>
        <v>2.9444001634210331E-7</v>
      </c>
      <c r="FH715" s="138">
        <f t="shared" si="476"/>
        <v>0.97312785359969867</v>
      </c>
      <c r="FI715" s="106">
        <f t="shared" si="463"/>
        <v>0.30651434469273053</v>
      </c>
      <c r="FJ715" s="138" t="str">
        <f t="shared" si="477"/>
        <v/>
      </c>
      <c r="FK715" s="138" t="str">
        <f t="shared" si="455"/>
        <v>**</v>
      </c>
    </row>
    <row r="716" spans="1:167" ht="12.75" hidden="1" customHeight="1" x14ac:dyDescent="0.2">
      <c r="A716">
        <v>681</v>
      </c>
      <c r="B716" t="s">
        <v>1236</v>
      </c>
      <c r="D716" s="4" t="s">
        <v>907</v>
      </c>
      <c r="E716">
        <v>400</v>
      </c>
      <c r="F716" t="str">
        <f>VLOOKUP(E716,CompDbase!B:L,4,FALSE)</f>
        <v>1,2-Dichloroethane</v>
      </c>
      <c r="G716" s="95" t="str">
        <f>VLOOKUP(E716,CompDbase!B:M,12,FALSE)</f>
        <v>ClAlk</v>
      </c>
      <c r="H716" s="95">
        <f>VLOOKUP(E716,CompDbase!B:L,8,FALSE)</f>
        <v>98.973331537275584</v>
      </c>
      <c r="I716" s="95">
        <f>VLOOKUP(E716,CompDbase!B:L,11,FALSE)</f>
        <v>79.400000000000006</v>
      </c>
      <c r="J716" s="95">
        <f>VLOOKUP(E716,CompDbase!B:L,9,FALSE)</f>
        <v>10188.832473485421</v>
      </c>
      <c r="K716" s="95">
        <f>VLOOKUP(E716,CompDbase!B:L,10,FALSE)</f>
        <v>1.47</v>
      </c>
      <c r="L716" s="4" t="s">
        <v>717</v>
      </c>
      <c r="M716" s="423">
        <v>940000</v>
      </c>
      <c r="N716" s="423"/>
      <c r="O716" s="4" t="s">
        <v>1082</v>
      </c>
      <c r="P716">
        <v>295</v>
      </c>
      <c r="Q716" s="4" t="s">
        <v>1049</v>
      </c>
      <c r="R716" s="289" t="s">
        <v>1982</v>
      </c>
      <c r="S716">
        <v>3.0000000000000001E-3</v>
      </c>
      <c r="T716" s="95">
        <f t="shared" si="507"/>
        <v>2.9444001634210331E-7</v>
      </c>
      <c r="W716">
        <v>12</v>
      </c>
      <c r="X716" s="288">
        <f t="shared" si="508"/>
        <v>1.0791812460476249</v>
      </c>
      <c r="Y716">
        <v>4.0000000000000006E-13</v>
      </c>
      <c r="Z716" s="95">
        <f>LOG(Y716)</f>
        <v>-12.397940008672037</v>
      </c>
      <c r="AA716" s="95">
        <f>W716*Y716</f>
        <v>4.8000000000000005E-12</v>
      </c>
      <c r="AB716" s="288">
        <f>LOG(AA716)</f>
        <v>-11.318758762624412</v>
      </c>
      <c r="AC716" s="95" t="s">
        <v>68</v>
      </c>
      <c r="AD716" s="95"/>
      <c r="AG716" s="138">
        <f t="shared" si="451"/>
        <v>1.0791812460476249</v>
      </c>
      <c r="AH716">
        <f t="shared" si="452"/>
        <v>1.47</v>
      </c>
      <c r="AK716">
        <f t="shared" ref="AK716" si="509">$K716</f>
        <v>1.47</v>
      </c>
      <c r="BW716" s="138"/>
      <c r="BX716">
        <f t="shared" ref="BX716:BX732" si="510">LOG(1*$J716)</f>
        <v>4.0081244215557099</v>
      </c>
      <c r="CA716">
        <f>LOG(1*$J716)</f>
        <v>4.0081244215557099</v>
      </c>
      <c r="DG716">
        <f>Z716</f>
        <v>-12.397940008672037</v>
      </c>
      <c r="DH716">
        <f>$H716</f>
        <v>98.973331537275584</v>
      </c>
      <c r="DK716">
        <f t="shared" ref="DK716" si="511">$H716</f>
        <v>98.973331537275584</v>
      </c>
      <c r="DM716">
        <f t="shared" ref="DM716" si="512">$H716</f>
        <v>98.973331537275584</v>
      </c>
      <c r="EY716" s="479">
        <f>VLOOKUP(B716,Literatuur!$A:$B,2,FALSE)</f>
        <v>26</v>
      </c>
      <c r="EZ716" t="str">
        <f t="shared" si="469"/>
        <v>1,2-Dichloroethane</v>
      </c>
      <c r="FA716" t="str">
        <f t="shared" si="470"/>
        <v>ClAlk</v>
      </c>
      <c r="FB716" t="str">
        <f t="shared" si="471"/>
        <v>HDPE</v>
      </c>
      <c r="FC716" t="str">
        <f t="shared" si="472"/>
        <v>Permeation</v>
      </c>
      <c r="FD716">
        <f t="shared" si="473"/>
        <v>295</v>
      </c>
      <c r="FE716" t="str">
        <f t="shared" si="474"/>
        <v>water</v>
      </c>
      <c r="FF716" t="str">
        <f t="shared" si="475"/>
        <v>measured 0.003</v>
      </c>
      <c r="FG716" s="408">
        <f t="shared" si="462"/>
        <v>2.9444001634210331E-7</v>
      </c>
      <c r="FH716" s="138">
        <f t="shared" si="476"/>
        <v>1.0791812460476249</v>
      </c>
      <c r="FI716" s="106" t="str">
        <f t="shared" si="463"/>
        <v>**</v>
      </c>
      <c r="FJ716" s="138">
        <f t="shared" si="477"/>
        <v>-12.397940008672037</v>
      </c>
      <c r="FK716" s="138">
        <f t="shared" si="455"/>
        <v>-12.300236883010673</v>
      </c>
    </row>
    <row r="717" spans="1:167" ht="12.75" hidden="1" customHeight="1" x14ac:dyDescent="0.2">
      <c r="A717">
        <v>682</v>
      </c>
      <c r="B717" t="s">
        <v>1236</v>
      </c>
      <c r="D717" s="4" t="s">
        <v>311</v>
      </c>
      <c r="E717">
        <v>-402</v>
      </c>
      <c r="F717" t="str">
        <f>VLOOKUP(E717,CompDbase!B:L,4,FALSE)</f>
        <v>Dichloromethane</v>
      </c>
      <c r="G717" s="95" t="str">
        <f>VLOOKUP(E717,CompDbase!B:M,12,FALSE)</f>
        <v>ClAlk</v>
      </c>
      <c r="H717" s="95">
        <f>VLOOKUP(E717,CompDbase!B:L,8,FALSE)</f>
        <v>84.93</v>
      </c>
      <c r="I717" s="95">
        <f>VLOOKUP(E717,CompDbase!B:L,11,FALSE)</f>
        <v>64.5</v>
      </c>
      <c r="J717" s="95">
        <f>VLOOKUP(E717,CompDbase!B:L,9,FALSE)</f>
        <v>20000</v>
      </c>
      <c r="K717" s="95">
        <f>VLOOKUP(E717,CompDbase!B:L,10,FALSE)</f>
        <v>1.25</v>
      </c>
      <c r="L717" s="4" t="s">
        <v>717</v>
      </c>
      <c r="M717" s="423">
        <v>940000</v>
      </c>
      <c r="N717" s="423"/>
      <c r="O717" s="4" t="s">
        <v>1044</v>
      </c>
      <c r="P717">
        <v>295</v>
      </c>
      <c r="Q717" s="4" t="s">
        <v>1049</v>
      </c>
      <c r="S717">
        <v>3.0000000000000001E-3</v>
      </c>
      <c r="T717" s="95">
        <f t="shared" si="507"/>
        <v>1.4999999999999999E-7</v>
      </c>
      <c r="W717">
        <v>6.1</v>
      </c>
      <c r="X717" s="288">
        <f t="shared" si="508"/>
        <v>0.78532983501076703</v>
      </c>
      <c r="Z717" s="190"/>
      <c r="AG717" s="138">
        <f t="shared" si="451"/>
        <v>0.78532983501076703</v>
      </c>
      <c r="AH717">
        <f t="shared" si="452"/>
        <v>1.25</v>
      </c>
      <c r="AI717">
        <f>$K717</f>
        <v>1.25</v>
      </c>
      <c r="AL717">
        <f t="shared" ref="AL717" si="513">$K717</f>
        <v>1.25</v>
      </c>
      <c r="BW717" s="138"/>
      <c r="BX717">
        <f t="shared" si="510"/>
        <v>4.3010299956639813</v>
      </c>
      <c r="BY717">
        <f>LOG(1*$J717)</f>
        <v>4.3010299956639813</v>
      </c>
      <c r="CB717">
        <f>LOG(1*$J717)</f>
        <v>4.3010299956639813</v>
      </c>
      <c r="DG717" s="138"/>
      <c r="EY717" s="479">
        <f>VLOOKUP(B717,Literatuur!$A:$B,2,FALSE)</f>
        <v>26</v>
      </c>
      <c r="EZ717" t="str">
        <f t="shared" si="469"/>
        <v>Dichloormethaan</v>
      </c>
      <c r="FA717" t="str">
        <f t="shared" si="470"/>
        <v>ClAlk</v>
      </c>
      <c r="FB717" t="str">
        <f t="shared" si="471"/>
        <v>HDPE</v>
      </c>
      <c r="FC717" t="str">
        <f t="shared" si="472"/>
        <v>Immersion</v>
      </c>
      <c r="FD717">
        <f t="shared" si="473"/>
        <v>295</v>
      </c>
      <c r="FE717" t="str">
        <f t="shared" si="474"/>
        <v>water</v>
      </c>
      <c r="FF717" t="str">
        <f t="shared" si="475"/>
        <v xml:space="preserve"> 0.003</v>
      </c>
      <c r="FG717" s="408">
        <f t="shared" si="462"/>
        <v>1.4999999999999999E-7</v>
      </c>
      <c r="FH717" s="138">
        <f t="shared" si="476"/>
        <v>0.78532983501076703</v>
      </c>
      <c r="FI717" s="106">
        <f t="shared" si="463"/>
        <v>4.8661379824054052E-2</v>
      </c>
      <c r="FJ717" s="138" t="str">
        <f t="shared" si="477"/>
        <v/>
      </c>
      <c r="FK717" s="138" t="str">
        <f t="shared" si="455"/>
        <v>**</v>
      </c>
    </row>
    <row r="718" spans="1:167" ht="12.75" hidden="1" customHeight="1" x14ac:dyDescent="0.2">
      <c r="A718">
        <v>683</v>
      </c>
      <c r="B718" t="s">
        <v>1236</v>
      </c>
      <c r="D718" s="4" t="s">
        <v>311</v>
      </c>
      <c r="E718">
        <v>-402</v>
      </c>
      <c r="F718" t="str">
        <f>VLOOKUP(E718,CompDbase!B:L,4,FALSE)</f>
        <v>Dichloromethane</v>
      </c>
      <c r="G718" s="95" t="str">
        <f>VLOOKUP(E718,CompDbase!B:M,12,FALSE)</f>
        <v>ClAlk</v>
      </c>
      <c r="H718" s="95">
        <f>VLOOKUP(E718,CompDbase!B:L,8,FALSE)</f>
        <v>84.93</v>
      </c>
      <c r="I718" s="95">
        <f>VLOOKUP(E718,CompDbase!B:L,11,FALSE)</f>
        <v>64.5</v>
      </c>
      <c r="J718" s="95">
        <f>VLOOKUP(E718,CompDbase!B:L,9,FALSE)</f>
        <v>20000</v>
      </c>
      <c r="K718" s="95">
        <f>VLOOKUP(E718,CompDbase!B:L,10,FALSE)</f>
        <v>1.25</v>
      </c>
      <c r="L718" s="4" t="s">
        <v>717</v>
      </c>
      <c r="M718" s="423">
        <v>940000</v>
      </c>
      <c r="N718" s="423"/>
      <c r="O718" s="4" t="s">
        <v>1082</v>
      </c>
      <c r="P718">
        <v>295</v>
      </c>
      <c r="Q718" s="4" t="s">
        <v>1049</v>
      </c>
      <c r="S718">
        <v>3.0000000000000001E-3</v>
      </c>
      <c r="T718" s="95">
        <f t="shared" si="507"/>
        <v>1.4999999999999999E-7</v>
      </c>
      <c r="W718">
        <v>6</v>
      </c>
      <c r="X718" s="288">
        <f t="shared" si="508"/>
        <v>0.77815125038364363</v>
      </c>
      <c r="Y718">
        <v>6.5000000000000006E-13</v>
      </c>
      <c r="Z718" s="95">
        <f>LOG(Y718)</f>
        <v>-12.187086643357144</v>
      </c>
      <c r="AA718" s="95">
        <f>W718*Y718</f>
        <v>3.9000000000000007E-12</v>
      </c>
      <c r="AB718" s="288">
        <f>LOG(AA718)</f>
        <v>-11.4089353929735</v>
      </c>
      <c r="AC718" s="95" t="s">
        <v>68</v>
      </c>
      <c r="AD718" s="95"/>
      <c r="AG718" s="138">
        <f t="shared" si="451"/>
        <v>0.77815125038364363</v>
      </c>
      <c r="AH718">
        <f t="shared" si="452"/>
        <v>1.25</v>
      </c>
      <c r="AK718">
        <f t="shared" ref="AK718" si="514">$K718</f>
        <v>1.25</v>
      </c>
      <c r="BW718" s="138"/>
      <c r="BX718">
        <f t="shared" si="510"/>
        <v>4.3010299956639813</v>
      </c>
      <c r="CA718">
        <f>LOG(1*$J718)</f>
        <v>4.3010299956639813</v>
      </c>
      <c r="DG718">
        <f>Z718</f>
        <v>-12.187086643357144</v>
      </c>
      <c r="DH718">
        <f>$H718</f>
        <v>84.93</v>
      </c>
      <c r="DK718">
        <f t="shared" ref="DK718" si="515">$H718</f>
        <v>84.93</v>
      </c>
      <c r="DM718">
        <f t="shared" ref="DM718" si="516">$H718</f>
        <v>84.93</v>
      </c>
      <c r="EY718" s="479">
        <f>VLOOKUP(B718,Literatuur!$A:$B,2,FALSE)</f>
        <v>26</v>
      </c>
      <c r="EZ718" t="str">
        <f t="shared" si="469"/>
        <v>Dichloormethaan</v>
      </c>
      <c r="FA718" t="str">
        <f t="shared" si="470"/>
        <v>ClAlk</v>
      </c>
      <c r="FB718" t="str">
        <f t="shared" si="471"/>
        <v>HDPE</v>
      </c>
      <c r="FC718" t="str">
        <f t="shared" si="472"/>
        <v>Permeation</v>
      </c>
      <c r="FD718">
        <f t="shared" si="473"/>
        <v>295</v>
      </c>
      <c r="FE718" t="str">
        <f t="shared" si="474"/>
        <v>water</v>
      </c>
      <c r="FF718" t="str">
        <f t="shared" si="475"/>
        <v xml:space="preserve"> 0.003</v>
      </c>
      <c r="FG718" s="408">
        <f t="shared" si="462"/>
        <v>1.4999999999999999E-7</v>
      </c>
      <c r="FH718" s="138">
        <f t="shared" si="476"/>
        <v>0.77815125038364363</v>
      </c>
      <c r="FI718" s="106" t="str">
        <f t="shared" si="463"/>
        <v>**</v>
      </c>
      <c r="FJ718" s="138">
        <f t="shared" si="477"/>
        <v>-12.187086643357144</v>
      </c>
      <c r="FK718" s="138">
        <f t="shared" si="455"/>
        <v>-12.142470529596061</v>
      </c>
    </row>
    <row r="719" spans="1:167" ht="12.75" hidden="1" customHeight="1" x14ac:dyDescent="0.2">
      <c r="A719">
        <v>684</v>
      </c>
      <c r="B719" t="s">
        <v>1236</v>
      </c>
      <c r="D719" s="4" t="s">
        <v>908</v>
      </c>
      <c r="E719">
        <v>405</v>
      </c>
      <c r="F719" t="str">
        <f>VLOOKUP(E719,CompDbase!B:L,4,FALSE)</f>
        <v>Trichloroethylene</v>
      </c>
      <c r="G719" s="95" t="str">
        <f>VLOOKUP(E719,CompDbase!B:M,12,FALSE)</f>
        <v>ClAlk</v>
      </c>
      <c r="H719" s="95">
        <f>VLOOKUP(E719,CompDbase!B:L,8,FALSE)</f>
        <v>131.4</v>
      </c>
      <c r="I719" s="95" t="e">
        <f>VLOOKUP(E719,CompDbase!B:L,11,FALSE)</f>
        <v>#DIV/0!</v>
      </c>
      <c r="J719" s="95">
        <f>VLOOKUP(E719,CompDbase!B:L,9,FALSE)</f>
        <v>1164.8441611748488</v>
      </c>
      <c r="K719" s="95">
        <f>VLOOKUP(E719,CompDbase!B:L,10,FALSE)</f>
        <v>2.61</v>
      </c>
      <c r="L719" s="4" t="s">
        <v>717</v>
      </c>
      <c r="M719" s="423">
        <v>940000</v>
      </c>
      <c r="N719" s="423"/>
      <c r="O719" s="4" t="s">
        <v>1044</v>
      </c>
      <c r="P719">
        <v>295</v>
      </c>
      <c r="Q719" s="4" t="s">
        <v>1049</v>
      </c>
      <c r="R719" s="289" t="s">
        <v>1982</v>
      </c>
      <c r="S719">
        <v>3.0000000000000001E-3</v>
      </c>
      <c r="T719" s="95">
        <f t="shared" si="507"/>
        <v>2.5754518071964527E-6</v>
      </c>
      <c r="W719">
        <v>73</v>
      </c>
      <c r="X719" s="288">
        <f t="shared" si="508"/>
        <v>1.8633228601204559</v>
      </c>
      <c r="Z719" s="190"/>
      <c r="AG719" s="138">
        <f t="shared" si="451"/>
        <v>1.8633228601204559</v>
      </c>
      <c r="AH719">
        <f t="shared" si="452"/>
        <v>2.61</v>
      </c>
      <c r="AI719">
        <f>$K719</f>
        <v>2.61</v>
      </c>
      <c r="AL719">
        <f t="shared" ref="AL719" si="517">$K719</f>
        <v>2.61</v>
      </c>
      <c r="BW719" s="138"/>
      <c r="BX719">
        <f t="shared" si="510"/>
        <v>3.0662678271054604</v>
      </c>
      <c r="BY719">
        <f>LOG(1*$J719)</f>
        <v>3.0662678271054604</v>
      </c>
      <c r="CB719">
        <f>LOG(1*$J719)</f>
        <v>3.0662678271054604</v>
      </c>
      <c r="DG719" s="138"/>
      <c r="EY719" s="479">
        <f>VLOOKUP(B719,Literatuur!$A:$B,2,FALSE)</f>
        <v>26</v>
      </c>
      <c r="EZ719" t="str">
        <f t="shared" si="469"/>
        <v>Trichloroethane</v>
      </c>
      <c r="FA719" t="str">
        <f t="shared" si="470"/>
        <v>ClAlk</v>
      </c>
      <c r="FB719" t="str">
        <f t="shared" si="471"/>
        <v>HDPE</v>
      </c>
      <c r="FC719" t="str">
        <f t="shared" si="472"/>
        <v>Immersion</v>
      </c>
      <c r="FD719">
        <f t="shared" si="473"/>
        <v>295</v>
      </c>
      <c r="FE719" t="str">
        <f t="shared" si="474"/>
        <v>water</v>
      </c>
      <c r="FF719" t="str">
        <f t="shared" si="475"/>
        <v>measured 0.003</v>
      </c>
      <c r="FG719" s="408">
        <f t="shared" si="462"/>
        <v>2.5754518071964527E-6</v>
      </c>
      <c r="FH719" s="138">
        <f t="shared" si="476"/>
        <v>1.8633228601204559</v>
      </c>
      <c r="FI719" s="106">
        <f t="shared" si="463"/>
        <v>1.6426615262849631</v>
      </c>
      <c r="FJ719" s="138" t="str">
        <f t="shared" si="477"/>
        <v/>
      </c>
      <c r="FK719" s="138" t="str">
        <f t="shared" si="455"/>
        <v>**</v>
      </c>
    </row>
    <row r="720" spans="1:167" ht="12.75" hidden="1" customHeight="1" x14ac:dyDescent="0.2">
      <c r="A720">
        <v>685</v>
      </c>
      <c r="B720" t="s">
        <v>1236</v>
      </c>
      <c r="D720" s="4" t="s">
        <v>908</v>
      </c>
      <c r="E720">
        <v>405</v>
      </c>
      <c r="F720" t="str">
        <f>VLOOKUP(E720,CompDbase!B:L,4,FALSE)</f>
        <v>Trichloroethylene</v>
      </c>
      <c r="G720" s="95" t="str">
        <f>VLOOKUP(E720,CompDbase!B:M,12,FALSE)</f>
        <v>ClAlk</v>
      </c>
      <c r="H720" s="95">
        <f>VLOOKUP(E720,CompDbase!B:L,8,FALSE)</f>
        <v>131.4</v>
      </c>
      <c r="I720" s="95" t="e">
        <f>VLOOKUP(E720,CompDbase!B:L,11,FALSE)</f>
        <v>#DIV/0!</v>
      </c>
      <c r="J720" s="95">
        <f>VLOOKUP(E720,CompDbase!B:L,9,FALSE)</f>
        <v>1164.8441611748488</v>
      </c>
      <c r="K720" s="95">
        <f>VLOOKUP(E720,CompDbase!B:L,10,FALSE)</f>
        <v>2.61</v>
      </c>
      <c r="L720" s="4" t="s">
        <v>717</v>
      </c>
      <c r="M720" s="423">
        <v>940000</v>
      </c>
      <c r="N720" s="423"/>
      <c r="O720" s="4" t="s">
        <v>1082</v>
      </c>
      <c r="P720">
        <v>295</v>
      </c>
      <c r="Q720" s="4" t="s">
        <v>1049</v>
      </c>
      <c r="R720" s="289" t="s">
        <v>1982</v>
      </c>
      <c r="S720">
        <v>3.0000000000000001E-3</v>
      </c>
      <c r="T720" s="95">
        <f t="shared" si="507"/>
        <v>2.5754518071964527E-6</v>
      </c>
      <c r="W720">
        <v>85</v>
      </c>
      <c r="X720" s="288">
        <f t="shared" si="508"/>
        <v>1.9294189257142926</v>
      </c>
      <c r="Y720">
        <v>4.0000000000000006E-13</v>
      </c>
      <c r="Z720" s="95">
        <f>LOG(Y720)</f>
        <v>-12.397940008672037</v>
      </c>
      <c r="AA720" s="95">
        <f>W720*Y720</f>
        <v>3.4000000000000005E-11</v>
      </c>
      <c r="AB720" s="288">
        <f>LOG(AA720)</f>
        <v>-10.468521082957745</v>
      </c>
      <c r="AC720" s="95" t="s">
        <v>68</v>
      </c>
      <c r="AD720" s="95"/>
      <c r="AG720" s="138">
        <f t="shared" si="451"/>
        <v>1.9294189257142926</v>
      </c>
      <c r="AH720">
        <f t="shared" si="452"/>
        <v>2.61</v>
      </c>
      <c r="AK720">
        <f t="shared" ref="AK720" si="518">$K720</f>
        <v>2.61</v>
      </c>
      <c r="BW720" s="138"/>
      <c r="BX720">
        <f t="shared" si="510"/>
        <v>3.0662678271054604</v>
      </c>
      <c r="CA720">
        <f>LOG(1*$J720)</f>
        <v>3.0662678271054604</v>
      </c>
      <c r="DG720">
        <f>Z720</f>
        <v>-12.397940008672037</v>
      </c>
      <c r="DH720">
        <f>$H720</f>
        <v>131.4</v>
      </c>
      <c r="DK720">
        <f t="shared" ref="DK720" si="519">$H720</f>
        <v>131.4</v>
      </c>
      <c r="DM720">
        <f t="shared" ref="DM720" si="520">$H720</f>
        <v>131.4</v>
      </c>
      <c r="EY720" s="479">
        <f>VLOOKUP(B720,Literatuur!$A:$B,2,FALSE)</f>
        <v>26</v>
      </c>
      <c r="EZ720" t="str">
        <f t="shared" si="469"/>
        <v>Trichloroethane</v>
      </c>
      <c r="FA720" t="str">
        <f t="shared" si="470"/>
        <v>ClAlk</v>
      </c>
      <c r="FB720" t="str">
        <f t="shared" si="471"/>
        <v>HDPE</v>
      </c>
      <c r="FC720" t="str">
        <f t="shared" si="472"/>
        <v>Permeation</v>
      </c>
      <c r="FD720">
        <f t="shared" si="473"/>
        <v>295</v>
      </c>
      <c r="FE720" t="str">
        <f t="shared" si="474"/>
        <v>water</v>
      </c>
      <c r="FF720" t="str">
        <f t="shared" si="475"/>
        <v>measured 0.003</v>
      </c>
      <c r="FG720" s="408">
        <f t="shared" si="462"/>
        <v>2.5754518071964527E-6</v>
      </c>
      <c r="FH720" s="138">
        <f t="shared" si="476"/>
        <v>1.9294189257142926</v>
      </c>
      <c r="FI720" s="106" t="str">
        <f t="shared" si="463"/>
        <v>**</v>
      </c>
      <c r="FJ720" s="138">
        <f t="shared" si="477"/>
        <v>-12.397940008672037</v>
      </c>
      <c r="FK720" s="138">
        <f t="shared" si="455"/>
        <v>-12.664526312706865</v>
      </c>
    </row>
    <row r="721" spans="1:167" ht="12.75" hidden="1" customHeight="1" x14ac:dyDescent="0.2">
      <c r="A721">
        <v>686</v>
      </c>
      <c r="B721" t="s">
        <v>430</v>
      </c>
      <c r="D721" t="s">
        <v>318</v>
      </c>
      <c r="E721">
        <v>408</v>
      </c>
      <c r="F721" t="str">
        <f>VLOOKUP(E721,CompDbase!B:L,4,FALSE)</f>
        <v>1,1,1-Trichloroethane</v>
      </c>
      <c r="G721" s="95" t="str">
        <f>VLOOKUP(E721,CompDbase!B:M,12,FALSE)</f>
        <v>ClAlk</v>
      </c>
      <c r="H721" s="95">
        <f>VLOOKUP(E721,CompDbase!B:L,8,FALSE)</f>
        <v>133.4</v>
      </c>
      <c r="I721" s="95" t="e">
        <f>VLOOKUP(E721,CompDbase!B:L,11,FALSE)</f>
        <v>#DIV/0!</v>
      </c>
      <c r="J721" s="95">
        <f>VLOOKUP(E721,CompDbase!B:L,9,FALSE)</f>
        <v>2343.3333333333335</v>
      </c>
      <c r="K721" s="95">
        <f>VLOOKUP(E721,CompDbase!B:L,10,FALSE)</f>
        <v>2.8000000000000003</v>
      </c>
      <c r="L721" s="4" t="s">
        <v>717</v>
      </c>
      <c r="M721" s="423"/>
      <c r="N721" s="423">
        <v>948000</v>
      </c>
      <c r="O721" s="4" t="s">
        <v>1044</v>
      </c>
      <c r="P721">
        <v>293</v>
      </c>
      <c r="Q721" s="4" t="s">
        <v>1049</v>
      </c>
      <c r="R721" s="289" t="s">
        <v>1988</v>
      </c>
      <c r="T721" s="95">
        <v>1</v>
      </c>
      <c r="V721" s="36">
        <v>0.108</v>
      </c>
      <c r="W721" s="95">
        <f t="shared" ref="W721:W728" si="521">V721*N721/J721</f>
        <v>43.691607396870552</v>
      </c>
      <c r="X721" s="288">
        <f t="shared" si="508"/>
        <v>1.6403980225248544</v>
      </c>
      <c r="Z721" s="190"/>
      <c r="AC721" t="s">
        <v>68</v>
      </c>
      <c r="AG721" s="138">
        <f t="shared" si="451"/>
        <v>1.6403980225248544</v>
      </c>
      <c r="AH721">
        <f t="shared" si="452"/>
        <v>2.8000000000000003</v>
      </c>
      <c r="AI721">
        <f t="shared" si="452"/>
        <v>2.8000000000000003</v>
      </c>
      <c r="AL721">
        <f t="shared" ref="AL721:AL728" si="522">$K721</f>
        <v>2.8000000000000003</v>
      </c>
      <c r="AO721">
        <f t="shared" ref="AO721:AO728" si="523">$K721</f>
        <v>2.8000000000000003</v>
      </c>
      <c r="BW721" s="138"/>
      <c r="BX721">
        <f t="shared" si="510"/>
        <v>3.3698340703001617</v>
      </c>
      <c r="BY721">
        <f t="shared" ref="BY721:BY728" si="524">LOG(1*$J721)</f>
        <v>3.3698340703001617</v>
      </c>
      <c r="CB721">
        <f t="shared" ref="CB721:CB728" si="525">LOG(1*$J721)</f>
        <v>3.3698340703001617</v>
      </c>
      <c r="CE721">
        <f t="shared" ref="CE721:CE728" si="526">LOG(1*$J721)</f>
        <v>3.3698340703001617</v>
      </c>
      <c r="DG721" s="138"/>
      <c r="EY721" s="479">
        <f>VLOOKUP(B721,Literatuur!$A:$B,2,FALSE)</f>
        <v>37</v>
      </c>
      <c r="EZ721" t="str">
        <f t="shared" si="469"/>
        <v>1,1,1-Trichloorethaan</v>
      </c>
      <c r="FA721" t="str">
        <f t="shared" si="470"/>
        <v>ClAlk</v>
      </c>
      <c r="FB721" t="str">
        <f t="shared" si="471"/>
        <v>HDPE</v>
      </c>
      <c r="FC721" t="str">
        <f t="shared" si="472"/>
        <v>Immersion</v>
      </c>
      <c r="FD721">
        <f t="shared" si="473"/>
        <v>293</v>
      </c>
      <c r="FE721" t="str">
        <f t="shared" si="474"/>
        <v>water</v>
      </c>
      <c r="FF721" t="str">
        <f t="shared" si="475"/>
        <v xml:space="preserve">saturated </v>
      </c>
      <c r="FG721" s="408">
        <f t="shared" si="462"/>
        <v>1</v>
      </c>
      <c r="FH721" s="138">
        <f t="shared" si="476"/>
        <v>1.6403980225248544</v>
      </c>
      <c r="FI721" s="106">
        <f t="shared" si="463"/>
        <v>1.8653527232170024</v>
      </c>
      <c r="FJ721" s="138" t="str">
        <f t="shared" si="477"/>
        <v/>
      </c>
      <c r="FK721" s="138" t="str">
        <f t="shared" si="455"/>
        <v>**</v>
      </c>
    </row>
    <row r="722" spans="1:167" ht="12.75" hidden="1" customHeight="1" x14ac:dyDescent="0.2">
      <c r="A722">
        <v>687</v>
      </c>
      <c r="B722" t="s">
        <v>430</v>
      </c>
      <c r="D722" t="s">
        <v>316</v>
      </c>
      <c r="E722">
        <v>-401</v>
      </c>
      <c r="F722" t="str">
        <f>VLOOKUP(E722,CompDbase!B:L,4,FALSE)</f>
        <v>1,1,2,2-Tetrachloroethane</v>
      </c>
      <c r="G722" s="95" t="str">
        <f>VLOOKUP(E722,CompDbase!B:M,12,FALSE)</f>
        <v>ClAlk</v>
      </c>
      <c r="H722" s="95">
        <f>VLOOKUP(E722,CompDbase!B:L,8,FALSE)</f>
        <v>167.85</v>
      </c>
      <c r="I722" s="95" t="e">
        <f>VLOOKUP(E722,CompDbase!B:L,11,FALSE)</f>
        <v>#DIV/0!</v>
      </c>
      <c r="J722" s="95">
        <f>VLOOKUP(E722,CompDbase!B:L,9,FALSE)</f>
        <v>2900</v>
      </c>
      <c r="K722" s="95">
        <f>VLOOKUP(E722,CompDbase!B:L,10,FALSE)</f>
        <v>2.39</v>
      </c>
      <c r="L722" s="4" t="s">
        <v>717</v>
      </c>
      <c r="M722" s="423"/>
      <c r="N722" s="423">
        <v>948000</v>
      </c>
      <c r="O722" s="4" t="s">
        <v>1044</v>
      </c>
      <c r="P722">
        <v>293</v>
      </c>
      <c r="Q722" s="4" t="s">
        <v>1049</v>
      </c>
      <c r="R722" s="289" t="s">
        <v>1988</v>
      </c>
      <c r="T722" s="95">
        <v>1</v>
      </c>
      <c r="V722" s="36">
        <v>8.4000000000000005E-2</v>
      </c>
      <c r="W722" s="95">
        <f t="shared" si="521"/>
        <v>27.459310344827585</v>
      </c>
      <c r="X722" s="288">
        <f t="shared" si="508"/>
        <v>1.4386896255009918</v>
      </c>
      <c r="Z722" s="190"/>
      <c r="AC722" t="s">
        <v>68</v>
      </c>
      <c r="AG722" s="138">
        <f t="shared" si="451"/>
        <v>1.4386896255009918</v>
      </c>
      <c r="AH722">
        <f t="shared" si="452"/>
        <v>2.39</v>
      </c>
      <c r="AI722">
        <f t="shared" si="452"/>
        <v>2.39</v>
      </c>
      <c r="AL722">
        <f t="shared" si="522"/>
        <v>2.39</v>
      </c>
      <c r="AO722">
        <f t="shared" si="523"/>
        <v>2.39</v>
      </c>
      <c r="BW722" s="138"/>
      <c r="BX722">
        <f t="shared" si="510"/>
        <v>3.4623979978989561</v>
      </c>
      <c r="BY722">
        <f t="shared" si="524"/>
        <v>3.4623979978989561</v>
      </c>
      <c r="CB722">
        <f t="shared" si="525"/>
        <v>3.4623979978989561</v>
      </c>
      <c r="CE722">
        <f t="shared" si="526"/>
        <v>3.4623979978989561</v>
      </c>
      <c r="DG722" s="138"/>
      <c r="EY722" s="479">
        <f>VLOOKUP(B722,Literatuur!$A:$B,2,FALSE)</f>
        <v>37</v>
      </c>
      <c r="EZ722" t="str">
        <f t="shared" si="469"/>
        <v>1,1,2,2-Tetrachloorethaan</v>
      </c>
      <c r="FA722" t="str">
        <f t="shared" si="470"/>
        <v>ClAlk</v>
      </c>
      <c r="FB722" t="str">
        <f t="shared" si="471"/>
        <v>HDPE</v>
      </c>
      <c r="FC722" t="str">
        <f t="shared" si="472"/>
        <v>Immersion</v>
      </c>
      <c r="FD722">
        <f t="shared" si="473"/>
        <v>293</v>
      </c>
      <c r="FE722" t="str">
        <f t="shared" si="474"/>
        <v>water</v>
      </c>
      <c r="FF722" t="str">
        <f t="shared" si="475"/>
        <v xml:space="preserve">saturated </v>
      </c>
      <c r="FG722" s="408">
        <f t="shared" si="462"/>
        <v>1</v>
      </c>
      <c r="FH722" s="138">
        <f t="shared" si="476"/>
        <v>1.4386896255009918</v>
      </c>
      <c r="FI722" s="106">
        <f t="shared" si="463"/>
        <v>1.3848085614162873</v>
      </c>
      <c r="FJ722" s="138" t="str">
        <f t="shared" si="477"/>
        <v/>
      </c>
      <c r="FK722" s="138" t="str">
        <f t="shared" si="455"/>
        <v>**</v>
      </c>
    </row>
    <row r="723" spans="1:167" ht="12.75" hidden="1" customHeight="1" x14ac:dyDescent="0.2">
      <c r="A723">
        <v>688</v>
      </c>
      <c r="B723" t="s">
        <v>430</v>
      </c>
      <c r="D723" t="s">
        <v>319</v>
      </c>
      <c r="E723">
        <v>409</v>
      </c>
      <c r="F723" t="str">
        <f>VLOOKUP(E723,CompDbase!B:L,4,FALSE)</f>
        <v>1,1,2-Trichloroethane</v>
      </c>
      <c r="G723" s="95" t="str">
        <f>VLOOKUP(E723,CompDbase!B:M,12,FALSE)</f>
        <v>ClAlk</v>
      </c>
      <c r="H723" s="95">
        <f>VLOOKUP(E723,CompDbase!B:L,8,FALSE)</f>
        <v>133.4</v>
      </c>
      <c r="I723" s="95" t="e">
        <f>VLOOKUP(E723,CompDbase!B:L,11,FALSE)</f>
        <v>#DIV/0!</v>
      </c>
      <c r="J723" s="95">
        <f>VLOOKUP(E723,CompDbase!B:L,9,FALSE)</f>
        <v>3055</v>
      </c>
      <c r="K723" s="95">
        <f>VLOOKUP(E723,CompDbase!B:L,10,FALSE)</f>
        <v>1.8900000000000001</v>
      </c>
      <c r="L723" s="4" t="s">
        <v>717</v>
      </c>
      <c r="M723" s="423"/>
      <c r="N723" s="423">
        <v>948000</v>
      </c>
      <c r="O723" s="4" t="s">
        <v>1044</v>
      </c>
      <c r="P723">
        <v>293</v>
      </c>
      <c r="Q723" s="4" t="s">
        <v>1049</v>
      </c>
      <c r="R723" s="289" t="s">
        <v>1988</v>
      </c>
      <c r="T723" s="95">
        <v>1</v>
      </c>
      <c r="V723" s="40">
        <v>6.6000000000000003E-2</v>
      </c>
      <c r="W723" s="95">
        <f t="shared" si="521"/>
        <v>20.48052373158756</v>
      </c>
      <c r="X723" s="288">
        <f t="shared" si="508"/>
        <v>1.3113410583013618</v>
      </c>
      <c r="Z723" s="190"/>
      <c r="AC723" t="s">
        <v>68</v>
      </c>
      <c r="AG723" s="138">
        <f t="shared" si="451"/>
        <v>1.3113410583013618</v>
      </c>
      <c r="AH723">
        <f t="shared" si="452"/>
        <v>1.8900000000000001</v>
      </c>
      <c r="AI723">
        <f t="shared" si="452"/>
        <v>1.8900000000000001</v>
      </c>
      <c r="AL723">
        <f t="shared" si="522"/>
        <v>1.8900000000000001</v>
      </c>
      <c r="AO723">
        <f t="shared" si="523"/>
        <v>1.8900000000000001</v>
      </c>
      <c r="BW723" s="138"/>
      <c r="BX723">
        <f t="shared" si="510"/>
        <v>3.4850112145785732</v>
      </c>
      <c r="BY723">
        <f t="shared" si="524"/>
        <v>3.4850112145785732</v>
      </c>
      <c r="CB723">
        <f t="shared" si="525"/>
        <v>3.4850112145785732</v>
      </c>
      <c r="CE723">
        <f t="shared" si="526"/>
        <v>3.4850112145785732</v>
      </c>
      <c r="DG723" s="138"/>
      <c r="EY723" s="479">
        <f>VLOOKUP(B723,Literatuur!$A:$B,2,FALSE)</f>
        <v>37</v>
      </c>
      <c r="EZ723" t="str">
        <f t="shared" si="469"/>
        <v>1,1,2-Trichloorethaan</v>
      </c>
      <c r="FA723" t="str">
        <f t="shared" si="470"/>
        <v>ClAlk</v>
      </c>
      <c r="FB723" t="str">
        <f t="shared" si="471"/>
        <v>HDPE</v>
      </c>
      <c r="FC723" t="str">
        <f t="shared" si="472"/>
        <v>Immersion</v>
      </c>
      <c r="FD723">
        <f t="shared" si="473"/>
        <v>293</v>
      </c>
      <c r="FE723" t="str">
        <f t="shared" si="474"/>
        <v>water</v>
      </c>
      <c r="FF723" t="str">
        <f t="shared" si="475"/>
        <v xml:space="preserve">saturated </v>
      </c>
      <c r="FG723" s="408">
        <f t="shared" si="462"/>
        <v>1</v>
      </c>
      <c r="FH723" s="138">
        <f t="shared" si="476"/>
        <v>1.3113410583013618</v>
      </c>
      <c r="FI723" s="106">
        <f t="shared" si="463"/>
        <v>0.79877909580565865</v>
      </c>
      <c r="FJ723" s="138" t="str">
        <f t="shared" si="477"/>
        <v/>
      </c>
      <c r="FK723" s="138" t="str">
        <f t="shared" si="455"/>
        <v>**</v>
      </c>
    </row>
    <row r="724" spans="1:167" ht="12.75" hidden="1" customHeight="1" x14ac:dyDescent="0.2">
      <c r="A724">
        <v>689</v>
      </c>
      <c r="B724" t="s">
        <v>430</v>
      </c>
      <c r="D724" t="s">
        <v>315</v>
      </c>
      <c r="E724">
        <v>400</v>
      </c>
      <c r="F724" t="str">
        <f>VLOOKUP(E724,CompDbase!B:L,4,FALSE)</f>
        <v>1,2-Dichloroethane</v>
      </c>
      <c r="G724" s="95" t="str">
        <f>VLOOKUP(E724,CompDbase!B:M,12,FALSE)</f>
        <v>ClAlk</v>
      </c>
      <c r="H724" s="95">
        <f>VLOOKUP(E724,CompDbase!B:L,8,FALSE)</f>
        <v>98.973331537275584</v>
      </c>
      <c r="I724" s="95">
        <f>VLOOKUP(E724,CompDbase!B:L,11,FALSE)</f>
        <v>79.400000000000006</v>
      </c>
      <c r="J724" s="95">
        <f>VLOOKUP(E724,CompDbase!B:L,9,FALSE)</f>
        <v>10188.832473485421</v>
      </c>
      <c r="K724" s="95">
        <f>VLOOKUP(E724,CompDbase!B:L,10,FALSE)</f>
        <v>1.47</v>
      </c>
      <c r="L724" s="4" t="s">
        <v>717</v>
      </c>
      <c r="M724" s="423"/>
      <c r="N724" s="423">
        <v>948000</v>
      </c>
      <c r="O724" s="4" t="s">
        <v>1044</v>
      </c>
      <c r="P724">
        <v>293</v>
      </c>
      <c r="Q724" s="4" t="s">
        <v>1049</v>
      </c>
      <c r="R724" s="289" t="s">
        <v>1988</v>
      </c>
      <c r="T724" s="95">
        <v>1</v>
      </c>
      <c r="V724" s="36">
        <v>4.5999999999999999E-2</v>
      </c>
      <c r="W724" s="95">
        <f t="shared" si="521"/>
        <v>4.2799800775488128</v>
      </c>
      <c r="X724" s="288">
        <f t="shared" si="508"/>
        <v>0.63144174746393056</v>
      </c>
      <c r="Z724" s="190"/>
      <c r="AC724" t="s">
        <v>68</v>
      </c>
      <c r="AG724" s="138">
        <f t="shared" si="451"/>
        <v>0.63144174746393056</v>
      </c>
      <c r="AH724">
        <f t="shared" si="452"/>
        <v>1.47</v>
      </c>
      <c r="AI724">
        <f t="shared" si="452"/>
        <v>1.47</v>
      </c>
      <c r="AL724">
        <f t="shared" si="522"/>
        <v>1.47</v>
      </c>
      <c r="AO724">
        <f t="shared" si="523"/>
        <v>1.47</v>
      </c>
      <c r="BW724" s="138"/>
      <c r="BX724">
        <f t="shared" si="510"/>
        <v>4.0081244215557099</v>
      </c>
      <c r="BY724">
        <f t="shared" si="524"/>
        <v>4.0081244215557099</v>
      </c>
      <c r="CB724">
        <f t="shared" si="525"/>
        <v>4.0081244215557099</v>
      </c>
      <c r="CE724">
        <f t="shared" si="526"/>
        <v>4.0081244215557099</v>
      </c>
      <c r="DG724" s="138"/>
      <c r="EY724" s="479">
        <f>VLOOKUP(B724,Literatuur!$A:$B,2,FALSE)</f>
        <v>37</v>
      </c>
      <c r="EZ724" t="str">
        <f t="shared" si="469"/>
        <v>1,2-Dichloorethaan</v>
      </c>
      <c r="FA724" t="str">
        <f t="shared" si="470"/>
        <v>ClAlk</v>
      </c>
      <c r="FB724" t="str">
        <f t="shared" si="471"/>
        <v>HDPE</v>
      </c>
      <c r="FC724" t="str">
        <f t="shared" si="472"/>
        <v>Immersion</v>
      </c>
      <c r="FD724">
        <f t="shared" si="473"/>
        <v>293</v>
      </c>
      <c r="FE724" t="str">
        <f t="shared" si="474"/>
        <v>water</v>
      </c>
      <c r="FF724" t="str">
        <f t="shared" si="475"/>
        <v xml:space="preserve">saturated </v>
      </c>
      <c r="FG724" s="408">
        <f t="shared" si="462"/>
        <v>1</v>
      </c>
      <c r="FH724" s="138">
        <f t="shared" si="476"/>
        <v>0.63144174746393056</v>
      </c>
      <c r="FI724" s="106">
        <f t="shared" si="463"/>
        <v>0.30651434469273053</v>
      </c>
      <c r="FJ724" s="138" t="str">
        <f t="shared" si="477"/>
        <v/>
      </c>
      <c r="FK724" s="138" t="str">
        <f t="shared" si="455"/>
        <v>**</v>
      </c>
    </row>
    <row r="725" spans="1:167" ht="12.75" hidden="1" customHeight="1" x14ac:dyDescent="0.2">
      <c r="A725">
        <v>690</v>
      </c>
      <c r="B725" t="s">
        <v>430</v>
      </c>
      <c r="D725" t="s">
        <v>322</v>
      </c>
      <c r="E725">
        <v>410</v>
      </c>
      <c r="F725" t="str">
        <f>VLOOKUP(E725,CompDbase!B:L,4,FALSE)</f>
        <v>1,2-dichloro-, (Z)-Ethene</v>
      </c>
      <c r="G725" s="95" t="str">
        <f>VLOOKUP(E725,CompDbase!B:M,12,FALSE)</f>
        <v>ClAlk</v>
      </c>
      <c r="H725" s="95">
        <f>VLOOKUP(E725,CompDbase!B:L,8,FALSE)</f>
        <v>96.95</v>
      </c>
      <c r="I725" s="95" t="e">
        <f>VLOOKUP(E725,CompDbase!B:L,11,FALSE)</f>
        <v>#DIV/0!</v>
      </c>
      <c r="J725" s="95">
        <f>VLOOKUP(E725,CompDbase!B:L,9,FALSE)</f>
        <v>775.6</v>
      </c>
      <c r="K725" s="95">
        <f>VLOOKUP(E725,CompDbase!B:L,10,FALSE)</f>
        <v>1.906666666666667</v>
      </c>
      <c r="L725" s="4" t="s">
        <v>717</v>
      </c>
      <c r="M725" s="423"/>
      <c r="N725" s="423">
        <v>948000</v>
      </c>
      <c r="O725" s="4" t="s">
        <v>1044</v>
      </c>
      <c r="P725">
        <v>293</v>
      </c>
      <c r="Q725" s="4" t="s">
        <v>1049</v>
      </c>
      <c r="R725" s="289" t="s">
        <v>1988</v>
      </c>
      <c r="T725" s="95">
        <v>1</v>
      </c>
      <c r="V725" s="36">
        <v>0.126</v>
      </c>
      <c r="W725" s="95">
        <f t="shared" si="521"/>
        <v>154.0072202166065</v>
      </c>
      <c r="X725" s="288">
        <f t="shared" si="508"/>
        <v>2.1875410820489614</v>
      </c>
      <c r="Z725" s="190"/>
      <c r="AC725" t="s">
        <v>68</v>
      </c>
      <c r="AG725" s="138">
        <f t="shared" si="451"/>
        <v>2.1875410820489614</v>
      </c>
      <c r="AH725">
        <f t="shared" si="452"/>
        <v>1.906666666666667</v>
      </c>
      <c r="AI725">
        <f t="shared" si="452"/>
        <v>1.906666666666667</v>
      </c>
      <c r="AL725">
        <f t="shared" si="522"/>
        <v>1.906666666666667</v>
      </c>
      <c r="AO725">
        <f t="shared" si="523"/>
        <v>1.906666666666667</v>
      </c>
      <c r="BW725" s="138"/>
      <c r="BX725">
        <f t="shared" si="510"/>
        <v>2.8896378004066676</v>
      </c>
      <c r="BY725">
        <f t="shared" si="524"/>
        <v>2.8896378004066676</v>
      </c>
      <c r="CB725">
        <f t="shared" si="525"/>
        <v>2.8896378004066676</v>
      </c>
      <c r="CE725">
        <f t="shared" si="526"/>
        <v>2.8896378004066676</v>
      </c>
      <c r="DG725" s="138"/>
      <c r="EY725" s="479">
        <f>VLOOKUP(B725,Literatuur!$A:$B,2,FALSE)</f>
        <v>37</v>
      </c>
      <c r="EZ725" t="str">
        <f t="shared" si="469"/>
        <v>1,2-Dichlooretheen(cis)</v>
      </c>
      <c r="FA725" t="str">
        <f t="shared" si="470"/>
        <v>ClAlk</v>
      </c>
      <c r="FB725" t="str">
        <f t="shared" si="471"/>
        <v>HDPE</v>
      </c>
      <c r="FC725" t="str">
        <f t="shared" si="472"/>
        <v>Immersion</v>
      </c>
      <c r="FD725">
        <f t="shared" si="473"/>
        <v>293</v>
      </c>
      <c r="FE725" t="str">
        <f t="shared" si="474"/>
        <v>water</v>
      </c>
      <c r="FF725" t="str">
        <f t="shared" si="475"/>
        <v xml:space="preserve">saturated </v>
      </c>
      <c r="FG725" s="408">
        <f t="shared" si="462"/>
        <v>1</v>
      </c>
      <c r="FH725" s="138">
        <f t="shared" si="476"/>
        <v>2.1875410820489614</v>
      </c>
      <c r="FI725" s="106">
        <f t="shared" si="463"/>
        <v>0.8183134113260131</v>
      </c>
      <c r="FJ725" s="138" t="str">
        <f t="shared" si="477"/>
        <v/>
      </c>
      <c r="FK725" s="138" t="str">
        <f t="shared" si="455"/>
        <v>**</v>
      </c>
    </row>
    <row r="726" spans="1:167" ht="12.75" hidden="1" customHeight="1" x14ac:dyDescent="0.2">
      <c r="A726">
        <v>691</v>
      </c>
      <c r="B726" t="s">
        <v>430</v>
      </c>
      <c r="D726" t="s">
        <v>125</v>
      </c>
      <c r="E726">
        <v>415</v>
      </c>
      <c r="F726" t="str">
        <f>VLOOKUP(E726,CompDbase!B:L,4,FALSE)</f>
        <v>1,2-Dichloropropane</v>
      </c>
      <c r="G726" s="95" t="str">
        <f>VLOOKUP(E726,CompDbase!B:M,12,FALSE)</f>
        <v>ClAlk</v>
      </c>
      <c r="H726" s="95">
        <f>VLOOKUP(E726,CompDbase!B:L,8,FALSE)</f>
        <v>113</v>
      </c>
      <c r="I726" s="95" t="e">
        <f>VLOOKUP(E726,CompDbase!B:L,11,FALSE)</f>
        <v>#DIV/0!</v>
      </c>
      <c r="J726" s="95">
        <f>VLOOKUP(E726,CompDbase!B:L,9,FALSE)</f>
        <v>1469</v>
      </c>
      <c r="K726" s="95">
        <f>VLOOKUP(E726,CompDbase!B:L,10,FALSE)</f>
        <v>1.99</v>
      </c>
      <c r="L726" s="4" t="s">
        <v>717</v>
      </c>
      <c r="M726" s="423"/>
      <c r="N726" s="423">
        <v>948000</v>
      </c>
      <c r="O726" s="4" t="s">
        <v>1044</v>
      </c>
      <c r="P726">
        <v>293</v>
      </c>
      <c r="Q726" s="4" t="s">
        <v>1049</v>
      </c>
      <c r="R726" s="289" t="s">
        <v>1988</v>
      </c>
      <c r="T726" s="95">
        <v>1</v>
      </c>
      <c r="V726" s="36">
        <v>5.6000000000000001E-2</v>
      </c>
      <c r="W726" s="95">
        <f t="shared" si="521"/>
        <v>36.138869979577947</v>
      </c>
      <c r="X726" s="288">
        <f t="shared" si="508"/>
        <v>1.5579745685540103</v>
      </c>
      <c r="Z726" s="190"/>
      <c r="AC726" t="s">
        <v>68</v>
      </c>
      <c r="AG726" s="138">
        <f t="shared" si="451"/>
        <v>1.5579745685540103</v>
      </c>
      <c r="AH726">
        <f t="shared" si="452"/>
        <v>1.99</v>
      </c>
      <c r="AI726">
        <f t="shared" si="452"/>
        <v>1.99</v>
      </c>
      <c r="AL726">
        <f t="shared" si="522"/>
        <v>1.99</v>
      </c>
      <c r="AO726">
        <f t="shared" si="523"/>
        <v>1.99</v>
      </c>
      <c r="BW726" s="138"/>
      <c r="BX726">
        <f t="shared" si="510"/>
        <v>3.1670217957902564</v>
      </c>
      <c r="BY726">
        <f t="shared" si="524"/>
        <v>3.1670217957902564</v>
      </c>
      <c r="CB726">
        <f t="shared" si="525"/>
        <v>3.1670217957902564</v>
      </c>
      <c r="CE726">
        <f t="shared" si="526"/>
        <v>3.1670217957902564</v>
      </c>
      <c r="DG726" s="138"/>
      <c r="EY726" s="479">
        <f>VLOOKUP(B726,Literatuur!$A:$B,2,FALSE)</f>
        <v>37</v>
      </c>
      <c r="EZ726" t="str">
        <f t="shared" si="469"/>
        <v>1,2-dichloorpropaan</v>
      </c>
      <c r="FA726" t="str">
        <f t="shared" si="470"/>
        <v>ClAlk</v>
      </c>
      <c r="FB726" t="str">
        <f t="shared" si="471"/>
        <v>HDPE</v>
      </c>
      <c r="FC726" t="str">
        <f t="shared" si="472"/>
        <v>Immersion</v>
      </c>
      <c r="FD726">
        <f t="shared" si="473"/>
        <v>293</v>
      </c>
      <c r="FE726" t="str">
        <f t="shared" si="474"/>
        <v>water</v>
      </c>
      <c r="FF726" t="str">
        <f t="shared" si="475"/>
        <v xml:space="preserve">saturated </v>
      </c>
      <c r="FG726" s="408">
        <f t="shared" si="462"/>
        <v>1</v>
      </c>
      <c r="FH726" s="138">
        <f t="shared" si="476"/>
        <v>1.5579745685540103</v>
      </c>
      <c r="FI726" s="106">
        <f t="shared" si="463"/>
        <v>0.91598498892778402</v>
      </c>
      <c r="FJ726" s="138" t="str">
        <f t="shared" si="477"/>
        <v/>
      </c>
      <c r="FK726" s="138" t="str">
        <f t="shared" si="455"/>
        <v>**</v>
      </c>
    </row>
    <row r="727" spans="1:167" ht="12.75" hidden="1" customHeight="1" x14ac:dyDescent="0.2">
      <c r="A727">
        <v>692</v>
      </c>
      <c r="B727" t="s">
        <v>430</v>
      </c>
      <c r="D727" t="s">
        <v>311</v>
      </c>
      <c r="E727">
        <v>-402</v>
      </c>
      <c r="F727" t="str">
        <f>VLOOKUP(E727,CompDbase!B:L,4,FALSE)</f>
        <v>Dichloromethane</v>
      </c>
      <c r="G727" s="95" t="str">
        <f>VLOOKUP(E727,CompDbase!B:M,12,FALSE)</f>
        <v>ClAlk</v>
      </c>
      <c r="H727" s="95">
        <f>VLOOKUP(E727,CompDbase!B:L,8,FALSE)</f>
        <v>84.93</v>
      </c>
      <c r="I727" s="95">
        <f>VLOOKUP(E727,CompDbase!B:L,11,FALSE)</f>
        <v>64.5</v>
      </c>
      <c r="J727" s="95">
        <f>VLOOKUP(E727,CompDbase!B:L,9,FALSE)</f>
        <v>20000</v>
      </c>
      <c r="K727" s="95">
        <f>VLOOKUP(E727,CompDbase!B:L,10,FALSE)</f>
        <v>1.25</v>
      </c>
      <c r="L727" s="4" t="s">
        <v>717</v>
      </c>
      <c r="M727" s="423"/>
      <c r="N727" s="423">
        <v>948000</v>
      </c>
      <c r="O727" s="4" t="s">
        <v>1044</v>
      </c>
      <c r="P727">
        <v>293</v>
      </c>
      <c r="Q727" s="4" t="s">
        <v>1049</v>
      </c>
      <c r="R727" s="289" t="s">
        <v>1988</v>
      </c>
      <c r="T727" s="95">
        <v>1</v>
      </c>
      <c r="V727" s="36">
        <v>7.8E-2</v>
      </c>
      <c r="W727" s="95">
        <f t="shared" si="521"/>
        <v>3.6972</v>
      </c>
      <c r="X727" s="288">
        <f t="shared" si="508"/>
        <v>0.56787294436456548</v>
      </c>
      <c r="Z727" s="190"/>
      <c r="AC727" t="s">
        <v>68</v>
      </c>
      <c r="AG727" s="138">
        <f t="shared" si="451"/>
        <v>0.56787294436456548</v>
      </c>
      <c r="AH727">
        <f t="shared" si="452"/>
        <v>1.25</v>
      </c>
      <c r="AI727">
        <f t="shared" si="452"/>
        <v>1.25</v>
      </c>
      <c r="AL727">
        <f t="shared" si="522"/>
        <v>1.25</v>
      </c>
      <c r="AO727">
        <f t="shared" si="523"/>
        <v>1.25</v>
      </c>
      <c r="BW727" s="138"/>
      <c r="BX727">
        <f t="shared" si="510"/>
        <v>4.3010299956639813</v>
      </c>
      <c r="BY727">
        <f t="shared" si="524"/>
        <v>4.3010299956639813</v>
      </c>
      <c r="CB727">
        <f t="shared" si="525"/>
        <v>4.3010299956639813</v>
      </c>
      <c r="CE727">
        <f t="shared" si="526"/>
        <v>4.3010299956639813</v>
      </c>
      <c r="DG727" s="138"/>
      <c r="EY727" s="479">
        <f>VLOOKUP(B727,Literatuur!$A:$B,2,FALSE)</f>
        <v>37</v>
      </c>
      <c r="EZ727" t="str">
        <f t="shared" si="469"/>
        <v>Dichloormethaan</v>
      </c>
      <c r="FA727" t="str">
        <f t="shared" si="470"/>
        <v>ClAlk</v>
      </c>
      <c r="FB727" t="str">
        <f t="shared" si="471"/>
        <v>HDPE</v>
      </c>
      <c r="FC727" t="str">
        <f t="shared" si="472"/>
        <v>Immersion</v>
      </c>
      <c r="FD727">
        <f t="shared" si="473"/>
        <v>293</v>
      </c>
      <c r="FE727" t="str">
        <f t="shared" si="474"/>
        <v>water</v>
      </c>
      <c r="FF727" t="str">
        <f t="shared" si="475"/>
        <v xml:space="preserve">saturated </v>
      </c>
      <c r="FG727" s="408">
        <f t="shared" si="462"/>
        <v>1</v>
      </c>
      <c r="FH727" s="138">
        <f t="shared" si="476"/>
        <v>0.56787294436456548</v>
      </c>
      <c r="FI727" s="106">
        <f t="shared" si="463"/>
        <v>4.8661379824054052E-2</v>
      </c>
      <c r="FJ727" s="138" t="str">
        <f t="shared" si="477"/>
        <v/>
      </c>
      <c r="FK727" s="138" t="str">
        <f t="shared" si="455"/>
        <v>**</v>
      </c>
    </row>
    <row r="728" spans="1:167" ht="12.75" hidden="1" customHeight="1" x14ac:dyDescent="0.2">
      <c r="A728">
        <v>693</v>
      </c>
      <c r="B728" t="s">
        <v>430</v>
      </c>
      <c r="D728" t="s">
        <v>8</v>
      </c>
      <c r="E728">
        <v>403</v>
      </c>
      <c r="F728" t="str">
        <f>VLOOKUP(E728,CompDbase!B:L,4,FALSE)</f>
        <v>Tetrachloroethylene</v>
      </c>
      <c r="G728" s="95" t="str">
        <f>VLOOKUP(E728,CompDbase!B:M,12,FALSE)</f>
        <v>ClAlk</v>
      </c>
      <c r="H728" s="95">
        <f>VLOOKUP(E728,CompDbase!B:L,8,FALSE)</f>
        <v>165.80749949115744</v>
      </c>
      <c r="I728" s="95" t="e">
        <f>VLOOKUP(E728,CompDbase!B:L,11,FALSE)</f>
        <v>#DIV/0!</v>
      </c>
      <c r="J728" s="95">
        <f>VLOOKUP(E728,CompDbase!B:L,9,FALSE)</f>
        <v>118.88250367033854</v>
      </c>
      <c r="K728" s="95">
        <f>VLOOKUP(E728,CompDbase!B:L,10,FALSE)</f>
        <v>3.4</v>
      </c>
      <c r="L728" s="4" t="s">
        <v>717</v>
      </c>
      <c r="M728" s="423"/>
      <c r="N728" s="423">
        <v>948000</v>
      </c>
      <c r="O728" s="4" t="s">
        <v>1044</v>
      </c>
      <c r="P728">
        <v>293</v>
      </c>
      <c r="Q728" s="4" t="s">
        <v>1049</v>
      </c>
      <c r="R728" s="289" t="s">
        <v>1988</v>
      </c>
      <c r="T728" s="95">
        <v>1</v>
      </c>
      <c r="V728" s="36">
        <v>0.17100000000000001</v>
      </c>
      <c r="W728" s="95">
        <f t="shared" si="521"/>
        <v>1363.5984690356611</v>
      </c>
      <c r="X728" s="288">
        <f t="shared" si="508"/>
        <v>3.1346865049580432</v>
      </c>
      <c r="Y728">
        <v>1.3888888888888889E-12</v>
      </c>
      <c r="Z728" s="95">
        <f>LOG(Y728)</f>
        <v>-11.857332496431269</v>
      </c>
      <c r="AA728" s="95">
        <f>W728*Y728</f>
        <v>1.8938867625495291E-9</v>
      </c>
      <c r="AB728" s="288">
        <f>LOG(AA728)</f>
        <v>-8.7226459914732253</v>
      </c>
      <c r="AC728" s="95"/>
      <c r="AD728" s="95"/>
      <c r="AG728" s="138">
        <f t="shared" si="451"/>
        <v>3.1346865049580432</v>
      </c>
      <c r="AH728">
        <f t="shared" si="452"/>
        <v>3.4</v>
      </c>
      <c r="AI728">
        <f t="shared" si="452"/>
        <v>3.4</v>
      </c>
      <c r="AL728">
        <f t="shared" si="522"/>
        <v>3.4</v>
      </c>
      <c r="AO728">
        <f t="shared" si="523"/>
        <v>3.4</v>
      </c>
      <c r="BW728" s="138"/>
      <c r="BX728">
        <f t="shared" si="510"/>
        <v>2.0751179427721769</v>
      </c>
      <c r="BY728">
        <f t="shared" si="524"/>
        <v>2.0751179427721769</v>
      </c>
      <c r="CB728">
        <f t="shared" si="525"/>
        <v>2.0751179427721769</v>
      </c>
      <c r="CE728">
        <f t="shared" si="526"/>
        <v>2.0751179427721769</v>
      </c>
      <c r="DG728">
        <f t="shared" ref="DG728:DG729" si="527">Z728</f>
        <v>-11.857332496431269</v>
      </c>
      <c r="DH728">
        <f t="shared" ref="DH728:DI729" si="528">$H728</f>
        <v>165.80749949115744</v>
      </c>
      <c r="DI728">
        <f t="shared" si="528"/>
        <v>165.80749949115744</v>
      </c>
      <c r="EY728" s="479">
        <f>VLOOKUP(B728,Literatuur!$A:$B,2,FALSE)</f>
        <v>37</v>
      </c>
      <c r="EZ728" t="str">
        <f t="shared" si="469"/>
        <v>Tetrachlooretheen</v>
      </c>
      <c r="FA728" t="str">
        <f t="shared" si="470"/>
        <v>ClAlk</v>
      </c>
      <c r="FB728" t="str">
        <f t="shared" si="471"/>
        <v>HDPE</v>
      </c>
      <c r="FC728" t="str">
        <f t="shared" si="472"/>
        <v>Immersion</v>
      </c>
      <c r="FD728">
        <f t="shared" si="473"/>
        <v>293</v>
      </c>
      <c r="FE728" t="str">
        <f t="shared" si="474"/>
        <v>water</v>
      </c>
      <c r="FF728" t="str">
        <f t="shared" si="475"/>
        <v xml:space="preserve">saturated </v>
      </c>
      <c r="FG728" s="408">
        <f t="shared" si="462"/>
        <v>1</v>
      </c>
      <c r="FH728" s="138">
        <f t="shared" si="476"/>
        <v>3.1346865049580432</v>
      </c>
      <c r="FI728" s="106">
        <f t="shared" si="463"/>
        <v>2.5685880819497564</v>
      </c>
      <c r="FJ728" s="138">
        <f t="shared" si="477"/>
        <v>-11.857332496431269</v>
      </c>
      <c r="FK728" s="138" t="str">
        <f t="shared" si="455"/>
        <v>**</v>
      </c>
    </row>
    <row r="729" spans="1:167" ht="12.75" hidden="1" customHeight="1" x14ac:dyDescent="0.2">
      <c r="A729">
        <v>694</v>
      </c>
      <c r="B729" s="4" t="s">
        <v>430</v>
      </c>
      <c r="C729" s="4"/>
      <c r="D729" t="s">
        <v>8</v>
      </c>
      <c r="E729">
        <v>403</v>
      </c>
      <c r="F729" t="str">
        <f>VLOOKUP(E729,CompDbase!B:L,4,FALSE)</f>
        <v>Tetrachloroethylene</v>
      </c>
      <c r="G729" s="95" t="str">
        <f>VLOOKUP(E729,CompDbase!B:M,12,FALSE)</f>
        <v>ClAlk</v>
      </c>
      <c r="H729" s="95">
        <f>VLOOKUP(E729,CompDbase!B:L,8,FALSE)</f>
        <v>165.80749949115744</v>
      </c>
      <c r="I729" s="95" t="e">
        <f>VLOOKUP(E729,CompDbase!B:L,11,FALSE)</f>
        <v>#DIV/0!</v>
      </c>
      <c r="J729" s="95">
        <f>VLOOKUP(E729,CompDbase!B:L,9,FALSE)</f>
        <v>118.88250367033854</v>
      </c>
      <c r="K729" s="95">
        <f>VLOOKUP(E729,CompDbase!B:L,10,FALSE)</f>
        <v>3.4</v>
      </c>
      <c r="L729" s="4" t="s">
        <v>717</v>
      </c>
      <c r="M729" s="423"/>
      <c r="N729" s="423"/>
      <c r="O729" s="4" t="s">
        <v>1082</v>
      </c>
      <c r="P729">
        <v>293</v>
      </c>
      <c r="Q729" s="4" t="s">
        <v>1049</v>
      </c>
      <c r="R729" s="289" t="s">
        <v>1982</v>
      </c>
      <c r="S729" s="48">
        <v>2.3999999999999998E-3</v>
      </c>
      <c r="T729" s="95">
        <f>S729/J729</f>
        <v>2.0188000133772463E-5</v>
      </c>
      <c r="W729">
        <v>27</v>
      </c>
      <c r="X729" s="288">
        <f t="shared" si="508"/>
        <v>1.4313637641589874</v>
      </c>
      <c r="Y729">
        <v>1.6203703703703701E-13</v>
      </c>
      <c r="Z729" s="95">
        <f>LOG(Y729)</f>
        <v>-12.790385706800656</v>
      </c>
      <c r="AA729" s="95">
        <f>W729*Y729</f>
        <v>4.3749999999999994E-12</v>
      </c>
      <c r="AB729" s="288">
        <f>LOG(AA729)</f>
        <v>-11.359021942641668</v>
      </c>
      <c r="AC729" s="95" t="s">
        <v>68</v>
      </c>
      <c r="AD729" s="95"/>
      <c r="AG729" s="138">
        <f t="shared" si="451"/>
        <v>1.4313637641589874</v>
      </c>
      <c r="AH729">
        <f t="shared" si="452"/>
        <v>3.4</v>
      </c>
      <c r="AK729">
        <f t="shared" ref="AK729" si="529">$K729</f>
        <v>3.4</v>
      </c>
      <c r="BW729" s="138"/>
      <c r="BX729">
        <f t="shared" si="510"/>
        <v>2.0751179427721769</v>
      </c>
      <c r="CA729">
        <f>LOG(1*$J729)</f>
        <v>2.0751179427721769</v>
      </c>
      <c r="DG729">
        <f t="shared" si="527"/>
        <v>-12.790385706800656</v>
      </c>
      <c r="DH729">
        <f t="shared" si="528"/>
        <v>165.80749949115744</v>
      </c>
      <c r="DK729">
        <f t="shared" ref="DK729" si="530">$H729</f>
        <v>165.80749949115744</v>
      </c>
      <c r="DM729">
        <f t="shared" ref="DM729" si="531">$H729</f>
        <v>165.80749949115744</v>
      </c>
      <c r="EY729" s="479">
        <f>VLOOKUP(B729,Literatuur!$A:$B,2,FALSE)</f>
        <v>37</v>
      </c>
      <c r="EZ729" t="str">
        <f t="shared" si="469"/>
        <v>Tetrachlooretheen</v>
      </c>
      <c r="FA729" t="str">
        <f t="shared" si="470"/>
        <v>ClAlk</v>
      </c>
      <c r="FB729" t="str">
        <f t="shared" si="471"/>
        <v>HDPE</v>
      </c>
      <c r="FC729" t="str">
        <f t="shared" si="472"/>
        <v>Permeation</v>
      </c>
      <c r="FD729">
        <f t="shared" si="473"/>
        <v>293</v>
      </c>
      <c r="FE729" t="str">
        <f t="shared" si="474"/>
        <v>water</v>
      </c>
      <c r="FF729" t="str">
        <f t="shared" si="475"/>
        <v>measured 0.0024</v>
      </c>
      <c r="FG729" s="408">
        <f t="shared" si="462"/>
        <v>2.0188000133772463E-5</v>
      </c>
      <c r="FH729" s="138">
        <f t="shared" si="476"/>
        <v>1.4313637641589874</v>
      </c>
      <c r="FI729" s="106" t="str">
        <f t="shared" si="463"/>
        <v>**</v>
      </c>
      <c r="FJ729" s="138">
        <f t="shared" si="477"/>
        <v>-12.790385706800656</v>
      </c>
      <c r="FK729" s="138">
        <f t="shared" si="455"/>
        <v>-13.051068901296079</v>
      </c>
    </row>
    <row r="730" spans="1:167" ht="12.75" hidden="1" customHeight="1" x14ac:dyDescent="0.2">
      <c r="A730">
        <v>695</v>
      </c>
      <c r="B730" t="s">
        <v>430</v>
      </c>
      <c r="D730" t="s">
        <v>313</v>
      </c>
      <c r="E730">
        <v>-403</v>
      </c>
      <c r="F730" t="str">
        <f>VLOOKUP(E730,CompDbase!B:L,4,FALSE)</f>
        <v>Tetrachloromethane</v>
      </c>
      <c r="G730" s="95" t="str">
        <f>VLOOKUP(E730,CompDbase!B:M,12,FALSE)</f>
        <v>ClAlk</v>
      </c>
      <c r="H730" s="95">
        <f>VLOOKUP(E730,CompDbase!B:L,8,FALSE)</f>
        <v>153.82</v>
      </c>
      <c r="I730" s="95" t="e">
        <f>VLOOKUP(E730,CompDbase!B:L,11,FALSE)</f>
        <v>#DIV/0!</v>
      </c>
      <c r="J730" s="95">
        <f>VLOOKUP(E730,CompDbase!B:L,9,FALSE)</f>
        <v>800</v>
      </c>
      <c r="K730" s="95">
        <f>VLOOKUP(E730,CompDbase!B:L,10,FALSE)</f>
        <v>2.83</v>
      </c>
      <c r="L730" s="4" t="s">
        <v>717</v>
      </c>
      <c r="M730" s="423"/>
      <c r="N730" s="423">
        <v>948000</v>
      </c>
      <c r="O730" s="4" t="s">
        <v>1044</v>
      </c>
      <c r="P730">
        <v>293</v>
      </c>
      <c r="Q730" s="4" t="s">
        <v>1049</v>
      </c>
      <c r="R730" s="289" t="s">
        <v>1988</v>
      </c>
      <c r="T730" s="95">
        <v>1</v>
      </c>
      <c r="V730" s="36">
        <v>0.17399999999999999</v>
      </c>
      <c r="W730" s="95">
        <f>V730*N730/J730</f>
        <v>206.19</v>
      </c>
      <c r="X730" s="288">
        <f t="shared" si="508"/>
        <v>2.3142675986287222</v>
      </c>
      <c r="Z730" s="190"/>
      <c r="AC730" t="s">
        <v>68</v>
      </c>
      <c r="AG730" s="138">
        <f t="shared" si="451"/>
        <v>2.3142675986287222</v>
      </c>
      <c r="AH730">
        <f t="shared" si="452"/>
        <v>2.83</v>
      </c>
      <c r="AI730">
        <f t="shared" si="452"/>
        <v>2.83</v>
      </c>
      <c r="AL730">
        <f t="shared" ref="AL730:AL731" si="532">$K730</f>
        <v>2.83</v>
      </c>
      <c r="AO730">
        <f t="shared" ref="AO730:AO731" si="533">$K730</f>
        <v>2.83</v>
      </c>
      <c r="BW730" s="138"/>
      <c r="BX730">
        <f t="shared" si="510"/>
        <v>2.9030899869919438</v>
      </c>
      <c r="BY730">
        <f>LOG(1*$J730)</f>
        <v>2.9030899869919438</v>
      </c>
      <c r="CB730">
        <f>LOG(1*$J730)</f>
        <v>2.9030899869919438</v>
      </c>
      <c r="CE730">
        <f>LOG(1*$J730)</f>
        <v>2.9030899869919438</v>
      </c>
      <c r="DG730" s="138"/>
      <c r="EY730" s="479">
        <f>VLOOKUP(B730,Literatuur!$A:$B,2,FALSE)</f>
        <v>37</v>
      </c>
      <c r="EZ730" t="str">
        <f t="shared" si="469"/>
        <v>Tetrachloormethaan</v>
      </c>
      <c r="FA730" t="str">
        <f t="shared" si="470"/>
        <v>ClAlk</v>
      </c>
      <c r="FB730" t="str">
        <f t="shared" si="471"/>
        <v>HDPE</v>
      </c>
      <c r="FC730" t="str">
        <f t="shared" si="472"/>
        <v>Immersion</v>
      </c>
      <c r="FD730">
        <f t="shared" si="473"/>
        <v>293</v>
      </c>
      <c r="FE730" t="str">
        <f t="shared" si="474"/>
        <v>water</v>
      </c>
      <c r="FF730" t="str">
        <f t="shared" si="475"/>
        <v xml:space="preserve">saturated </v>
      </c>
      <c r="FG730" s="408">
        <f t="shared" si="462"/>
        <v>1</v>
      </c>
      <c r="FH730" s="138">
        <f t="shared" si="476"/>
        <v>2.3142675986287222</v>
      </c>
      <c r="FI730" s="106">
        <f t="shared" si="463"/>
        <v>1.9005144911536398</v>
      </c>
      <c r="FJ730" s="138" t="str">
        <f t="shared" si="477"/>
        <v/>
      </c>
      <c r="FK730" s="138" t="str">
        <f t="shared" si="455"/>
        <v>**</v>
      </c>
    </row>
    <row r="731" spans="1:167" ht="12.75" hidden="1" customHeight="1" x14ac:dyDescent="0.2">
      <c r="A731">
        <v>696</v>
      </c>
      <c r="B731" t="s">
        <v>430</v>
      </c>
      <c r="D731" t="s">
        <v>28</v>
      </c>
      <c r="E731">
        <v>405</v>
      </c>
      <c r="F731" t="str">
        <f>VLOOKUP(E731,CompDbase!B:L,4,FALSE)</f>
        <v>Trichloroethylene</v>
      </c>
      <c r="G731" s="95" t="str">
        <f>VLOOKUP(E731,CompDbase!B:M,12,FALSE)</f>
        <v>ClAlk</v>
      </c>
      <c r="H731" s="95">
        <f>VLOOKUP(E731,CompDbase!B:L,8,FALSE)</f>
        <v>131.4</v>
      </c>
      <c r="I731" s="95" t="e">
        <f>VLOOKUP(E731,CompDbase!B:L,11,FALSE)</f>
        <v>#DIV/0!</v>
      </c>
      <c r="J731" s="95">
        <f>VLOOKUP(E731,CompDbase!B:L,9,FALSE)</f>
        <v>1164.8441611748488</v>
      </c>
      <c r="K731" s="95">
        <f>VLOOKUP(E731,CompDbase!B:L,10,FALSE)</f>
        <v>2.61</v>
      </c>
      <c r="L731" s="4" t="s">
        <v>717</v>
      </c>
      <c r="M731" s="423"/>
      <c r="N731" s="423">
        <v>948000</v>
      </c>
      <c r="O731" s="4" t="s">
        <v>1044</v>
      </c>
      <c r="P731">
        <v>293</v>
      </c>
      <c r="Q731" s="4" t="s">
        <v>1049</v>
      </c>
      <c r="R731" s="289" t="s">
        <v>1988</v>
      </c>
      <c r="T731" s="95">
        <v>1</v>
      </c>
      <c r="V731" s="40">
        <v>0.158</v>
      </c>
      <c r="W731" s="95">
        <f>V731*N731/J731</f>
        <v>128.58715782970447</v>
      </c>
      <c r="X731" s="288">
        <f t="shared" si="508"/>
        <v>2.1091975971870283</v>
      </c>
      <c r="Y731">
        <v>3.2407407407407412E-12</v>
      </c>
      <c r="Z731" s="95">
        <f t="shared" ref="Z731:Z741" si="534">LOG(Y731)</f>
        <v>-11.489355711136675</v>
      </c>
      <c r="AA731" s="95">
        <f>W731*Y731</f>
        <v>4.1671764111478306E-10</v>
      </c>
      <c r="AB731" s="288">
        <f>LOG(AA731)</f>
        <v>-9.3801581139496459</v>
      </c>
      <c r="AC731" s="95"/>
      <c r="AD731" s="95"/>
      <c r="AG731" s="138">
        <f t="shared" si="451"/>
        <v>2.1091975971870283</v>
      </c>
      <c r="AH731">
        <f t="shared" si="452"/>
        <v>2.61</v>
      </c>
      <c r="AI731">
        <f t="shared" si="452"/>
        <v>2.61</v>
      </c>
      <c r="AL731">
        <f t="shared" si="532"/>
        <v>2.61</v>
      </c>
      <c r="AO731">
        <f t="shared" si="533"/>
        <v>2.61</v>
      </c>
      <c r="BW731" s="138"/>
      <c r="BX731">
        <f t="shared" si="510"/>
        <v>3.0662678271054604</v>
      </c>
      <c r="BY731">
        <f>LOG(1*$J731)</f>
        <v>3.0662678271054604</v>
      </c>
      <c r="CB731">
        <f>LOG(1*$J731)</f>
        <v>3.0662678271054604</v>
      </c>
      <c r="CE731">
        <f>LOG(1*$J731)</f>
        <v>3.0662678271054604</v>
      </c>
      <c r="DG731">
        <f t="shared" ref="DG731:DG741" si="535">Z731</f>
        <v>-11.489355711136675</v>
      </c>
      <c r="DH731">
        <f t="shared" ref="DH731:DI741" si="536">$H731</f>
        <v>131.4</v>
      </c>
      <c r="DI731">
        <f t="shared" si="536"/>
        <v>131.4</v>
      </c>
      <c r="EY731" s="479">
        <f>VLOOKUP(B731,Literatuur!$A:$B,2,FALSE)</f>
        <v>37</v>
      </c>
      <c r="EZ731" t="str">
        <f t="shared" si="469"/>
        <v>Trichlooretheen</v>
      </c>
      <c r="FA731" t="str">
        <f t="shared" si="470"/>
        <v>ClAlk</v>
      </c>
      <c r="FB731" t="str">
        <f t="shared" si="471"/>
        <v>HDPE</v>
      </c>
      <c r="FC731" t="str">
        <f t="shared" si="472"/>
        <v>Immersion</v>
      </c>
      <c r="FD731">
        <f t="shared" si="473"/>
        <v>293</v>
      </c>
      <c r="FE731" t="str">
        <f t="shared" si="474"/>
        <v>water</v>
      </c>
      <c r="FF731" t="str">
        <f t="shared" si="475"/>
        <v xml:space="preserve">saturated </v>
      </c>
      <c r="FG731" s="408">
        <f t="shared" si="462"/>
        <v>1</v>
      </c>
      <c r="FH731" s="138">
        <f t="shared" si="476"/>
        <v>2.1091975971870283</v>
      </c>
      <c r="FI731" s="106">
        <f t="shared" si="463"/>
        <v>1.6426615262849631</v>
      </c>
      <c r="FJ731" s="138">
        <f t="shared" si="477"/>
        <v>-11.489355711136675</v>
      </c>
      <c r="FK731" s="138" t="str">
        <f t="shared" si="455"/>
        <v>**</v>
      </c>
    </row>
    <row r="732" spans="1:167" ht="12.75" hidden="1" customHeight="1" x14ac:dyDescent="0.2">
      <c r="A732">
        <v>697</v>
      </c>
      <c r="B732" s="4" t="s">
        <v>430</v>
      </c>
      <c r="C732" s="4"/>
      <c r="D732" t="s">
        <v>28</v>
      </c>
      <c r="E732">
        <v>405</v>
      </c>
      <c r="F732" t="str">
        <f>VLOOKUP(E732,CompDbase!B:L,4,FALSE)</f>
        <v>Trichloroethylene</v>
      </c>
      <c r="G732" s="95" t="str">
        <f>VLOOKUP(E732,CompDbase!B:M,12,FALSE)</f>
        <v>ClAlk</v>
      </c>
      <c r="H732" s="95">
        <f>VLOOKUP(E732,CompDbase!B:L,8,FALSE)</f>
        <v>131.4</v>
      </c>
      <c r="I732" s="95" t="e">
        <f>VLOOKUP(E732,CompDbase!B:L,11,FALSE)</f>
        <v>#DIV/0!</v>
      </c>
      <c r="J732" s="95">
        <f>VLOOKUP(E732,CompDbase!B:L,9,FALSE)</f>
        <v>1164.8441611748488</v>
      </c>
      <c r="K732" s="95">
        <f>VLOOKUP(E732,CompDbase!B:L,10,FALSE)</f>
        <v>2.61</v>
      </c>
      <c r="L732" s="4" t="s">
        <v>717</v>
      </c>
      <c r="M732" s="423"/>
      <c r="N732" s="423"/>
      <c r="O732" s="4" t="s">
        <v>1082</v>
      </c>
      <c r="P732">
        <v>293</v>
      </c>
      <c r="Q732" s="4" t="s">
        <v>1049</v>
      </c>
      <c r="R732" s="289" t="s">
        <v>1982</v>
      </c>
      <c r="S732" s="48">
        <v>3.8199999999999998E-2</v>
      </c>
      <c r="T732" s="95">
        <f>S732/J732</f>
        <v>3.2794086344968161E-5</v>
      </c>
      <c r="W732">
        <v>37.799999999999997</v>
      </c>
      <c r="X732" s="288">
        <f t="shared" si="508"/>
        <v>1.5774917998372253</v>
      </c>
      <c r="Y732">
        <v>2.1990740740740739E-13</v>
      </c>
      <c r="Z732" s="95">
        <f t="shared" si="534"/>
        <v>-12.657760141526065</v>
      </c>
      <c r="AA732" s="95">
        <f>W732*Y732</f>
        <v>8.3124999999999988E-12</v>
      </c>
      <c r="AB732" s="288">
        <f>LOG(AA732)</f>
        <v>-11.080268341688839</v>
      </c>
      <c r="AC732" s="95" t="s">
        <v>68</v>
      </c>
      <c r="AD732" s="95"/>
      <c r="AG732" s="138">
        <f t="shared" si="451"/>
        <v>1.5774917998372253</v>
      </c>
      <c r="AH732">
        <f t="shared" si="452"/>
        <v>2.61</v>
      </c>
      <c r="AK732">
        <f t="shared" ref="AK732" si="537">$K732</f>
        <v>2.61</v>
      </c>
      <c r="BW732" s="138"/>
      <c r="BX732">
        <f t="shared" si="510"/>
        <v>3.0662678271054604</v>
      </c>
      <c r="CA732">
        <f>LOG(1*$J732)</f>
        <v>3.0662678271054604</v>
      </c>
      <c r="DG732">
        <f t="shared" si="535"/>
        <v>-12.657760141526065</v>
      </c>
      <c r="DH732">
        <f t="shared" si="536"/>
        <v>131.4</v>
      </c>
      <c r="DK732">
        <f t="shared" ref="DK732" si="538">$H732</f>
        <v>131.4</v>
      </c>
      <c r="DM732">
        <f t="shared" ref="DM732" si="539">$H732</f>
        <v>131.4</v>
      </c>
      <c r="EY732" s="479">
        <f>VLOOKUP(B732,Literatuur!$A:$B,2,FALSE)</f>
        <v>37</v>
      </c>
      <c r="EZ732" t="str">
        <f t="shared" si="469"/>
        <v>Trichlooretheen</v>
      </c>
      <c r="FA732" t="str">
        <f t="shared" si="470"/>
        <v>ClAlk</v>
      </c>
      <c r="FB732" t="str">
        <f t="shared" si="471"/>
        <v>HDPE</v>
      </c>
      <c r="FC732" t="str">
        <f t="shared" si="472"/>
        <v>Permeation</v>
      </c>
      <c r="FD732">
        <f t="shared" si="473"/>
        <v>293</v>
      </c>
      <c r="FE732" t="str">
        <f t="shared" si="474"/>
        <v>water</v>
      </c>
      <c r="FF732" t="str">
        <f t="shared" si="475"/>
        <v>measured 0.0382</v>
      </c>
      <c r="FG732" s="408">
        <f t="shared" si="462"/>
        <v>3.2794086344968161E-5</v>
      </c>
      <c r="FH732" s="138">
        <f t="shared" si="476"/>
        <v>1.5774917998372253</v>
      </c>
      <c r="FI732" s="106" t="str">
        <f t="shared" si="463"/>
        <v>**</v>
      </c>
      <c r="FJ732" s="138">
        <f t="shared" si="477"/>
        <v>-12.657760141526065</v>
      </c>
      <c r="FK732" s="138">
        <f t="shared" si="455"/>
        <v>-12.664526312706865</v>
      </c>
    </row>
    <row r="733" spans="1:167" ht="12.75" hidden="1" customHeight="1" x14ac:dyDescent="0.2">
      <c r="A733">
        <v>698</v>
      </c>
      <c r="B733" s="4" t="s">
        <v>1402</v>
      </c>
      <c r="C733" s="4"/>
      <c r="D733" t="s">
        <v>537</v>
      </c>
      <c r="E733" s="33">
        <v>-402</v>
      </c>
      <c r="F733" t="str">
        <f>VLOOKUP(E733,CompDbase!B:L,4,FALSE)</f>
        <v>Dichloromethane</v>
      </c>
      <c r="G733" s="95" t="str">
        <f>VLOOKUP(E733,CompDbase!B:M,12,FALSE)</f>
        <v>ClAlk</v>
      </c>
      <c r="H733" s="95">
        <f>VLOOKUP(E733,CompDbase!B:L,8,FALSE)</f>
        <v>84.93</v>
      </c>
      <c r="I733" s="95">
        <f>VLOOKUP(E733,CompDbase!B:L,11,FALSE)</f>
        <v>64.5</v>
      </c>
      <c r="J733" s="95">
        <f>VLOOKUP(E733,CompDbase!B:L,9,FALSE)</f>
        <v>20000</v>
      </c>
      <c r="K733" s="95">
        <f>VLOOKUP(E733,CompDbase!B:L,10,FALSE)</f>
        <v>1.25</v>
      </c>
      <c r="L733" t="s">
        <v>717</v>
      </c>
      <c r="M733" s="423"/>
      <c r="N733" s="423"/>
      <c r="O733" t="s">
        <v>1741</v>
      </c>
      <c r="P733">
        <v>295</v>
      </c>
      <c r="Q733" t="s">
        <v>1049</v>
      </c>
      <c r="R733" s="289" t="s">
        <v>1983</v>
      </c>
      <c r="T733" s="289">
        <v>1</v>
      </c>
      <c r="Y733">
        <v>5.6510000000000001E-12</v>
      </c>
      <c r="Z733" s="95">
        <f t="shared" si="534"/>
        <v>-11.247874692702101</v>
      </c>
      <c r="AC733" t="s">
        <v>68</v>
      </c>
      <c r="AG733" s="138"/>
      <c r="BW733" s="138"/>
      <c r="DG733">
        <f t="shared" si="535"/>
        <v>-11.247874692702101</v>
      </c>
      <c r="DH733">
        <f t="shared" si="536"/>
        <v>84.93</v>
      </c>
      <c r="DJ733">
        <f t="shared" ref="DJ733:DJ734" si="540">$H733</f>
        <v>84.93</v>
      </c>
      <c r="EY733" s="479">
        <f>VLOOKUP(B733,Literatuur!$A:$B,2,FALSE)</f>
        <v>38</v>
      </c>
      <c r="EZ733" t="str">
        <f t="shared" si="469"/>
        <v>Dichloromethane</v>
      </c>
      <c r="FA733" t="str">
        <f t="shared" si="470"/>
        <v>ClAlk</v>
      </c>
      <c r="FB733" t="str">
        <f t="shared" si="471"/>
        <v>HDPE</v>
      </c>
      <c r="FC733" t="str">
        <f t="shared" si="472"/>
        <v>DeSorption</v>
      </c>
      <c r="FD733">
        <f t="shared" si="473"/>
        <v>295</v>
      </c>
      <c r="FE733" t="str">
        <f t="shared" si="474"/>
        <v>water</v>
      </c>
      <c r="FF733" t="str">
        <f t="shared" si="475"/>
        <v xml:space="preserve">saturated ?? </v>
      </c>
      <c r="FG733" s="408">
        <f t="shared" si="462"/>
        <v>1</v>
      </c>
      <c r="FH733" s="138" t="str">
        <f t="shared" si="476"/>
        <v/>
      </c>
      <c r="FI733" s="106" t="str">
        <f t="shared" si="463"/>
        <v>**</v>
      </c>
      <c r="FJ733" s="138">
        <f t="shared" si="477"/>
        <v>-11.247874692702101</v>
      </c>
      <c r="FK733" s="138" t="str">
        <f t="shared" si="455"/>
        <v>**</v>
      </c>
    </row>
    <row r="734" spans="1:167" ht="12.75" hidden="1" customHeight="1" x14ac:dyDescent="0.2">
      <c r="A734">
        <v>699</v>
      </c>
      <c r="B734" s="4" t="s">
        <v>1402</v>
      </c>
      <c r="C734" s="4"/>
      <c r="D734" t="s">
        <v>932</v>
      </c>
      <c r="E734" s="33">
        <v>-1534</v>
      </c>
      <c r="F734" t="str">
        <f>VLOOKUP(E734,CompDbase!B:L,4,FALSE)</f>
        <v>Chloroform</v>
      </c>
      <c r="G734" s="95" t="str">
        <f>VLOOKUP(E734,CompDbase!B:M,12,FALSE)</f>
        <v>ClAlk</v>
      </c>
      <c r="H734" s="95">
        <f>VLOOKUP(E734,CompDbase!B:L,8,FALSE)</f>
        <v>119.38</v>
      </c>
      <c r="I734" s="95" t="e">
        <f>VLOOKUP(E734,CompDbase!B:L,11,FALSE)</f>
        <v>#DIV/0!</v>
      </c>
      <c r="J734" s="95">
        <f>VLOOKUP(E734,CompDbase!B:L,9,FALSE)</f>
        <v>7950</v>
      </c>
      <c r="K734" s="95">
        <f>VLOOKUP(E734,CompDbase!B:L,10,FALSE)</f>
        <v>1.97</v>
      </c>
      <c r="L734" t="s">
        <v>717</v>
      </c>
      <c r="M734" s="423"/>
      <c r="N734" s="423"/>
      <c r="O734" t="s">
        <v>1741</v>
      </c>
      <c r="P734">
        <v>295</v>
      </c>
      <c r="Q734" t="s">
        <v>1049</v>
      </c>
      <c r="R734" s="289" t="s">
        <v>1983</v>
      </c>
      <c r="T734" s="289">
        <v>1</v>
      </c>
      <c r="Y734">
        <v>3.3670000000000005E-12</v>
      </c>
      <c r="Z734" s="95">
        <f t="shared" si="534"/>
        <v>-11.472756883611911</v>
      </c>
      <c r="AC734" t="s">
        <v>68</v>
      </c>
      <c r="AG734" s="138"/>
      <c r="BW734" s="138"/>
      <c r="DG734">
        <f t="shared" si="535"/>
        <v>-11.472756883611911</v>
      </c>
      <c r="DH734">
        <f t="shared" si="536"/>
        <v>119.38</v>
      </c>
      <c r="DJ734">
        <f t="shared" si="540"/>
        <v>119.38</v>
      </c>
      <c r="EY734" s="479">
        <f>VLOOKUP(B734,Literatuur!$A:$B,2,FALSE)</f>
        <v>38</v>
      </c>
      <c r="EZ734" t="str">
        <f t="shared" si="469"/>
        <v>Trichloromethane</v>
      </c>
      <c r="FA734" t="str">
        <f t="shared" si="470"/>
        <v>ClAlk</v>
      </c>
      <c r="FB734" t="str">
        <f t="shared" si="471"/>
        <v>HDPE</v>
      </c>
      <c r="FC734" t="str">
        <f t="shared" si="472"/>
        <v>DeSorption</v>
      </c>
      <c r="FD734">
        <f t="shared" si="473"/>
        <v>295</v>
      </c>
      <c r="FE734" t="str">
        <f t="shared" si="474"/>
        <v>water</v>
      </c>
      <c r="FF734" t="str">
        <f t="shared" si="475"/>
        <v xml:space="preserve">saturated ?? </v>
      </c>
      <c r="FG734" s="408">
        <f t="shared" si="462"/>
        <v>1</v>
      </c>
      <c r="FH734" s="138" t="str">
        <f t="shared" si="476"/>
        <v/>
      </c>
      <c r="FI734" s="106" t="str">
        <f t="shared" si="463"/>
        <v>**</v>
      </c>
      <c r="FJ734" s="138">
        <f t="shared" si="477"/>
        <v>-11.472756883611911</v>
      </c>
      <c r="FK734" s="138" t="str">
        <f t="shared" si="455"/>
        <v>**</v>
      </c>
    </row>
    <row r="735" spans="1:167" ht="12.75" hidden="1" customHeight="1" x14ac:dyDescent="0.2">
      <c r="A735">
        <v>700</v>
      </c>
      <c r="B735" s="4" t="s">
        <v>1875</v>
      </c>
      <c r="C735" s="4"/>
      <c r="D735" t="s">
        <v>537</v>
      </c>
      <c r="E735" s="33">
        <v>-402</v>
      </c>
      <c r="F735" t="str">
        <f>VLOOKUP(E735,CompDbase!B:L,4,FALSE)</f>
        <v>Dichloromethane</v>
      </c>
      <c r="G735" s="95" t="str">
        <f>VLOOKUP(E735,CompDbase!B:M,12,FALSE)</f>
        <v>ClAlk</v>
      </c>
      <c r="H735" s="95">
        <f>VLOOKUP(E735,CompDbase!B:L,8,FALSE)</f>
        <v>84.93</v>
      </c>
      <c r="I735" s="95">
        <f>VLOOKUP(E735,CompDbase!B:L,11,FALSE)</f>
        <v>64.5</v>
      </c>
      <c r="J735" s="95">
        <f>VLOOKUP(E735,CompDbase!B:L,9,FALSE)</f>
        <v>20000</v>
      </c>
      <c r="K735" s="95">
        <f>VLOOKUP(E735,CompDbase!B:L,10,FALSE)</f>
        <v>1.25</v>
      </c>
      <c r="L735" t="s">
        <v>717</v>
      </c>
      <c r="M735" s="423"/>
      <c r="N735" s="423">
        <v>948000</v>
      </c>
      <c r="O735" t="s">
        <v>1044</v>
      </c>
      <c r="P735">
        <v>295</v>
      </c>
      <c r="Q735" t="s">
        <v>1049</v>
      </c>
      <c r="R735" s="289" t="s">
        <v>1983</v>
      </c>
      <c r="T735" s="289">
        <v>1</v>
      </c>
      <c r="U735">
        <v>86.5</v>
      </c>
      <c r="W735" s="183">
        <f>U735/J735</f>
        <v>4.3249999999999999E-3</v>
      </c>
      <c r="X735" s="288">
        <f>LOG(W735)</f>
        <v>-2.364013888199167</v>
      </c>
      <c r="Y735">
        <v>6.4400000000000008E-12</v>
      </c>
      <c r="Z735" s="95">
        <f t="shared" si="534"/>
        <v>-11.191114132640188</v>
      </c>
      <c r="AA735" s="95">
        <f>W735*Y735</f>
        <v>2.7853000000000002E-14</v>
      </c>
      <c r="AB735" s="288">
        <f>LOG(AA735)</f>
        <v>-13.555128020839355</v>
      </c>
      <c r="AC735" s="95" t="s">
        <v>68</v>
      </c>
      <c r="AD735" s="95"/>
      <c r="AG735" s="138">
        <f t="shared" ref="AG735:AG737" si="541">X735</f>
        <v>-2.364013888199167</v>
      </c>
      <c r="AH735">
        <f t="shared" ref="AH735:AI737" si="542">$K735</f>
        <v>1.25</v>
      </c>
      <c r="AI735">
        <f t="shared" si="542"/>
        <v>1.25</v>
      </c>
      <c r="AL735">
        <f t="shared" ref="AL735:AL737" si="543">$K735</f>
        <v>1.25</v>
      </c>
      <c r="AO735">
        <f t="shared" ref="AO735:AO737" si="544">$K735</f>
        <v>1.25</v>
      </c>
      <c r="BW735" s="138"/>
      <c r="BX735">
        <f t="shared" ref="BX735:BY737" si="545">LOG(1*$J735)</f>
        <v>4.3010299956639813</v>
      </c>
      <c r="BY735">
        <f t="shared" si="545"/>
        <v>4.3010299956639813</v>
      </c>
      <c r="CB735">
        <f>LOG(1*$J735)</f>
        <v>4.3010299956639813</v>
      </c>
      <c r="CE735">
        <f>LOG(1*$J735)</f>
        <v>4.3010299956639813</v>
      </c>
      <c r="DG735">
        <f t="shared" si="535"/>
        <v>-11.191114132640188</v>
      </c>
      <c r="DH735">
        <f t="shared" si="536"/>
        <v>84.93</v>
      </c>
      <c r="DI735">
        <f t="shared" si="536"/>
        <v>84.93</v>
      </c>
      <c r="EY735" s="479">
        <f>VLOOKUP(B735,Literatuur!$A:$B,2,FALSE)</f>
        <v>39</v>
      </c>
      <c r="EZ735" t="str">
        <f t="shared" si="469"/>
        <v>Dichloromethane</v>
      </c>
      <c r="FA735" t="str">
        <f t="shared" si="470"/>
        <v>ClAlk</v>
      </c>
      <c r="FB735" t="str">
        <f t="shared" si="471"/>
        <v>HDPE</v>
      </c>
      <c r="FC735" t="str">
        <f t="shared" si="472"/>
        <v>Immersion</v>
      </c>
      <c r="FD735">
        <f t="shared" si="473"/>
        <v>295</v>
      </c>
      <c r="FE735" t="str">
        <f t="shared" si="474"/>
        <v>water</v>
      </c>
      <c r="FF735" t="str">
        <f t="shared" si="475"/>
        <v xml:space="preserve">saturated ?? </v>
      </c>
      <c r="FG735" s="408">
        <f t="shared" si="462"/>
        <v>1</v>
      </c>
      <c r="FH735" s="138">
        <f t="shared" si="476"/>
        <v>-2.364013888199167</v>
      </c>
      <c r="FI735" s="106">
        <f t="shared" si="463"/>
        <v>4.8661379824054052E-2</v>
      </c>
      <c r="FJ735" s="138">
        <f t="shared" si="477"/>
        <v>-11.191114132640188</v>
      </c>
      <c r="FK735" s="138" t="str">
        <f t="shared" si="455"/>
        <v>**</v>
      </c>
    </row>
    <row r="736" spans="1:167" ht="12.75" hidden="1" customHeight="1" x14ac:dyDescent="0.2">
      <c r="A736">
        <v>701</v>
      </c>
      <c r="B736" s="4" t="s">
        <v>1875</v>
      </c>
      <c r="C736" s="4"/>
      <c r="D736" s="4" t="s">
        <v>932</v>
      </c>
      <c r="E736" s="33">
        <v>-1534</v>
      </c>
      <c r="F736" t="str">
        <f>VLOOKUP(E736,CompDbase!B:L,4,FALSE)</f>
        <v>Chloroform</v>
      </c>
      <c r="G736" s="95" t="str">
        <f>VLOOKUP(E736,CompDbase!B:M,12,FALSE)</f>
        <v>ClAlk</v>
      </c>
      <c r="H736" s="95">
        <f>VLOOKUP(E736,CompDbase!B:L,8,FALSE)</f>
        <v>119.38</v>
      </c>
      <c r="I736" s="95" t="e">
        <f>VLOOKUP(E736,CompDbase!B:L,11,FALSE)</f>
        <v>#DIV/0!</v>
      </c>
      <c r="J736" s="95">
        <f>VLOOKUP(E736,CompDbase!B:L,9,FALSE)</f>
        <v>7950</v>
      </c>
      <c r="K736" s="95">
        <f>VLOOKUP(E736,CompDbase!B:L,10,FALSE)</f>
        <v>1.97</v>
      </c>
      <c r="L736" t="s">
        <v>717</v>
      </c>
      <c r="M736" s="423"/>
      <c r="N736" s="423">
        <v>948000</v>
      </c>
      <c r="O736" t="s">
        <v>1044</v>
      </c>
      <c r="P736">
        <v>295</v>
      </c>
      <c r="Q736" t="s">
        <v>1049</v>
      </c>
      <c r="R736" s="289" t="s">
        <v>1983</v>
      </c>
      <c r="T736" s="289">
        <v>1</v>
      </c>
      <c r="U736">
        <v>142.80000000000001</v>
      </c>
      <c r="W736" s="183">
        <f>U736/J736</f>
        <v>1.7962264150943399E-2</v>
      </c>
      <c r="X736" s="288">
        <f>LOG(W736)</f>
        <v>-1.7456389212163146</v>
      </c>
      <c r="Y736">
        <v>5.8200000000000006E-12</v>
      </c>
      <c r="Z736" s="95">
        <f t="shared" si="534"/>
        <v>-11.235077015350111</v>
      </c>
      <c r="AA736" s="95">
        <f>W736*Y736</f>
        <v>1.045403773584906E-13</v>
      </c>
      <c r="AB736" s="288">
        <f>LOG(AA736)</f>
        <v>-12.980715936566426</v>
      </c>
      <c r="AC736" s="95" t="s">
        <v>68</v>
      </c>
      <c r="AD736" s="95"/>
      <c r="AG736" s="138">
        <f t="shared" si="541"/>
        <v>-1.7456389212163146</v>
      </c>
      <c r="AH736">
        <f t="shared" si="542"/>
        <v>1.97</v>
      </c>
      <c r="AI736">
        <f t="shared" si="542"/>
        <v>1.97</v>
      </c>
      <c r="AL736">
        <f t="shared" si="543"/>
        <v>1.97</v>
      </c>
      <c r="AO736">
        <f t="shared" si="544"/>
        <v>1.97</v>
      </c>
      <c r="BW736" s="138"/>
      <c r="BX736">
        <f t="shared" si="545"/>
        <v>3.9003671286564705</v>
      </c>
      <c r="BY736">
        <f t="shared" si="545"/>
        <v>3.9003671286564705</v>
      </c>
      <c r="CB736">
        <f>LOG(1*$J736)</f>
        <v>3.9003671286564705</v>
      </c>
      <c r="CE736">
        <f>LOG(1*$J736)</f>
        <v>3.9003671286564705</v>
      </c>
      <c r="DG736">
        <f t="shared" si="535"/>
        <v>-11.235077015350111</v>
      </c>
      <c r="DH736">
        <f t="shared" si="536"/>
        <v>119.38</v>
      </c>
      <c r="DI736">
        <f t="shared" si="536"/>
        <v>119.38</v>
      </c>
      <c r="EY736" s="479">
        <f>VLOOKUP(B736,Literatuur!$A:$B,2,FALSE)</f>
        <v>39</v>
      </c>
      <c r="EZ736" t="str">
        <f t="shared" si="469"/>
        <v>Trichloromethane</v>
      </c>
      <c r="FA736" t="str">
        <f t="shared" si="470"/>
        <v>ClAlk</v>
      </c>
      <c r="FB736" t="str">
        <f t="shared" si="471"/>
        <v>HDPE</v>
      </c>
      <c r="FC736" t="str">
        <f t="shared" si="472"/>
        <v>Immersion</v>
      </c>
      <c r="FD736">
        <f t="shared" si="473"/>
        <v>295</v>
      </c>
      <c r="FE736" t="str">
        <f t="shared" si="474"/>
        <v>water</v>
      </c>
      <c r="FF736" t="str">
        <f t="shared" si="475"/>
        <v xml:space="preserve">saturated ?? </v>
      </c>
      <c r="FG736" s="408">
        <f t="shared" si="462"/>
        <v>1</v>
      </c>
      <c r="FH736" s="138">
        <f t="shared" si="476"/>
        <v>-1.7456389212163146</v>
      </c>
      <c r="FI736" s="106">
        <f t="shared" si="463"/>
        <v>0.89254381030335894</v>
      </c>
      <c r="FJ736" s="138">
        <f t="shared" si="477"/>
        <v>-11.235077015350111</v>
      </c>
      <c r="FK736" s="138" t="str">
        <f t="shared" si="455"/>
        <v>**</v>
      </c>
    </row>
    <row r="737" spans="1:167" ht="12.75" hidden="1" customHeight="1" x14ac:dyDescent="0.2">
      <c r="A737">
        <v>702</v>
      </c>
      <c r="B737" s="4" t="s">
        <v>1938</v>
      </c>
      <c r="C737" s="4"/>
      <c r="D737" s="4" t="s">
        <v>1066</v>
      </c>
      <c r="E737" s="4">
        <v>-1531</v>
      </c>
      <c r="F737" t="str">
        <f>VLOOKUP(E737,CompDbase!B:L,4,FALSE)</f>
        <v>1-Chloronaphthalene</v>
      </c>
      <c r="G737" s="95" t="str">
        <f>VLOOKUP(E737,CompDbase!B:M,12,FALSE)</f>
        <v>ClArom</v>
      </c>
      <c r="H737" s="95">
        <f>VLOOKUP(E737,CompDbase!B:L,8,FALSE)</f>
        <v>162.62</v>
      </c>
      <c r="I737" s="95">
        <f>VLOOKUP(E737,CompDbase!B:L,11,FALSE)</f>
        <v>137.69999999999999</v>
      </c>
      <c r="J737" s="95">
        <f>VLOOKUP(E737,CompDbase!B:L,9,FALSE)</f>
        <v>17.399999999999999</v>
      </c>
      <c r="K737" s="95">
        <f>VLOOKUP(E737,CompDbase!B:L,10,FALSE)</f>
        <v>4</v>
      </c>
      <c r="L737" s="4" t="s">
        <v>717</v>
      </c>
      <c r="M737" s="423">
        <v>948000</v>
      </c>
      <c r="N737" s="423"/>
      <c r="O737" s="4" t="s">
        <v>1044</v>
      </c>
      <c r="P737">
        <v>298</v>
      </c>
      <c r="Q737" s="4" t="s">
        <v>1049</v>
      </c>
      <c r="R737" s="289" t="s">
        <v>1988</v>
      </c>
      <c r="S737" s="4"/>
      <c r="T737" s="289">
        <v>1</v>
      </c>
      <c r="V737">
        <v>0.06</v>
      </c>
      <c r="W737" s="95">
        <f>V737*M737/J737</f>
        <v>3268.9655172413795</v>
      </c>
      <c r="X737" s="95">
        <f>LOG(W737)</f>
        <v>3.5144103394391104</v>
      </c>
      <c r="Y737">
        <v>7.0000000000000005E-13</v>
      </c>
      <c r="Z737" s="95">
        <f t="shared" si="534"/>
        <v>-12.154901959985743</v>
      </c>
      <c r="AA737" s="95">
        <f>W737*Y737</f>
        <v>2.2882758620689657E-9</v>
      </c>
      <c r="AB737" s="95">
        <f>LOG(AA737)</f>
        <v>-8.6404916205466336</v>
      </c>
      <c r="AC737" s="95"/>
      <c r="AD737" s="95"/>
      <c r="AG737" s="138">
        <f t="shared" si="541"/>
        <v>3.5144103394391104</v>
      </c>
      <c r="AH737">
        <f t="shared" si="542"/>
        <v>4</v>
      </c>
      <c r="AI737">
        <f t="shared" si="542"/>
        <v>4</v>
      </c>
      <c r="AL737">
        <f t="shared" si="543"/>
        <v>4</v>
      </c>
      <c r="AO737">
        <f t="shared" si="544"/>
        <v>4</v>
      </c>
      <c r="BW737" s="138"/>
      <c r="BX737">
        <f t="shared" si="545"/>
        <v>1.2405492482825997</v>
      </c>
      <c r="BY737">
        <f t="shared" si="545"/>
        <v>1.2405492482825997</v>
      </c>
      <c r="CB737">
        <f>LOG(1*$J737)</f>
        <v>1.2405492482825997</v>
      </c>
      <c r="CE737">
        <f>LOG(1*$J737)</f>
        <v>1.2405492482825997</v>
      </c>
      <c r="DG737">
        <f t="shared" si="535"/>
        <v>-12.154901959985743</v>
      </c>
      <c r="DH737">
        <f t="shared" si="536"/>
        <v>162.62</v>
      </c>
      <c r="DI737">
        <f t="shared" si="536"/>
        <v>162.62</v>
      </c>
      <c r="EY737" s="479">
        <f>VLOOKUP(B737,Literatuur!$A:$B,2,FALSE)</f>
        <v>3</v>
      </c>
      <c r="EZ737" t="str">
        <f t="shared" si="469"/>
        <v>1-Chloronphtalene</v>
      </c>
      <c r="FA737" t="str">
        <f t="shared" si="470"/>
        <v>ClArom</v>
      </c>
      <c r="FB737" t="str">
        <f t="shared" si="471"/>
        <v>HDPE</v>
      </c>
      <c r="FC737" t="str">
        <f t="shared" si="472"/>
        <v>Immersion</v>
      </c>
      <c r="FD737">
        <f t="shared" si="473"/>
        <v>298</v>
      </c>
      <c r="FE737" t="str">
        <f t="shared" si="474"/>
        <v>water</v>
      </c>
      <c r="FF737" t="str">
        <f t="shared" si="475"/>
        <v xml:space="preserve">saturated </v>
      </c>
      <c r="FG737" s="408">
        <f t="shared" si="462"/>
        <v>1</v>
      </c>
      <c r="FH737" s="138">
        <f t="shared" si="476"/>
        <v>3.5144103394391104</v>
      </c>
      <c r="FI737" s="106">
        <f t="shared" si="463"/>
        <v>3.2718234406825104</v>
      </c>
      <c r="FJ737" s="138">
        <f t="shared" si="477"/>
        <v>-12.154901959985743</v>
      </c>
      <c r="FK737" s="138" t="str">
        <f t="shared" si="455"/>
        <v>**</v>
      </c>
    </row>
    <row r="738" spans="1:167" ht="12.75" hidden="1" customHeight="1" x14ac:dyDescent="0.2">
      <c r="A738">
        <v>703</v>
      </c>
      <c r="B738" s="4" t="s">
        <v>1938</v>
      </c>
      <c r="C738" s="4"/>
      <c r="D738" s="4" t="s">
        <v>504</v>
      </c>
      <c r="E738" s="4">
        <v>-1531</v>
      </c>
      <c r="F738" t="str">
        <f>VLOOKUP(E738,CompDbase!B:L,4,FALSE)</f>
        <v>1-Chloronaphthalene</v>
      </c>
      <c r="G738" s="95" t="str">
        <f>VLOOKUP(E738,CompDbase!B:M,12,FALSE)</f>
        <v>ClArom</v>
      </c>
      <c r="H738" s="95">
        <f>VLOOKUP(E738,CompDbase!B:L,8,FALSE)</f>
        <v>162.62</v>
      </c>
      <c r="I738" s="95">
        <f>VLOOKUP(E738,CompDbase!B:L,11,FALSE)</f>
        <v>137.69999999999999</v>
      </c>
      <c r="J738" s="95">
        <f>VLOOKUP(E738,CompDbase!B:L,9,FALSE)</f>
        <v>17.399999999999999</v>
      </c>
      <c r="K738" s="95">
        <f>VLOOKUP(E738,CompDbase!B:L,10,FALSE)</f>
        <v>4</v>
      </c>
      <c r="L738" s="4" t="s">
        <v>717</v>
      </c>
      <c r="M738" s="423"/>
      <c r="N738" s="416">
        <v>948000</v>
      </c>
      <c r="O738" s="4" t="s">
        <v>1941</v>
      </c>
      <c r="P738">
        <v>298</v>
      </c>
      <c r="Q738" s="4" t="s">
        <v>1049</v>
      </c>
      <c r="R738" s="289" t="s">
        <v>1988</v>
      </c>
      <c r="S738" s="4"/>
      <c r="T738" s="95">
        <v>1</v>
      </c>
      <c r="Y738">
        <v>8.0000000000000002E-13</v>
      </c>
      <c r="Z738" s="95">
        <f t="shared" si="534"/>
        <v>-12.096910013008056</v>
      </c>
      <c r="AC738" t="s">
        <v>68</v>
      </c>
      <c r="AG738" s="138"/>
      <c r="BW738" s="138"/>
      <c r="DG738">
        <f t="shared" si="535"/>
        <v>-12.096910013008056</v>
      </c>
      <c r="DH738">
        <f t="shared" si="536"/>
        <v>162.62</v>
      </c>
      <c r="DJ738">
        <f t="shared" ref="DJ738:DJ739" si="546">$H738</f>
        <v>162.62</v>
      </c>
      <c r="EY738" s="479">
        <f>VLOOKUP(B738,Literatuur!$A:$B,2,FALSE)</f>
        <v>3</v>
      </c>
      <c r="EZ738" t="str">
        <f t="shared" si="469"/>
        <v>1-Chloronpphtalene</v>
      </c>
      <c r="FA738" t="str">
        <f t="shared" si="470"/>
        <v>ClArom</v>
      </c>
      <c r="FB738" t="str">
        <f t="shared" si="471"/>
        <v>HDPE</v>
      </c>
      <c r="FC738" t="str">
        <f t="shared" si="472"/>
        <v>DeSorption to air</v>
      </c>
      <c r="FD738">
        <f t="shared" si="473"/>
        <v>298</v>
      </c>
      <c r="FE738" t="str">
        <f t="shared" si="474"/>
        <v>water</v>
      </c>
      <c r="FF738" t="str">
        <f t="shared" si="475"/>
        <v xml:space="preserve">saturated </v>
      </c>
      <c r="FG738" s="408">
        <f t="shared" si="462"/>
        <v>1</v>
      </c>
      <c r="FH738" s="138" t="str">
        <f t="shared" si="476"/>
        <v/>
      </c>
      <c r="FI738" s="106" t="str">
        <f t="shared" si="463"/>
        <v>**</v>
      </c>
      <c r="FJ738" s="138">
        <f t="shared" si="477"/>
        <v>-12.096910013008056</v>
      </c>
      <c r="FK738" s="138" t="str">
        <f t="shared" si="455"/>
        <v>**</v>
      </c>
    </row>
    <row r="739" spans="1:167" ht="12.75" hidden="1" customHeight="1" x14ac:dyDescent="0.2">
      <c r="A739">
        <v>704</v>
      </c>
      <c r="B739" s="4" t="s">
        <v>1938</v>
      </c>
      <c r="C739" s="4"/>
      <c r="D739" s="4" t="s">
        <v>503</v>
      </c>
      <c r="E739" s="4">
        <v>-1530</v>
      </c>
      <c r="F739" t="str">
        <f>VLOOKUP(E739,CompDbase!B:L,4,FALSE)</f>
        <v>Chlorobenzene</v>
      </c>
      <c r="G739" s="95" t="str">
        <f>VLOOKUP(E739,CompDbase!B:M,12,FALSE)</f>
        <v>ClArom</v>
      </c>
      <c r="H739" s="95">
        <f>VLOOKUP(E739,CompDbase!B:L,8,FALSE)</f>
        <v>112.56</v>
      </c>
      <c r="I739" s="95">
        <f>VLOOKUP(E739,CompDbase!B:L,11,FALSE)</f>
        <v>102.2</v>
      </c>
      <c r="J739" s="95">
        <f>VLOOKUP(E739,CompDbase!B:L,9,FALSE)</f>
        <v>498</v>
      </c>
      <c r="K739" s="95">
        <f>VLOOKUP(E739,CompDbase!B:L,10,FALSE)</f>
        <v>2.84</v>
      </c>
      <c r="L739" s="4" t="s">
        <v>717</v>
      </c>
      <c r="M739" s="423"/>
      <c r="N739" s="416">
        <v>948000</v>
      </c>
      <c r="O739" s="4" t="s">
        <v>1941</v>
      </c>
      <c r="P739">
        <v>298</v>
      </c>
      <c r="Q739" s="4" t="s">
        <v>1049</v>
      </c>
      <c r="R739" s="289" t="s">
        <v>1988</v>
      </c>
      <c r="S739" s="4"/>
      <c r="T739" s="95">
        <v>1</v>
      </c>
      <c r="Y739">
        <v>6.0999999999999986E-12</v>
      </c>
      <c r="Z739" s="95">
        <f t="shared" si="534"/>
        <v>-11.214670164989233</v>
      </c>
      <c r="AG739" s="138"/>
      <c r="BW739" s="138"/>
      <c r="DG739">
        <f t="shared" si="535"/>
        <v>-11.214670164989233</v>
      </c>
      <c r="DH739">
        <f t="shared" si="536"/>
        <v>112.56</v>
      </c>
      <c r="DJ739">
        <f t="shared" si="546"/>
        <v>112.56</v>
      </c>
      <c r="EY739" s="479">
        <f>VLOOKUP(B739,Literatuur!$A:$B,2,FALSE)</f>
        <v>3</v>
      </c>
      <c r="EZ739" t="str">
        <f t="shared" si="469"/>
        <v>Chlorobenzene</v>
      </c>
      <c r="FA739" t="str">
        <f t="shared" si="470"/>
        <v>ClArom</v>
      </c>
      <c r="FB739" t="str">
        <f t="shared" si="471"/>
        <v>HDPE</v>
      </c>
      <c r="FC739" t="str">
        <f t="shared" si="472"/>
        <v>DeSorption to air</v>
      </c>
      <c r="FD739">
        <f t="shared" si="473"/>
        <v>298</v>
      </c>
      <c r="FE739" t="str">
        <f t="shared" si="474"/>
        <v>water</v>
      </c>
      <c r="FF739" t="str">
        <f t="shared" si="475"/>
        <v xml:space="preserve">saturated </v>
      </c>
      <c r="FG739" s="408">
        <f t="shared" si="462"/>
        <v>1</v>
      </c>
      <c r="FH739" s="138" t="str">
        <f t="shared" si="476"/>
        <v/>
      </c>
      <c r="FI739" s="106" t="str">
        <f t="shared" si="463"/>
        <v>**</v>
      </c>
      <c r="FJ739" s="138">
        <f t="shared" si="477"/>
        <v>-11.214670164989233</v>
      </c>
      <c r="FK739" s="138" t="str">
        <f t="shared" si="455"/>
        <v>**</v>
      </c>
    </row>
    <row r="740" spans="1:167" ht="12.75" hidden="1" customHeight="1" x14ac:dyDescent="0.2">
      <c r="A740">
        <v>705</v>
      </c>
      <c r="B740" s="4" t="s">
        <v>1938</v>
      </c>
      <c r="C740" s="4"/>
      <c r="D740" s="4" t="s">
        <v>503</v>
      </c>
      <c r="E740" s="4">
        <v>-1530</v>
      </c>
      <c r="F740" t="str">
        <f>VLOOKUP(E740,CompDbase!B:L,4,FALSE)</f>
        <v>Chlorobenzene</v>
      </c>
      <c r="G740" s="95" t="str">
        <f>VLOOKUP(E740,CompDbase!B:M,12,FALSE)</f>
        <v>ClArom</v>
      </c>
      <c r="H740" s="95">
        <f>VLOOKUP(E740,CompDbase!B:L,8,FALSE)</f>
        <v>112.56</v>
      </c>
      <c r="I740" s="95">
        <f>VLOOKUP(E740,CompDbase!B:L,11,FALSE)</f>
        <v>102.2</v>
      </c>
      <c r="J740" s="95">
        <f>VLOOKUP(E740,CompDbase!B:L,9,FALSE)</f>
        <v>498</v>
      </c>
      <c r="K740" s="95">
        <f>VLOOKUP(E740,CompDbase!B:L,10,FALSE)</f>
        <v>2.84</v>
      </c>
      <c r="L740" s="4" t="s">
        <v>717</v>
      </c>
      <c r="M740" s="423">
        <v>948000</v>
      </c>
      <c r="N740" s="423"/>
      <c r="O740" s="4" t="s">
        <v>1044</v>
      </c>
      <c r="P740">
        <v>298</v>
      </c>
      <c r="Q740" s="4" t="s">
        <v>1049</v>
      </c>
      <c r="R740" s="289" t="s">
        <v>1988</v>
      </c>
      <c r="S740" s="4"/>
      <c r="T740" s="289">
        <v>1</v>
      </c>
      <c r="V740">
        <v>0.12</v>
      </c>
      <c r="W740" s="95">
        <f>V740*M740/J740</f>
        <v>228.43373493975903</v>
      </c>
      <c r="X740" s="95">
        <f t="shared" ref="X740:X757" si="547">LOG(W740)</f>
        <v>2.3587602406259736</v>
      </c>
      <c r="Y740">
        <v>5.4000000000000004E-12</v>
      </c>
      <c r="Z740" s="95">
        <f t="shared" si="534"/>
        <v>-11.267606240177031</v>
      </c>
      <c r="AA740" s="95">
        <f>W740*Y740</f>
        <v>1.2335421686746989E-9</v>
      </c>
      <c r="AB740" s="95">
        <f>LOG(AA740)</f>
        <v>-8.9088459995510583</v>
      </c>
      <c r="AC740" s="95" t="s">
        <v>68</v>
      </c>
      <c r="AD740" s="95"/>
      <c r="AG740" s="138">
        <f t="shared" ref="AG740:AG757" si="548">X740</f>
        <v>2.3587602406259736</v>
      </c>
      <c r="AH740">
        <f t="shared" ref="AH740:AI757" si="549">$K740</f>
        <v>2.84</v>
      </c>
      <c r="AI740">
        <f t="shared" si="549"/>
        <v>2.84</v>
      </c>
      <c r="AL740">
        <f t="shared" ref="AL740:AL746" si="550">$K740</f>
        <v>2.84</v>
      </c>
      <c r="AO740">
        <f t="shared" ref="AO740:AO746" si="551">$K740</f>
        <v>2.84</v>
      </c>
      <c r="BW740" s="138"/>
      <c r="BX740">
        <f t="shared" ref="BX740:BY746" si="552">LOG(1*$J740)</f>
        <v>2.6972293427597176</v>
      </c>
      <c r="BY740">
        <f t="shared" si="552"/>
        <v>2.6972293427597176</v>
      </c>
      <c r="CB740">
        <f t="shared" ref="CB740:CB746" si="553">LOG(1*$J740)</f>
        <v>2.6972293427597176</v>
      </c>
      <c r="CE740">
        <f t="shared" ref="CE740:CE746" si="554">LOG(1*$J740)</f>
        <v>2.6972293427597176</v>
      </c>
      <c r="DG740">
        <f t="shared" si="535"/>
        <v>-11.267606240177031</v>
      </c>
      <c r="DH740">
        <f t="shared" si="536"/>
        <v>112.56</v>
      </c>
      <c r="DI740">
        <f t="shared" si="536"/>
        <v>112.56</v>
      </c>
      <c r="EY740" s="479">
        <f>VLOOKUP(B740,Literatuur!$A:$B,2,FALSE)</f>
        <v>3</v>
      </c>
      <c r="EZ740" t="str">
        <f t="shared" si="469"/>
        <v>Chlorobenzene</v>
      </c>
      <c r="FA740" t="str">
        <f t="shared" si="470"/>
        <v>ClArom</v>
      </c>
      <c r="FB740" t="str">
        <f t="shared" si="471"/>
        <v>HDPE</v>
      </c>
      <c r="FC740" t="str">
        <f t="shared" si="472"/>
        <v>Immersion</v>
      </c>
      <c r="FD740">
        <f t="shared" si="473"/>
        <v>298</v>
      </c>
      <c r="FE740" t="str">
        <f t="shared" si="474"/>
        <v>water</v>
      </c>
      <c r="FF740" t="str">
        <f t="shared" si="475"/>
        <v xml:space="preserve">saturated </v>
      </c>
      <c r="FG740" s="408">
        <f t="shared" si="462"/>
        <v>1</v>
      </c>
      <c r="FH740" s="138">
        <f t="shared" si="476"/>
        <v>2.3587602406259736</v>
      </c>
      <c r="FI740" s="106">
        <f t="shared" si="463"/>
        <v>1.9122350804658526</v>
      </c>
      <c r="FJ740" s="138">
        <f t="shared" si="477"/>
        <v>-11.267606240177031</v>
      </c>
      <c r="FK740" s="138" t="str">
        <f t="shared" si="455"/>
        <v>**</v>
      </c>
    </row>
    <row r="741" spans="1:167" ht="12.75" hidden="1" customHeight="1" x14ac:dyDescent="0.2">
      <c r="A741">
        <v>706</v>
      </c>
      <c r="B741" t="s">
        <v>1231</v>
      </c>
      <c r="D741" s="4" t="s">
        <v>503</v>
      </c>
      <c r="E741">
        <v>500</v>
      </c>
      <c r="F741" t="str">
        <f>VLOOKUP(E741,CompDbase!B:L,4,FALSE)</f>
        <v>Chlorobenzene</v>
      </c>
      <c r="G741" s="95" t="str">
        <f>VLOOKUP(E741,CompDbase!B:M,12,FALSE)</f>
        <v>ClArom</v>
      </c>
      <c r="H741" s="95">
        <f>VLOOKUP(E741,CompDbase!B:L,8,FALSE)</f>
        <v>112.58999866757466</v>
      </c>
      <c r="I741" s="95" t="e">
        <f>VLOOKUP(E741,CompDbase!B:L,11,FALSE)</f>
        <v>#DIV/0!</v>
      </c>
      <c r="J741" s="95">
        <f>VLOOKUP(E741,CompDbase!B:L,9,FALSE)</f>
        <v>507.42586202944472</v>
      </c>
      <c r="K741" s="95">
        <f>VLOOKUP(E741,CompDbase!B:L,10,FALSE)</f>
        <v>2.89</v>
      </c>
      <c r="L741" s="4" t="s">
        <v>717</v>
      </c>
      <c r="M741" s="420">
        <v>940000</v>
      </c>
      <c r="N741" s="420"/>
      <c r="O741" s="4" t="s">
        <v>1044</v>
      </c>
      <c r="P741">
        <v>293</v>
      </c>
      <c r="Q741" s="4" t="s">
        <v>1049</v>
      </c>
      <c r="T741" s="95">
        <v>1</v>
      </c>
      <c r="V741">
        <v>9.8199999999999996E-2</v>
      </c>
      <c r="W741" s="95">
        <f>V741*M741/J741</f>
        <v>181.91425961383811</v>
      </c>
      <c r="X741" s="288">
        <f t="shared" si="547"/>
        <v>2.2598667432024557</v>
      </c>
      <c r="Y741">
        <v>2.4199999999999998E-12</v>
      </c>
      <c r="Z741" s="95">
        <f t="shared" si="534"/>
        <v>-11.616184634019568</v>
      </c>
      <c r="AA741" s="95">
        <f>W741*Y741</f>
        <v>4.4023250826548818E-10</v>
      </c>
      <c r="AB741" s="288">
        <f>LOG(AA741)</f>
        <v>-9.3563178908171132</v>
      </c>
      <c r="AC741" s="95" t="s">
        <v>68</v>
      </c>
      <c r="AD741" s="95"/>
      <c r="AG741" s="138">
        <f t="shared" si="548"/>
        <v>2.2598667432024557</v>
      </c>
      <c r="AH741">
        <f t="shared" si="549"/>
        <v>2.89</v>
      </c>
      <c r="AI741">
        <f t="shared" si="549"/>
        <v>2.89</v>
      </c>
      <c r="AL741">
        <f t="shared" si="550"/>
        <v>2.89</v>
      </c>
      <c r="AO741">
        <f t="shared" si="551"/>
        <v>2.89</v>
      </c>
      <c r="BW741" s="138"/>
      <c r="BX741">
        <f t="shared" si="552"/>
        <v>2.705372598184193</v>
      </c>
      <c r="BY741">
        <f t="shared" si="552"/>
        <v>2.705372598184193</v>
      </c>
      <c r="CB741">
        <f t="shared" si="553"/>
        <v>2.705372598184193</v>
      </c>
      <c r="CE741">
        <f t="shared" si="554"/>
        <v>2.705372598184193</v>
      </c>
      <c r="DG741">
        <f t="shared" si="535"/>
        <v>-11.616184634019568</v>
      </c>
      <c r="DH741">
        <f t="shared" si="536"/>
        <v>112.58999866757466</v>
      </c>
      <c r="DI741">
        <f t="shared" si="536"/>
        <v>112.58999866757466</v>
      </c>
      <c r="EY741" s="479">
        <f>VLOOKUP(B741,Literatuur!$A:$B,2,FALSE)</f>
        <v>19</v>
      </c>
      <c r="EZ741" t="str">
        <f t="shared" si="469"/>
        <v>Chlorobenzene</v>
      </c>
      <c r="FA741" t="str">
        <f t="shared" si="470"/>
        <v>ClArom</v>
      </c>
      <c r="FB741" t="str">
        <f t="shared" si="471"/>
        <v>HDPE</v>
      </c>
      <c r="FC741" t="str">
        <f t="shared" si="472"/>
        <v>Immersion</v>
      </c>
      <c r="FD741">
        <f t="shared" si="473"/>
        <v>293</v>
      </c>
      <c r="FE741" t="str">
        <f t="shared" si="474"/>
        <v>water</v>
      </c>
      <c r="FF741" t="str">
        <f t="shared" si="475"/>
        <v xml:space="preserve"> </v>
      </c>
      <c r="FG741" s="408">
        <f t="shared" si="462"/>
        <v>1</v>
      </c>
      <c r="FH741" s="138">
        <f t="shared" si="476"/>
        <v>2.2598667432024557</v>
      </c>
      <c r="FI741" s="106">
        <f t="shared" si="463"/>
        <v>1.9708380270269155</v>
      </c>
      <c r="FJ741" s="138">
        <f t="shared" si="477"/>
        <v>-11.616184634019568</v>
      </c>
      <c r="FK741" s="138" t="str">
        <f t="shared" si="455"/>
        <v>**</v>
      </c>
    </row>
    <row r="742" spans="1:167" ht="12.75" hidden="1" customHeight="1" x14ac:dyDescent="0.2">
      <c r="A742">
        <v>707</v>
      </c>
      <c r="B742" t="s">
        <v>430</v>
      </c>
      <c r="D742" t="s">
        <v>300</v>
      </c>
      <c r="E742">
        <v>530</v>
      </c>
      <c r="F742" t="str">
        <f>VLOOKUP(E742,CompDbase!B:L,4,FALSE)</f>
        <v>1,2,3-Trichlorobenzene</v>
      </c>
      <c r="G742" s="95" t="str">
        <f>VLOOKUP(E742,CompDbase!B:M,12,FALSE)</f>
        <v>ClArom</v>
      </c>
      <c r="H742" s="95">
        <f>VLOOKUP(E742,CompDbase!B:L,8,FALSE)</f>
        <v>181.43999503992538</v>
      </c>
      <c r="I742" s="95" t="e">
        <f>VLOOKUP(E742,CompDbase!B:L,11,FALSE)</f>
        <v>#DIV/0!</v>
      </c>
      <c r="J742" s="95">
        <f>VLOOKUP(E742,CompDbase!B:L,9,FALSE)</f>
        <v>13.623987011866511</v>
      </c>
      <c r="K742" s="95">
        <f>VLOOKUP(E742,CompDbase!B:L,10,FALSE)</f>
        <v>4.1399999999999997</v>
      </c>
      <c r="L742" s="4" t="s">
        <v>717</v>
      </c>
      <c r="M742" s="423"/>
      <c r="N742" s="423">
        <v>948000</v>
      </c>
      <c r="O742" s="4" t="s">
        <v>1044</v>
      </c>
      <c r="P742">
        <v>293</v>
      </c>
      <c r="Q742" s="4" t="s">
        <v>1049</v>
      </c>
      <c r="R742" s="289" t="s">
        <v>1988</v>
      </c>
      <c r="T742" s="95">
        <v>1</v>
      </c>
      <c r="V742" s="36">
        <v>3.4000000000000002E-2</v>
      </c>
      <c r="W742" s="95">
        <f>V742*N742/J742</f>
        <v>2365.8272700881093</v>
      </c>
      <c r="X742" s="288">
        <f t="shared" si="547"/>
        <v>3.3739830334508349</v>
      </c>
      <c r="Z742" s="190"/>
      <c r="AC742" t="s">
        <v>68</v>
      </c>
      <c r="AG742" s="138">
        <f t="shared" si="548"/>
        <v>3.3739830334508349</v>
      </c>
      <c r="AH742">
        <f t="shared" si="549"/>
        <v>4.1399999999999997</v>
      </c>
      <c r="AI742">
        <f t="shared" si="549"/>
        <v>4.1399999999999997</v>
      </c>
      <c r="AL742">
        <f t="shared" si="550"/>
        <v>4.1399999999999997</v>
      </c>
      <c r="AO742">
        <f t="shared" si="551"/>
        <v>4.1399999999999997</v>
      </c>
      <c r="BW742" s="138"/>
      <c r="BX742">
        <f t="shared" si="552"/>
        <v>1.1343042209294865</v>
      </c>
      <c r="BY742">
        <f t="shared" si="552"/>
        <v>1.1343042209294865</v>
      </c>
      <c r="CB742">
        <f t="shared" si="553"/>
        <v>1.1343042209294865</v>
      </c>
      <c r="CE742">
        <f t="shared" si="554"/>
        <v>1.1343042209294865</v>
      </c>
      <c r="DG742" s="138"/>
      <c r="EY742" s="479">
        <f>VLOOKUP(B742,Literatuur!$A:$B,2,FALSE)</f>
        <v>37</v>
      </c>
      <c r="EZ742" t="str">
        <f t="shared" si="469"/>
        <v>1,2,3-Trichloorbenzeen</v>
      </c>
      <c r="FA742" t="str">
        <f t="shared" si="470"/>
        <v>ClArom</v>
      </c>
      <c r="FB742" t="str">
        <f t="shared" si="471"/>
        <v>HDPE</v>
      </c>
      <c r="FC742" t="str">
        <f t="shared" si="472"/>
        <v>Immersion</v>
      </c>
      <c r="FD742">
        <f t="shared" si="473"/>
        <v>293</v>
      </c>
      <c r="FE742" t="str">
        <f t="shared" si="474"/>
        <v>water</v>
      </c>
      <c r="FF742" t="str">
        <f t="shared" si="475"/>
        <v xml:space="preserve">saturated </v>
      </c>
      <c r="FG742" s="408">
        <f t="shared" si="462"/>
        <v>1</v>
      </c>
      <c r="FH742" s="138">
        <f t="shared" si="476"/>
        <v>3.3739830334508349</v>
      </c>
      <c r="FI742" s="106">
        <f t="shared" si="463"/>
        <v>3.4359116910534864</v>
      </c>
      <c r="FJ742" s="138" t="str">
        <f t="shared" si="477"/>
        <v/>
      </c>
      <c r="FK742" s="138" t="str">
        <f t="shared" si="455"/>
        <v>**</v>
      </c>
    </row>
    <row r="743" spans="1:167" ht="12.75" hidden="1" customHeight="1" x14ac:dyDescent="0.2">
      <c r="A743">
        <v>708</v>
      </c>
      <c r="B743" t="s">
        <v>430</v>
      </c>
      <c r="D743" t="s">
        <v>302</v>
      </c>
      <c r="E743">
        <v>502</v>
      </c>
      <c r="F743" t="str">
        <f>VLOOKUP(E743,CompDbase!B:L,4,FALSE)</f>
        <v>1,2,4-Trichlorobenzene</v>
      </c>
      <c r="G743" s="95" t="str">
        <f>VLOOKUP(E743,CompDbase!B:M,12,FALSE)</f>
        <v>ClArom</v>
      </c>
      <c r="H743" s="95">
        <f>VLOOKUP(E743,CompDbase!B:L,8,FALSE)</f>
        <v>181.43999503992538</v>
      </c>
      <c r="I743" s="95" t="e">
        <f>VLOOKUP(E743,CompDbase!B:L,11,FALSE)</f>
        <v>#DIV/0!</v>
      </c>
      <c r="J743" s="95">
        <f>VLOOKUP(E743,CompDbase!B:L,9,FALSE)</f>
        <v>28.808020153910686</v>
      </c>
      <c r="K743" s="95">
        <f>VLOOKUP(E743,CompDbase!B:L,10,FALSE)</f>
        <v>4.05</v>
      </c>
      <c r="L743" s="4" t="s">
        <v>717</v>
      </c>
      <c r="M743" s="423"/>
      <c r="N743" s="423">
        <v>948000</v>
      </c>
      <c r="O743" s="4" t="s">
        <v>1044</v>
      </c>
      <c r="P743">
        <v>293</v>
      </c>
      <c r="Q743" s="4" t="s">
        <v>1049</v>
      </c>
      <c r="R743" s="289" t="s">
        <v>1988</v>
      </c>
      <c r="T743" s="95">
        <v>1</v>
      </c>
      <c r="V743" s="36">
        <v>0.11700000000000001</v>
      </c>
      <c r="W743" s="95">
        <f>V743*N743/J743</f>
        <v>3850.1778118529664</v>
      </c>
      <c r="X743" s="288">
        <f t="shared" si="547"/>
        <v>3.58548078689119</v>
      </c>
      <c r="Z743" s="190"/>
      <c r="AC743" t="s">
        <v>68</v>
      </c>
      <c r="AG743" s="138">
        <f t="shared" si="548"/>
        <v>3.58548078689119</v>
      </c>
      <c r="AH743">
        <f t="shared" si="549"/>
        <v>4.05</v>
      </c>
      <c r="AI743">
        <f t="shared" si="549"/>
        <v>4.05</v>
      </c>
      <c r="AL743">
        <f t="shared" si="550"/>
        <v>4.05</v>
      </c>
      <c r="AO743">
        <f t="shared" si="551"/>
        <v>4.05</v>
      </c>
      <c r="BW743" s="138"/>
      <c r="BX743">
        <f t="shared" si="552"/>
        <v>1.459513412193038</v>
      </c>
      <c r="BY743">
        <f t="shared" si="552"/>
        <v>1.459513412193038</v>
      </c>
      <c r="CB743">
        <f t="shared" si="553"/>
        <v>1.459513412193038</v>
      </c>
      <c r="CE743">
        <f t="shared" si="554"/>
        <v>1.459513412193038</v>
      </c>
      <c r="DG743" s="138"/>
      <c r="EY743" s="479">
        <f>VLOOKUP(B743,Literatuur!$A:$B,2,FALSE)</f>
        <v>37</v>
      </c>
      <c r="EZ743" t="str">
        <f t="shared" si="469"/>
        <v>1,2,4-Trichloorbenzeen</v>
      </c>
      <c r="FA743" t="str">
        <f t="shared" si="470"/>
        <v>ClArom</v>
      </c>
      <c r="FB743" t="str">
        <f t="shared" si="471"/>
        <v>HDPE</v>
      </c>
      <c r="FC743" t="str">
        <f t="shared" si="472"/>
        <v>Immersion</v>
      </c>
      <c r="FD743">
        <f t="shared" si="473"/>
        <v>293</v>
      </c>
      <c r="FE743" t="str">
        <f t="shared" si="474"/>
        <v>water</v>
      </c>
      <c r="FF743" t="str">
        <f t="shared" si="475"/>
        <v xml:space="preserve">saturated </v>
      </c>
      <c r="FG743" s="408">
        <f t="shared" si="462"/>
        <v>1</v>
      </c>
      <c r="FH743" s="138">
        <f t="shared" si="476"/>
        <v>3.58548078689119</v>
      </c>
      <c r="FI743" s="106">
        <f t="shared" si="463"/>
        <v>3.3304263872435733</v>
      </c>
      <c r="FJ743" s="138" t="str">
        <f t="shared" si="477"/>
        <v/>
      </c>
      <c r="FK743" s="138" t="str">
        <f t="shared" si="455"/>
        <v>**</v>
      </c>
    </row>
    <row r="744" spans="1:167" ht="12.75" hidden="1" customHeight="1" x14ac:dyDescent="0.2">
      <c r="A744">
        <v>709</v>
      </c>
      <c r="B744" t="s">
        <v>430</v>
      </c>
      <c r="D744" t="s">
        <v>294</v>
      </c>
      <c r="E744">
        <v>528</v>
      </c>
      <c r="F744" t="str">
        <f>VLOOKUP(E744,CompDbase!B:L,4,FALSE)</f>
        <v>1,2-Dichlorobenzene</v>
      </c>
      <c r="G744" s="95" t="str">
        <f>VLOOKUP(E744,CompDbase!B:M,12,FALSE)</f>
        <v>ClArom</v>
      </c>
      <c r="H744" s="95">
        <f>VLOOKUP(E744,CompDbase!B:L,8,FALSE)</f>
        <v>147.002499936227</v>
      </c>
      <c r="I744" s="95" t="e">
        <f>VLOOKUP(E744,CompDbase!B:L,11,FALSE)</f>
        <v>#DIV/0!</v>
      </c>
      <c r="J744" s="95">
        <f>VLOOKUP(E744,CompDbase!B:L,9,FALSE)</f>
        <v>140.21858602054385</v>
      </c>
      <c r="K744" s="95">
        <f>VLOOKUP(E744,CompDbase!B:L,10,FALSE)</f>
        <v>3.43</v>
      </c>
      <c r="L744" s="4" t="s">
        <v>717</v>
      </c>
      <c r="M744" s="423"/>
      <c r="N744" s="423">
        <v>948000</v>
      </c>
      <c r="O744" s="4" t="s">
        <v>1044</v>
      </c>
      <c r="P744">
        <v>293</v>
      </c>
      <c r="Q744" s="4" t="s">
        <v>1049</v>
      </c>
      <c r="R744" s="289" t="s">
        <v>1988</v>
      </c>
      <c r="T744" s="95">
        <v>1</v>
      </c>
      <c r="V744" s="36">
        <v>0.1</v>
      </c>
      <c r="W744" s="95">
        <f>V744*N744/J744</f>
        <v>676.08726268364001</v>
      </c>
      <c r="X744" s="288">
        <f t="shared" si="547"/>
        <v>2.8300027540128561</v>
      </c>
      <c r="Z744" s="190"/>
      <c r="AC744" t="s">
        <v>68</v>
      </c>
      <c r="AG744" s="138">
        <f t="shared" si="548"/>
        <v>2.8300027540128561</v>
      </c>
      <c r="AH744">
        <f t="shared" si="549"/>
        <v>3.43</v>
      </c>
      <c r="AI744">
        <f t="shared" si="549"/>
        <v>3.43</v>
      </c>
      <c r="AL744">
        <f t="shared" si="550"/>
        <v>3.43</v>
      </c>
      <c r="AO744">
        <f t="shared" si="551"/>
        <v>3.43</v>
      </c>
      <c r="BW744" s="138"/>
      <c r="BX744">
        <f t="shared" si="552"/>
        <v>2.1468055833252104</v>
      </c>
      <c r="BY744">
        <f t="shared" si="552"/>
        <v>2.1468055833252104</v>
      </c>
      <c r="CB744">
        <f t="shared" si="553"/>
        <v>2.1468055833252104</v>
      </c>
      <c r="CE744">
        <f t="shared" si="554"/>
        <v>2.1468055833252104</v>
      </c>
      <c r="DG744" s="138"/>
      <c r="EY744" s="479">
        <f>VLOOKUP(B744,Literatuur!$A:$B,2,FALSE)</f>
        <v>37</v>
      </c>
      <c r="EZ744" t="str">
        <f t="shared" si="469"/>
        <v>1,2-Dichloorbenzeen</v>
      </c>
      <c r="FA744" t="str">
        <f t="shared" si="470"/>
        <v>ClArom</v>
      </c>
      <c r="FB744" t="str">
        <f t="shared" si="471"/>
        <v>HDPE</v>
      </c>
      <c r="FC744" t="str">
        <f t="shared" si="472"/>
        <v>Immersion</v>
      </c>
      <c r="FD744">
        <f t="shared" si="473"/>
        <v>293</v>
      </c>
      <c r="FE744" t="str">
        <f t="shared" si="474"/>
        <v>water</v>
      </c>
      <c r="FF744" t="str">
        <f t="shared" si="475"/>
        <v xml:space="preserve">saturated </v>
      </c>
      <c r="FG744" s="408">
        <f t="shared" si="462"/>
        <v>1</v>
      </c>
      <c r="FH744" s="138">
        <f t="shared" si="476"/>
        <v>2.8300027540128561</v>
      </c>
      <c r="FI744" s="106">
        <f t="shared" si="463"/>
        <v>2.6037498498863938</v>
      </c>
      <c r="FJ744" s="138" t="str">
        <f t="shared" si="477"/>
        <v/>
      </c>
      <c r="FK744" s="138" t="str">
        <f t="shared" si="455"/>
        <v>**</v>
      </c>
    </row>
    <row r="745" spans="1:167" ht="12.75" hidden="1" customHeight="1" x14ac:dyDescent="0.2">
      <c r="A745">
        <v>710</v>
      </c>
      <c r="B745" t="s">
        <v>430</v>
      </c>
      <c r="D745" t="s">
        <v>304</v>
      </c>
      <c r="E745">
        <v>531</v>
      </c>
      <c r="F745" t="str">
        <f>VLOOKUP(E745,CompDbase!B:L,4,FALSE)</f>
        <v>1,3,5-Trichlorobenzene</v>
      </c>
      <c r="G745" s="95" t="str">
        <f>VLOOKUP(E745,CompDbase!B:M,12,FALSE)</f>
        <v>ClArom</v>
      </c>
      <c r="H745" s="95">
        <f>VLOOKUP(E745,CompDbase!B:L,8,FALSE)</f>
        <v>181.42499827752513</v>
      </c>
      <c r="I745" s="95" t="e">
        <f>VLOOKUP(E745,CompDbase!B:L,11,FALSE)</f>
        <v>#DIV/0!</v>
      </c>
      <c r="J745" s="95">
        <f>VLOOKUP(E745,CompDbase!B:L,9,FALSE)</f>
        <v>4.7119534067902347</v>
      </c>
      <c r="K745" s="95">
        <f>VLOOKUP(E745,CompDbase!B:L,10,FALSE)</f>
        <v>4.1900000000000004</v>
      </c>
      <c r="L745" s="4" t="s">
        <v>717</v>
      </c>
      <c r="M745" s="423"/>
      <c r="N745" s="423">
        <v>948000</v>
      </c>
      <c r="O745" s="4" t="s">
        <v>1044</v>
      </c>
      <c r="P745">
        <v>293</v>
      </c>
      <c r="Q745" s="4" t="s">
        <v>1049</v>
      </c>
      <c r="R745" s="289" t="s">
        <v>1988</v>
      </c>
      <c r="T745" s="95">
        <v>1</v>
      </c>
      <c r="V745" s="36">
        <v>3.5999999999999997E-2</v>
      </c>
      <c r="W745" s="95">
        <f>V745*N745/J745</f>
        <v>7242.8559991317634</v>
      </c>
      <c r="X745" s="288">
        <f t="shared" si="547"/>
        <v>3.8599098507392839</v>
      </c>
      <c r="Z745" s="190"/>
      <c r="AC745" t="s">
        <v>68</v>
      </c>
      <c r="AG745" s="138">
        <f t="shared" si="548"/>
        <v>3.8599098507392839</v>
      </c>
      <c r="AH745">
        <f t="shared" si="549"/>
        <v>4.1900000000000004</v>
      </c>
      <c r="AI745">
        <f t="shared" si="549"/>
        <v>4.1900000000000004</v>
      </c>
      <c r="AL745">
        <f t="shared" si="550"/>
        <v>4.1900000000000004</v>
      </c>
      <c r="AO745">
        <f t="shared" si="551"/>
        <v>4.1900000000000004</v>
      </c>
      <c r="BW745" s="138"/>
      <c r="BX745">
        <f t="shared" si="552"/>
        <v>0.6732009873660697</v>
      </c>
      <c r="BY745">
        <f t="shared" si="552"/>
        <v>0.6732009873660697</v>
      </c>
      <c r="CB745">
        <f t="shared" si="553"/>
        <v>0.6732009873660697</v>
      </c>
      <c r="CE745">
        <f t="shared" si="554"/>
        <v>0.6732009873660697</v>
      </c>
      <c r="DG745" s="138"/>
      <c r="EY745" s="479">
        <f>VLOOKUP(B745,Literatuur!$A:$B,2,FALSE)</f>
        <v>37</v>
      </c>
      <c r="EZ745" t="str">
        <f t="shared" si="469"/>
        <v>1,3,5-Trichloorbenzeen</v>
      </c>
      <c r="FA745" t="str">
        <f t="shared" si="470"/>
        <v>ClArom</v>
      </c>
      <c r="FB745" t="str">
        <f t="shared" si="471"/>
        <v>HDPE</v>
      </c>
      <c r="FC745" t="str">
        <f t="shared" si="472"/>
        <v>Immersion</v>
      </c>
      <c r="FD745">
        <f t="shared" si="473"/>
        <v>293</v>
      </c>
      <c r="FE745" t="str">
        <f t="shared" si="474"/>
        <v>water</v>
      </c>
      <c r="FF745" t="str">
        <f t="shared" si="475"/>
        <v xml:space="preserve">saturated </v>
      </c>
      <c r="FG745" s="408">
        <f t="shared" si="462"/>
        <v>1</v>
      </c>
      <c r="FH745" s="138">
        <f t="shared" si="476"/>
        <v>3.8599098507392839</v>
      </c>
      <c r="FI745" s="106">
        <f t="shared" si="463"/>
        <v>3.4945146376145493</v>
      </c>
      <c r="FJ745" s="138" t="str">
        <f t="shared" si="477"/>
        <v/>
      </c>
      <c r="FK745" s="138" t="str">
        <f t="shared" si="455"/>
        <v>**</v>
      </c>
    </row>
    <row r="746" spans="1:167" ht="12.75" hidden="1" customHeight="1" x14ac:dyDescent="0.2">
      <c r="A746">
        <v>711</v>
      </c>
      <c r="B746" t="s">
        <v>430</v>
      </c>
      <c r="D746" t="s">
        <v>296</v>
      </c>
      <c r="E746">
        <v>-505</v>
      </c>
      <c r="F746" t="str">
        <f>VLOOKUP(E746,CompDbase!B:L,4,FALSE)</f>
        <v>1,3-Dichlorobenzene</v>
      </c>
      <c r="G746" s="95" t="str">
        <f>VLOOKUP(E746,CompDbase!B:M,12,FALSE)</f>
        <v>ClArom</v>
      </c>
      <c r="H746" s="95">
        <f>VLOOKUP(E746,CompDbase!B:L,8,FALSE)</f>
        <v>147</v>
      </c>
      <c r="I746" s="95" t="e">
        <f>VLOOKUP(E746,CompDbase!B:L,11,FALSE)</f>
        <v>#DIV/0!</v>
      </c>
      <c r="J746" s="95">
        <f>VLOOKUP(E746,CompDbase!B:L,9,FALSE)</f>
        <v>114.33333333333333</v>
      </c>
      <c r="K746" s="95">
        <f>VLOOKUP(E746,CompDbase!B:L,10,FALSE)</f>
        <v>3.4</v>
      </c>
      <c r="L746" s="4" t="s">
        <v>717</v>
      </c>
      <c r="M746" s="423"/>
      <c r="N746" s="423">
        <v>948000</v>
      </c>
      <c r="O746" s="4" t="s">
        <v>1044</v>
      </c>
      <c r="P746">
        <v>293</v>
      </c>
      <c r="Q746" s="4" t="s">
        <v>1049</v>
      </c>
      <c r="R746" s="289" t="s">
        <v>1988</v>
      </c>
      <c r="T746" s="95">
        <v>1</v>
      </c>
      <c r="V746" s="36">
        <v>0.115</v>
      </c>
      <c r="W746" s="95">
        <f>V746*N746/J746</f>
        <v>953.52769679300297</v>
      </c>
      <c r="X746" s="288">
        <f t="shared" si="547"/>
        <v>2.9793333123685701</v>
      </c>
      <c r="Y746">
        <v>8.1018518518518529E-13</v>
      </c>
      <c r="Z746" s="190">
        <f>LOG(Y746)</f>
        <v>-12.091415702464637</v>
      </c>
      <c r="AA746" s="95">
        <f>W746*Y746</f>
        <v>7.7253401360544237E-10</v>
      </c>
      <c r="AB746" s="193">
        <f>LOG(AA746)</f>
        <v>-9.1120823900960666</v>
      </c>
      <c r="AC746" s="192"/>
      <c r="AD746" s="192"/>
      <c r="AG746" s="138">
        <f t="shared" si="548"/>
        <v>2.9793333123685701</v>
      </c>
      <c r="AH746">
        <f t="shared" si="549"/>
        <v>3.4</v>
      </c>
      <c r="AI746">
        <f t="shared" si="549"/>
        <v>3.4</v>
      </c>
      <c r="AL746">
        <f t="shared" si="550"/>
        <v>3.4</v>
      </c>
      <c r="AO746">
        <f t="shared" si="551"/>
        <v>3.4</v>
      </c>
      <c r="BW746" s="138"/>
      <c r="BX746">
        <f t="shared" si="552"/>
        <v>2.0581728653231082</v>
      </c>
      <c r="BY746">
        <f t="shared" si="552"/>
        <v>2.0581728653231082</v>
      </c>
      <c r="CB746">
        <f t="shared" si="553"/>
        <v>2.0581728653231082</v>
      </c>
      <c r="CE746">
        <f t="shared" si="554"/>
        <v>2.0581728653231082</v>
      </c>
      <c r="DG746">
        <f t="shared" ref="DG746:DG747" si="555">Z746</f>
        <v>-12.091415702464637</v>
      </c>
      <c r="DH746">
        <f t="shared" ref="DH746:DI747" si="556">$H746</f>
        <v>147</v>
      </c>
      <c r="DI746">
        <f t="shared" si="556"/>
        <v>147</v>
      </c>
      <c r="EY746" s="479">
        <f>VLOOKUP(B746,Literatuur!$A:$B,2,FALSE)</f>
        <v>37</v>
      </c>
      <c r="EZ746" t="str">
        <f t="shared" si="469"/>
        <v>1,3-Dichloorbenzeen</v>
      </c>
      <c r="FA746" t="str">
        <f t="shared" si="470"/>
        <v>ClArom</v>
      </c>
      <c r="FB746" t="str">
        <f t="shared" si="471"/>
        <v>HDPE</v>
      </c>
      <c r="FC746" t="str">
        <f t="shared" si="472"/>
        <v>Immersion</v>
      </c>
      <c r="FD746">
        <f t="shared" si="473"/>
        <v>293</v>
      </c>
      <c r="FE746" t="str">
        <f t="shared" si="474"/>
        <v>water</v>
      </c>
      <c r="FF746" t="str">
        <f t="shared" si="475"/>
        <v xml:space="preserve">saturated </v>
      </c>
      <c r="FG746" s="408">
        <f t="shared" si="462"/>
        <v>1</v>
      </c>
      <c r="FH746" s="138">
        <f t="shared" si="476"/>
        <v>2.9793333123685701</v>
      </c>
      <c r="FI746" s="106">
        <f t="shared" si="463"/>
        <v>2.5685880819497564</v>
      </c>
      <c r="FJ746" s="138">
        <f t="shared" si="477"/>
        <v>-12.091415702464637</v>
      </c>
      <c r="FK746" s="138" t="str">
        <f t="shared" si="455"/>
        <v>**</v>
      </c>
    </row>
    <row r="747" spans="1:167" ht="12.75" hidden="1" customHeight="1" x14ac:dyDescent="0.2">
      <c r="A747">
        <v>712</v>
      </c>
      <c r="B747" s="4" t="s">
        <v>430</v>
      </c>
      <c r="C747" s="4"/>
      <c r="D747" t="s">
        <v>296</v>
      </c>
      <c r="E747">
        <v>-505</v>
      </c>
      <c r="F747" t="str">
        <f>VLOOKUP(E747,CompDbase!B:L,4,FALSE)</f>
        <v>1,3-Dichlorobenzene</v>
      </c>
      <c r="G747" s="95" t="str">
        <f>VLOOKUP(E747,CompDbase!B:M,12,FALSE)</f>
        <v>ClArom</v>
      </c>
      <c r="H747" s="95">
        <f>VLOOKUP(E747,CompDbase!B:L,8,FALSE)</f>
        <v>147</v>
      </c>
      <c r="I747" s="95" t="e">
        <f>VLOOKUP(E747,CompDbase!B:L,11,FALSE)</f>
        <v>#DIV/0!</v>
      </c>
      <c r="J747" s="95">
        <f>VLOOKUP(E747,CompDbase!B:L,9,FALSE)</f>
        <v>114.33333333333333</v>
      </c>
      <c r="K747" s="95">
        <f>VLOOKUP(E747,CompDbase!B:L,10,FALSE)</f>
        <v>3.4</v>
      </c>
      <c r="L747" s="4" t="s">
        <v>717</v>
      </c>
      <c r="M747" s="423"/>
      <c r="N747" s="423"/>
      <c r="O747" s="4" t="s">
        <v>1082</v>
      </c>
      <c r="P747">
        <v>293</v>
      </c>
      <c r="Q747" s="4" t="s">
        <v>1049</v>
      </c>
      <c r="R747" s="289" t="s">
        <v>1982</v>
      </c>
      <c r="S747" s="41">
        <v>6.0000000000000001E-3</v>
      </c>
      <c r="T747" s="95">
        <f>S747/J747</f>
        <v>5.2478134110787174E-5</v>
      </c>
      <c r="W747">
        <v>78.7</v>
      </c>
      <c r="X747" s="288">
        <f t="shared" si="547"/>
        <v>1.8959747323590646</v>
      </c>
      <c r="Y747">
        <v>1.6203703703703701E-13</v>
      </c>
      <c r="Z747" s="95">
        <f>LOG(Y747)</f>
        <v>-12.790385706800656</v>
      </c>
      <c r="AA747" s="95">
        <f>W747*Y747</f>
        <v>1.2752314814814813E-11</v>
      </c>
      <c r="AB747" s="288">
        <f>LOG(AA747)</f>
        <v>-10.894410974441591</v>
      </c>
      <c r="AC747" s="95" t="s">
        <v>68</v>
      </c>
      <c r="AD747" s="95"/>
      <c r="AG747" s="138">
        <f t="shared" si="548"/>
        <v>1.8959747323590646</v>
      </c>
      <c r="AH747">
        <f t="shared" si="549"/>
        <v>3.4</v>
      </c>
      <c r="AK747">
        <f t="shared" ref="AK747" si="557">$K747</f>
        <v>3.4</v>
      </c>
      <c r="BW747" s="138"/>
      <c r="BX747">
        <f t="shared" ref="BX747:BX757" si="558">LOG(1*$J747)</f>
        <v>2.0581728653231082</v>
      </c>
      <c r="CA747">
        <f>LOG(1*$J747)</f>
        <v>2.0581728653231082</v>
      </c>
      <c r="DG747">
        <f t="shared" si="555"/>
        <v>-12.790385706800656</v>
      </c>
      <c r="DH747">
        <f t="shared" si="556"/>
        <v>147</v>
      </c>
      <c r="DK747">
        <f t="shared" ref="DK747" si="559">$H747</f>
        <v>147</v>
      </c>
      <c r="DM747">
        <f t="shared" ref="DM747" si="560">$H747</f>
        <v>147</v>
      </c>
      <c r="EY747" s="479">
        <f>VLOOKUP(B747,Literatuur!$A:$B,2,FALSE)</f>
        <v>37</v>
      </c>
      <c r="EZ747" t="str">
        <f t="shared" si="469"/>
        <v>1,3-Dichloorbenzeen</v>
      </c>
      <c r="FA747" t="str">
        <f t="shared" si="470"/>
        <v>ClArom</v>
      </c>
      <c r="FB747" t="str">
        <f t="shared" si="471"/>
        <v>HDPE</v>
      </c>
      <c r="FC747" t="str">
        <f t="shared" si="472"/>
        <v>Permeation</v>
      </c>
      <c r="FD747">
        <f t="shared" si="473"/>
        <v>293</v>
      </c>
      <c r="FE747" t="str">
        <f t="shared" si="474"/>
        <v>water</v>
      </c>
      <c r="FF747" t="str">
        <f t="shared" si="475"/>
        <v>measured 0.006</v>
      </c>
      <c r="FG747" s="408">
        <f t="shared" si="462"/>
        <v>5.2478134110787174E-5</v>
      </c>
      <c r="FH747" s="138">
        <f t="shared" si="476"/>
        <v>1.8959747323590646</v>
      </c>
      <c r="FI747" s="106" t="str">
        <f t="shared" si="463"/>
        <v>**</v>
      </c>
      <c r="FJ747" s="138">
        <f t="shared" si="477"/>
        <v>-12.790385706800656</v>
      </c>
      <c r="FK747" s="138">
        <f t="shared" si="455"/>
        <v>-12.839780675016495</v>
      </c>
    </row>
    <row r="748" spans="1:167" ht="12.75" hidden="1" customHeight="1" x14ac:dyDescent="0.2">
      <c r="A748">
        <v>713</v>
      </c>
      <c r="B748" t="s">
        <v>430</v>
      </c>
      <c r="D748" t="s">
        <v>298</v>
      </c>
      <c r="E748">
        <v>501</v>
      </c>
      <c r="F748" t="str">
        <f>VLOOKUP(E748,CompDbase!B:L,4,FALSE)</f>
        <v>1,4-Dichlorobenzene</v>
      </c>
      <c r="G748" s="95" t="str">
        <f>VLOOKUP(E748,CompDbase!B:M,12,FALSE)</f>
        <v>ClArom</v>
      </c>
      <c r="H748" s="95">
        <f>VLOOKUP(E748,CompDbase!B:L,8,FALSE)</f>
        <v>147.00199994558051</v>
      </c>
      <c r="I748" s="95" t="e">
        <f>VLOOKUP(E748,CompDbase!B:L,11,FALSE)</f>
        <v>#DIV/0!</v>
      </c>
      <c r="J748" s="95">
        <f>VLOOKUP(E748,CompDbase!B:L,9,FALSE)</f>
        <v>60.526307160070552</v>
      </c>
      <c r="K748" s="95">
        <f>VLOOKUP(E748,CompDbase!B:L,10,FALSE)</f>
        <v>3.44</v>
      </c>
      <c r="L748" s="4" t="s">
        <v>717</v>
      </c>
      <c r="M748" s="423"/>
      <c r="N748" s="423">
        <v>948000</v>
      </c>
      <c r="O748" s="4" t="s">
        <v>1044</v>
      </c>
      <c r="P748">
        <v>293</v>
      </c>
      <c r="Q748" s="4" t="s">
        <v>1049</v>
      </c>
      <c r="R748" s="289" t="s">
        <v>1988</v>
      </c>
      <c r="T748" s="95">
        <v>1</v>
      </c>
      <c r="V748" s="36">
        <v>3.5000000000000003E-2</v>
      </c>
      <c r="W748" s="95">
        <f>V748*N748/J748</f>
        <v>548.19138250497758</v>
      </c>
      <c r="X748" s="288">
        <f t="shared" si="547"/>
        <v>2.738932204206121</v>
      </c>
      <c r="Z748" s="190"/>
      <c r="AC748" t="s">
        <v>68</v>
      </c>
      <c r="AG748" s="138">
        <f t="shared" si="548"/>
        <v>2.738932204206121</v>
      </c>
      <c r="AH748">
        <f t="shared" si="549"/>
        <v>3.44</v>
      </c>
      <c r="AI748">
        <f t="shared" si="549"/>
        <v>3.44</v>
      </c>
      <c r="AL748">
        <f t="shared" ref="AL748:AL751" si="561">$K748</f>
        <v>3.44</v>
      </c>
      <c r="AO748">
        <f t="shared" ref="AO748:AO751" si="562">$K748</f>
        <v>3.44</v>
      </c>
      <c r="BW748" s="138"/>
      <c r="BX748">
        <f t="shared" si="558"/>
        <v>1.7819441774822209</v>
      </c>
      <c r="BY748">
        <f>LOG(1*$J748)</f>
        <v>1.7819441774822209</v>
      </c>
      <c r="CB748">
        <f>LOG(1*$J748)</f>
        <v>1.7819441774822209</v>
      </c>
      <c r="CE748">
        <f>LOG(1*$J748)</f>
        <v>1.7819441774822209</v>
      </c>
      <c r="DG748" s="138"/>
      <c r="EY748" s="479">
        <f>VLOOKUP(B748,Literatuur!$A:$B,2,FALSE)</f>
        <v>37</v>
      </c>
      <c r="EZ748" t="str">
        <f t="shared" si="469"/>
        <v>1,4-Dichloorbenzeen</v>
      </c>
      <c r="FA748" t="str">
        <f t="shared" si="470"/>
        <v>ClArom</v>
      </c>
      <c r="FB748" t="str">
        <f t="shared" si="471"/>
        <v>HDPE</v>
      </c>
      <c r="FC748" t="str">
        <f t="shared" si="472"/>
        <v>Immersion</v>
      </c>
      <c r="FD748">
        <f t="shared" si="473"/>
        <v>293</v>
      </c>
      <c r="FE748" t="str">
        <f t="shared" si="474"/>
        <v>water</v>
      </c>
      <c r="FF748" t="str">
        <f t="shared" si="475"/>
        <v xml:space="preserve">saturated </v>
      </c>
      <c r="FG748" s="408">
        <f t="shared" si="462"/>
        <v>1</v>
      </c>
      <c r="FH748" s="138">
        <f t="shared" si="476"/>
        <v>2.738932204206121</v>
      </c>
      <c r="FI748" s="106">
        <f t="shared" si="463"/>
        <v>2.6154704391986066</v>
      </c>
      <c r="FJ748" s="138" t="str">
        <f t="shared" si="477"/>
        <v/>
      </c>
      <c r="FK748" s="138" t="str">
        <f t="shared" ref="FK748:FK811" si="563">IF(ISNUMBER(DM748),DM748*DP$33+DP$35,IF(ISNUMBER(DN748),DN748*DP$33+DP$35,IF(ISNUMBER(DO748),DO748*DP$33+DP$35,"**")))</f>
        <v>**</v>
      </c>
    </row>
    <row r="749" spans="1:167" ht="12.75" hidden="1" customHeight="1" x14ac:dyDescent="0.2">
      <c r="A749">
        <v>714</v>
      </c>
      <c r="B749" t="s">
        <v>430</v>
      </c>
      <c r="D749" t="s">
        <v>285</v>
      </c>
      <c r="E749">
        <v>-500</v>
      </c>
      <c r="F749" t="str">
        <f>VLOOKUP(E749,CompDbase!B:L,4,FALSE)</f>
        <v>Benzyl chloride</v>
      </c>
      <c r="G749" s="95" t="str">
        <f>VLOOKUP(E749,CompDbase!B:M,12,FALSE)</f>
        <v>ClArom</v>
      </c>
      <c r="H749" s="95">
        <f>VLOOKUP(E749,CompDbase!B:L,8,FALSE)</f>
        <v>126.59</v>
      </c>
      <c r="I749" s="95" t="e">
        <f>VLOOKUP(E749,CompDbase!B:L,11,FALSE)</f>
        <v>#DIV/0!</v>
      </c>
      <c r="J749" s="95">
        <f>VLOOKUP(E749,CompDbase!B:L,9,FALSE)</f>
        <v>476.5</v>
      </c>
      <c r="K749" s="95">
        <f>VLOOKUP(E749,CompDbase!B:L,10,FALSE)</f>
        <v>2.2999999999999998</v>
      </c>
      <c r="L749" s="4" t="s">
        <v>717</v>
      </c>
      <c r="M749" s="423"/>
      <c r="N749" s="423">
        <v>948000</v>
      </c>
      <c r="O749" s="4" t="s">
        <v>1044</v>
      </c>
      <c r="P749">
        <v>293</v>
      </c>
      <c r="Q749" s="4" t="s">
        <v>1049</v>
      </c>
      <c r="R749" s="289" t="s">
        <v>1988</v>
      </c>
      <c r="T749" s="95">
        <v>1</v>
      </c>
      <c r="V749" s="36">
        <v>3.9E-2</v>
      </c>
      <c r="W749" s="95">
        <f>V749*N749/J749</f>
        <v>77.590766002098633</v>
      </c>
      <c r="X749" s="288">
        <f t="shared" si="547"/>
        <v>1.8898100393902202</v>
      </c>
      <c r="Z749" s="190"/>
      <c r="AC749" t="s">
        <v>68</v>
      </c>
      <c r="AG749" s="138">
        <f t="shared" si="548"/>
        <v>1.8898100393902202</v>
      </c>
      <c r="AH749">
        <f t="shared" si="549"/>
        <v>2.2999999999999998</v>
      </c>
      <c r="AI749">
        <f t="shared" si="549"/>
        <v>2.2999999999999998</v>
      </c>
      <c r="AL749">
        <f t="shared" si="561"/>
        <v>2.2999999999999998</v>
      </c>
      <c r="AO749">
        <f t="shared" si="562"/>
        <v>2.2999999999999998</v>
      </c>
      <c r="BW749" s="138"/>
      <c r="BX749">
        <f t="shared" si="558"/>
        <v>2.6780629049743454</v>
      </c>
      <c r="BY749">
        <f>LOG(1*$J749)</f>
        <v>2.6780629049743454</v>
      </c>
      <c r="CB749">
        <f>LOG(1*$J749)</f>
        <v>2.6780629049743454</v>
      </c>
      <c r="CE749">
        <f>LOG(1*$J749)</f>
        <v>2.6780629049743454</v>
      </c>
      <c r="DG749" s="138"/>
      <c r="EY749" s="479">
        <f>VLOOKUP(B749,Literatuur!$A:$B,2,FALSE)</f>
        <v>37</v>
      </c>
      <c r="EZ749" t="str">
        <f t="shared" si="469"/>
        <v>Benzylchloride</v>
      </c>
      <c r="FA749" t="str">
        <f t="shared" si="470"/>
        <v>ClArom</v>
      </c>
      <c r="FB749" t="str">
        <f t="shared" si="471"/>
        <v>HDPE</v>
      </c>
      <c r="FC749" t="str">
        <f t="shared" si="472"/>
        <v>Immersion</v>
      </c>
      <c r="FD749">
        <f t="shared" si="473"/>
        <v>293</v>
      </c>
      <c r="FE749" t="str">
        <f t="shared" si="474"/>
        <v>water</v>
      </c>
      <c r="FF749" t="str">
        <f t="shared" si="475"/>
        <v xml:space="preserve">saturated </v>
      </c>
      <c r="FG749" s="408">
        <f t="shared" si="462"/>
        <v>1</v>
      </c>
      <c r="FH749" s="138">
        <f t="shared" si="476"/>
        <v>1.8898100393902202</v>
      </c>
      <c r="FI749" s="106">
        <f t="shared" si="463"/>
        <v>1.2793232576063738</v>
      </c>
      <c r="FJ749" s="138" t="str">
        <f t="shared" si="477"/>
        <v/>
      </c>
      <c r="FK749" s="138" t="str">
        <f t="shared" si="563"/>
        <v>**</v>
      </c>
    </row>
    <row r="750" spans="1:167" ht="12.75" hidden="1" customHeight="1" x14ac:dyDescent="0.2">
      <c r="A750">
        <v>715</v>
      </c>
      <c r="B750" t="s">
        <v>430</v>
      </c>
      <c r="D750" t="s">
        <v>290</v>
      </c>
      <c r="E750">
        <v>-503</v>
      </c>
      <c r="F750" t="str">
        <f>VLOOKUP(E750,CompDbase!B:L,4,FALSE)</f>
        <v>mo-Chlorotoluene</v>
      </c>
      <c r="G750" s="95" t="str">
        <f>VLOOKUP(E750,CompDbase!B:M,12,FALSE)</f>
        <v>ClArom</v>
      </c>
      <c r="H750" s="95">
        <f>VLOOKUP(E750,CompDbase!B:L,8,FALSE)</f>
        <v>126.586</v>
      </c>
      <c r="I750" s="95" t="e">
        <f>VLOOKUP(E750,CompDbase!B:L,11,FALSE)</f>
        <v>#DIV/0!</v>
      </c>
      <c r="J750" s="95">
        <f>VLOOKUP(E750,CompDbase!B:L,9,FALSE)</f>
        <v>117</v>
      </c>
      <c r="K750" s="95">
        <f>VLOOKUP(E750,CompDbase!B:L,10,FALSE)</f>
        <v>3.7639999999999998</v>
      </c>
      <c r="L750" s="4" t="s">
        <v>717</v>
      </c>
      <c r="M750" s="423"/>
      <c r="N750" s="423">
        <v>948000</v>
      </c>
      <c r="O750" s="4" t="s">
        <v>1044</v>
      </c>
      <c r="P750">
        <v>293</v>
      </c>
      <c r="Q750" s="4" t="s">
        <v>1049</v>
      </c>
      <c r="R750" s="289" t="s">
        <v>1988</v>
      </c>
      <c r="T750" s="95">
        <v>1</v>
      </c>
      <c r="V750" s="36">
        <v>8.8999999999999996E-2</v>
      </c>
      <c r="W750" s="95">
        <f>V750*N750/J750</f>
        <v>721.12820512820508</v>
      </c>
      <c r="X750" s="288">
        <f t="shared" si="547"/>
        <v>2.8580124822368176</v>
      </c>
      <c r="Z750" s="190"/>
      <c r="AC750" t="s">
        <v>68</v>
      </c>
      <c r="AG750" s="138">
        <f t="shared" si="548"/>
        <v>2.8580124822368176</v>
      </c>
      <c r="AH750">
        <f t="shared" si="549"/>
        <v>3.7639999999999998</v>
      </c>
      <c r="AI750">
        <f t="shared" si="549"/>
        <v>3.7639999999999998</v>
      </c>
      <c r="AL750">
        <f t="shared" si="561"/>
        <v>3.7639999999999998</v>
      </c>
      <c r="AO750">
        <f t="shared" si="562"/>
        <v>3.7639999999999998</v>
      </c>
      <c r="BW750" s="138"/>
      <c r="BX750">
        <f t="shared" si="558"/>
        <v>2.0681858617461617</v>
      </c>
      <c r="BY750">
        <f>LOG(1*$J750)</f>
        <v>2.0681858617461617</v>
      </c>
      <c r="CB750">
        <f>LOG(1*$J750)</f>
        <v>2.0681858617461617</v>
      </c>
      <c r="CE750">
        <f>LOG(1*$J750)</f>
        <v>2.0681858617461617</v>
      </c>
      <c r="DG750" s="138"/>
      <c r="EY750" s="479">
        <f>VLOOKUP(B750,Literatuur!$A:$B,2,FALSE)</f>
        <v>37</v>
      </c>
      <c r="EZ750" t="str">
        <f t="shared" si="469"/>
        <v>m-Chloortolueen</v>
      </c>
      <c r="FA750" t="str">
        <f t="shared" si="470"/>
        <v>ClArom</v>
      </c>
      <c r="FB750" t="str">
        <f t="shared" si="471"/>
        <v>HDPE</v>
      </c>
      <c r="FC750" t="str">
        <f t="shared" si="472"/>
        <v>Immersion</v>
      </c>
      <c r="FD750">
        <f t="shared" si="473"/>
        <v>293</v>
      </c>
      <c r="FE750" t="str">
        <f t="shared" si="474"/>
        <v>water</v>
      </c>
      <c r="FF750" t="str">
        <f t="shared" si="475"/>
        <v xml:space="preserve">saturated </v>
      </c>
      <c r="FG750" s="408">
        <f t="shared" si="462"/>
        <v>1</v>
      </c>
      <c r="FH750" s="138">
        <f t="shared" si="476"/>
        <v>2.8580124822368176</v>
      </c>
      <c r="FI750" s="106">
        <f t="shared" si="463"/>
        <v>2.9952175329142934</v>
      </c>
      <c r="FJ750" s="138" t="str">
        <f t="shared" si="477"/>
        <v/>
      </c>
      <c r="FK750" s="138" t="str">
        <f t="shared" si="563"/>
        <v>**</v>
      </c>
    </row>
    <row r="751" spans="1:167" ht="12.75" hidden="1" customHeight="1" x14ac:dyDescent="0.2">
      <c r="A751">
        <v>716</v>
      </c>
      <c r="B751" t="s">
        <v>430</v>
      </c>
      <c r="D751" t="s">
        <v>127</v>
      </c>
      <c r="E751">
        <v>500</v>
      </c>
      <c r="F751" t="str">
        <f>VLOOKUP(E751,CompDbase!B:L,4,FALSE)</f>
        <v>Chlorobenzene</v>
      </c>
      <c r="G751" s="95" t="str">
        <f>VLOOKUP(E751,CompDbase!B:M,12,FALSE)</f>
        <v>ClArom</v>
      </c>
      <c r="H751" s="95">
        <f>VLOOKUP(E751,CompDbase!B:L,8,FALSE)</f>
        <v>112.58999866757466</v>
      </c>
      <c r="I751" s="95" t="e">
        <f>VLOOKUP(E751,CompDbase!B:L,11,FALSE)</f>
        <v>#DIV/0!</v>
      </c>
      <c r="J751" s="95">
        <f>VLOOKUP(E751,CompDbase!B:L,9,FALSE)</f>
        <v>507.42586202944472</v>
      </c>
      <c r="K751" s="95">
        <f>VLOOKUP(E751,CompDbase!B:L,10,FALSE)</f>
        <v>2.89</v>
      </c>
      <c r="L751" s="4" t="s">
        <v>717</v>
      </c>
      <c r="M751" s="423"/>
      <c r="N751" s="423">
        <v>948000</v>
      </c>
      <c r="O751" s="4" t="s">
        <v>1044</v>
      </c>
      <c r="P751">
        <v>293</v>
      </c>
      <c r="Q751" s="4" t="s">
        <v>1049</v>
      </c>
      <c r="R751" s="289" t="s">
        <v>1988</v>
      </c>
      <c r="T751" s="95">
        <v>1</v>
      </c>
      <c r="V751" s="36">
        <v>9.1999999999999998E-2</v>
      </c>
      <c r="W751" s="95">
        <f>V751*N751/J751</f>
        <v>171.87929612255172</v>
      </c>
      <c r="X751" s="288">
        <f t="shared" si="547"/>
        <v>2.2352235664994287</v>
      </c>
      <c r="Z751" s="190"/>
      <c r="AG751" s="138">
        <f t="shared" si="548"/>
        <v>2.2352235664994287</v>
      </c>
      <c r="AH751">
        <f t="shared" si="549"/>
        <v>2.89</v>
      </c>
      <c r="AI751">
        <f t="shared" si="549"/>
        <v>2.89</v>
      </c>
      <c r="AL751">
        <f t="shared" si="561"/>
        <v>2.89</v>
      </c>
      <c r="AO751">
        <f t="shared" si="562"/>
        <v>2.89</v>
      </c>
      <c r="BW751" s="138"/>
      <c r="BX751">
        <f t="shared" si="558"/>
        <v>2.705372598184193</v>
      </c>
      <c r="BY751">
        <f>LOG(1*$J751)</f>
        <v>2.705372598184193</v>
      </c>
      <c r="CB751">
        <f>LOG(1*$J751)</f>
        <v>2.705372598184193</v>
      </c>
      <c r="CE751">
        <f>LOG(1*$J751)</f>
        <v>2.705372598184193</v>
      </c>
      <c r="DG751" s="138"/>
      <c r="EY751" s="479">
        <f>VLOOKUP(B751,Literatuur!$A:$B,2,FALSE)</f>
        <v>37</v>
      </c>
      <c r="EZ751" t="str">
        <f t="shared" si="469"/>
        <v>Monochloorbenzeen</v>
      </c>
      <c r="FA751" t="str">
        <f t="shared" si="470"/>
        <v>ClArom</v>
      </c>
      <c r="FB751" t="str">
        <f t="shared" si="471"/>
        <v>HDPE</v>
      </c>
      <c r="FC751" t="str">
        <f t="shared" si="472"/>
        <v>Immersion</v>
      </c>
      <c r="FD751">
        <f t="shared" si="473"/>
        <v>293</v>
      </c>
      <c r="FE751" t="str">
        <f t="shared" si="474"/>
        <v>water</v>
      </c>
      <c r="FF751" t="str">
        <f t="shared" si="475"/>
        <v xml:space="preserve">saturated </v>
      </c>
      <c r="FG751" s="408">
        <f t="shared" ref="FG751:FG814" si="564">IF(ISNUMBER(T751),T751,"")</f>
        <v>1</v>
      </c>
      <c r="FH751" s="138">
        <f t="shared" si="476"/>
        <v>2.2352235664994287</v>
      </c>
      <c r="FI751" s="106">
        <f t="shared" ref="FI751:FI814" si="565">IF(ISNUMBER(AL751),AL751*AL$33+AL$35,IF(ISNUMBER(AM751),AM751*AM$33+AM$35,IF(ISNUMBER(AN751),AN751*AN$33+AN$35,"**")))</f>
        <v>1.9708380270269155</v>
      </c>
      <c r="FJ751" s="138" t="str">
        <f t="shared" si="477"/>
        <v/>
      </c>
      <c r="FK751" s="138" t="str">
        <f t="shared" si="563"/>
        <v>**</v>
      </c>
    </row>
    <row r="752" spans="1:167" ht="12.75" hidden="1" customHeight="1" x14ac:dyDescent="0.2">
      <c r="A752">
        <v>717</v>
      </c>
      <c r="B752" s="4" t="s">
        <v>430</v>
      </c>
      <c r="C752" s="4"/>
      <c r="D752" t="s">
        <v>127</v>
      </c>
      <c r="E752">
        <v>500</v>
      </c>
      <c r="F752" t="str">
        <f>VLOOKUP(E752,CompDbase!B:L,4,FALSE)</f>
        <v>Chlorobenzene</v>
      </c>
      <c r="G752" s="95" t="str">
        <f>VLOOKUP(E752,CompDbase!B:M,12,FALSE)</f>
        <v>ClArom</v>
      </c>
      <c r="H752" s="95">
        <f>VLOOKUP(E752,CompDbase!B:L,8,FALSE)</f>
        <v>112.58999866757466</v>
      </c>
      <c r="I752" s="95" t="e">
        <f>VLOOKUP(E752,CompDbase!B:L,11,FALSE)</f>
        <v>#DIV/0!</v>
      </c>
      <c r="J752" s="95">
        <f>VLOOKUP(E752,CompDbase!B:L,9,FALSE)</f>
        <v>507.42586202944472</v>
      </c>
      <c r="K752" s="95">
        <f>VLOOKUP(E752,CompDbase!B:L,10,FALSE)</f>
        <v>2.89</v>
      </c>
      <c r="L752" s="4" t="s">
        <v>717</v>
      </c>
      <c r="M752" s="423"/>
      <c r="N752" s="423"/>
      <c r="O752" s="4" t="s">
        <v>1082</v>
      </c>
      <c r="P752">
        <v>293</v>
      </c>
      <c r="Q752" s="4" t="s">
        <v>1049</v>
      </c>
      <c r="R752" s="289" t="s">
        <v>1982</v>
      </c>
      <c r="S752" s="41">
        <v>6.6000000000000003E-2</v>
      </c>
      <c r="T752" s="95">
        <f>S752/J752</f>
        <v>1.300682620630207E-4</v>
      </c>
      <c r="W752">
        <v>42.1</v>
      </c>
      <c r="X752" s="288">
        <f t="shared" si="547"/>
        <v>1.6242820958356683</v>
      </c>
      <c r="Y752">
        <v>5.324074074074074E-13</v>
      </c>
      <c r="Z752" s="95">
        <f>LOG(Y752)</f>
        <v>-12.27375591079732</v>
      </c>
      <c r="AA752" s="95">
        <f>W752*Y752</f>
        <v>2.2414351851851854E-11</v>
      </c>
      <c r="AB752" s="288">
        <f>LOG(AA752)</f>
        <v>-10.649473814961651</v>
      </c>
      <c r="AC752" s="95" t="s">
        <v>68</v>
      </c>
      <c r="AD752" s="95"/>
      <c r="AG752" s="138">
        <f t="shared" si="548"/>
        <v>1.6242820958356683</v>
      </c>
      <c r="AH752">
        <f t="shared" si="549"/>
        <v>2.89</v>
      </c>
      <c r="AK752">
        <f t="shared" ref="AK752" si="566">$K752</f>
        <v>2.89</v>
      </c>
      <c r="BW752" s="138"/>
      <c r="BX752">
        <f t="shared" si="558"/>
        <v>2.705372598184193</v>
      </c>
      <c r="CA752">
        <f>LOG(1*$J752)</f>
        <v>2.705372598184193</v>
      </c>
      <c r="DG752">
        <f>Z752</f>
        <v>-12.27375591079732</v>
      </c>
      <c r="DH752">
        <f>$H752</f>
        <v>112.58999866757466</v>
      </c>
      <c r="DK752">
        <f t="shared" ref="DK752" si="567">$H752</f>
        <v>112.58999866757466</v>
      </c>
      <c r="DM752">
        <f t="shared" ref="DM752" si="568">$H752</f>
        <v>112.58999866757466</v>
      </c>
      <c r="EY752" s="479">
        <f>VLOOKUP(B752,Literatuur!$A:$B,2,FALSE)</f>
        <v>37</v>
      </c>
      <c r="EZ752" t="str">
        <f t="shared" ref="EZ752:EZ815" si="569">D752</f>
        <v>Monochloorbenzeen</v>
      </c>
      <c r="FA752" t="str">
        <f t="shared" ref="FA752:FA815" si="570">G752</f>
        <v>ClArom</v>
      </c>
      <c r="FB752" t="str">
        <f t="shared" ref="FB752:FB815" si="571">L752</f>
        <v>HDPE</v>
      </c>
      <c r="FC752" t="str">
        <f t="shared" ref="FC752:FC815" si="572">CONCATENATE(O752)</f>
        <v>Permeation</v>
      </c>
      <c r="FD752">
        <f t="shared" ref="FD752:FD815" si="573">P752</f>
        <v>293</v>
      </c>
      <c r="FE752" t="str">
        <f t="shared" ref="FE752:FE815" si="574">Q752</f>
        <v>water</v>
      </c>
      <c r="FF752" t="str">
        <f t="shared" ref="FF752:FF815" si="575">CONCATENATE(R752," ",S752)</f>
        <v>measured 0.066</v>
      </c>
      <c r="FG752" s="408">
        <f t="shared" si="564"/>
        <v>1.300682620630207E-4</v>
      </c>
      <c r="FH752" s="138">
        <f t="shared" ref="FH752:FH815" si="576">IF(ISNUMBER(X752),X752,"")</f>
        <v>1.6242820958356683</v>
      </c>
      <c r="FI752" s="106" t="str">
        <f t="shared" si="565"/>
        <v>**</v>
      </c>
      <c r="FJ752" s="138">
        <f t="shared" ref="FJ752:FJ815" si="577">IF(ISNUMBER(Z752),Z752,"")</f>
        <v>-12.27375591079732</v>
      </c>
      <c r="FK752" s="138">
        <f t="shared" si="563"/>
        <v>-12.453209980107024</v>
      </c>
    </row>
    <row r="753" spans="1:167" ht="12.75" hidden="1" customHeight="1" x14ac:dyDescent="0.2">
      <c r="A753">
        <v>718</v>
      </c>
      <c r="B753" t="s">
        <v>430</v>
      </c>
      <c r="D753" t="s">
        <v>287</v>
      </c>
      <c r="E753">
        <v>-502</v>
      </c>
      <c r="F753" t="str">
        <f>VLOOKUP(E753,CompDbase!B:L,4,FALSE)</f>
        <v>o-Chlorotoluene</v>
      </c>
      <c r="G753" s="95" t="str">
        <f>VLOOKUP(E753,CompDbase!B:M,12,FALSE)</f>
        <v>ClArom</v>
      </c>
      <c r="H753" s="95">
        <f>VLOOKUP(E753,CompDbase!B:L,8,FALSE)</f>
        <v>126.586</v>
      </c>
      <c r="I753" s="95" t="e">
        <f>VLOOKUP(E753,CompDbase!B:L,11,FALSE)</f>
        <v>#DIV/0!</v>
      </c>
      <c r="J753" s="95">
        <f>VLOOKUP(E753,CompDbase!B:L,9,FALSE)</f>
        <v>154</v>
      </c>
      <c r="K753" s="95">
        <f>VLOOKUP(E753,CompDbase!B:L,10,FALSE)</f>
        <v>3.2</v>
      </c>
      <c r="L753" s="4" t="s">
        <v>717</v>
      </c>
      <c r="M753" s="423"/>
      <c r="N753" s="423">
        <v>948000</v>
      </c>
      <c r="O753" s="4" t="s">
        <v>1044</v>
      </c>
      <c r="P753">
        <v>293</v>
      </c>
      <c r="Q753" s="4" t="s">
        <v>1049</v>
      </c>
      <c r="R753" s="289" t="s">
        <v>1988</v>
      </c>
      <c r="T753" s="95">
        <v>1</v>
      </c>
      <c r="V753" s="36">
        <v>9.7000000000000003E-2</v>
      </c>
      <c r="W753" s="95">
        <f>V753*N753/J753</f>
        <v>597.11688311688317</v>
      </c>
      <c r="X753" s="288">
        <f t="shared" si="547"/>
        <v>2.7760593507678482</v>
      </c>
      <c r="Z753" s="190"/>
      <c r="AC753" t="s">
        <v>68</v>
      </c>
      <c r="AG753" s="138">
        <f t="shared" si="548"/>
        <v>2.7760593507678482</v>
      </c>
      <c r="AH753">
        <f t="shared" si="549"/>
        <v>3.2</v>
      </c>
      <c r="AI753">
        <f t="shared" si="549"/>
        <v>3.2</v>
      </c>
      <c r="AL753">
        <f t="shared" ref="AL753:AL757" si="578">$K753</f>
        <v>3.2</v>
      </c>
      <c r="AO753">
        <f t="shared" ref="AO753:AO757" si="579">$K753</f>
        <v>3.2</v>
      </c>
      <c r="BW753" s="138"/>
      <c r="BX753">
        <f t="shared" si="558"/>
        <v>2.1875207208364631</v>
      </c>
      <c r="BY753">
        <f>LOG(1*$J753)</f>
        <v>2.1875207208364631</v>
      </c>
      <c r="CB753">
        <f>LOG(1*$J753)</f>
        <v>2.1875207208364631</v>
      </c>
      <c r="CE753">
        <f>LOG(1*$J753)</f>
        <v>2.1875207208364631</v>
      </c>
      <c r="DG753" s="138"/>
      <c r="EY753" s="479">
        <f>VLOOKUP(B753,Literatuur!$A:$B,2,FALSE)</f>
        <v>37</v>
      </c>
      <c r="EZ753" t="str">
        <f t="shared" si="569"/>
        <v>o-Chloortolueen</v>
      </c>
      <c r="FA753" t="str">
        <f t="shared" si="570"/>
        <v>ClArom</v>
      </c>
      <c r="FB753" t="str">
        <f t="shared" si="571"/>
        <v>HDPE</v>
      </c>
      <c r="FC753" t="str">
        <f t="shared" si="572"/>
        <v>Immersion</v>
      </c>
      <c r="FD753">
        <f t="shared" si="573"/>
        <v>293</v>
      </c>
      <c r="FE753" t="str">
        <f t="shared" si="574"/>
        <v>water</v>
      </c>
      <c r="FF753" t="str">
        <f t="shared" si="575"/>
        <v xml:space="preserve">saturated </v>
      </c>
      <c r="FG753" s="408">
        <f t="shared" si="564"/>
        <v>1</v>
      </c>
      <c r="FH753" s="138">
        <f t="shared" si="576"/>
        <v>2.7760593507678482</v>
      </c>
      <c r="FI753" s="106">
        <f t="shared" si="565"/>
        <v>2.3341762957055052</v>
      </c>
      <c r="FJ753" s="138" t="str">
        <f t="shared" si="577"/>
        <v/>
      </c>
      <c r="FK753" s="138" t="str">
        <f t="shared" si="563"/>
        <v>**</v>
      </c>
    </row>
    <row r="754" spans="1:167" ht="12.75" hidden="1" customHeight="1" x14ac:dyDescent="0.2">
      <c r="A754">
        <v>719</v>
      </c>
      <c r="B754" t="s">
        <v>430</v>
      </c>
      <c r="D754" t="s">
        <v>292</v>
      </c>
      <c r="E754">
        <v>-504</v>
      </c>
      <c r="F754" t="str">
        <f>VLOOKUP(E754,CompDbase!B:L,4,FALSE)</f>
        <v>p-Chlorotoluene</v>
      </c>
      <c r="G754" s="95" t="str">
        <f>VLOOKUP(E754,CompDbase!B:M,12,FALSE)</f>
        <v>ClArom</v>
      </c>
      <c r="H754" s="95">
        <f>VLOOKUP(E754,CompDbase!B:L,8,FALSE)</f>
        <v>126.586</v>
      </c>
      <c r="I754" s="95" t="e">
        <f>VLOOKUP(E754,CompDbase!B:L,11,FALSE)</f>
        <v>#DIV/0!</v>
      </c>
      <c r="J754" s="95">
        <f>VLOOKUP(E754,CompDbase!B:L,9,FALSE)</f>
        <v>123</v>
      </c>
      <c r="K754" s="95">
        <f>VLOOKUP(E754,CompDbase!B:L,10,FALSE)</f>
        <v>3.33</v>
      </c>
      <c r="L754" s="4" t="s">
        <v>717</v>
      </c>
      <c r="M754" s="423"/>
      <c r="N754" s="423">
        <v>948000</v>
      </c>
      <c r="O754" s="4" t="s">
        <v>1044</v>
      </c>
      <c r="P754">
        <v>293</v>
      </c>
      <c r="Q754" s="4" t="s">
        <v>1049</v>
      </c>
      <c r="R754" s="289" t="s">
        <v>1988</v>
      </c>
      <c r="T754" s="95">
        <v>1</v>
      </c>
      <c r="V754" s="36">
        <v>8.8999999999999996E-2</v>
      </c>
      <c r="W754" s="95">
        <f>V754*N754/J754</f>
        <v>685.95121951219517</v>
      </c>
      <c r="X754" s="288">
        <f t="shared" si="547"/>
        <v>2.8362932325435812</v>
      </c>
      <c r="Z754" s="190"/>
      <c r="AC754" t="s">
        <v>68</v>
      </c>
      <c r="AG754" s="138">
        <f t="shared" si="548"/>
        <v>2.8362932325435812</v>
      </c>
      <c r="AH754">
        <f t="shared" si="549"/>
        <v>3.33</v>
      </c>
      <c r="AI754">
        <f t="shared" si="549"/>
        <v>3.33</v>
      </c>
      <c r="AL754">
        <f t="shared" si="578"/>
        <v>3.33</v>
      </c>
      <c r="AO754">
        <f t="shared" si="579"/>
        <v>3.33</v>
      </c>
      <c r="BW754" s="138"/>
      <c r="BX754">
        <f t="shared" si="558"/>
        <v>2.0899051114393981</v>
      </c>
      <c r="BY754">
        <f>LOG(1*$J754)</f>
        <v>2.0899051114393981</v>
      </c>
      <c r="CB754">
        <f>LOG(1*$J754)</f>
        <v>2.0899051114393981</v>
      </c>
      <c r="CE754">
        <f>LOG(1*$J754)</f>
        <v>2.0899051114393981</v>
      </c>
      <c r="DG754" s="138"/>
      <c r="EY754" s="479">
        <f>VLOOKUP(B754,Literatuur!$A:$B,2,FALSE)</f>
        <v>37</v>
      </c>
      <c r="EZ754" t="str">
        <f t="shared" si="569"/>
        <v>p-Chloortolueen</v>
      </c>
      <c r="FA754" t="str">
        <f t="shared" si="570"/>
        <v>ClArom</v>
      </c>
      <c r="FB754" t="str">
        <f t="shared" si="571"/>
        <v>HDPE</v>
      </c>
      <c r="FC754" t="str">
        <f t="shared" si="572"/>
        <v>Immersion</v>
      </c>
      <c r="FD754">
        <f t="shared" si="573"/>
        <v>293</v>
      </c>
      <c r="FE754" t="str">
        <f t="shared" si="574"/>
        <v>water</v>
      </c>
      <c r="FF754" t="str">
        <f t="shared" si="575"/>
        <v xml:space="preserve">saturated </v>
      </c>
      <c r="FG754" s="408">
        <f t="shared" si="564"/>
        <v>1</v>
      </c>
      <c r="FH754" s="138">
        <f t="shared" si="576"/>
        <v>2.8362932325435812</v>
      </c>
      <c r="FI754" s="106">
        <f t="shared" si="565"/>
        <v>2.4865439567642684</v>
      </c>
      <c r="FJ754" s="138" t="str">
        <f t="shared" si="577"/>
        <v/>
      </c>
      <c r="FK754" s="138" t="str">
        <f t="shared" si="563"/>
        <v>**</v>
      </c>
    </row>
    <row r="755" spans="1:167" ht="12.75" hidden="1" customHeight="1" x14ac:dyDescent="0.2">
      <c r="A755">
        <v>720</v>
      </c>
      <c r="B755" t="s">
        <v>430</v>
      </c>
      <c r="D755" t="s">
        <v>131</v>
      </c>
      <c r="E755">
        <v>504</v>
      </c>
      <c r="F755" t="str">
        <f>VLOOKUP(E755,CompDbase!B:L,4,FALSE)</f>
        <v>Pentachlorobenzene</v>
      </c>
      <c r="G755" s="95" t="str">
        <f>VLOOKUP(E755,CompDbase!B:M,12,FALSE)</f>
        <v>ClArom</v>
      </c>
      <c r="H755" s="95">
        <f>VLOOKUP(E755,CompDbase!B:L,8,FALSE)</f>
        <v>250.12977852353896</v>
      </c>
      <c r="I755" s="95" t="e">
        <f>VLOOKUP(E755,CompDbase!B:L,11,FALSE)</f>
        <v>#DIV/0!</v>
      </c>
      <c r="J755" s="95">
        <f>VLOOKUP(E755,CompDbase!B:L,9,FALSE)</f>
        <v>0.32281846202218883</v>
      </c>
      <c r="K755" s="95">
        <f>VLOOKUP(E755,CompDbase!B:L,10,FALSE)</f>
        <v>5.0766666666666671</v>
      </c>
      <c r="L755" s="4" t="s">
        <v>717</v>
      </c>
      <c r="M755" s="423"/>
      <c r="N755" s="423">
        <v>948000</v>
      </c>
      <c r="O755" s="4" t="s">
        <v>1044</v>
      </c>
      <c r="P755">
        <v>293</v>
      </c>
      <c r="Q755" s="4" t="s">
        <v>1049</v>
      </c>
      <c r="R755" s="289" t="s">
        <v>1988</v>
      </c>
      <c r="T755" s="95">
        <v>1</v>
      </c>
      <c r="V755" s="36">
        <v>5.0000000000000001E-3</v>
      </c>
      <c r="W755" s="95">
        <f>V755*N755/J755</f>
        <v>14683.175089515784</v>
      </c>
      <c r="X755" s="288">
        <f t="shared" si="547"/>
        <v>4.1668199775661741</v>
      </c>
      <c r="Z755" s="190"/>
      <c r="AC755" t="s">
        <v>68</v>
      </c>
      <c r="AG755" s="138">
        <f t="shared" si="548"/>
        <v>4.1668199775661741</v>
      </c>
      <c r="AH755">
        <f t="shared" si="549"/>
        <v>5.0766666666666671</v>
      </c>
      <c r="AI755">
        <f t="shared" si="549"/>
        <v>5.0766666666666671</v>
      </c>
      <c r="AL755">
        <f t="shared" si="578"/>
        <v>5.0766666666666671</v>
      </c>
      <c r="AO755">
        <f t="shared" si="579"/>
        <v>5.0766666666666671</v>
      </c>
      <c r="BW755" s="138"/>
      <c r="BX755">
        <f t="shared" si="558"/>
        <v>-0.49104163589208866</v>
      </c>
      <c r="BY755">
        <f>LOG(1*$J755)</f>
        <v>-0.49104163589208866</v>
      </c>
      <c r="CB755">
        <f>LOG(1*$J755)</f>
        <v>-0.49104163589208866</v>
      </c>
      <c r="CE755">
        <f>LOG(1*$J755)</f>
        <v>-0.49104163589208866</v>
      </c>
      <c r="DG755" s="138"/>
      <c r="EY755" s="479">
        <f>VLOOKUP(B755,Literatuur!$A:$B,2,FALSE)</f>
        <v>37</v>
      </c>
      <c r="EZ755" t="str">
        <f t="shared" si="569"/>
        <v>Pentachloorbenzeen</v>
      </c>
      <c r="FA755" t="str">
        <f t="shared" si="570"/>
        <v>ClArom</v>
      </c>
      <c r="FB755" t="str">
        <f t="shared" si="571"/>
        <v>HDPE</v>
      </c>
      <c r="FC755" t="str">
        <f t="shared" si="572"/>
        <v>Immersion</v>
      </c>
      <c r="FD755">
        <f t="shared" si="573"/>
        <v>293</v>
      </c>
      <c r="FE755" t="str">
        <f t="shared" si="574"/>
        <v>water</v>
      </c>
      <c r="FF755" t="str">
        <f t="shared" si="575"/>
        <v xml:space="preserve">saturated </v>
      </c>
      <c r="FG755" s="408">
        <f t="shared" si="564"/>
        <v>1</v>
      </c>
      <c r="FH755" s="138">
        <f t="shared" si="576"/>
        <v>4.1668199775661741</v>
      </c>
      <c r="FI755" s="106">
        <f t="shared" si="565"/>
        <v>4.5337402232973973</v>
      </c>
      <c r="FJ755" s="138" t="str">
        <f t="shared" si="577"/>
        <v/>
      </c>
      <c r="FK755" s="138" t="str">
        <f t="shared" si="563"/>
        <v>**</v>
      </c>
    </row>
    <row r="756" spans="1:167" ht="12.75" hidden="1" customHeight="1" x14ac:dyDescent="0.2">
      <c r="A756">
        <v>721</v>
      </c>
      <c r="B756" t="s">
        <v>430</v>
      </c>
      <c r="D756" t="s">
        <v>308</v>
      </c>
      <c r="E756">
        <v>-507</v>
      </c>
      <c r="F756" t="str">
        <f>VLOOKUP(E756,CompDbase!B:L,4,FALSE)</f>
        <v>1,2,4,5-tetrachlorobenzene</v>
      </c>
      <c r="G756" s="95" t="str">
        <f>VLOOKUP(E756,CompDbase!B:M,12,FALSE)</f>
        <v>ClArom</v>
      </c>
      <c r="H756" s="95">
        <f>VLOOKUP(E756,CompDbase!B:L,8,FALSE)</f>
        <v>216</v>
      </c>
      <c r="I756" s="95" t="e">
        <f>VLOOKUP(E756,CompDbase!B:L,11,FALSE)</f>
        <v>#DIV/0!</v>
      </c>
      <c r="J756" s="95">
        <f>VLOOKUP(E756,CompDbase!B:L,9,FALSE)</f>
        <v>4.16</v>
      </c>
      <c r="K756" s="95">
        <f>VLOOKUP(E756,CompDbase!B:L,10,FALSE)</f>
        <v>4.5999999999999996</v>
      </c>
      <c r="L756" s="4" t="s">
        <v>717</v>
      </c>
      <c r="M756" s="423"/>
      <c r="N756" s="423">
        <v>948000</v>
      </c>
      <c r="O756" s="4" t="s">
        <v>1044</v>
      </c>
      <c r="P756">
        <v>293</v>
      </c>
      <c r="Q756" s="4" t="s">
        <v>1049</v>
      </c>
      <c r="R756" s="289" t="s">
        <v>1988</v>
      </c>
      <c r="T756" s="95">
        <v>1</v>
      </c>
      <c r="V756" s="47">
        <v>3.5000000000000003E-2</v>
      </c>
      <c r="W756" s="95">
        <f>V756*N756/J756</f>
        <v>7975.9615384615381</v>
      </c>
      <c r="X756" s="288">
        <f t="shared" si="547"/>
        <v>3.901783051061599</v>
      </c>
      <c r="Z756" s="190"/>
      <c r="AC756" t="s">
        <v>68</v>
      </c>
      <c r="AG756" s="138">
        <f t="shared" si="548"/>
        <v>3.901783051061599</v>
      </c>
      <c r="AH756">
        <f t="shared" si="549"/>
        <v>4.5999999999999996</v>
      </c>
      <c r="AI756">
        <f t="shared" si="549"/>
        <v>4.5999999999999996</v>
      </c>
      <c r="AL756">
        <f t="shared" si="578"/>
        <v>4.5999999999999996</v>
      </c>
      <c r="AO756">
        <f t="shared" si="579"/>
        <v>4.5999999999999996</v>
      </c>
      <c r="BW756" s="138"/>
      <c r="BX756">
        <f t="shared" si="558"/>
        <v>0.61909333062674277</v>
      </c>
      <c r="BY756">
        <f>LOG(1*$J756)</f>
        <v>0.61909333062674277</v>
      </c>
      <c r="CB756">
        <f>LOG(1*$J756)</f>
        <v>0.61909333062674277</v>
      </c>
      <c r="CE756">
        <f>LOG(1*$J756)</f>
        <v>0.61909333062674277</v>
      </c>
      <c r="DG756" s="138"/>
      <c r="EY756" s="479">
        <f>VLOOKUP(B756,Literatuur!$A:$B,2,FALSE)</f>
        <v>37</v>
      </c>
      <c r="EZ756" t="str">
        <f t="shared" si="569"/>
        <v>Tetrachloorbenzeen</v>
      </c>
      <c r="FA756" t="str">
        <f t="shared" si="570"/>
        <v>ClArom</v>
      </c>
      <c r="FB756" t="str">
        <f t="shared" si="571"/>
        <v>HDPE</v>
      </c>
      <c r="FC756" t="str">
        <f t="shared" si="572"/>
        <v>Immersion</v>
      </c>
      <c r="FD756">
        <f t="shared" si="573"/>
        <v>293</v>
      </c>
      <c r="FE756" t="str">
        <f t="shared" si="574"/>
        <v>water</v>
      </c>
      <c r="FF756" t="str">
        <f t="shared" si="575"/>
        <v xml:space="preserve">saturated </v>
      </c>
      <c r="FG756" s="408">
        <f t="shared" si="564"/>
        <v>1</v>
      </c>
      <c r="FH756" s="138">
        <f t="shared" si="576"/>
        <v>3.901783051061599</v>
      </c>
      <c r="FI756" s="106">
        <f t="shared" si="565"/>
        <v>3.9750587994152644</v>
      </c>
      <c r="FJ756" s="138" t="str">
        <f t="shared" si="577"/>
        <v/>
      </c>
      <c r="FK756" s="138" t="str">
        <f t="shared" si="563"/>
        <v>**</v>
      </c>
    </row>
    <row r="757" spans="1:167" ht="12.75" hidden="1" customHeight="1" x14ac:dyDescent="0.2">
      <c r="A757">
        <v>722</v>
      </c>
      <c r="B757" t="s">
        <v>430</v>
      </c>
      <c r="D757" t="s">
        <v>306</v>
      </c>
      <c r="E757">
        <v>-506</v>
      </c>
      <c r="F757" t="str">
        <f>VLOOKUP(E757,CompDbase!B:L,4,FALSE)</f>
        <v>Benzotrichloride</v>
      </c>
      <c r="G757" s="95" t="str">
        <f>VLOOKUP(E757,CompDbase!B:M,12,FALSE)</f>
        <v>ClArom</v>
      </c>
      <c r="H757" s="95">
        <f>VLOOKUP(E757,CompDbase!B:L,8,FALSE)</f>
        <v>195.47499999999999</v>
      </c>
      <c r="I757" s="95" t="e">
        <f>VLOOKUP(E757,CompDbase!B:L,11,FALSE)</f>
        <v>#DIV/0!</v>
      </c>
      <c r="J757" s="95">
        <f>VLOOKUP(E757,CompDbase!B:L,9,FALSE)</f>
        <v>51.5</v>
      </c>
      <c r="K757" s="95">
        <f>VLOOKUP(E757,CompDbase!B:L,10,FALSE)</f>
        <v>2.92</v>
      </c>
      <c r="L757" s="4" t="s">
        <v>717</v>
      </c>
      <c r="M757" s="423"/>
      <c r="N757" s="423">
        <v>948000</v>
      </c>
      <c r="O757" s="4" t="s">
        <v>1044</v>
      </c>
      <c r="P757">
        <v>293</v>
      </c>
      <c r="Q757" s="4" t="s">
        <v>1049</v>
      </c>
      <c r="R757" s="289" t="s">
        <v>1988</v>
      </c>
      <c r="T757" s="95">
        <v>1</v>
      </c>
      <c r="V757" s="36">
        <v>9.0999999999999998E-2</v>
      </c>
      <c r="W757" s="95">
        <f>V757*N757/J757</f>
        <v>1675.1067961165049</v>
      </c>
      <c r="X757" s="288">
        <f t="shared" si="547"/>
        <v>3.2240425006179687</v>
      </c>
      <c r="Z757" s="190"/>
      <c r="AC757" t="s">
        <v>68</v>
      </c>
      <c r="AG757" s="138">
        <f t="shared" si="548"/>
        <v>3.2240425006179687</v>
      </c>
      <c r="AH757">
        <f t="shared" si="549"/>
        <v>2.92</v>
      </c>
      <c r="AI757">
        <f t="shared" si="549"/>
        <v>2.92</v>
      </c>
      <c r="AL757">
        <f t="shared" si="578"/>
        <v>2.92</v>
      </c>
      <c r="AO757">
        <f t="shared" si="579"/>
        <v>2.92</v>
      </c>
      <c r="BW757" s="138"/>
      <c r="BX757">
        <f t="shared" si="558"/>
        <v>1.711807229041191</v>
      </c>
      <c r="BY757">
        <f>LOG(1*$J757)</f>
        <v>1.711807229041191</v>
      </c>
      <c r="CB757">
        <f>LOG(1*$J757)</f>
        <v>1.711807229041191</v>
      </c>
      <c r="CE757">
        <f>LOG(1*$J757)</f>
        <v>1.711807229041191</v>
      </c>
      <c r="DG757" s="138"/>
      <c r="EY757" s="479">
        <f>VLOOKUP(B757,Literatuur!$A:$B,2,FALSE)</f>
        <v>37</v>
      </c>
      <c r="EZ757" t="str">
        <f t="shared" si="569"/>
        <v>α,α,α-Trichloortolueen</v>
      </c>
      <c r="FA757" t="str">
        <f t="shared" si="570"/>
        <v>ClArom</v>
      </c>
      <c r="FB757" t="str">
        <f t="shared" si="571"/>
        <v>HDPE</v>
      </c>
      <c r="FC757" t="str">
        <f t="shared" si="572"/>
        <v>Immersion</v>
      </c>
      <c r="FD757">
        <f t="shared" si="573"/>
        <v>293</v>
      </c>
      <c r="FE757" t="str">
        <f t="shared" si="574"/>
        <v>water</v>
      </c>
      <c r="FF757" t="str">
        <f t="shared" si="575"/>
        <v xml:space="preserve">saturated </v>
      </c>
      <c r="FG757" s="408">
        <f t="shared" si="564"/>
        <v>1</v>
      </c>
      <c r="FH757" s="138">
        <f t="shared" si="576"/>
        <v>3.2240425006179687</v>
      </c>
      <c r="FI757" s="106">
        <f t="shared" si="565"/>
        <v>2.0059997949635529</v>
      </c>
      <c r="FJ757" s="138" t="str">
        <f t="shared" si="577"/>
        <v/>
      </c>
      <c r="FK757" s="138" t="str">
        <f t="shared" si="563"/>
        <v>**</v>
      </c>
    </row>
    <row r="758" spans="1:167" ht="12.75" customHeight="1" x14ac:dyDescent="0.2">
      <c r="A758">
        <v>723</v>
      </c>
      <c r="B758" s="4" t="s">
        <v>1938</v>
      </c>
      <c r="C758" s="4"/>
      <c r="D758" s="4" t="s">
        <v>548</v>
      </c>
      <c r="E758" s="4">
        <v>200</v>
      </c>
      <c r="F758" t="str">
        <f>VLOOKUP(E758,CompDbase!B:L,4,FALSE)</f>
        <v>Benzene</v>
      </c>
      <c r="G758" s="95" t="str">
        <f>VLOOKUP(E758,CompDbase!B:M,12,FALSE)</f>
        <v>MAK</v>
      </c>
      <c r="H758" s="95">
        <f>VLOOKUP(E758,CompDbase!B:L,8,FALSE)</f>
        <v>78.106666524406961</v>
      </c>
      <c r="I758" s="95">
        <f>VLOOKUP(E758,CompDbase!B:L,11,FALSE)</f>
        <v>89.4</v>
      </c>
      <c r="J758" s="95">
        <f>VLOOKUP(E758,CompDbase!B:L,9,FALSE)</f>
        <v>1988.89882593368</v>
      </c>
      <c r="K758" s="95">
        <f>VLOOKUP(E758,CompDbase!B:L,10,FALSE)</f>
        <v>2.13</v>
      </c>
      <c r="L758" s="4" t="s">
        <v>717</v>
      </c>
      <c r="M758" s="423"/>
      <c r="N758" s="423">
        <v>948000</v>
      </c>
      <c r="O758" s="4" t="s">
        <v>1941</v>
      </c>
      <c r="P758">
        <v>298</v>
      </c>
      <c r="Q758" s="4" t="s">
        <v>1049</v>
      </c>
      <c r="R758" s="289" t="s">
        <v>1988</v>
      </c>
      <c r="S758" s="4"/>
      <c r="T758" s="95">
        <v>1</v>
      </c>
      <c r="Y758">
        <v>7.5999999999999999E-12</v>
      </c>
      <c r="Z758" s="95">
        <f t="shared" ref="Z758:Z776" si="580">LOG(Y758)</f>
        <v>-11.119186407719209</v>
      </c>
      <c r="AG758" s="138"/>
      <c r="BW758" s="138"/>
      <c r="DG758">
        <f t="shared" ref="DG758:DG776" si="581">Z758</f>
        <v>-11.119186407719209</v>
      </c>
      <c r="DH758">
        <f t="shared" ref="DH758:DI776" si="582">$H758</f>
        <v>78.106666524406961</v>
      </c>
      <c r="DJ758">
        <f t="shared" ref="DJ758" si="583">$H758</f>
        <v>78.106666524406961</v>
      </c>
      <c r="EY758" s="479">
        <f>VLOOKUP(B758,Literatuur!$A:$B,2,FALSE)</f>
        <v>3</v>
      </c>
      <c r="EZ758" t="str">
        <f t="shared" si="569"/>
        <v>Benzene</v>
      </c>
      <c r="FA758" t="str">
        <f t="shared" si="570"/>
        <v>MAK</v>
      </c>
      <c r="FB758" t="str">
        <f t="shared" si="571"/>
        <v>HDPE</v>
      </c>
      <c r="FC758" t="str">
        <f t="shared" si="572"/>
        <v>DeSorption to air</v>
      </c>
      <c r="FD758">
        <f t="shared" si="573"/>
        <v>298</v>
      </c>
      <c r="FE758" t="str">
        <f t="shared" si="574"/>
        <v>water</v>
      </c>
      <c r="FF758" t="str">
        <f t="shared" si="575"/>
        <v xml:space="preserve">saturated </v>
      </c>
      <c r="FG758" s="408">
        <f t="shared" si="564"/>
        <v>1</v>
      </c>
      <c r="FH758" s="138" t="str">
        <f t="shared" si="576"/>
        <v/>
      </c>
      <c r="FI758" s="106" t="str">
        <f t="shared" si="565"/>
        <v>**</v>
      </c>
      <c r="FJ758" s="138">
        <f t="shared" si="577"/>
        <v>-11.119186407719209</v>
      </c>
      <c r="FK758" s="138" t="str">
        <f t="shared" si="563"/>
        <v>**</v>
      </c>
    </row>
    <row r="759" spans="1:167" ht="12.75" customHeight="1" x14ac:dyDescent="0.2">
      <c r="A759">
        <v>724</v>
      </c>
      <c r="B759" s="4" t="s">
        <v>1938</v>
      </c>
      <c r="C759" s="4"/>
      <c r="D759" s="4" t="s">
        <v>548</v>
      </c>
      <c r="E759" s="4">
        <v>200</v>
      </c>
      <c r="F759" t="str">
        <f>VLOOKUP(E759,CompDbase!B:L,4,FALSE)</f>
        <v>Benzene</v>
      </c>
      <c r="G759" s="95" t="str">
        <f>VLOOKUP(E759,CompDbase!B:M,12,FALSE)</f>
        <v>MAK</v>
      </c>
      <c r="H759" s="95">
        <f>VLOOKUP(E759,CompDbase!B:L,8,FALSE)</f>
        <v>78.106666524406961</v>
      </c>
      <c r="I759" s="95">
        <f>VLOOKUP(E759,CompDbase!B:L,11,FALSE)</f>
        <v>89.4</v>
      </c>
      <c r="J759" s="95">
        <f>VLOOKUP(E759,CompDbase!B:L,9,FALSE)</f>
        <v>1988.89882593368</v>
      </c>
      <c r="K759" s="95">
        <f>VLOOKUP(E759,CompDbase!B:L,10,FALSE)</f>
        <v>2.13</v>
      </c>
      <c r="L759" s="4" t="s">
        <v>717</v>
      </c>
      <c r="M759" s="423">
        <v>948000</v>
      </c>
      <c r="N759" s="423"/>
      <c r="O759" s="4" t="s">
        <v>1044</v>
      </c>
      <c r="P759">
        <v>298</v>
      </c>
      <c r="Q759" s="4" t="s">
        <v>1049</v>
      </c>
      <c r="R759" s="289" t="s">
        <v>1988</v>
      </c>
      <c r="S759" s="4"/>
      <c r="T759" s="289">
        <v>1</v>
      </c>
      <c r="V759">
        <v>0.12</v>
      </c>
      <c r="W759" s="95">
        <f>V759*M759/J759</f>
        <v>57.197479588533547</v>
      </c>
      <c r="X759" s="95">
        <f>LOG(W759)</f>
        <v>1.7573768919939248</v>
      </c>
      <c r="Y759">
        <v>6.4000000000000002E-12</v>
      </c>
      <c r="Z759" s="95">
        <f t="shared" si="580"/>
        <v>-11.193820026016112</v>
      </c>
      <c r="AA759" s="95">
        <f>W759*Y759</f>
        <v>3.6606386936661472E-10</v>
      </c>
      <c r="AB759" s="95">
        <f>LOG(AA759)</f>
        <v>-9.4364431340221877</v>
      </c>
      <c r="AC759" s="95"/>
      <c r="AD759" s="95"/>
      <c r="AG759" s="138">
        <f>X759</f>
        <v>1.7573768919939248</v>
      </c>
      <c r="AH759">
        <f>$K759</f>
        <v>2.13</v>
      </c>
      <c r="AI759">
        <f>$K759</f>
        <v>2.13</v>
      </c>
      <c r="AL759">
        <f t="shared" ref="AL759" si="584">$K759</f>
        <v>2.13</v>
      </c>
      <c r="AO759">
        <f t="shared" ref="AO759" si="585">$K759</f>
        <v>2.13</v>
      </c>
      <c r="BW759" s="138"/>
      <c r="BX759">
        <f>LOG(1*$J759)</f>
        <v>3.2986126913917664</v>
      </c>
      <c r="BY759">
        <f>LOG(1*$J759)</f>
        <v>3.2986126913917664</v>
      </c>
      <c r="CB759">
        <f>LOG(1*$J759)</f>
        <v>3.2986126913917664</v>
      </c>
      <c r="CE759">
        <f>LOG(1*$J759)</f>
        <v>3.2986126913917664</v>
      </c>
      <c r="DG759">
        <f t="shared" si="581"/>
        <v>-11.193820026016112</v>
      </c>
      <c r="DH759">
        <f t="shared" si="582"/>
        <v>78.106666524406961</v>
      </c>
      <c r="DI759">
        <f t="shared" si="582"/>
        <v>78.106666524406961</v>
      </c>
      <c r="EY759" s="479">
        <f>VLOOKUP(B759,Literatuur!$A:$B,2,FALSE)</f>
        <v>3</v>
      </c>
      <c r="EZ759" t="str">
        <f t="shared" si="569"/>
        <v>Benzene</v>
      </c>
      <c r="FA759" t="str">
        <f t="shared" si="570"/>
        <v>MAK</v>
      </c>
      <c r="FB759" t="str">
        <f t="shared" si="571"/>
        <v>HDPE</v>
      </c>
      <c r="FC759" t="str">
        <f t="shared" si="572"/>
        <v>Immersion</v>
      </c>
      <c r="FD759">
        <f t="shared" si="573"/>
        <v>298</v>
      </c>
      <c r="FE759" t="str">
        <f t="shared" si="574"/>
        <v>water</v>
      </c>
      <c r="FF759" t="str">
        <f t="shared" si="575"/>
        <v xml:space="preserve">saturated </v>
      </c>
      <c r="FG759" s="408">
        <f t="shared" si="564"/>
        <v>1</v>
      </c>
      <c r="FH759" s="138">
        <f t="shared" si="576"/>
        <v>1.7573768919939248</v>
      </c>
      <c r="FI759" s="106">
        <f t="shared" si="565"/>
        <v>1.08007323929876</v>
      </c>
      <c r="FJ759" s="138">
        <f t="shared" si="577"/>
        <v>-11.193820026016112</v>
      </c>
      <c r="FK759" s="138" t="str">
        <f t="shared" si="563"/>
        <v>**</v>
      </c>
    </row>
    <row r="760" spans="1:167" ht="12.75" hidden="1" customHeight="1" x14ac:dyDescent="0.2">
      <c r="A760">
        <v>725</v>
      </c>
      <c r="B760" s="4" t="s">
        <v>1938</v>
      </c>
      <c r="C760" s="4"/>
      <c r="D760" s="4" t="s">
        <v>493</v>
      </c>
      <c r="E760" s="4">
        <v>219</v>
      </c>
      <c r="F760" t="str">
        <f>VLOOKUP(E760,CompDbase!B:L,4,FALSE)</f>
        <v>p-Xylene</v>
      </c>
      <c r="G760" s="95" t="str">
        <f>VLOOKUP(E760,CompDbase!B:M,12,FALSE)</f>
        <v>MAK</v>
      </c>
      <c r="H760" s="95">
        <f>VLOOKUP(E760,CompDbase!B:L,8,FALSE)</f>
        <v>106.18666499232586</v>
      </c>
      <c r="I760" s="95">
        <f>VLOOKUP(E760,CompDbase!B:L,11,FALSE)</f>
        <v>123.9</v>
      </c>
      <c r="J760" s="95">
        <f>VLOOKUP(E760,CompDbase!B:L,9,FALSE)</f>
        <v>210.93846155625408</v>
      </c>
      <c r="K760" s="95">
        <f>VLOOKUP(E760,CompDbase!B:L,10,FALSE)</f>
        <v>3.15</v>
      </c>
      <c r="L760" s="4" t="s">
        <v>717</v>
      </c>
      <c r="M760" s="423"/>
      <c r="N760" s="416">
        <v>948000</v>
      </c>
      <c r="O760" s="4" t="s">
        <v>1941</v>
      </c>
      <c r="P760">
        <v>298</v>
      </c>
      <c r="Q760" s="4" t="s">
        <v>1049</v>
      </c>
      <c r="R760" s="289" t="s">
        <v>1988</v>
      </c>
      <c r="S760" s="4"/>
      <c r="T760" s="95">
        <v>1</v>
      </c>
      <c r="Y760">
        <v>6.8000000000000001E-12</v>
      </c>
      <c r="Z760" s="95">
        <f t="shared" si="580"/>
        <v>-11.167491087293763</v>
      </c>
      <c r="AG760" s="138"/>
      <c r="BW760" s="138"/>
      <c r="DG760">
        <f t="shared" si="581"/>
        <v>-11.167491087293763</v>
      </c>
      <c r="DH760">
        <f t="shared" si="582"/>
        <v>106.18666499232586</v>
      </c>
      <c r="DJ760">
        <f t="shared" ref="DJ760" si="586">$H760</f>
        <v>106.18666499232586</v>
      </c>
      <c r="EY760" s="479">
        <f>VLOOKUP(B760,Literatuur!$A:$B,2,FALSE)</f>
        <v>3</v>
      </c>
      <c r="EZ760" t="str">
        <f t="shared" si="569"/>
        <v>p-Xylene</v>
      </c>
      <c r="FA760" t="str">
        <f t="shared" si="570"/>
        <v>MAK</v>
      </c>
      <c r="FB760" t="str">
        <f t="shared" si="571"/>
        <v>HDPE</v>
      </c>
      <c r="FC760" t="str">
        <f t="shared" si="572"/>
        <v>DeSorption to air</v>
      </c>
      <c r="FD760">
        <f t="shared" si="573"/>
        <v>298</v>
      </c>
      <c r="FE760" t="str">
        <f t="shared" si="574"/>
        <v>water</v>
      </c>
      <c r="FF760" t="str">
        <f t="shared" si="575"/>
        <v xml:space="preserve">saturated </v>
      </c>
      <c r="FG760" s="408">
        <f t="shared" si="564"/>
        <v>1</v>
      </c>
      <c r="FH760" s="138" t="str">
        <f t="shared" si="576"/>
        <v/>
      </c>
      <c r="FI760" s="106" t="str">
        <f t="shared" si="565"/>
        <v>**</v>
      </c>
      <c r="FJ760" s="138">
        <f t="shared" si="577"/>
        <v>-11.167491087293763</v>
      </c>
      <c r="FK760" s="138" t="str">
        <f t="shared" si="563"/>
        <v>**</v>
      </c>
    </row>
    <row r="761" spans="1:167" ht="12.75" hidden="1" customHeight="1" x14ac:dyDescent="0.2">
      <c r="A761">
        <v>726</v>
      </c>
      <c r="B761" s="4" t="s">
        <v>1938</v>
      </c>
      <c r="C761" s="4"/>
      <c r="D761" s="4" t="s">
        <v>493</v>
      </c>
      <c r="E761" s="4">
        <v>219</v>
      </c>
      <c r="F761" t="str">
        <f>VLOOKUP(E761,CompDbase!B:L,4,FALSE)</f>
        <v>p-Xylene</v>
      </c>
      <c r="G761" s="95" t="str">
        <f>VLOOKUP(E761,CompDbase!B:M,12,FALSE)</f>
        <v>MAK</v>
      </c>
      <c r="H761" s="95">
        <f>VLOOKUP(E761,CompDbase!B:L,8,FALSE)</f>
        <v>106.18666499232586</v>
      </c>
      <c r="I761" s="95">
        <f>VLOOKUP(E761,CompDbase!B:L,11,FALSE)</f>
        <v>123.9</v>
      </c>
      <c r="J761" s="95">
        <f>VLOOKUP(E761,CompDbase!B:L,9,FALSE)</f>
        <v>210.93846155625408</v>
      </c>
      <c r="K761" s="95">
        <f>VLOOKUP(E761,CompDbase!B:L,10,FALSE)</f>
        <v>3.15</v>
      </c>
      <c r="L761" s="4" t="s">
        <v>717</v>
      </c>
      <c r="M761" s="423">
        <v>948000</v>
      </c>
      <c r="N761" s="423"/>
      <c r="O761" s="4" t="s">
        <v>1044</v>
      </c>
      <c r="P761">
        <v>298</v>
      </c>
      <c r="Q761" s="4" t="s">
        <v>1049</v>
      </c>
      <c r="R761" s="289" t="s">
        <v>1988</v>
      </c>
      <c r="S761" s="4"/>
      <c r="T761" s="289">
        <v>1</v>
      </c>
      <c r="V761">
        <v>0.1</v>
      </c>
      <c r="W761" s="95">
        <f>V761*M761/J761</f>
        <v>449.42017354534596</v>
      </c>
      <c r="X761" s="95">
        <f>LOG(W761)</f>
        <v>2.6526525631048807</v>
      </c>
      <c r="Y761">
        <v>6.4000000000000002E-12</v>
      </c>
      <c r="Z761" s="95">
        <f t="shared" si="580"/>
        <v>-11.193820026016112</v>
      </c>
      <c r="AA761" s="95">
        <f>W761*Y761</f>
        <v>2.8762891106902142E-9</v>
      </c>
      <c r="AB761" s="95">
        <f>LOG(AA761)</f>
        <v>-8.5411674629112326</v>
      </c>
      <c r="AC761" s="95"/>
      <c r="AD761" s="95"/>
      <c r="AG761" s="138">
        <f>X761</f>
        <v>2.6526525631048807</v>
      </c>
      <c r="AH761">
        <f>$K761</f>
        <v>3.15</v>
      </c>
      <c r="AI761">
        <f>$K761</f>
        <v>3.15</v>
      </c>
      <c r="AL761">
        <f t="shared" ref="AL761" si="587">$K761</f>
        <v>3.15</v>
      </c>
      <c r="AO761">
        <f t="shared" ref="AO761" si="588">$K761</f>
        <v>3.15</v>
      </c>
      <c r="BW761" s="138"/>
      <c r="BX761">
        <f>LOG(1*$J761)</f>
        <v>2.3241557742331853</v>
      </c>
      <c r="BY761">
        <f>LOG(1*$J761)</f>
        <v>2.3241557742331853</v>
      </c>
      <c r="CB761">
        <f>LOG(1*$J761)</f>
        <v>2.3241557742331853</v>
      </c>
      <c r="CE761">
        <f>LOG(1*$J761)</f>
        <v>2.3241557742331853</v>
      </c>
      <c r="DG761">
        <f t="shared" si="581"/>
        <v>-11.193820026016112</v>
      </c>
      <c r="DH761">
        <f t="shared" si="582"/>
        <v>106.18666499232586</v>
      </c>
      <c r="DI761">
        <f t="shared" si="582"/>
        <v>106.18666499232586</v>
      </c>
      <c r="EY761" s="479">
        <f>VLOOKUP(B761,Literatuur!$A:$B,2,FALSE)</f>
        <v>3</v>
      </c>
      <c r="EZ761" t="str">
        <f t="shared" si="569"/>
        <v>p-Xylene</v>
      </c>
      <c r="FA761" t="str">
        <f t="shared" si="570"/>
        <v>MAK</v>
      </c>
      <c r="FB761" t="str">
        <f t="shared" si="571"/>
        <v>HDPE</v>
      </c>
      <c r="FC761" t="str">
        <f t="shared" si="572"/>
        <v>Immersion</v>
      </c>
      <c r="FD761">
        <f t="shared" si="573"/>
        <v>298</v>
      </c>
      <c r="FE761" t="str">
        <f t="shared" si="574"/>
        <v>water</v>
      </c>
      <c r="FF761" t="str">
        <f t="shared" si="575"/>
        <v xml:space="preserve">saturated </v>
      </c>
      <c r="FG761" s="408">
        <f t="shared" si="564"/>
        <v>1</v>
      </c>
      <c r="FH761" s="138">
        <f t="shared" si="576"/>
        <v>2.6526525631048807</v>
      </c>
      <c r="FI761" s="106">
        <f t="shared" si="565"/>
        <v>2.2755733491444419</v>
      </c>
      <c r="FJ761" s="138">
        <f t="shared" si="577"/>
        <v>-11.193820026016112</v>
      </c>
      <c r="FK761" s="138" t="str">
        <f t="shared" si="563"/>
        <v>**</v>
      </c>
    </row>
    <row r="762" spans="1:167" ht="12.75" hidden="1" customHeight="1" x14ac:dyDescent="0.2">
      <c r="A762">
        <v>727</v>
      </c>
      <c r="B762" s="4" t="s">
        <v>1938</v>
      </c>
      <c r="C762" s="4"/>
      <c r="D762" s="4" t="s">
        <v>492</v>
      </c>
      <c r="E762" s="4">
        <v>204</v>
      </c>
      <c r="F762" t="str">
        <f>VLOOKUP(E762,CompDbase!B:L,4,FALSE)</f>
        <v>Toluene</v>
      </c>
      <c r="G762" s="95" t="str">
        <f>VLOOKUP(E762,CompDbase!B:M,12,FALSE)</f>
        <v>MAK</v>
      </c>
      <c r="H762" s="95">
        <f>VLOOKUP(E762,CompDbase!B:L,8,FALSE)</f>
        <v>92.14249284505685</v>
      </c>
      <c r="I762" s="95">
        <f>VLOOKUP(E762,CompDbase!B:L,11,FALSE)</f>
        <v>106.9</v>
      </c>
      <c r="J762" s="95">
        <f>VLOOKUP(E762,CompDbase!B:L,9,FALSE)</f>
        <v>610.59105234897152</v>
      </c>
      <c r="K762" s="95">
        <f>VLOOKUP(E762,CompDbase!B:L,10,FALSE)</f>
        <v>2.73</v>
      </c>
      <c r="L762" s="4" t="s">
        <v>717</v>
      </c>
      <c r="M762" s="423"/>
      <c r="N762" s="423">
        <v>948000</v>
      </c>
      <c r="O762" s="4" t="s">
        <v>1941</v>
      </c>
      <c r="P762">
        <v>298</v>
      </c>
      <c r="Q762" s="4" t="s">
        <v>1049</v>
      </c>
      <c r="R762" s="289" t="s">
        <v>1988</v>
      </c>
      <c r="S762" s="4"/>
      <c r="T762" s="95">
        <v>1</v>
      </c>
      <c r="Y762">
        <v>6.9999999999999993E-12</v>
      </c>
      <c r="Z762" s="95">
        <f t="shared" si="580"/>
        <v>-11.154901959985743</v>
      </c>
      <c r="AG762" s="138"/>
      <c r="BW762" s="138"/>
      <c r="DG762">
        <f t="shared" si="581"/>
        <v>-11.154901959985743</v>
      </c>
      <c r="DH762">
        <f t="shared" si="582"/>
        <v>92.14249284505685</v>
      </c>
      <c r="DJ762">
        <f t="shared" ref="DJ762" si="589">$H762</f>
        <v>92.14249284505685</v>
      </c>
      <c r="EY762" s="479">
        <f>VLOOKUP(B762,Literatuur!$A:$B,2,FALSE)</f>
        <v>3</v>
      </c>
      <c r="EZ762" t="str">
        <f t="shared" si="569"/>
        <v>Toluene</v>
      </c>
      <c r="FA762" t="str">
        <f t="shared" si="570"/>
        <v>MAK</v>
      </c>
      <c r="FB762" t="str">
        <f t="shared" si="571"/>
        <v>HDPE</v>
      </c>
      <c r="FC762" t="str">
        <f t="shared" si="572"/>
        <v>DeSorption to air</v>
      </c>
      <c r="FD762">
        <f t="shared" si="573"/>
        <v>298</v>
      </c>
      <c r="FE762" t="str">
        <f t="shared" si="574"/>
        <v>water</v>
      </c>
      <c r="FF762" t="str">
        <f t="shared" si="575"/>
        <v xml:space="preserve">saturated </v>
      </c>
      <c r="FG762" s="408">
        <f t="shared" si="564"/>
        <v>1</v>
      </c>
      <c r="FH762" s="138" t="str">
        <f t="shared" si="576"/>
        <v/>
      </c>
      <c r="FI762" s="106" t="str">
        <f t="shared" si="565"/>
        <v>**</v>
      </c>
      <c r="FJ762" s="138">
        <f t="shared" si="577"/>
        <v>-11.154901959985743</v>
      </c>
      <c r="FK762" s="138" t="str">
        <f t="shared" si="563"/>
        <v>**</v>
      </c>
    </row>
    <row r="763" spans="1:167" ht="12.75" hidden="1" customHeight="1" x14ac:dyDescent="0.2">
      <c r="A763">
        <v>728</v>
      </c>
      <c r="B763" s="4" t="s">
        <v>1938</v>
      </c>
      <c r="C763" s="4"/>
      <c r="D763" s="4" t="s">
        <v>492</v>
      </c>
      <c r="E763" s="4">
        <v>204</v>
      </c>
      <c r="F763" t="str">
        <f>VLOOKUP(E763,CompDbase!B:L,4,FALSE)</f>
        <v>Toluene</v>
      </c>
      <c r="G763" s="95" t="str">
        <f>VLOOKUP(E763,CompDbase!B:M,12,FALSE)</f>
        <v>MAK</v>
      </c>
      <c r="H763" s="95">
        <f>VLOOKUP(E763,CompDbase!B:L,8,FALSE)</f>
        <v>92.14249284505685</v>
      </c>
      <c r="I763" s="95">
        <f>VLOOKUP(E763,CompDbase!B:L,11,FALSE)</f>
        <v>106.9</v>
      </c>
      <c r="J763" s="95">
        <f>VLOOKUP(E763,CompDbase!B:L,9,FALSE)</f>
        <v>610.59105234897152</v>
      </c>
      <c r="K763" s="95">
        <f>VLOOKUP(E763,CompDbase!B:L,10,FALSE)</f>
        <v>2.73</v>
      </c>
      <c r="L763" s="4" t="s">
        <v>717</v>
      </c>
      <c r="M763" s="423">
        <v>948000</v>
      </c>
      <c r="N763" s="423"/>
      <c r="O763" s="4" t="s">
        <v>1044</v>
      </c>
      <c r="P763">
        <v>298</v>
      </c>
      <c r="Q763" s="4" t="s">
        <v>1049</v>
      </c>
      <c r="R763" s="289" t="s">
        <v>1988</v>
      </c>
      <c r="S763" s="4"/>
      <c r="T763" s="289">
        <v>1</v>
      </c>
      <c r="V763">
        <v>0.11</v>
      </c>
      <c r="W763" s="95">
        <f>V763*M763/J763</f>
        <v>170.78533921981023</v>
      </c>
      <c r="X763" s="95">
        <f>LOG(W763)</f>
        <v>2.2324505866737399</v>
      </c>
      <c r="Y763">
        <v>6.8000000000000001E-12</v>
      </c>
      <c r="Z763" s="95">
        <f t="shared" si="580"/>
        <v>-11.167491087293763</v>
      </c>
      <c r="AA763" s="95">
        <f>W763*Y763</f>
        <v>1.1613403066947095E-9</v>
      </c>
      <c r="AB763" s="95">
        <f>LOG(AA763)</f>
        <v>-8.9350405006200244</v>
      </c>
      <c r="AC763" s="95"/>
      <c r="AD763" s="95"/>
      <c r="AG763" s="138">
        <f>X763</f>
        <v>2.2324505866737399</v>
      </c>
      <c r="AH763">
        <f>$K763</f>
        <v>2.73</v>
      </c>
      <c r="AI763">
        <f>$K763</f>
        <v>2.73</v>
      </c>
      <c r="AL763">
        <f t="shared" ref="AL763" si="590">$K763</f>
        <v>2.73</v>
      </c>
      <c r="AO763">
        <f t="shared" ref="AO763" si="591">$K763</f>
        <v>2.73</v>
      </c>
      <c r="BW763" s="138"/>
      <c r="BX763">
        <f>LOG(1*$J763)</f>
        <v>2.7857504358225516</v>
      </c>
      <c r="BY763">
        <f>LOG(1*$J763)</f>
        <v>2.7857504358225516</v>
      </c>
      <c r="CB763">
        <f>LOG(1*$J763)</f>
        <v>2.7857504358225516</v>
      </c>
      <c r="CE763">
        <f>LOG(1*$J763)</f>
        <v>2.7857504358225516</v>
      </c>
      <c r="DG763">
        <f t="shared" si="581"/>
        <v>-11.167491087293763</v>
      </c>
      <c r="DH763">
        <f t="shared" si="582"/>
        <v>92.14249284505685</v>
      </c>
      <c r="DI763">
        <f t="shared" si="582"/>
        <v>92.14249284505685</v>
      </c>
      <c r="EY763" s="479">
        <f>VLOOKUP(B763,Literatuur!$A:$B,2,FALSE)</f>
        <v>3</v>
      </c>
      <c r="EZ763" t="str">
        <f t="shared" si="569"/>
        <v>Toluene</v>
      </c>
      <c r="FA763" t="str">
        <f t="shared" si="570"/>
        <v>MAK</v>
      </c>
      <c r="FB763" t="str">
        <f t="shared" si="571"/>
        <v>HDPE</v>
      </c>
      <c r="FC763" t="str">
        <f t="shared" si="572"/>
        <v>Immersion</v>
      </c>
      <c r="FD763">
        <f t="shared" si="573"/>
        <v>298</v>
      </c>
      <c r="FE763" t="str">
        <f t="shared" si="574"/>
        <v>water</v>
      </c>
      <c r="FF763" t="str">
        <f t="shared" si="575"/>
        <v xml:space="preserve">saturated </v>
      </c>
      <c r="FG763" s="408">
        <f t="shared" si="564"/>
        <v>1</v>
      </c>
      <c r="FH763" s="138">
        <f t="shared" si="576"/>
        <v>2.2324505866737399</v>
      </c>
      <c r="FI763" s="106">
        <f t="shared" si="565"/>
        <v>1.7833085980315144</v>
      </c>
      <c r="FJ763" s="138">
        <f t="shared" si="577"/>
        <v>-11.167491087293763</v>
      </c>
      <c r="FK763" s="138" t="str">
        <f t="shared" si="563"/>
        <v>**</v>
      </c>
    </row>
    <row r="764" spans="1:167" ht="12.75" hidden="1" customHeight="1" x14ac:dyDescent="0.2">
      <c r="A764">
        <v>729</v>
      </c>
      <c r="B764" s="4" t="s">
        <v>1938</v>
      </c>
      <c r="C764" s="4"/>
      <c r="D764" s="4" t="s">
        <v>501</v>
      </c>
      <c r="E764" s="4">
        <v>-1528</v>
      </c>
      <c r="F764" t="str">
        <f>VLOOKUP(E764,CompDbase!B:L,4,FALSE)</f>
        <v>1,2,3-Trimethylbenzene</v>
      </c>
      <c r="G764" s="95" t="str">
        <f>VLOOKUP(E764,CompDbase!B:M,12,FALSE)</f>
        <v>MAK</v>
      </c>
      <c r="H764" s="95">
        <f>VLOOKUP(E764,CompDbase!B:L,8,FALSE)</f>
        <v>120.19</v>
      </c>
      <c r="I764" s="95">
        <f>VLOOKUP(E764,CompDbase!B:L,11,FALSE)</f>
        <v>139.6</v>
      </c>
      <c r="J764" s="95">
        <f>VLOOKUP(E764,CompDbase!B:L,9,FALSE)</f>
        <v>75</v>
      </c>
      <c r="K764" s="95">
        <f>VLOOKUP(E764,CompDbase!B:L,10,FALSE)</f>
        <v>3.6</v>
      </c>
      <c r="L764" s="4" t="s">
        <v>717</v>
      </c>
      <c r="M764" s="423"/>
      <c r="N764" s="423">
        <v>948000</v>
      </c>
      <c r="O764" s="4" t="s">
        <v>1941</v>
      </c>
      <c r="P764">
        <v>298</v>
      </c>
      <c r="Q764" s="4" t="s">
        <v>1049</v>
      </c>
      <c r="R764" s="289" t="s">
        <v>1988</v>
      </c>
      <c r="S764" s="4"/>
      <c r="T764" s="95">
        <v>1</v>
      </c>
      <c r="Y764">
        <v>2.9999999999999997E-12</v>
      </c>
      <c r="Z764" s="95">
        <f t="shared" si="580"/>
        <v>-11.522878745280337</v>
      </c>
      <c r="AG764" s="138"/>
      <c r="BW764" s="138"/>
      <c r="DG764">
        <f t="shared" si="581"/>
        <v>-11.522878745280337</v>
      </c>
      <c r="DH764">
        <f t="shared" si="582"/>
        <v>120.19</v>
      </c>
      <c r="DJ764">
        <f t="shared" ref="DJ764" si="592">$H764</f>
        <v>120.19</v>
      </c>
      <c r="EY764" s="479">
        <f>VLOOKUP(B764,Literatuur!$A:$B,2,FALSE)</f>
        <v>3</v>
      </c>
      <c r="EZ764" t="str">
        <f t="shared" si="569"/>
        <v>Trimethylbenzene</v>
      </c>
      <c r="FA764" t="str">
        <f t="shared" si="570"/>
        <v>MAK</v>
      </c>
      <c r="FB764" t="str">
        <f t="shared" si="571"/>
        <v>HDPE</v>
      </c>
      <c r="FC764" t="str">
        <f t="shared" si="572"/>
        <v>DeSorption to air</v>
      </c>
      <c r="FD764">
        <f t="shared" si="573"/>
        <v>298</v>
      </c>
      <c r="FE764" t="str">
        <f t="shared" si="574"/>
        <v>water</v>
      </c>
      <c r="FF764" t="str">
        <f t="shared" si="575"/>
        <v xml:space="preserve">saturated </v>
      </c>
      <c r="FG764" s="408">
        <f t="shared" si="564"/>
        <v>1</v>
      </c>
      <c r="FH764" s="138" t="str">
        <f t="shared" si="576"/>
        <v/>
      </c>
      <c r="FI764" s="106" t="str">
        <f t="shared" si="565"/>
        <v>**</v>
      </c>
      <c r="FJ764" s="138">
        <f t="shared" si="577"/>
        <v>-11.522878745280337</v>
      </c>
      <c r="FK764" s="138" t="str">
        <f t="shared" si="563"/>
        <v>**</v>
      </c>
    </row>
    <row r="765" spans="1:167" ht="12.75" hidden="1" customHeight="1" x14ac:dyDescent="0.2">
      <c r="A765">
        <v>730</v>
      </c>
      <c r="B765" s="4" t="s">
        <v>1938</v>
      </c>
      <c r="C765" s="4"/>
      <c r="D765" s="4" t="s">
        <v>501</v>
      </c>
      <c r="E765" s="4">
        <v>-1528</v>
      </c>
      <c r="F765" t="str">
        <f>VLOOKUP(E765,CompDbase!B:L,4,FALSE)</f>
        <v>1,2,3-Trimethylbenzene</v>
      </c>
      <c r="G765" s="95" t="str">
        <f>VLOOKUP(E765,CompDbase!B:M,12,FALSE)</f>
        <v>MAK</v>
      </c>
      <c r="H765" s="95">
        <f>VLOOKUP(E765,CompDbase!B:L,8,FALSE)</f>
        <v>120.19</v>
      </c>
      <c r="I765" s="95">
        <f>VLOOKUP(E765,CompDbase!B:L,11,FALSE)</f>
        <v>139.6</v>
      </c>
      <c r="J765" s="95">
        <f>VLOOKUP(E765,CompDbase!B:L,9,FALSE)</f>
        <v>75</v>
      </c>
      <c r="K765" s="95">
        <f>VLOOKUP(E765,CompDbase!B:L,10,FALSE)</f>
        <v>3.6</v>
      </c>
      <c r="L765" s="4" t="s">
        <v>717</v>
      </c>
      <c r="M765" s="423">
        <v>948000</v>
      </c>
      <c r="N765" s="423"/>
      <c r="O765" s="4" t="s">
        <v>1044</v>
      </c>
      <c r="P765">
        <v>298</v>
      </c>
      <c r="Q765" s="4" t="s">
        <v>1049</v>
      </c>
      <c r="R765" s="289" t="s">
        <v>1988</v>
      </c>
      <c r="S765" s="4"/>
      <c r="T765" s="289">
        <v>1</v>
      </c>
      <c r="V765">
        <v>0.08</v>
      </c>
      <c r="W765" s="95">
        <f>V765*M765/J765</f>
        <v>1011.2</v>
      </c>
      <c r="X765" s="95">
        <f t="shared" ref="X765:X773" si="593">LOG(W765)</f>
        <v>3.0048370609383097</v>
      </c>
      <c r="Y765">
        <v>3.4000000000000001E-12</v>
      </c>
      <c r="Z765" s="95">
        <f t="shared" si="580"/>
        <v>-11.468521082957745</v>
      </c>
      <c r="AA765" s="95">
        <f t="shared" ref="AA765:AA773" si="594">W765*Y765</f>
        <v>3.4380800000000002E-9</v>
      </c>
      <c r="AB765" s="95">
        <f t="shared" ref="AB765:AB773" si="595">LOG(AA765)</f>
        <v>-8.4636840220194358</v>
      </c>
      <c r="AC765" s="95"/>
      <c r="AD765" s="95"/>
      <c r="AG765" s="138">
        <f t="shared" ref="AG765:AG773" si="596">X765</f>
        <v>3.0048370609383097</v>
      </c>
      <c r="AH765">
        <f t="shared" ref="AH765:AI773" si="597">$K765</f>
        <v>3.6</v>
      </c>
      <c r="AI765">
        <f t="shared" si="597"/>
        <v>3.6</v>
      </c>
      <c r="AL765">
        <f t="shared" ref="AL765:AL766" si="598">$K765</f>
        <v>3.6</v>
      </c>
      <c r="AO765">
        <f t="shared" ref="AO765:AO766" si="599">$K765</f>
        <v>3.6</v>
      </c>
      <c r="BW765" s="138"/>
      <c r="BX765">
        <f>LOG(1*$J765)</f>
        <v>1.8750612633917001</v>
      </c>
      <c r="BY765">
        <f>LOG(1*$J765)</f>
        <v>1.8750612633917001</v>
      </c>
      <c r="CB765">
        <f>LOG(1*$J765)</f>
        <v>1.8750612633917001</v>
      </c>
      <c r="CE765">
        <f>LOG(1*$J765)</f>
        <v>1.8750612633917001</v>
      </c>
      <c r="DG765">
        <f t="shared" si="581"/>
        <v>-11.468521082957745</v>
      </c>
      <c r="DH765">
        <f t="shared" si="582"/>
        <v>120.19</v>
      </c>
      <c r="DI765">
        <f t="shared" si="582"/>
        <v>120.19</v>
      </c>
      <c r="EY765" s="479">
        <f>VLOOKUP(B765,Literatuur!$A:$B,2,FALSE)</f>
        <v>3</v>
      </c>
      <c r="EZ765" t="str">
        <f t="shared" si="569"/>
        <v>Trimethylbenzene</v>
      </c>
      <c r="FA765" t="str">
        <f t="shared" si="570"/>
        <v>MAK</v>
      </c>
      <c r="FB765" t="str">
        <f t="shared" si="571"/>
        <v>HDPE</v>
      </c>
      <c r="FC765" t="str">
        <f t="shared" si="572"/>
        <v>Immersion</v>
      </c>
      <c r="FD765">
        <f t="shared" si="573"/>
        <v>298</v>
      </c>
      <c r="FE765" t="str">
        <f t="shared" si="574"/>
        <v>water</v>
      </c>
      <c r="FF765" t="str">
        <f t="shared" si="575"/>
        <v xml:space="preserve">saturated </v>
      </c>
      <c r="FG765" s="408">
        <f t="shared" si="564"/>
        <v>1</v>
      </c>
      <c r="FH765" s="138">
        <f t="shared" si="576"/>
        <v>3.0048370609383097</v>
      </c>
      <c r="FI765" s="106">
        <f t="shared" si="565"/>
        <v>2.802999868194008</v>
      </c>
      <c r="FJ765" s="138">
        <f t="shared" si="577"/>
        <v>-11.468521082957745</v>
      </c>
      <c r="FK765" s="138" t="str">
        <f t="shared" si="563"/>
        <v>**</v>
      </c>
    </row>
    <row r="766" spans="1:167" s="9" customFormat="1" ht="12.75" customHeight="1" x14ac:dyDescent="0.2">
      <c r="A766">
        <v>731</v>
      </c>
      <c r="B766" s="10" t="s">
        <v>1936</v>
      </c>
      <c r="C766" s="10"/>
      <c r="D766" s="10" t="s">
        <v>548</v>
      </c>
      <c r="E766" s="10">
        <v>200</v>
      </c>
      <c r="F766" s="9" t="str">
        <f>VLOOKUP(E766,CompDbase!B:L,4,FALSE)</f>
        <v>Benzene</v>
      </c>
      <c r="G766" s="181" t="str">
        <f>VLOOKUP(E766,CompDbase!B:M,12,FALSE)</f>
        <v>MAK</v>
      </c>
      <c r="H766" s="181">
        <f>VLOOKUP(E766,CompDbase!B:L,8,FALSE)</f>
        <v>78.106666524406961</v>
      </c>
      <c r="I766" s="95">
        <f>VLOOKUP(E766,CompDbase!B:L,11,FALSE)</f>
        <v>89.4</v>
      </c>
      <c r="J766" s="181">
        <f>VLOOKUP(E766,CompDbase!B:L,9,FALSE)</f>
        <v>1988.89882593368</v>
      </c>
      <c r="K766" s="181">
        <f>VLOOKUP(E766,CompDbase!B:L,10,FALSE)</f>
        <v>2.13</v>
      </c>
      <c r="L766" s="10" t="s">
        <v>717</v>
      </c>
      <c r="M766" s="425"/>
      <c r="N766" s="425"/>
      <c r="O766" s="10" t="s">
        <v>1044</v>
      </c>
      <c r="P766" s="9">
        <v>298</v>
      </c>
      <c r="Q766" s="10" t="s">
        <v>1049</v>
      </c>
      <c r="R766" s="289" t="s">
        <v>1988</v>
      </c>
      <c r="T766" s="289">
        <v>1</v>
      </c>
      <c r="U766" s="9">
        <v>96.9</v>
      </c>
      <c r="V766" s="181"/>
      <c r="W766" s="181">
        <f t="shared" ref="W766:W773" si="600">U766/J766</f>
        <v>4.8720426970190765E-2</v>
      </c>
      <c r="X766" s="184">
        <f t="shared" si="593"/>
        <v>-1.312288914341001</v>
      </c>
      <c r="Y766" s="9">
        <v>5.3000000000000004E-12</v>
      </c>
      <c r="Z766" s="181">
        <f t="shared" si="580"/>
        <v>-11.275724130399212</v>
      </c>
      <c r="AA766" s="95">
        <f t="shared" si="594"/>
        <v>2.582182629420111E-13</v>
      </c>
      <c r="AB766" s="95">
        <f t="shared" si="595"/>
        <v>-12.588013044740212</v>
      </c>
      <c r="AC766" s="95"/>
      <c r="AD766" s="95"/>
      <c r="AF766"/>
      <c r="AG766" s="138">
        <f t="shared" si="596"/>
        <v>-1.312288914341001</v>
      </c>
      <c r="AH766">
        <f t="shared" si="597"/>
        <v>2.13</v>
      </c>
      <c r="AI766">
        <f t="shared" si="597"/>
        <v>2.13</v>
      </c>
      <c r="AL766">
        <f t="shared" si="598"/>
        <v>2.13</v>
      </c>
      <c r="AM766"/>
      <c r="AN766"/>
      <c r="AO766">
        <f t="shared" si="599"/>
        <v>2.13</v>
      </c>
      <c r="BW766" s="138"/>
      <c r="BX766">
        <f>LOG(1*$J766)</f>
        <v>3.2986126913917664</v>
      </c>
      <c r="BY766">
        <f>LOG(1*$J766)</f>
        <v>3.2986126913917664</v>
      </c>
      <c r="CB766">
        <f>LOG(1*$J766)</f>
        <v>3.2986126913917664</v>
      </c>
      <c r="CC766"/>
      <c r="CD766"/>
      <c r="CE766">
        <f>LOG(1*$J766)</f>
        <v>3.2986126913917664</v>
      </c>
      <c r="DF766"/>
      <c r="DG766">
        <f t="shared" si="581"/>
        <v>-11.275724130399212</v>
      </c>
      <c r="DH766">
        <f t="shared" si="582"/>
        <v>78.106666524406961</v>
      </c>
      <c r="DI766">
        <f t="shared" si="582"/>
        <v>78.106666524406961</v>
      </c>
      <c r="DL766"/>
      <c r="DM766"/>
      <c r="DN766"/>
      <c r="DO766"/>
      <c r="DP766"/>
      <c r="EY766" s="479">
        <f>VLOOKUP(B766,Literatuur!$A:$B,2,FALSE)</f>
        <v>7</v>
      </c>
      <c r="EZ766" t="str">
        <f t="shared" si="569"/>
        <v>Benzene</v>
      </c>
      <c r="FA766" t="str">
        <f t="shared" si="570"/>
        <v>MAK</v>
      </c>
      <c r="FB766" t="str">
        <f t="shared" si="571"/>
        <v>HDPE</v>
      </c>
      <c r="FC766" t="str">
        <f t="shared" si="572"/>
        <v>Immersion</v>
      </c>
      <c r="FD766">
        <f t="shared" si="573"/>
        <v>298</v>
      </c>
      <c r="FE766" t="str">
        <f t="shared" si="574"/>
        <v>water</v>
      </c>
      <c r="FF766" t="str">
        <f t="shared" si="575"/>
        <v xml:space="preserve">saturated </v>
      </c>
      <c r="FG766" s="408">
        <f t="shared" si="564"/>
        <v>1</v>
      </c>
      <c r="FH766" s="138">
        <f t="shared" si="576"/>
        <v>-1.312288914341001</v>
      </c>
      <c r="FI766" s="106">
        <f t="shared" si="565"/>
        <v>1.08007323929876</v>
      </c>
      <c r="FJ766" s="138">
        <f t="shared" si="577"/>
        <v>-11.275724130399212</v>
      </c>
      <c r="FK766" s="138" t="str">
        <f t="shared" si="563"/>
        <v>**</v>
      </c>
    </row>
    <row r="767" spans="1:167" ht="12.75" customHeight="1" x14ac:dyDescent="0.2">
      <c r="A767">
        <v>732</v>
      </c>
      <c r="B767" s="4" t="s">
        <v>1936</v>
      </c>
      <c r="C767" s="4"/>
      <c r="D767" s="4" t="s">
        <v>548</v>
      </c>
      <c r="E767" s="4">
        <v>200</v>
      </c>
      <c r="F767" t="str">
        <f>VLOOKUP(E767,CompDbase!B:L,4,FALSE)</f>
        <v>Benzene</v>
      </c>
      <c r="G767" s="95" t="str">
        <f>VLOOKUP(E767,CompDbase!B:M,12,FALSE)</f>
        <v>MAK</v>
      </c>
      <c r="H767" s="95">
        <f>VLOOKUP(E767,CompDbase!B:L,8,FALSE)</f>
        <v>78.106666524406961</v>
      </c>
      <c r="I767" s="95">
        <f>VLOOKUP(E767,CompDbase!B:L,11,FALSE)</f>
        <v>89.4</v>
      </c>
      <c r="J767" s="95">
        <f>VLOOKUP(E767,CompDbase!B:L,9,FALSE)</f>
        <v>1988.89882593368</v>
      </c>
      <c r="K767" s="95">
        <f>VLOOKUP(E767,CompDbase!B:L,10,FALSE)</f>
        <v>2.13</v>
      </c>
      <c r="L767" s="4" t="s">
        <v>717</v>
      </c>
      <c r="M767" s="423"/>
      <c r="N767" s="423"/>
      <c r="O767" s="4" t="s">
        <v>1082</v>
      </c>
      <c r="P767">
        <v>298</v>
      </c>
      <c r="Q767" s="4" t="s">
        <v>1049</v>
      </c>
      <c r="R767" s="289" t="s">
        <v>1988</v>
      </c>
      <c r="T767" s="289">
        <v>1</v>
      </c>
      <c r="U767">
        <v>195</v>
      </c>
      <c r="V767" s="95"/>
      <c r="W767" s="95">
        <f t="shared" si="600"/>
        <v>9.8044202881188841E-2</v>
      </c>
      <c r="X767" s="183">
        <f t="shared" si="593"/>
        <v>-1.0085780800292483</v>
      </c>
      <c r="Y767">
        <v>3.6E-12</v>
      </c>
      <c r="Z767" s="95">
        <f t="shared" si="580"/>
        <v>-11.443697499232712</v>
      </c>
      <c r="AA767" s="95">
        <f t="shared" si="594"/>
        <v>3.5295913037227983E-13</v>
      </c>
      <c r="AB767" s="95">
        <f t="shared" si="595"/>
        <v>-12.452275579261961</v>
      </c>
      <c r="AC767" s="95"/>
      <c r="AD767" s="95"/>
      <c r="AG767" s="138">
        <f t="shared" si="596"/>
        <v>-1.0085780800292483</v>
      </c>
      <c r="AH767">
        <f t="shared" si="597"/>
        <v>2.13</v>
      </c>
      <c r="AK767">
        <f t="shared" ref="AK767" si="601">$K767</f>
        <v>2.13</v>
      </c>
      <c r="BW767" s="138"/>
      <c r="BX767">
        <f t="shared" ref="BX767:BX773" si="602">LOG(1*$J767)</f>
        <v>3.2986126913917664</v>
      </c>
      <c r="CA767">
        <f>LOG(1*$J767)</f>
        <v>3.2986126913917664</v>
      </c>
      <c r="DG767">
        <f t="shared" si="581"/>
        <v>-11.443697499232712</v>
      </c>
      <c r="DH767">
        <f t="shared" si="582"/>
        <v>78.106666524406961</v>
      </c>
      <c r="DK767">
        <f t="shared" ref="DK767" si="603">$H767</f>
        <v>78.106666524406961</v>
      </c>
      <c r="EY767" s="479">
        <f>VLOOKUP(B767,Literatuur!$A:$B,2,FALSE)</f>
        <v>7</v>
      </c>
      <c r="EZ767" t="str">
        <f t="shared" si="569"/>
        <v>Benzene</v>
      </c>
      <c r="FA767" t="str">
        <f t="shared" si="570"/>
        <v>MAK</v>
      </c>
      <c r="FB767" t="str">
        <f t="shared" si="571"/>
        <v>HDPE</v>
      </c>
      <c r="FC767" t="str">
        <f t="shared" si="572"/>
        <v>Permeation</v>
      </c>
      <c r="FD767">
        <f t="shared" si="573"/>
        <v>298</v>
      </c>
      <c r="FE767" t="str">
        <f t="shared" si="574"/>
        <v>water</v>
      </c>
      <c r="FF767" t="str">
        <f t="shared" si="575"/>
        <v xml:space="preserve">saturated </v>
      </c>
      <c r="FG767" s="408">
        <f t="shared" si="564"/>
        <v>1</v>
      </c>
      <c r="FH767" s="138">
        <f t="shared" si="576"/>
        <v>-1.0085780800292483</v>
      </c>
      <c r="FI767" s="106" t="str">
        <f t="shared" si="565"/>
        <v>**</v>
      </c>
      <c r="FJ767" s="138">
        <f t="shared" si="577"/>
        <v>-11.443697499232712</v>
      </c>
      <c r="FK767" s="138" t="str">
        <f t="shared" si="563"/>
        <v>**</v>
      </c>
    </row>
    <row r="768" spans="1:167" ht="12.75" hidden="1" customHeight="1" x14ac:dyDescent="0.2">
      <c r="A768">
        <v>733</v>
      </c>
      <c r="B768" s="4" t="s">
        <v>1936</v>
      </c>
      <c r="C768" s="4"/>
      <c r="D768" s="4" t="s">
        <v>542</v>
      </c>
      <c r="E768">
        <v>201</v>
      </c>
      <c r="F768" t="str">
        <f>VLOOKUP(E768,CompDbase!B:L,4,FALSE)</f>
        <v>Ethylbenzene</v>
      </c>
      <c r="G768" s="95" t="str">
        <f>VLOOKUP(E768,CompDbase!B:M,12,FALSE)</f>
        <v>MAK</v>
      </c>
      <c r="H768" s="95">
        <f>VLOOKUP(E768,CompDbase!B:L,8,FALSE)</f>
        <v>106.18666499232586</v>
      </c>
      <c r="I768" s="95" t="e">
        <f>VLOOKUP(E768,CompDbase!B:L,11,FALSE)</f>
        <v>#DIV/0!</v>
      </c>
      <c r="J768" s="95">
        <f>VLOOKUP(E768,CompDbase!B:L,9,FALSE)</f>
        <v>159.4494296665228</v>
      </c>
      <c r="K768" s="95">
        <f>VLOOKUP(E768,CompDbase!B:L,10,FALSE)</f>
        <v>3.15</v>
      </c>
      <c r="L768" s="4" t="s">
        <v>717</v>
      </c>
      <c r="M768" s="423"/>
      <c r="N768" s="423"/>
      <c r="O768" s="4" t="s">
        <v>1044</v>
      </c>
      <c r="P768">
        <v>298</v>
      </c>
      <c r="Q768" s="4" t="s">
        <v>1049</v>
      </c>
      <c r="R768" s="289" t="s">
        <v>1988</v>
      </c>
      <c r="T768" s="289">
        <v>1</v>
      </c>
      <c r="U768">
        <v>102</v>
      </c>
      <c r="V768" s="95"/>
      <c r="W768" s="95">
        <f t="shared" si="600"/>
        <v>0.63970125332731376</v>
      </c>
      <c r="X768" s="183">
        <f t="shared" si="593"/>
        <v>-0.1940227983951415</v>
      </c>
      <c r="Y768">
        <v>4.4999999999999998E-12</v>
      </c>
      <c r="Z768" s="95">
        <f t="shared" si="580"/>
        <v>-11.346787486224656</v>
      </c>
      <c r="AA768" s="95">
        <f t="shared" si="594"/>
        <v>2.8786556399729119E-12</v>
      </c>
      <c r="AB768" s="95">
        <f t="shared" si="595"/>
        <v>-11.540810284619798</v>
      </c>
      <c r="AC768" s="95"/>
      <c r="AD768" s="95"/>
      <c r="AG768" s="138">
        <f t="shared" si="596"/>
        <v>-0.1940227983951415</v>
      </c>
      <c r="AH768">
        <f t="shared" si="597"/>
        <v>3.15</v>
      </c>
      <c r="AI768">
        <f>$K768</f>
        <v>3.15</v>
      </c>
      <c r="AL768">
        <f t="shared" ref="AL768" si="604">$K768</f>
        <v>3.15</v>
      </c>
      <c r="AO768">
        <f t="shared" ref="AO768" si="605">$K768</f>
        <v>3.15</v>
      </c>
      <c r="BW768" s="138"/>
      <c r="BX768">
        <f t="shared" si="602"/>
        <v>2.202622970157059</v>
      </c>
      <c r="BY768">
        <f>LOG(1*$J768)</f>
        <v>2.202622970157059</v>
      </c>
      <c r="CB768">
        <f>LOG(1*$J768)</f>
        <v>2.202622970157059</v>
      </c>
      <c r="CE768">
        <f>LOG(1*$J768)</f>
        <v>2.202622970157059</v>
      </c>
      <c r="DG768">
        <f t="shared" si="581"/>
        <v>-11.346787486224656</v>
      </c>
      <c r="DH768">
        <f t="shared" si="582"/>
        <v>106.18666499232586</v>
      </c>
      <c r="DI768">
        <f t="shared" si="582"/>
        <v>106.18666499232586</v>
      </c>
      <c r="EY768" s="479">
        <f>VLOOKUP(B768,Literatuur!$A:$B,2,FALSE)</f>
        <v>7</v>
      </c>
      <c r="EZ768" t="str">
        <f t="shared" si="569"/>
        <v>Ethyl Benzene</v>
      </c>
      <c r="FA768" t="str">
        <f t="shared" si="570"/>
        <v>MAK</v>
      </c>
      <c r="FB768" t="str">
        <f t="shared" si="571"/>
        <v>HDPE</v>
      </c>
      <c r="FC768" t="str">
        <f t="shared" si="572"/>
        <v>Immersion</v>
      </c>
      <c r="FD768">
        <f t="shared" si="573"/>
        <v>298</v>
      </c>
      <c r="FE768" t="str">
        <f t="shared" si="574"/>
        <v>water</v>
      </c>
      <c r="FF768" t="str">
        <f t="shared" si="575"/>
        <v xml:space="preserve">saturated </v>
      </c>
      <c r="FG768" s="408">
        <f t="shared" si="564"/>
        <v>1</v>
      </c>
      <c r="FH768" s="138">
        <f t="shared" si="576"/>
        <v>-0.1940227983951415</v>
      </c>
      <c r="FI768" s="106">
        <f t="shared" si="565"/>
        <v>2.2755733491444419</v>
      </c>
      <c r="FJ768" s="138">
        <f t="shared" si="577"/>
        <v>-11.346787486224656</v>
      </c>
      <c r="FK768" s="138" t="str">
        <f t="shared" si="563"/>
        <v>**</v>
      </c>
    </row>
    <row r="769" spans="1:167" ht="12.75" hidden="1" customHeight="1" x14ac:dyDescent="0.2">
      <c r="A769">
        <v>734</v>
      </c>
      <c r="B769" s="4" t="s">
        <v>1936</v>
      </c>
      <c r="C769" s="4"/>
      <c r="D769" s="4" t="s">
        <v>542</v>
      </c>
      <c r="E769">
        <v>201</v>
      </c>
      <c r="F769" t="str">
        <f>VLOOKUP(E769,CompDbase!B:L,4,FALSE)</f>
        <v>Ethylbenzene</v>
      </c>
      <c r="G769" s="95" t="str">
        <f>VLOOKUP(E769,CompDbase!B:M,12,FALSE)</f>
        <v>MAK</v>
      </c>
      <c r="H769" s="95">
        <f>VLOOKUP(E769,CompDbase!B:L,8,FALSE)</f>
        <v>106.18666499232586</v>
      </c>
      <c r="I769" s="95" t="e">
        <f>VLOOKUP(E769,CompDbase!B:L,11,FALSE)</f>
        <v>#DIV/0!</v>
      </c>
      <c r="J769" s="95">
        <f>VLOOKUP(E769,CompDbase!B:L,9,FALSE)</f>
        <v>159.4494296665228</v>
      </c>
      <c r="K769" s="95">
        <f>VLOOKUP(E769,CompDbase!B:L,10,FALSE)</f>
        <v>3.15</v>
      </c>
      <c r="L769" s="4" t="s">
        <v>717</v>
      </c>
      <c r="M769" s="423"/>
      <c r="N769" s="423"/>
      <c r="O769" s="4" t="s">
        <v>1082</v>
      </c>
      <c r="P769">
        <v>298</v>
      </c>
      <c r="Q769" s="4" t="s">
        <v>1049</v>
      </c>
      <c r="R769" s="289" t="s">
        <v>1988</v>
      </c>
      <c r="T769" s="289">
        <v>1</v>
      </c>
      <c r="U769">
        <v>154</v>
      </c>
      <c r="V769" s="95"/>
      <c r="W769" s="95">
        <f t="shared" si="600"/>
        <v>0.96582346090594429</v>
      </c>
      <c r="X769" s="183">
        <f t="shared" si="593"/>
        <v>-1.5102249320595987E-2</v>
      </c>
      <c r="Y769">
        <v>2.4999999999999998E-12</v>
      </c>
      <c r="Z769" s="95">
        <f t="shared" si="580"/>
        <v>-11.602059991327963</v>
      </c>
      <c r="AA769" s="95">
        <f t="shared" si="594"/>
        <v>2.4145586522648607E-12</v>
      </c>
      <c r="AB769" s="95">
        <f t="shared" si="595"/>
        <v>-11.617162240648558</v>
      </c>
      <c r="AC769" s="95"/>
      <c r="AD769" s="95"/>
      <c r="AG769" s="138">
        <f t="shared" si="596"/>
        <v>-1.5102249320595987E-2</v>
      </c>
      <c r="AH769">
        <f t="shared" si="597"/>
        <v>3.15</v>
      </c>
      <c r="AK769">
        <f t="shared" ref="AK769" si="606">$K769</f>
        <v>3.15</v>
      </c>
      <c r="BW769" s="138"/>
      <c r="BX769">
        <f t="shared" si="602"/>
        <v>2.202622970157059</v>
      </c>
      <c r="CA769">
        <f>LOG(1*$J769)</f>
        <v>2.202622970157059</v>
      </c>
      <c r="DG769">
        <f t="shared" si="581"/>
        <v>-11.602059991327963</v>
      </c>
      <c r="DH769">
        <f t="shared" si="582"/>
        <v>106.18666499232586</v>
      </c>
      <c r="DK769">
        <f t="shared" ref="DK769" si="607">$H769</f>
        <v>106.18666499232586</v>
      </c>
      <c r="EY769" s="479">
        <f>VLOOKUP(B769,Literatuur!$A:$B,2,FALSE)</f>
        <v>7</v>
      </c>
      <c r="EZ769" t="str">
        <f t="shared" si="569"/>
        <v>Ethyl Benzene</v>
      </c>
      <c r="FA769" t="str">
        <f t="shared" si="570"/>
        <v>MAK</v>
      </c>
      <c r="FB769" t="str">
        <f t="shared" si="571"/>
        <v>HDPE</v>
      </c>
      <c r="FC769" t="str">
        <f t="shared" si="572"/>
        <v>Permeation</v>
      </c>
      <c r="FD769">
        <f t="shared" si="573"/>
        <v>298</v>
      </c>
      <c r="FE769" t="str">
        <f t="shared" si="574"/>
        <v>water</v>
      </c>
      <c r="FF769" t="str">
        <f t="shared" si="575"/>
        <v xml:space="preserve">saturated </v>
      </c>
      <c r="FG769" s="408">
        <f t="shared" si="564"/>
        <v>1</v>
      </c>
      <c r="FH769" s="138">
        <f t="shared" si="576"/>
        <v>-1.5102249320595987E-2</v>
      </c>
      <c r="FI769" s="106" t="str">
        <f t="shared" si="565"/>
        <v>**</v>
      </c>
      <c r="FJ769" s="138">
        <f t="shared" si="577"/>
        <v>-11.602059991327963</v>
      </c>
      <c r="FK769" s="138" t="str">
        <f t="shared" si="563"/>
        <v>**</v>
      </c>
    </row>
    <row r="770" spans="1:167" ht="12.75" hidden="1" customHeight="1" x14ac:dyDescent="0.2">
      <c r="A770">
        <v>735</v>
      </c>
      <c r="B770" s="4" t="s">
        <v>1936</v>
      </c>
      <c r="C770" s="4"/>
      <c r="D770" s="4" t="s">
        <v>541</v>
      </c>
      <c r="E770" s="4">
        <v>704</v>
      </c>
      <c r="F770" t="str">
        <f>VLOOKUP(E770,CompDbase!B:L,4,FALSE)</f>
        <v>Styrene</v>
      </c>
      <c r="G770" s="95" t="str">
        <f>VLOOKUP(E770,CompDbase!B:M,12,FALSE)</f>
        <v>MAK</v>
      </c>
      <c r="H770" s="95">
        <f>VLOOKUP(E770,CompDbase!B:L,8,FALSE)</f>
        <v>104.14856451163628</v>
      </c>
      <c r="I770" s="95" t="e">
        <f>VLOOKUP(E770,CompDbase!B:L,11,FALSE)</f>
        <v>#DIV/0!</v>
      </c>
      <c r="J770" s="95">
        <f>VLOOKUP(E770,CompDbase!B:L,9,FALSE)</f>
        <v>320.05735053194411</v>
      </c>
      <c r="K770" s="95">
        <f>VLOOKUP(E770,CompDbase!B:L,10,FALSE)</f>
        <v>2.95</v>
      </c>
      <c r="L770" s="4" t="s">
        <v>717</v>
      </c>
      <c r="M770" s="423"/>
      <c r="N770" s="423"/>
      <c r="O770" s="4" t="s">
        <v>1044</v>
      </c>
      <c r="P770">
        <v>298</v>
      </c>
      <c r="Q770" s="4" t="s">
        <v>1049</v>
      </c>
      <c r="R770" s="289" t="s">
        <v>1988</v>
      </c>
      <c r="T770" s="289">
        <v>1</v>
      </c>
      <c r="U770">
        <v>88.3</v>
      </c>
      <c r="V770" s="95"/>
      <c r="W770" s="95">
        <f t="shared" si="600"/>
        <v>0.27588805522898624</v>
      </c>
      <c r="X770" s="183">
        <f t="shared" si="593"/>
        <v>-0.55926710220452802</v>
      </c>
      <c r="Y770">
        <v>5.6999999999999995E-12</v>
      </c>
      <c r="Z770" s="95">
        <f t="shared" si="580"/>
        <v>-11.244125144327509</v>
      </c>
      <c r="AA770" s="95">
        <f t="shared" si="594"/>
        <v>1.5725619148052215E-12</v>
      </c>
      <c r="AB770" s="95">
        <f t="shared" si="595"/>
        <v>-11.803392246532036</v>
      </c>
      <c r="AC770" s="95"/>
      <c r="AD770" s="95"/>
      <c r="AG770" s="138">
        <f t="shared" si="596"/>
        <v>-0.55926710220452802</v>
      </c>
      <c r="AH770">
        <f t="shared" si="597"/>
        <v>2.95</v>
      </c>
      <c r="AI770">
        <f>$K770</f>
        <v>2.95</v>
      </c>
      <c r="AL770">
        <f t="shared" ref="AL770" si="608">$K770</f>
        <v>2.95</v>
      </c>
      <c r="AO770">
        <f t="shared" ref="AO770" si="609">$K770</f>
        <v>2.95</v>
      </c>
      <c r="BW770" s="138"/>
      <c r="BX770">
        <f t="shared" si="602"/>
        <v>2.5052278057820967</v>
      </c>
      <c r="BY770">
        <f>LOG(1*$J770)</f>
        <v>2.5052278057820967</v>
      </c>
      <c r="CB770">
        <f>LOG(1*$J770)</f>
        <v>2.5052278057820967</v>
      </c>
      <c r="CE770">
        <f>LOG(1*$J770)</f>
        <v>2.5052278057820967</v>
      </c>
      <c r="DG770">
        <f t="shared" si="581"/>
        <v>-11.244125144327509</v>
      </c>
      <c r="DH770">
        <f t="shared" si="582"/>
        <v>104.14856451163628</v>
      </c>
      <c r="DI770">
        <f t="shared" si="582"/>
        <v>104.14856451163628</v>
      </c>
      <c r="EY770" s="479">
        <f>VLOOKUP(B770,Literatuur!$A:$B,2,FALSE)</f>
        <v>7</v>
      </c>
      <c r="EZ770" t="str">
        <f t="shared" si="569"/>
        <v>Styrene</v>
      </c>
      <c r="FA770" t="str">
        <f t="shared" si="570"/>
        <v>MAK</v>
      </c>
      <c r="FB770" t="str">
        <f t="shared" si="571"/>
        <v>HDPE</v>
      </c>
      <c r="FC770" t="str">
        <f t="shared" si="572"/>
        <v>Immersion</v>
      </c>
      <c r="FD770">
        <f t="shared" si="573"/>
        <v>298</v>
      </c>
      <c r="FE770" t="str">
        <f t="shared" si="574"/>
        <v>water</v>
      </c>
      <c r="FF770" t="str">
        <f t="shared" si="575"/>
        <v xml:space="preserve">saturated </v>
      </c>
      <c r="FG770" s="408">
        <f t="shared" si="564"/>
        <v>1</v>
      </c>
      <c r="FH770" s="138">
        <f t="shared" si="576"/>
        <v>-0.55926710220452802</v>
      </c>
      <c r="FI770" s="106">
        <f t="shared" si="565"/>
        <v>2.0411615629001911</v>
      </c>
      <c r="FJ770" s="138">
        <f t="shared" si="577"/>
        <v>-11.244125144327509</v>
      </c>
      <c r="FK770" s="138" t="str">
        <f t="shared" si="563"/>
        <v>**</v>
      </c>
    </row>
    <row r="771" spans="1:167" ht="12.75" hidden="1" customHeight="1" x14ac:dyDescent="0.2">
      <c r="A771">
        <v>736</v>
      </c>
      <c r="B771" s="4" t="s">
        <v>1936</v>
      </c>
      <c r="C771" s="4"/>
      <c r="D771" s="4" t="s">
        <v>541</v>
      </c>
      <c r="E771" s="4">
        <v>704</v>
      </c>
      <c r="F771" t="str">
        <f>VLOOKUP(E771,CompDbase!B:L,4,FALSE)</f>
        <v>Styrene</v>
      </c>
      <c r="G771" s="95" t="str">
        <f>VLOOKUP(E771,CompDbase!B:M,12,FALSE)</f>
        <v>MAK</v>
      </c>
      <c r="H771" s="95">
        <f>VLOOKUP(E771,CompDbase!B:L,8,FALSE)</f>
        <v>104.14856451163628</v>
      </c>
      <c r="I771" s="95" t="e">
        <f>VLOOKUP(E771,CompDbase!B:L,11,FALSE)</f>
        <v>#DIV/0!</v>
      </c>
      <c r="J771" s="95">
        <f>VLOOKUP(E771,CompDbase!B:L,9,FALSE)</f>
        <v>320.05735053194411</v>
      </c>
      <c r="K771" s="95">
        <f>VLOOKUP(E771,CompDbase!B:L,10,FALSE)</f>
        <v>2.95</v>
      </c>
      <c r="L771" s="4" t="s">
        <v>717</v>
      </c>
      <c r="M771" s="423"/>
      <c r="N771" s="423"/>
      <c r="O771" s="4" t="s">
        <v>1082</v>
      </c>
      <c r="P771">
        <v>298</v>
      </c>
      <c r="Q771" s="4" t="s">
        <v>1049</v>
      </c>
      <c r="R771" s="289" t="s">
        <v>1988</v>
      </c>
      <c r="T771" s="289">
        <v>1</v>
      </c>
      <c r="U771">
        <v>166.6</v>
      </c>
      <c r="V771" s="95"/>
      <c r="W771" s="95">
        <f t="shared" si="600"/>
        <v>0.52053171009228882</v>
      </c>
      <c r="X771" s="183">
        <f t="shared" si="593"/>
        <v>-0.28355280871132788</v>
      </c>
      <c r="Y771">
        <v>3.1000000000000001E-12</v>
      </c>
      <c r="Z771" s="95">
        <f t="shared" si="580"/>
        <v>-11.508638306165727</v>
      </c>
      <c r="AA771" s="95">
        <f t="shared" si="594"/>
        <v>1.6136483012860953E-12</v>
      </c>
      <c r="AB771" s="95">
        <f t="shared" si="595"/>
        <v>-11.792191114877054</v>
      </c>
      <c r="AC771" s="95"/>
      <c r="AD771" s="95"/>
      <c r="AG771" s="138">
        <f t="shared" si="596"/>
        <v>-0.28355280871132788</v>
      </c>
      <c r="AH771">
        <f t="shared" si="597"/>
        <v>2.95</v>
      </c>
      <c r="AK771">
        <f t="shared" ref="AK771" si="610">$K771</f>
        <v>2.95</v>
      </c>
      <c r="BW771" s="138"/>
      <c r="BX771">
        <f t="shared" si="602"/>
        <v>2.5052278057820967</v>
      </c>
      <c r="CA771">
        <f>LOG(1*$J771)</f>
        <v>2.5052278057820967</v>
      </c>
      <c r="DG771">
        <f t="shared" si="581"/>
        <v>-11.508638306165727</v>
      </c>
      <c r="DH771">
        <f t="shared" si="582"/>
        <v>104.14856451163628</v>
      </c>
      <c r="DK771">
        <f t="shared" ref="DK771" si="611">$H771</f>
        <v>104.14856451163628</v>
      </c>
      <c r="EY771" s="479">
        <f>VLOOKUP(B771,Literatuur!$A:$B,2,FALSE)</f>
        <v>7</v>
      </c>
      <c r="EZ771" t="str">
        <f t="shared" si="569"/>
        <v>Styrene</v>
      </c>
      <c r="FA771" t="str">
        <f t="shared" si="570"/>
        <v>MAK</v>
      </c>
      <c r="FB771" t="str">
        <f t="shared" si="571"/>
        <v>HDPE</v>
      </c>
      <c r="FC771" t="str">
        <f t="shared" si="572"/>
        <v>Permeation</v>
      </c>
      <c r="FD771">
        <f t="shared" si="573"/>
        <v>298</v>
      </c>
      <c r="FE771" t="str">
        <f t="shared" si="574"/>
        <v>water</v>
      </c>
      <c r="FF771" t="str">
        <f t="shared" si="575"/>
        <v xml:space="preserve">saturated </v>
      </c>
      <c r="FG771" s="408">
        <f t="shared" si="564"/>
        <v>1</v>
      </c>
      <c r="FH771" s="138">
        <f t="shared" si="576"/>
        <v>-0.28355280871132788</v>
      </c>
      <c r="FI771" s="106" t="str">
        <f t="shared" si="565"/>
        <v>**</v>
      </c>
      <c r="FJ771" s="138">
        <f t="shared" si="577"/>
        <v>-11.508638306165727</v>
      </c>
      <c r="FK771" s="138" t="str">
        <f t="shared" si="563"/>
        <v>**</v>
      </c>
    </row>
    <row r="772" spans="1:167" ht="12.75" hidden="1" customHeight="1" x14ac:dyDescent="0.2">
      <c r="A772">
        <v>737</v>
      </c>
      <c r="B772" s="4" t="s">
        <v>1936</v>
      </c>
      <c r="C772" s="4"/>
      <c r="D772" s="4" t="s">
        <v>492</v>
      </c>
      <c r="E772" s="4">
        <v>204</v>
      </c>
      <c r="F772" t="str">
        <f>VLOOKUP(E772,CompDbase!B:L,4,FALSE)</f>
        <v>Toluene</v>
      </c>
      <c r="G772" s="95" t="str">
        <f>VLOOKUP(E772,CompDbase!B:M,12,FALSE)</f>
        <v>MAK</v>
      </c>
      <c r="H772" s="95">
        <f>VLOOKUP(E772,CompDbase!B:L,8,FALSE)</f>
        <v>92.14249284505685</v>
      </c>
      <c r="I772" s="95">
        <f>VLOOKUP(E772,CompDbase!B:L,11,FALSE)</f>
        <v>106.9</v>
      </c>
      <c r="J772" s="95">
        <f>VLOOKUP(E772,CompDbase!B:L,9,FALSE)</f>
        <v>610.59105234897152</v>
      </c>
      <c r="K772" s="95">
        <f>VLOOKUP(E772,CompDbase!B:L,10,FALSE)</f>
        <v>2.73</v>
      </c>
      <c r="L772" s="4" t="s">
        <v>717</v>
      </c>
      <c r="M772" s="423"/>
      <c r="N772" s="423"/>
      <c r="O772" s="4" t="s">
        <v>1044</v>
      </c>
      <c r="P772">
        <v>298</v>
      </c>
      <c r="Q772" s="4" t="s">
        <v>1049</v>
      </c>
      <c r="R772" s="289" t="s">
        <v>1988</v>
      </c>
      <c r="T772" s="289">
        <v>1</v>
      </c>
      <c r="U772">
        <v>103.5</v>
      </c>
      <c r="V772" s="95"/>
      <c r="W772" s="95">
        <f t="shared" si="600"/>
        <v>0.16950788846615225</v>
      </c>
      <c r="X772" s="183">
        <f t="shared" si="593"/>
        <v>-0.77081008602961509</v>
      </c>
      <c r="Y772">
        <v>6.0999999999999995E-12</v>
      </c>
      <c r="Z772" s="95">
        <f t="shared" si="580"/>
        <v>-11.214670164989233</v>
      </c>
      <c r="AA772" s="95">
        <f t="shared" si="594"/>
        <v>1.0339981196435287E-12</v>
      </c>
      <c r="AB772" s="95">
        <f t="shared" si="595"/>
        <v>-11.985480251018847</v>
      </c>
      <c r="AC772" s="95"/>
      <c r="AD772" s="95"/>
      <c r="AG772" s="138">
        <f t="shared" si="596"/>
        <v>-0.77081008602961509</v>
      </c>
      <c r="AH772">
        <f t="shared" si="597"/>
        <v>2.73</v>
      </c>
      <c r="AI772">
        <f>$K772</f>
        <v>2.73</v>
      </c>
      <c r="AL772">
        <f t="shared" ref="AL772" si="612">$K772</f>
        <v>2.73</v>
      </c>
      <c r="AO772">
        <f t="shared" ref="AO772" si="613">$K772</f>
        <v>2.73</v>
      </c>
      <c r="BW772" s="138"/>
      <c r="BX772">
        <f t="shared" si="602"/>
        <v>2.7857504358225516</v>
      </c>
      <c r="BY772">
        <f>LOG(1*$J772)</f>
        <v>2.7857504358225516</v>
      </c>
      <c r="CB772">
        <f>LOG(1*$J772)</f>
        <v>2.7857504358225516</v>
      </c>
      <c r="CE772">
        <f>LOG(1*$J772)</f>
        <v>2.7857504358225516</v>
      </c>
      <c r="DG772">
        <f t="shared" si="581"/>
        <v>-11.214670164989233</v>
      </c>
      <c r="DH772">
        <f t="shared" si="582"/>
        <v>92.14249284505685</v>
      </c>
      <c r="DI772">
        <f t="shared" si="582"/>
        <v>92.14249284505685</v>
      </c>
      <c r="EY772" s="479">
        <f>VLOOKUP(B772,Literatuur!$A:$B,2,FALSE)</f>
        <v>7</v>
      </c>
      <c r="EZ772" t="str">
        <f t="shared" si="569"/>
        <v>Toluene</v>
      </c>
      <c r="FA772" t="str">
        <f t="shared" si="570"/>
        <v>MAK</v>
      </c>
      <c r="FB772" t="str">
        <f t="shared" si="571"/>
        <v>HDPE</v>
      </c>
      <c r="FC772" t="str">
        <f t="shared" si="572"/>
        <v>Immersion</v>
      </c>
      <c r="FD772">
        <f t="shared" si="573"/>
        <v>298</v>
      </c>
      <c r="FE772" t="str">
        <f t="shared" si="574"/>
        <v>water</v>
      </c>
      <c r="FF772" t="str">
        <f t="shared" si="575"/>
        <v xml:space="preserve">saturated </v>
      </c>
      <c r="FG772" s="408">
        <f t="shared" si="564"/>
        <v>1</v>
      </c>
      <c r="FH772" s="138">
        <f t="shared" si="576"/>
        <v>-0.77081008602961509</v>
      </c>
      <c r="FI772" s="106">
        <f t="shared" si="565"/>
        <v>1.7833085980315144</v>
      </c>
      <c r="FJ772" s="138">
        <f t="shared" si="577"/>
        <v>-11.214670164989233</v>
      </c>
      <c r="FK772" s="138" t="str">
        <f t="shared" si="563"/>
        <v>**</v>
      </c>
    </row>
    <row r="773" spans="1:167" ht="12.75" hidden="1" customHeight="1" x14ac:dyDescent="0.2">
      <c r="A773">
        <v>738</v>
      </c>
      <c r="B773" s="14" t="s">
        <v>1936</v>
      </c>
      <c r="C773" s="14"/>
      <c r="D773" s="14" t="s">
        <v>492</v>
      </c>
      <c r="E773" s="14">
        <v>204</v>
      </c>
      <c r="F773" s="13" t="str">
        <f>VLOOKUP(E773,CompDbase!B:L,4,FALSE)</f>
        <v>Toluene</v>
      </c>
      <c r="G773" s="182" t="str">
        <f>VLOOKUP(E773,CompDbase!B:M,12,FALSE)</f>
        <v>MAK</v>
      </c>
      <c r="H773" s="182">
        <f>VLOOKUP(E773,CompDbase!B:L,8,FALSE)</f>
        <v>92.14249284505685</v>
      </c>
      <c r="I773" s="95">
        <f>VLOOKUP(E773,CompDbase!B:L,11,FALSE)</f>
        <v>106.9</v>
      </c>
      <c r="J773" s="182">
        <f>VLOOKUP(E773,CompDbase!B:L,9,FALSE)</f>
        <v>610.59105234897152</v>
      </c>
      <c r="K773" s="182">
        <f>VLOOKUP(E773,CompDbase!B:L,10,FALSE)</f>
        <v>2.73</v>
      </c>
      <c r="L773" s="14" t="s">
        <v>717</v>
      </c>
      <c r="M773" s="424"/>
      <c r="N773" s="424"/>
      <c r="O773" s="14" t="s">
        <v>1082</v>
      </c>
      <c r="P773">
        <v>298</v>
      </c>
      <c r="Q773" s="4" t="s">
        <v>1049</v>
      </c>
      <c r="R773" s="289" t="s">
        <v>1988</v>
      </c>
      <c r="T773" s="289">
        <v>1</v>
      </c>
      <c r="U773">
        <v>199.49999999999997</v>
      </c>
      <c r="V773" s="95"/>
      <c r="W773" s="95">
        <f t="shared" si="600"/>
        <v>0.32673259660867027</v>
      </c>
      <c r="X773" s="183">
        <f t="shared" si="593"/>
        <v>-0.48580753579978464</v>
      </c>
      <c r="Y773">
        <v>4.0999999999999999E-12</v>
      </c>
      <c r="Z773" s="95">
        <f t="shared" si="580"/>
        <v>-11.387216143280265</v>
      </c>
      <c r="AA773" s="95">
        <f t="shared" si="594"/>
        <v>1.3396036460955481E-12</v>
      </c>
      <c r="AB773" s="95">
        <f t="shared" si="595"/>
        <v>-11.873023679080049</v>
      </c>
      <c r="AC773" s="95"/>
      <c r="AD773" s="95"/>
      <c r="AG773" s="138">
        <f t="shared" si="596"/>
        <v>-0.48580753579978464</v>
      </c>
      <c r="AH773">
        <f t="shared" si="597"/>
        <v>2.73</v>
      </c>
      <c r="AK773">
        <f t="shared" ref="AK773" si="614">$K773</f>
        <v>2.73</v>
      </c>
      <c r="BW773" s="138"/>
      <c r="BX773">
        <f t="shared" si="602"/>
        <v>2.7857504358225516</v>
      </c>
      <c r="CA773">
        <f>LOG(1*$J773)</f>
        <v>2.7857504358225516</v>
      </c>
      <c r="DG773">
        <f t="shared" si="581"/>
        <v>-11.387216143280265</v>
      </c>
      <c r="DH773">
        <f t="shared" si="582"/>
        <v>92.14249284505685</v>
      </c>
      <c r="DK773">
        <f t="shared" ref="DK773" si="615">$H773</f>
        <v>92.14249284505685</v>
      </c>
      <c r="EY773" s="479">
        <f>VLOOKUP(B773,Literatuur!$A:$B,2,FALSE)</f>
        <v>7</v>
      </c>
      <c r="EZ773" t="str">
        <f t="shared" si="569"/>
        <v>Toluene</v>
      </c>
      <c r="FA773" t="str">
        <f t="shared" si="570"/>
        <v>MAK</v>
      </c>
      <c r="FB773" t="str">
        <f t="shared" si="571"/>
        <v>HDPE</v>
      </c>
      <c r="FC773" t="str">
        <f t="shared" si="572"/>
        <v>Permeation</v>
      </c>
      <c r="FD773">
        <f t="shared" si="573"/>
        <v>298</v>
      </c>
      <c r="FE773" t="str">
        <f t="shared" si="574"/>
        <v>water</v>
      </c>
      <c r="FF773" t="str">
        <f t="shared" si="575"/>
        <v xml:space="preserve">saturated </v>
      </c>
      <c r="FG773" s="408">
        <f t="shared" si="564"/>
        <v>1</v>
      </c>
      <c r="FH773" s="138">
        <f t="shared" si="576"/>
        <v>-0.48580753579978464</v>
      </c>
      <c r="FI773" s="106" t="str">
        <f t="shared" si="565"/>
        <v>**</v>
      </c>
      <c r="FJ773" s="138">
        <f t="shared" si="577"/>
        <v>-11.387216143280265</v>
      </c>
      <c r="FK773" s="138" t="str">
        <f t="shared" si="563"/>
        <v>**</v>
      </c>
    </row>
    <row r="774" spans="1:167" ht="12.75" customHeight="1" x14ac:dyDescent="0.2">
      <c r="A774">
        <v>739</v>
      </c>
      <c r="B774" s="4" t="s">
        <v>1226</v>
      </c>
      <c r="C774" s="4"/>
      <c r="D774" s="4" t="s">
        <v>548</v>
      </c>
      <c r="E774">
        <v>200</v>
      </c>
      <c r="F774" t="str">
        <f>VLOOKUP(E774,CompDbase!B:L,4,FALSE)</f>
        <v>Benzene</v>
      </c>
      <c r="G774" s="95" t="str">
        <f>VLOOKUP(E774,CompDbase!B:M,12,FALSE)</f>
        <v>MAK</v>
      </c>
      <c r="H774" s="95">
        <f>VLOOKUP(E774,CompDbase!B:L,8,FALSE)</f>
        <v>78.106666524406961</v>
      </c>
      <c r="I774" s="95">
        <f>VLOOKUP(E774,CompDbase!B:L,11,FALSE)</f>
        <v>89.4</v>
      </c>
      <c r="J774" s="95">
        <f>VLOOKUP(E774,CompDbase!B:L,9,FALSE)</f>
        <v>1988.89882593368</v>
      </c>
      <c r="K774" s="95">
        <f>VLOOKUP(E774,CompDbase!B:L,10,FALSE)</f>
        <v>2.13</v>
      </c>
      <c r="L774" s="4" t="s">
        <v>717</v>
      </c>
      <c r="O774" s="4"/>
      <c r="P774">
        <v>296</v>
      </c>
      <c r="Q774" s="4" t="s">
        <v>1049</v>
      </c>
      <c r="S774" s="4"/>
      <c r="Y774">
        <v>4.0000000000000006E-13</v>
      </c>
      <c r="Z774" s="95">
        <f t="shared" si="580"/>
        <v>-12.397940008672037</v>
      </c>
      <c r="AG774" s="138"/>
      <c r="BW774" s="138"/>
      <c r="DG774">
        <f t="shared" si="581"/>
        <v>-12.397940008672037</v>
      </c>
      <c r="DH774">
        <f t="shared" si="582"/>
        <v>78.106666524406961</v>
      </c>
      <c r="EY774" s="479">
        <f>VLOOKUP(B774,Literatuur!$A:$B,2,FALSE)</f>
        <v>12</v>
      </c>
      <c r="EZ774" t="str">
        <f t="shared" si="569"/>
        <v>Benzene</v>
      </c>
      <c r="FA774" t="str">
        <f t="shared" si="570"/>
        <v>MAK</v>
      </c>
      <c r="FB774" t="str">
        <f t="shared" si="571"/>
        <v>HDPE</v>
      </c>
      <c r="FC774" t="str">
        <f t="shared" si="572"/>
        <v/>
      </c>
      <c r="FD774">
        <f t="shared" si="573"/>
        <v>296</v>
      </c>
      <c r="FE774" t="str">
        <f t="shared" si="574"/>
        <v>water</v>
      </c>
      <c r="FF774" t="str">
        <f t="shared" si="575"/>
        <v xml:space="preserve"> </v>
      </c>
      <c r="FG774" s="408" t="str">
        <f t="shared" si="564"/>
        <v/>
      </c>
      <c r="FH774" s="138" t="str">
        <f t="shared" si="576"/>
        <v/>
      </c>
      <c r="FI774" s="106" t="str">
        <f t="shared" si="565"/>
        <v>**</v>
      </c>
      <c r="FJ774" s="138">
        <f t="shared" si="577"/>
        <v>-12.397940008672037</v>
      </c>
      <c r="FK774" s="138" t="str">
        <f t="shared" si="563"/>
        <v>**</v>
      </c>
    </row>
    <row r="775" spans="1:167" ht="12.75" customHeight="1" x14ac:dyDescent="0.2">
      <c r="A775">
        <v>740</v>
      </c>
      <c r="B775" s="4" t="s">
        <v>1226</v>
      </c>
      <c r="C775" s="4"/>
      <c r="D775" s="4" t="s">
        <v>548</v>
      </c>
      <c r="E775">
        <v>200</v>
      </c>
      <c r="F775" t="str">
        <f>VLOOKUP(E775,CompDbase!B:L,4,FALSE)</f>
        <v>Benzene</v>
      </c>
      <c r="G775" s="95" t="str">
        <f>VLOOKUP(E775,CompDbase!B:M,12,FALSE)</f>
        <v>MAK</v>
      </c>
      <c r="H775" s="95">
        <f>VLOOKUP(E775,CompDbase!B:L,8,FALSE)</f>
        <v>78.106666524406961</v>
      </c>
      <c r="I775" s="95">
        <f>VLOOKUP(E775,CompDbase!B:L,11,FALSE)</f>
        <v>89.4</v>
      </c>
      <c r="J775" s="95">
        <f>VLOOKUP(E775,CompDbase!B:L,9,FALSE)</f>
        <v>1988.89882593368</v>
      </c>
      <c r="K775" s="95">
        <f>VLOOKUP(E775,CompDbase!B:L,10,FALSE)</f>
        <v>2.13</v>
      </c>
      <c r="L775" s="4" t="s">
        <v>717</v>
      </c>
      <c r="O775" s="4"/>
      <c r="P775">
        <v>296</v>
      </c>
      <c r="Q775" s="4" t="s">
        <v>1049</v>
      </c>
      <c r="S775" s="4"/>
      <c r="Y775">
        <v>3.2000000000000005E-13</v>
      </c>
      <c r="Z775" s="95">
        <f t="shared" si="580"/>
        <v>-12.494850021680094</v>
      </c>
      <c r="AC775" t="s">
        <v>68</v>
      </c>
      <c r="DG775">
        <f t="shared" si="581"/>
        <v>-12.494850021680094</v>
      </c>
      <c r="DH775">
        <f t="shared" si="582"/>
        <v>78.106666524406961</v>
      </c>
      <c r="EY775" s="479">
        <f>VLOOKUP(B775,Literatuur!$A:$B,2,FALSE)</f>
        <v>12</v>
      </c>
      <c r="EZ775" t="str">
        <f t="shared" si="569"/>
        <v>Benzene</v>
      </c>
      <c r="FA775" t="str">
        <f t="shared" si="570"/>
        <v>MAK</v>
      </c>
      <c r="FB775" t="str">
        <f t="shared" si="571"/>
        <v>HDPE</v>
      </c>
      <c r="FC775" t="str">
        <f t="shared" si="572"/>
        <v/>
      </c>
      <c r="FD775">
        <f t="shared" si="573"/>
        <v>296</v>
      </c>
      <c r="FE775" t="str">
        <f t="shared" si="574"/>
        <v>water</v>
      </c>
      <c r="FF775" t="str">
        <f t="shared" si="575"/>
        <v xml:space="preserve"> </v>
      </c>
      <c r="FG775" s="408" t="str">
        <f t="shared" si="564"/>
        <v/>
      </c>
      <c r="FH775" s="138" t="str">
        <f t="shared" si="576"/>
        <v/>
      </c>
      <c r="FI775" s="106" t="str">
        <f t="shared" si="565"/>
        <v>**</v>
      </c>
      <c r="FJ775" s="138">
        <f t="shared" si="577"/>
        <v>-12.494850021680094</v>
      </c>
      <c r="FK775" s="138" t="str">
        <f t="shared" si="563"/>
        <v>**</v>
      </c>
    </row>
    <row r="776" spans="1:167" ht="12.75" hidden="1" customHeight="1" x14ac:dyDescent="0.2">
      <c r="A776">
        <v>741</v>
      </c>
      <c r="B776" s="4" t="s">
        <v>1226</v>
      </c>
      <c r="C776" s="4"/>
      <c r="D776" s="4" t="s">
        <v>867</v>
      </c>
      <c r="E776">
        <v>204</v>
      </c>
      <c r="F776" t="str">
        <f>VLOOKUP(E776,CompDbase!B:L,4,FALSE)</f>
        <v>Toluene</v>
      </c>
      <c r="G776" s="95" t="str">
        <f>VLOOKUP(E776,CompDbase!B:M,12,FALSE)</f>
        <v>MAK</v>
      </c>
      <c r="H776" s="95">
        <f>VLOOKUP(E776,CompDbase!B:L,8,FALSE)</f>
        <v>92.14249284505685</v>
      </c>
      <c r="I776" s="95">
        <f>VLOOKUP(E776,CompDbase!B:L,11,FALSE)</f>
        <v>106.9</v>
      </c>
      <c r="J776" s="95">
        <f>VLOOKUP(E776,CompDbase!B:L,9,FALSE)</f>
        <v>610.59105234897152</v>
      </c>
      <c r="K776" s="95">
        <f>VLOOKUP(E776,CompDbase!B:L,10,FALSE)</f>
        <v>2.73</v>
      </c>
      <c r="L776" s="4" t="s">
        <v>717</v>
      </c>
      <c r="M776" s="423"/>
      <c r="N776" s="423"/>
      <c r="O776" s="4"/>
      <c r="P776">
        <v>298</v>
      </c>
      <c r="Q776" s="4" t="s">
        <v>1049</v>
      </c>
      <c r="S776" s="4"/>
      <c r="Y776">
        <v>7.0000000000000005E-13</v>
      </c>
      <c r="Z776" s="95">
        <f t="shared" si="580"/>
        <v>-12.154901959985743</v>
      </c>
      <c r="AC776" t="s">
        <v>68</v>
      </c>
      <c r="AG776" s="138"/>
      <c r="BW776" s="138"/>
      <c r="DG776">
        <f t="shared" si="581"/>
        <v>-12.154901959985743</v>
      </c>
      <c r="DH776">
        <f t="shared" si="582"/>
        <v>92.14249284505685</v>
      </c>
      <c r="EY776" s="479">
        <f>VLOOKUP(B776,Literatuur!$A:$B,2,FALSE)</f>
        <v>12</v>
      </c>
      <c r="EZ776" t="str">
        <f t="shared" si="569"/>
        <v>n-Hexylaldehyde</v>
      </c>
      <c r="FA776" t="str">
        <f t="shared" si="570"/>
        <v>MAK</v>
      </c>
      <c r="FB776" t="str">
        <f t="shared" si="571"/>
        <v>HDPE</v>
      </c>
      <c r="FC776" t="str">
        <f t="shared" si="572"/>
        <v/>
      </c>
      <c r="FD776">
        <f t="shared" si="573"/>
        <v>298</v>
      </c>
      <c r="FE776" t="str">
        <f t="shared" si="574"/>
        <v>water</v>
      </c>
      <c r="FF776" t="str">
        <f t="shared" si="575"/>
        <v xml:space="preserve"> </v>
      </c>
      <c r="FG776" s="408" t="str">
        <f t="shared" si="564"/>
        <v/>
      </c>
      <c r="FH776" s="138" t="str">
        <f t="shared" si="576"/>
        <v/>
      </c>
      <c r="FI776" s="106" t="str">
        <f t="shared" si="565"/>
        <v>**</v>
      </c>
      <c r="FJ776" s="138">
        <f t="shared" si="577"/>
        <v>-12.154901959985743</v>
      </c>
      <c r="FK776" s="138" t="str">
        <f t="shared" si="563"/>
        <v>**</v>
      </c>
    </row>
    <row r="777" spans="1:167" ht="12.75" hidden="1" customHeight="1" x14ac:dyDescent="0.2">
      <c r="A777">
        <v>742</v>
      </c>
      <c r="B777" s="4" t="s">
        <v>1859</v>
      </c>
      <c r="D777" s="4" t="s">
        <v>1844</v>
      </c>
      <c r="E777" s="33">
        <v>218</v>
      </c>
      <c r="F777" t="str">
        <f>VLOOKUP(E777,CompDbase!B:L,4,FALSE)</f>
        <v>o-Xylene</v>
      </c>
      <c r="G777" s="95" t="str">
        <f>VLOOKUP(E777,CompDbase!B:M,12,FALSE)</f>
        <v>MAK</v>
      </c>
      <c r="H777" s="95">
        <f>VLOOKUP(E777,CompDbase!B:L,8,FALSE)</f>
        <v>106.18666499232586</v>
      </c>
      <c r="I777" s="95" t="e">
        <f>VLOOKUP(E777,CompDbase!B:L,11,FALSE)</f>
        <v>#DIV/0!</v>
      </c>
      <c r="J777" s="95">
        <f>VLOOKUP(E777,CompDbase!B:L,9,FALSE)</f>
        <v>218.93359574593291</v>
      </c>
      <c r="K777" s="95">
        <f>VLOOKUP(E777,CompDbase!B:L,10,FALSE)</f>
        <v>3.12</v>
      </c>
      <c r="L777" s="4" t="s">
        <v>717</v>
      </c>
      <c r="O777" s="4" t="s">
        <v>1044</v>
      </c>
      <c r="P777">
        <f t="shared" ref="P777:P792" si="616">22+273</f>
        <v>295</v>
      </c>
      <c r="Q777" s="4" t="s">
        <v>1049</v>
      </c>
      <c r="R777" s="289" t="s">
        <v>1982</v>
      </c>
      <c r="S777">
        <v>2.3E-3</v>
      </c>
      <c r="T777" s="95">
        <f t="shared" ref="T777:T821" si="617">S777/J777</f>
        <v>1.0505468528772961E-5</v>
      </c>
      <c r="W777">
        <v>320</v>
      </c>
      <c r="X777" s="95">
        <f>LOG(W777)</f>
        <v>2.5051499783199058</v>
      </c>
      <c r="Z777" s="95"/>
      <c r="AB777" s="95"/>
      <c r="AC777" s="95"/>
      <c r="AD777" s="95"/>
      <c r="AG777" s="138">
        <f t="shared" ref="AG777:AG778" si="618">X777</f>
        <v>2.5051499783199058</v>
      </c>
      <c r="AH777">
        <f t="shared" ref="AH777:AH778" si="619">$K777</f>
        <v>3.12</v>
      </c>
      <c r="AK777">
        <f t="shared" ref="AK777:AL778" si="620">$K777</f>
        <v>3.12</v>
      </c>
      <c r="AL777">
        <f t="shared" si="620"/>
        <v>3.12</v>
      </c>
      <c r="AO777">
        <f t="shared" ref="AO777:AO778" si="621">$K777</f>
        <v>3.12</v>
      </c>
      <c r="BW777" s="138"/>
      <c r="BX777">
        <f>LOG(1*$J777)</f>
        <v>2.3403124099350032</v>
      </c>
      <c r="BY777">
        <f>LOG(1*$J777)</f>
        <v>2.3403124099350032</v>
      </c>
      <c r="CB777">
        <f>LOG(1*$J777)</f>
        <v>2.3403124099350032</v>
      </c>
      <c r="CE777">
        <f>LOG(1*$J777)</f>
        <v>2.3403124099350032</v>
      </c>
      <c r="DG777" s="138"/>
      <c r="EY777" s="479">
        <f>VLOOKUP(B777,Literatuur!$A:$B,2,FALSE)</f>
        <v>14</v>
      </c>
      <c r="EZ777" t="str">
        <f t="shared" si="569"/>
        <v>a-xylenes</v>
      </c>
      <c r="FA777" t="str">
        <f t="shared" si="570"/>
        <v>MAK</v>
      </c>
      <c r="FB777" t="str">
        <f t="shared" si="571"/>
        <v>HDPE</v>
      </c>
      <c r="FC777" t="str">
        <f t="shared" si="572"/>
        <v>Immersion</v>
      </c>
      <c r="FD777">
        <f t="shared" si="573"/>
        <v>295</v>
      </c>
      <c r="FE777" t="str">
        <f t="shared" si="574"/>
        <v>water</v>
      </c>
      <c r="FF777" t="str">
        <f t="shared" si="575"/>
        <v>measured 0.0023</v>
      </c>
      <c r="FG777" s="408">
        <f t="shared" si="564"/>
        <v>1.0505468528772961E-5</v>
      </c>
      <c r="FH777" s="138">
        <f t="shared" si="576"/>
        <v>2.5051499783199058</v>
      </c>
      <c r="FI777" s="106">
        <f t="shared" si="565"/>
        <v>2.2404115812078045</v>
      </c>
      <c r="FJ777" s="138" t="str">
        <f t="shared" si="577"/>
        <v/>
      </c>
      <c r="FK777" s="138" t="str">
        <f t="shared" si="563"/>
        <v>**</v>
      </c>
    </row>
    <row r="778" spans="1:167" ht="12.75" hidden="1" customHeight="1" x14ac:dyDescent="0.2">
      <c r="A778">
        <v>743</v>
      </c>
      <c r="B778" s="4" t="s">
        <v>1859</v>
      </c>
      <c r="D778" s="4" t="s">
        <v>1844</v>
      </c>
      <c r="E778" s="33">
        <v>218</v>
      </c>
      <c r="F778" t="str">
        <f>VLOOKUP(E778,CompDbase!B:L,4,FALSE)</f>
        <v>o-Xylene</v>
      </c>
      <c r="G778" s="95" t="str">
        <f>VLOOKUP(E778,CompDbase!B:M,12,FALSE)</f>
        <v>MAK</v>
      </c>
      <c r="H778" s="95">
        <f>VLOOKUP(E778,CompDbase!B:L,8,FALSE)</f>
        <v>106.18666499232586</v>
      </c>
      <c r="I778" s="95" t="e">
        <f>VLOOKUP(E778,CompDbase!B:L,11,FALSE)</f>
        <v>#DIV/0!</v>
      </c>
      <c r="J778" s="95">
        <f>VLOOKUP(E778,CompDbase!B:L,9,FALSE)</f>
        <v>218.93359574593291</v>
      </c>
      <c r="K778" s="95">
        <f>VLOOKUP(E778,CompDbase!B:L,10,FALSE)</f>
        <v>3.12</v>
      </c>
      <c r="L778" s="4" t="s">
        <v>717</v>
      </c>
      <c r="O778" s="4" t="s">
        <v>1044</v>
      </c>
      <c r="P778">
        <f t="shared" si="616"/>
        <v>295</v>
      </c>
      <c r="Q778" s="4" t="s">
        <v>1049</v>
      </c>
      <c r="R778" s="289" t="s">
        <v>1982</v>
      </c>
      <c r="S778">
        <v>2.3E-3</v>
      </c>
      <c r="T778" s="95">
        <f t="shared" si="617"/>
        <v>1.0505468528772961E-5</v>
      </c>
      <c r="W778">
        <v>295</v>
      </c>
      <c r="X778" s="95">
        <f>LOG(W778)</f>
        <v>2.469822015978163</v>
      </c>
      <c r="Z778" s="95"/>
      <c r="AB778" s="95"/>
      <c r="AC778" s="95"/>
      <c r="AD778" s="95"/>
      <c r="AG778" s="138">
        <f t="shared" si="618"/>
        <v>2.469822015978163</v>
      </c>
      <c r="AH778">
        <f t="shared" si="619"/>
        <v>3.12</v>
      </c>
      <c r="AK778">
        <f t="shared" si="620"/>
        <v>3.12</v>
      </c>
      <c r="AL778">
        <f t="shared" si="620"/>
        <v>3.12</v>
      </c>
      <c r="AO778">
        <f t="shared" si="621"/>
        <v>3.12</v>
      </c>
      <c r="BW778" s="138"/>
      <c r="BX778">
        <f>LOG(1*$J778)</f>
        <v>2.3403124099350032</v>
      </c>
      <c r="BY778">
        <f>LOG(1*$J778)</f>
        <v>2.3403124099350032</v>
      </c>
      <c r="CB778">
        <f>LOG(1*$J778)</f>
        <v>2.3403124099350032</v>
      </c>
      <c r="CE778">
        <f>LOG(1*$J778)</f>
        <v>2.3403124099350032</v>
      </c>
      <c r="DG778" s="138"/>
      <c r="EY778" s="479">
        <f>VLOOKUP(B778,Literatuur!$A:$B,2,FALSE)</f>
        <v>14</v>
      </c>
      <c r="EZ778" t="str">
        <f t="shared" si="569"/>
        <v>a-xylenes</v>
      </c>
      <c r="FA778" t="str">
        <f t="shared" si="570"/>
        <v>MAK</v>
      </c>
      <c r="FB778" t="str">
        <f t="shared" si="571"/>
        <v>HDPE</v>
      </c>
      <c r="FC778" t="str">
        <f t="shared" si="572"/>
        <v>Immersion</v>
      </c>
      <c r="FD778">
        <f t="shared" si="573"/>
        <v>295</v>
      </c>
      <c r="FE778" t="str">
        <f t="shared" si="574"/>
        <v>water</v>
      </c>
      <c r="FF778" t="str">
        <f t="shared" si="575"/>
        <v>measured 0.0023</v>
      </c>
      <c r="FG778" s="408">
        <f t="shared" si="564"/>
        <v>1.0505468528772961E-5</v>
      </c>
      <c r="FH778" s="138">
        <f t="shared" si="576"/>
        <v>2.469822015978163</v>
      </c>
      <c r="FI778" s="106">
        <f t="shared" si="565"/>
        <v>2.2404115812078045</v>
      </c>
      <c r="FJ778" s="138" t="str">
        <f t="shared" si="577"/>
        <v/>
      </c>
      <c r="FK778" s="138" t="str">
        <f t="shared" si="563"/>
        <v>**</v>
      </c>
    </row>
    <row r="779" spans="1:167" ht="12.75" hidden="1" customHeight="1" x14ac:dyDescent="0.2">
      <c r="A779">
        <v>744</v>
      </c>
      <c r="B779" s="4" t="s">
        <v>1859</v>
      </c>
      <c r="D779" s="4" t="s">
        <v>1844</v>
      </c>
      <c r="E779" s="33">
        <v>218</v>
      </c>
      <c r="F779" t="str">
        <f>VLOOKUP(E779,CompDbase!B:L,4,FALSE)</f>
        <v>o-Xylene</v>
      </c>
      <c r="G779" s="95" t="str">
        <f>VLOOKUP(E779,CompDbase!B:M,12,FALSE)</f>
        <v>MAK</v>
      </c>
      <c r="H779" s="95">
        <f>VLOOKUP(E779,CompDbase!B:L,8,FALSE)</f>
        <v>106.18666499232586</v>
      </c>
      <c r="I779" s="95" t="e">
        <f>VLOOKUP(E779,CompDbase!B:L,11,FALSE)</f>
        <v>#DIV/0!</v>
      </c>
      <c r="J779" s="95">
        <f>VLOOKUP(E779,CompDbase!B:L,9,FALSE)</f>
        <v>218.93359574593291</v>
      </c>
      <c r="K779" s="95">
        <f>VLOOKUP(E779,CompDbase!B:L,10,FALSE)</f>
        <v>3.12</v>
      </c>
      <c r="L779" s="4" t="s">
        <v>717</v>
      </c>
      <c r="O779" s="4" t="s">
        <v>1082</v>
      </c>
      <c r="P779">
        <f t="shared" si="616"/>
        <v>295</v>
      </c>
      <c r="Q779" s="4" t="s">
        <v>1049</v>
      </c>
      <c r="R779" s="289" t="s">
        <v>1982</v>
      </c>
      <c r="S779">
        <v>2.3E-3</v>
      </c>
      <c r="T779" s="95">
        <f t="shared" si="617"/>
        <v>1.0505468528772961E-5</v>
      </c>
      <c r="X779" s="95"/>
      <c r="Y779">
        <f>0.17*10^-12</f>
        <v>1.7000000000000001E-13</v>
      </c>
      <c r="Z779" s="95">
        <f>LOG(Y779)</f>
        <v>-12.769551078621726</v>
      </c>
      <c r="AB779" s="95"/>
      <c r="AC779" s="95"/>
      <c r="AD779" s="95"/>
      <c r="AG779" s="138"/>
      <c r="BW779" s="138"/>
      <c r="DG779">
        <f t="shared" ref="DG779:DG780" si="622">Z779</f>
        <v>-12.769551078621726</v>
      </c>
      <c r="DH779">
        <f t="shared" ref="DH779:DH780" si="623">$H779</f>
        <v>106.18666499232586</v>
      </c>
      <c r="DK779">
        <f t="shared" ref="DK779:DK780" si="624">$H779</f>
        <v>106.18666499232586</v>
      </c>
      <c r="DM779">
        <f t="shared" ref="DM779:DM780" si="625">$H779</f>
        <v>106.18666499232586</v>
      </c>
      <c r="EY779" s="479">
        <f>VLOOKUP(B779,Literatuur!$A:$B,2,FALSE)</f>
        <v>14</v>
      </c>
      <c r="EZ779" t="str">
        <f t="shared" si="569"/>
        <v>a-xylenes</v>
      </c>
      <c r="FA779" t="str">
        <f t="shared" si="570"/>
        <v>MAK</v>
      </c>
      <c r="FB779" t="str">
        <f t="shared" si="571"/>
        <v>HDPE</v>
      </c>
      <c r="FC779" t="str">
        <f t="shared" si="572"/>
        <v>Permeation</v>
      </c>
      <c r="FD779">
        <f t="shared" si="573"/>
        <v>295</v>
      </c>
      <c r="FE779" t="str">
        <f t="shared" si="574"/>
        <v>water</v>
      </c>
      <c r="FF779" t="str">
        <f t="shared" si="575"/>
        <v>measured 0.0023</v>
      </c>
      <c r="FG779" s="408">
        <f t="shared" si="564"/>
        <v>1.0505468528772961E-5</v>
      </c>
      <c r="FH779" s="138" t="str">
        <f t="shared" si="576"/>
        <v/>
      </c>
      <c r="FI779" s="106" t="str">
        <f t="shared" si="565"/>
        <v>**</v>
      </c>
      <c r="FJ779" s="138">
        <f t="shared" si="577"/>
        <v>-12.769551078621726</v>
      </c>
      <c r="FK779" s="138">
        <f t="shared" si="563"/>
        <v>-12.381273303189619</v>
      </c>
    </row>
    <row r="780" spans="1:167" ht="12.75" hidden="1" customHeight="1" x14ac:dyDescent="0.2">
      <c r="A780">
        <v>745</v>
      </c>
      <c r="B780" s="4" t="s">
        <v>1859</v>
      </c>
      <c r="D780" s="4" t="s">
        <v>1844</v>
      </c>
      <c r="E780" s="33">
        <v>218</v>
      </c>
      <c r="F780" t="str">
        <f>VLOOKUP(E780,CompDbase!B:L,4,FALSE)</f>
        <v>o-Xylene</v>
      </c>
      <c r="G780" s="95" t="str">
        <f>VLOOKUP(E780,CompDbase!B:M,12,FALSE)</f>
        <v>MAK</v>
      </c>
      <c r="H780" s="95">
        <f>VLOOKUP(E780,CompDbase!B:L,8,FALSE)</f>
        <v>106.18666499232586</v>
      </c>
      <c r="I780" s="95" t="e">
        <f>VLOOKUP(E780,CompDbase!B:L,11,FALSE)</f>
        <v>#DIV/0!</v>
      </c>
      <c r="J780" s="95">
        <f>VLOOKUP(E780,CompDbase!B:L,9,FALSE)</f>
        <v>218.93359574593291</v>
      </c>
      <c r="K780" s="95">
        <f>VLOOKUP(E780,CompDbase!B:L,10,FALSE)</f>
        <v>3.12</v>
      </c>
      <c r="L780" s="4" t="s">
        <v>717</v>
      </c>
      <c r="O780" s="4" t="s">
        <v>1082</v>
      </c>
      <c r="P780">
        <f t="shared" si="616"/>
        <v>295</v>
      </c>
      <c r="Q780" s="4" t="s">
        <v>1049</v>
      </c>
      <c r="R780" s="289" t="s">
        <v>1982</v>
      </c>
      <c r="S780">
        <v>2.3E-3</v>
      </c>
      <c r="T780" s="95">
        <f t="shared" si="617"/>
        <v>1.0505468528772961E-5</v>
      </c>
      <c r="X780" s="95"/>
      <c r="Y780">
        <f>0.14*10^-12</f>
        <v>1.4000000000000001E-13</v>
      </c>
      <c r="Z780" s="95">
        <f>LOG(Y780)</f>
        <v>-12.853871964321762</v>
      </c>
      <c r="AB780" s="95"/>
      <c r="AC780" s="95"/>
      <c r="AD780" s="95"/>
      <c r="AG780" s="138"/>
      <c r="BW780" s="138"/>
      <c r="DG780">
        <f t="shared" si="622"/>
        <v>-12.853871964321762</v>
      </c>
      <c r="DH780">
        <f t="shared" si="623"/>
        <v>106.18666499232586</v>
      </c>
      <c r="DK780">
        <f t="shared" si="624"/>
        <v>106.18666499232586</v>
      </c>
      <c r="DM780">
        <f t="shared" si="625"/>
        <v>106.18666499232586</v>
      </c>
      <c r="EY780" s="479">
        <f>VLOOKUP(B780,Literatuur!$A:$B,2,FALSE)</f>
        <v>14</v>
      </c>
      <c r="EZ780" t="str">
        <f t="shared" si="569"/>
        <v>a-xylenes</v>
      </c>
      <c r="FA780" t="str">
        <f t="shared" si="570"/>
        <v>MAK</v>
      </c>
      <c r="FB780" t="str">
        <f t="shared" si="571"/>
        <v>HDPE</v>
      </c>
      <c r="FC780" t="str">
        <f t="shared" si="572"/>
        <v>Permeation</v>
      </c>
      <c r="FD780">
        <f t="shared" si="573"/>
        <v>295</v>
      </c>
      <c r="FE780" t="str">
        <f t="shared" si="574"/>
        <v>water</v>
      </c>
      <c r="FF780" t="str">
        <f t="shared" si="575"/>
        <v>measured 0.0023</v>
      </c>
      <c r="FG780" s="408">
        <f t="shared" si="564"/>
        <v>1.0505468528772961E-5</v>
      </c>
      <c r="FH780" s="138" t="str">
        <f t="shared" si="576"/>
        <v/>
      </c>
      <c r="FI780" s="106" t="str">
        <f t="shared" si="565"/>
        <v>**</v>
      </c>
      <c r="FJ780" s="138">
        <f t="shared" si="577"/>
        <v>-12.853871964321762</v>
      </c>
      <c r="FK780" s="138">
        <f t="shared" si="563"/>
        <v>-12.381273303189619</v>
      </c>
    </row>
    <row r="781" spans="1:167" ht="12.75" customHeight="1" x14ac:dyDescent="0.2">
      <c r="A781">
        <v>746</v>
      </c>
      <c r="B781" s="4" t="s">
        <v>1859</v>
      </c>
      <c r="D781" s="4" t="s">
        <v>548</v>
      </c>
      <c r="E781" s="33">
        <v>200</v>
      </c>
      <c r="F781" t="str">
        <f>VLOOKUP(E781,CompDbase!B:L,4,FALSE)</f>
        <v>Benzene</v>
      </c>
      <c r="G781" s="95" t="str">
        <f>VLOOKUP(E781,CompDbase!B:M,12,FALSE)</f>
        <v>MAK</v>
      </c>
      <c r="H781" s="95">
        <f>VLOOKUP(E781,CompDbase!B:L,8,FALSE)</f>
        <v>78.106666524406961</v>
      </c>
      <c r="I781" s="95">
        <f>VLOOKUP(E781,CompDbase!B:L,11,FALSE)</f>
        <v>89.4</v>
      </c>
      <c r="J781" s="95">
        <f>VLOOKUP(E781,CompDbase!B:L,9,FALSE)</f>
        <v>1988.89882593368</v>
      </c>
      <c r="K781" s="95">
        <f>VLOOKUP(E781,CompDbase!B:L,10,FALSE)</f>
        <v>2.13</v>
      </c>
      <c r="L781" s="4" t="s">
        <v>717</v>
      </c>
      <c r="O781" s="4" t="s">
        <v>1044</v>
      </c>
      <c r="P781">
        <f t="shared" si="616"/>
        <v>295</v>
      </c>
      <c r="Q781" s="4" t="s">
        <v>1049</v>
      </c>
      <c r="R781" s="289" t="s">
        <v>1982</v>
      </c>
      <c r="S781">
        <v>2.3E-3</v>
      </c>
      <c r="T781" s="95">
        <f t="shared" si="617"/>
        <v>1.1564188032140221E-6</v>
      </c>
      <c r="W781">
        <v>55</v>
      </c>
      <c r="X781" s="95">
        <f>LOG(W781)</f>
        <v>1.7403626894942439</v>
      </c>
      <c r="Z781" s="95"/>
      <c r="AB781" s="95"/>
      <c r="AC781" s="95"/>
      <c r="AD781" s="95"/>
      <c r="AG781" s="138">
        <f t="shared" ref="AG781:AG782" si="626">X781</f>
        <v>1.7403626894942439</v>
      </c>
      <c r="AH781">
        <f t="shared" ref="AH781:AH782" si="627">$K781</f>
        <v>2.13</v>
      </c>
      <c r="AK781">
        <f t="shared" ref="AK781:AL782" si="628">$K781</f>
        <v>2.13</v>
      </c>
      <c r="AL781">
        <f t="shared" si="628"/>
        <v>2.13</v>
      </c>
      <c r="AO781">
        <f t="shared" ref="AO781:AO782" si="629">$K781</f>
        <v>2.13</v>
      </c>
      <c r="BW781" s="138"/>
      <c r="BX781">
        <f>LOG(1*$J781)</f>
        <v>3.2986126913917664</v>
      </c>
      <c r="BY781">
        <f>LOG(1*$J781)</f>
        <v>3.2986126913917664</v>
      </c>
      <c r="CB781">
        <f>LOG(1*$J781)</f>
        <v>3.2986126913917664</v>
      </c>
      <c r="CE781">
        <f>LOG(1*$J781)</f>
        <v>3.2986126913917664</v>
      </c>
      <c r="DG781" s="138"/>
      <c r="EY781" s="479">
        <f>VLOOKUP(B781,Literatuur!$A:$B,2,FALSE)</f>
        <v>14</v>
      </c>
      <c r="EZ781" t="str">
        <f t="shared" si="569"/>
        <v>Benzene</v>
      </c>
      <c r="FA781" t="str">
        <f t="shared" si="570"/>
        <v>MAK</v>
      </c>
      <c r="FB781" t="str">
        <f t="shared" si="571"/>
        <v>HDPE</v>
      </c>
      <c r="FC781" t="str">
        <f t="shared" si="572"/>
        <v>Immersion</v>
      </c>
      <c r="FD781">
        <f t="shared" si="573"/>
        <v>295</v>
      </c>
      <c r="FE781" t="str">
        <f t="shared" si="574"/>
        <v>water</v>
      </c>
      <c r="FF781" t="str">
        <f t="shared" si="575"/>
        <v>measured 0.0023</v>
      </c>
      <c r="FG781" s="408">
        <f t="shared" si="564"/>
        <v>1.1564188032140221E-6</v>
      </c>
      <c r="FH781" s="138">
        <f t="shared" si="576"/>
        <v>1.7403626894942439</v>
      </c>
      <c r="FI781" s="106">
        <f t="shared" si="565"/>
        <v>1.08007323929876</v>
      </c>
      <c r="FJ781" s="138" t="str">
        <f t="shared" si="577"/>
        <v/>
      </c>
      <c r="FK781" s="138" t="str">
        <f t="shared" si="563"/>
        <v>**</v>
      </c>
    </row>
    <row r="782" spans="1:167" ht="12.75" customHeight="1" x14ac:dyDescent="0.2">
      <c r="A782">
        <v>747</v>
      </c>
      <c r="B782" s="4" t="s">
        <v>1859</v>
      </c>
      <c r="D782" s="4" t="s">
        <v>548</v>
      </c>
      <c r="E782" s="33">
        <v>200</v>
      </c>
      <c r="F782" t="str">
        <f>VLOOKUP(E782,CompDbase!B:L,4,FALSE)</f>
        <v>Benzene</v>
      </c>
      <c r="G782" s="95" t="str">
        <f>VLOOKUP(E782,CompDbase!B:M,12,FALSE)</f>
        <v>MAK</v>
      </c>
      <c r="H782" s="95">
        <f>VLOOKUP(E782,CompDbase!B:L,8,FALSE)</f>
        <v>78.106666524406961</v>
      </c>
      <c r="I782" s="95">
        <f>VLOOKUP(E782,CompDbase!B:L,11,FALSE)</f>
        <v>89.4</v>
      </c>
      <c r="J782" s="95">
        <f>VLOOKUP(E782,CompDbase!B:L,9,FALSE)</f>
        <v>1988.89882593368</v>
      </c>
      <c r="K782" s="95">
        <f>VLOOKUP(E782,CompDbase!B:L,10,FALSE)</f>
        <v>2.13</v>
      </c>
      <c r="L782" s="4" t="s">
        <v>717</v>
      </c>
      <c r="O782" s="4" t="s">
        <v>1044</v>
      </c>
      <c r="P782">
        <f t="shared" si="616"/>
        <v>295</v>
      </c>
      <c r="Q782" s="4" t="s">
        <v>1049</v>
      </c>
      <c r="R782" s="289" t="s">
        <v>1982</v>
      </c>
      <c r="S782">
        <v>2.3E-3</v>
      </c>
      <c r="T782" s="95">
        <f t="shared" si="617"/>
        <v>1.1564188032140221E-6</v>
      </c>
      <c r="W782">
        <v>50</v>
      </c>
      <c r="X782" s="95">
        <f>LOG(W782)</f>
        <v>1.6989700043360187</v>
      </c>
      <c r="Z782" s="95"/>
      <c r="AB782" s="95"/>
      <c r="AC782" s="95"/>
      <c r="AD782" s="95"/>
      <c r="AG782" s="138">
        <f t="shared" si="626"/>
        <v>1.6989700043360187</v>
      </c>
      <c r="AH782">
        <f t="shared" si="627"/>
        <v>2.13</v>
      </c>
      <c r="AK782">
        <f t="shared" si="628"/>
        <v>2.13</v>
      </c>
      <c r="AL782">
        <f t="shared" si="628"/>
        <v>2.13</v>
      </c>
      <c r="AO782">
        <f t="shared" si="629"/>
        <v>2.13</v>
      </c>
      <c r="BW782" s="138"/>
      <c r="BX782">
        <f>LOG(1*$J782)</f>
        <v>3.2986126913917664</v>
      </c>
      <c r="BY782">
        <f>LOG(1*$J782)</f>
        <v>3.2986126913917664</v>
      </c>
      <c r="CB782">
        <f>LOG(1*$J782)</f>
        <v>3.2986126913917664</v>
      </c>
      <c r="CE782">
        <f>LOG(1*$J782)</f>
        <v>3.2986126913917664</v>
      </c>
      <c r="DG782" s="138"/>
      <c r="EY782" s="479">
        <f>VLOOKUP(B782,Literatuur!$A:$B,2,FALSE)</f>
        <v>14</v>
      </c>
      <c r="EZ782" t="str">
        <f t="shared" si="569"/>
        <v>Benzene</v>
      </c>
      <c r="FA782" t="str">
        <f t="shared" si="570"/>
        <v>MAK</v>
      </c>
      <c r="FB782" t="str">
        <f t="shared" si="571"/>
        <v>HDPE</v>
      </c>
      <c r="FC782" t="str">
        <f t="shared" si="572"/>
        <v>Immersion</v>
      </c>
      <c r="FD782">
        <f t="shared" si="573"/>
        <v>295</v>
      </c>
      <c r="FE782" t="str">
        <f t="shared" si="574"/>
        <v>water</v>
      </c>
      <c r="FF782" t="str">
        <f t="shared" si="575"/>
        <v>measured 0.0023</v>
      </c>
      <c r="FG782" s="408">
        <f t="shared" si="564"/>
        <v>1.1564188032140221E-6</v>
      </c>
      <c r="FH782" s="138">
        <f t="shared" si="576"/>
        <v>1.6989700043360187</v>
      </c>
      <c r="FI782" s="106">
        <f t="shared" si="565"/>
        <v>1.08007323929876</v>
      </c>
      <c r="FJ782" s="138" t="str">
        <f t="shared" si="577"/>
        <v/>
      </c>
      <c r="FK782" s="138" t="str">
        <f t="shared" si="563"/>
        <v>**</v>
      </c>
    </row>
    <row r="783" spans="1:167" ht="12.75" customHeight="1" x14ac:dyDescent="0.2">
      <c r="A783">
        <v>748</v>
      </c>
      <c r="B783" s="4" t="s">
        <v>1859</v>
      </c>
      <c r="D783" s="4" t="s">
        <v>548</v>
      </c>
      <c r="E783" s="33">
        <v>200</v>
      </c>
      <c r="F783" t="str">
        <f>VLOOKUP(E783,CompDbase!B:L,4,FALSE)</f>
        <v>Benzene</v>
      </c>
      <c r="G783" s="95" t="str">
        <f>VLOOKUP(E783,CompDbase!B:M,12,FALSE)</f>
        <v>MAK</v>
      </c>
      <c r="H783" s="95">
        <f>VLOOKUP(E783,CompDbase!B:L,8,FALSE)</f>
        <v>78.106666524406961</v>
      </c>
      <c r="I783" s="95">
        <f>VLOOKUP(E783,CompDbase!B:L,11,FALSE)</f>
        <v>89.4</v>
      </c>
      <c r="J783" s="95">
        <f>VLOOKUP(E783,CompDbase!B:L,9,FALSE)</f>
        <v>1988.89882593368</v>
      </c>
      <c r="K783" s="95">
        <f>VLOOKUP(E783,CompDbase!B:L,10,FALSE)</f>
        <v>2.13</v>
      </c>
      <c r="L783" s="4" t="s">
        <v>717</v>
      </c>
      <c r="O783" s="4" t="s">
        <v>1082</v>
      </c>
      <c r="P783">
        <f t="shared" si="616"/>
        <v>295</v>
      </c>
      <c r="Q783" s="4" t="s">
        <v>1049</v>
      </c>
      <c r="R783" s="289" t="s">
        <v>1982</v>
      </c>
      <c r="S783">
        <v>2.3E-3</v>
      </c>
      <c r="T783" s="95">
        <f t="shared" si="617"/>
        <v>1.1564188032140221E-6</v>
      </c>
      <c r="X783" s="95"/>
      <c r="Y783">
        <f>0.24*10^-12</f>
        <v>2.3999999999999999E-13</v>
      </c>
      <c r="Z783" s="95">
        <f>LOG(Y783)</f>
        <v>-12.619788758288394</v>
      </c>
      <c r="AB783" s="95"/>
      <c r="AC783" s="95"/>
      <c r="AD783" s="95"/>
      <c r="AG783" s="138"/>
      <c r="BW783" s="138"/>
      <c r="DG783">
        <f t="shared" ref="DG783:DG784" si="630">Z783</f>
        <v>-12.619788758288394</v>
      </c>
      <c r="DH783">
        <f t="shared" ref="DH783:DH784" si="631">$H783</f>
        <v>78.106666524406961</v>
      </c>
      <c r="DK783">
        <f t="shared" ref="DK783:DK784" si="632">$H783</f>
        <v>78.106666524406961</v>
      </c>
      <c r="DM783">
        <f t="shared" ref="DM783:DM784" si="633">$H783</f>
        <v>78.106666524406961</v>
      </c>
      <c r="EY783" s="479">
        <f>VLOOKUP(B783,Literatuur!$A:$B,2,FALSE)</f>
        <v>14</v>
      </c>
      <c r="EZ783" t="str">
        <f t="shared" si="569"/>
        <v>Benzene</v>
      </c>
      <c r="FA783" t="str">
        <f t="shared" si="570"/>
        <v>MAK</v>
      </c>
      <c r="FB783" t="str">
        <f t="shared" si="571"/>
        <v>HDPE</v>
      </c>
      <c r="FC783" t="str">
        <f t="shared" si="572"/>
        <v>Permeation</v>
      </c>
      <c r="FD783">
        <f t="shared" si="573"/>
        <v>295</v>
      </c>
      <c r="FE783" t="str">
        <f t="shared" si="574"/>
        <v>water</v>
      </c>
      <c r="FF783" t="str">
        <f t="shared" si="575"/>
        <v>measured 0.0023</v>
      </c>
      <c r="FG783" s="408">
        <f t="shared" si="564"/>
        <v>1.1564188032140221E-6</v>
      </c>
      <c r="FH783" s="138" t="str">
        <f t="shared" si="576"/>
        <v/>
      </c>
      <c r="FI783" s="106" t="str">
        <f t="shared" si="565"/>
        <v>**</v>
      </c>
      <c r="FJ783" s="138">
        <f t="shared" si="577"/>
        <v>-12.619788758288394</v>
      </c>
      <c r="FK783" s="138">
        <f t="shared" si="563"/>
        <v>-12.065815468244072</v>
      </c>
    </row>
    <row r="784" spans="1:167" ht="12.75" customHeight="1" x14ac:dyDescent="0.2">
      <c r="A784">
        <v>749</v>
      </c>
      <c r="B784" s="4" t="s">
        <v>1859</v>
      </c>
      <c r="D784" s="4" t="s">
        <v>548</v>
      </c>
      <c r="E784" s="33">
        <v>200</v>
      </c>
      <c r="F784" t="str">
        <f>VLOOKUP(E784,CompDbase!B:L,4,FALSE)</f>
        <v>Benzene</v>
      </c>
      <c r="G784" s="95" t="str">
        <f>VLOOKUP(E784,CompDbase!B:M,12,FALSE)</f>
        <v>MAK</v>
      </c>
      <c r="H784" s="95">
        <f>VLOOKUP(E784,CompDbase!B:L,8,FALSE)</f>
        <v>78.106666524406961</v>
      </c>
      <c r="I784" s="95">
        <f>VLOOKUP(E784,CompDbase!B:L,11,FALSE)</f>
        <v>89.4</v>
      </c>
      <c r="J784" s="95">
        <f>VLOOKUP(E784,CompDbase!B:L,9,FALSE)</f>
        <v>1988.89882593368</v>
      </c>
      <c r="K784" s="95">
        <f>VLOOKUP(E784,CompDbase!B:L,10,FALSE)</f>
        <v>2.13</v>
      </c>
      <c r="L784" s="4" t="s">
        <v>717</v>
      </c>
      <c r="O784" s="4" t="s">
        <v>1082</v>
      </c>
      <c r="P784">
        <f t="shared" si="616"/>
        <v>295</v>
      </c>
      <c r="Q784" s="4" t="s">
        <v>1049</v>
      </c>
      <c r="R784" s="289" t="s">
        <v>1982</v>
      </c>
      <c r="S784">
        <v>2.3E-3</v>
      </c>
      <c r="T784" s="95">
        <f t="shared" si="617"/>
        <v>1.1564188032140221E-6</v>
      </c>
      <c r="X784" s="95"/>
      <c r="Y784">
        <f>0.19*10^-12</f>
        <v>1.9E-13</v>
      </c>
      <c r="Z784" s="95">
        <f>LOG(Y784)</f>
        <v>-12.721246399047171</v>
      </c>
      <c r="AB784" s="95"/>
      <c r="AC784" s="95"/>
      <c r="AD784" s="95"/>
      <c r="AG784" s="138"/>
      <c r="BW784" s="138"/>
      <c r="DG784">
        <f t="shared" si="630"/>
        <v>-12.721246399047171</v>
      </c>
      <c r="DH784">
        <f t="shared" si="631"/>
        <v>78.106666524406961</v>
      </c>
      <c r="DK784">
        <f t="shared" si="632"/>
        <v>78.106666524406961</v>
      </c>
      <c r="DM784">
        <f t="shared" si="633"/>
        <v>78.106666524406961</v>
      </c>
      <c r="EY784" s="479">
        <f>VLOOKUP(B784,Literatuur!$A:$B,2,FALSE)</f>
        <v>14</v>
      </c>
      <c r="EZ784" t="str">
        <f t="shared" si="569"/>
        <v>Benzene</v>
      </c>
      <c r="FA784" t="str">
        <f t="shared" si="570"/>
        <v>MAK</v>
      </c>
      <c r="FB784" t="str">
        <f t="shared" si="571"/>
        <v>HDPE</v>
      </c>
      <c r="FC784" t="str">
        <f t="shared" si="572"/>
        <v>Permeation</v>
      </c>
      <c r="FD784">
        <f t="shared" si="573"/>
        <v>295</v>
      </c>
      <c r="FE784" t="str">
        <f t="shared" si="574"/>
        <v>water</v>
      </c>
      <c r="FF784" t="str">
        <f t="shared" si="575"/>
        <v>measured 0.0023</v>
      </c>
      <c r="FG784" s="408">
        <f t="shared" si="564"/>
        <v>1.1564188032140221E-6</v>
      </c>
      <c r="FH784" s="138" t="str">
        <f t="shared" si="576"/>
        <v/>
      </c>
      <c r="FI784" s="106" t="str">
        <f t="shared" si="565"/>
        <v>**</v>
      </c>
      <c r="FJ784" s="138">
        <f t="shared" si="577"/>
        <v>-12.721246399047171</v>
      </c>
      <c r="FK784" s="138">
        <f t="shared" si="563"/>
        <v>-12.065815468244072</v>
      </c>
    </row>
    <row r="785" spans="1:167" ht="12.75" hidden="1" customHeight="1" x14ac:dyDescent="0.2">
      <c r="A785">
        <v>750</v>
      </c>
      <c r="B785" s="4" t="s">
        <v>1859</v>
      </c>
      <c r="D785" s="4" t="s">
        <v>694</v>
      </c>
      <c r="E785" s="33">
        <v>201</v>
      </c>
      <c r="F785" t="str">
        <f>VLOOKUP(E785,CompDbase!B:L,4,FALSE)</f>
        <v>Ethylbenzene</v>
      </c>
      <c r="G785" s="95" t="str">
        <f>VLOOKUP(E785,CompDbase!B:M,12,FALSE)</f>
        <v>MAK</v>
      </c>
      <c r="H785" s="95">
        <f>VLOOKUP(E785,CompDbase!B:L,8,FALSE)</f>
        <v>106.18666499232586</v>
      </c>
      <c r="I785" s="95" t="e">
        <f>VLOOKUP(E785,CompDbase!B:L,11,FALSE)</f>
        <v>#DIV/0!</v>
      </c>
      <c r="J785" s="95">
        <f>VLOOKUP(E785,CompDbase!B:L,9,FALSE)</f>
        <v>159.4494296665228</v>
      </c>
      <c r="K785" s="95">
        <f>VLOOKUP(E785,CompDbase!B:L,10,FALSE)</f>
        <v>3.15</v>
      </c>
      <c r="L785" s="4" t="s">
        <v>717</v>
      </c>
      <c r="O785" s="4" t="s">
        <v>1044</v>
      </c>
      <c r="P785">
        <f t="shared" si="616"/>
        <v>295</v>
      </c>
      <c r="Q785" s="4" t="s">
        <v>1049</v>
      </c>
      <c r="R785" s="289" t="s">
        <v>1982</v>
      </c>
      <c r="S785">
        <v>2.3E-3</v>
      </c>
      <c r="T785" s="95">
        <f t="shared" si="617"/>
        <v>1.4424636104439428E-5</v>
      </c>
      <c r="W785">
        <v>345</v>
      </c>
      <c r="X785" s="95">
        <f>LOG(W785)</f>
        <v>2.537819095073274</v>
      </c>
      <c r="Z785" s="95"/>
      <c r="AB785" s="95"/>
      <c r="AC785" s="95"/>
      <c r="AD785" s="95"/>
      <c r="AG785" s="138">
        <f t="shared" ref="AG785:AG786" si="634">X785</f>
        <v>2.537819095073274</v>
      </c>
      <c r="AH785">
        <f t="shared" ref="AH785:AH786" si="635">$K785</f>
        <v>3.15</v>
      </c>
      <c r="AK785">
        <f t="shared" ref="AK785:AL786" si="636">$K785</f>
        <v>3.15</v>
      </c>
      <c r="AL785">
        <f t="shared" si="636"/>
        <v>3.15</v>
      </c>
      <c r="AO785">
        <f t="shared" ref="AO785:AO786" si="637">$K785</f>
        <v>3.15</v>
      </c>
      <c r="BW785" s="138"/>
      <c r="BX785">
        <f>LOG(1*$J785)</f>
        <v>2.202622970157059</v>
      </c>
      <c r="BY785">
        <f>LOG(1*$J785)</f>
        <v>2.202622970157059</v>
      </c>
      <c r="CB785">
        <f>LOG(1*$J785)</f>
        <v>2.202622970157059</v>
      </c>
      <c r="CE785">
        <f>LOG(1*$J785)</f>
        <v>2.202622970157059</v>
      </c>
      <c r="DG785" s="138"/>
      <c r="EY785" s="479">
        <f>VLOOKUP(B785,Literatuur!$A:$B,2,FALSE)</f>
        <v>14</v>
      </c>
      <c r="EZ785" t="str">
        <f t="shared" si="569"/>
        <v>Ethylbenzene</v>
      </c>
      <c r="FA785" t="str">
        <f t="shared" si="570"/>
        <v>MAK</v>
      </c>
      <c r="FB785" t="str">
        <f t="shared" si="571"/>
        <v>HDPE</v>
      </c>
      <c r="FC785" t="str">
        <f t="shared" si="572"/>
        <v>Immersion</v>
      </c>
      <c r="FD785">
        <f t="shared" si="573"/>
        <v>295</v>
      </c>
      <c r="FE785" t="str">
        <f t="shared" si="574"/>
        <v>water</v>
      </c>
      <c r="FF785" t="str">
        <f t="shared" si="575"/>
        <v>measured 0.0023</v>
      </c>
      <c r="FG785" s="408">
        <f t="shared" si="564"/>
        <v>1.4424636104439428E-5</v>
      </c>
      <c r="FH785" s="138">
        <f t="shared" si="576"/>
        <v>2.537819095073274</v>
      </c>
      <c r="FI785" s="106">
        <f t="shared" si="565"/>
        <v>2.2755733491444419</v>
      </c>
      <c r="FJ785" s="138" t="str">
        <f t="shared" si="577"/>
        <v/>
      </c>
      <c r="FK785" s="138" t="str">
        <f t="shared" si="563"/>
        <v>**</v>
      </c>
    </row>
    <row r="786" spans="1:167" ht="12.75" hidden="1" customHeight="1" x14ac:dyDescent="0.2">
      <c r="A786">
        <v>751</v>
      </c>
      <c r="B786" s="4" t="s">
        <v>1859</v>
      </c>
      <c r="D786" s="4" t="s">
        <v>694</v>
      </c>
      <c r="E786" s="33">
        <v>201</v>
      </c>
      <c r="F786" t="str">
        <f>VLOOKUP(E786,CompDbase!B:L,4,FALSE)</f>
        <v>Ethylbenzene</v>
      </c>
      <c r="G786" s="95" t="str">
        <f>VLOOKUP(E786,CompDbase!B:M,12,FALSE)</f>
        <v>MAK</v>
      </c>
      <c r="H786" s="95">
        <f>VLOOKUP(E786,CompDbase!B:L,8,FALSE)</f>
        <v>106.18666499232586</v>
      </c>
      <c r="I786" s="95" t="e">
        <f>VLOOKUP(E786,CompDbase!B:L,11,FALSE)</f>
        <v>#DIV/0!</v>
      </c>
      <c r="J786" s="95">
        <f>VLOOKUP(E786,CompDbase!B:L,9,FALSE)</f>
        <v>159.4494296665228</v>
      </c>
      <c r="K786" s="95">
        <f>VLOOKUP(E786,CompDbase!B:L,10,FALSE)</f>
        <v>3.15</v>
      </c>
      <c r="L786" s="4" t="s">
        <v>717</v>
      </c>
      <c r="O786" s="4" t="s">
        <v>1044</v>
      </c>
      <c r="P786">
        <f t="shared" si="616"/>
        <v>295</v>
      </c>
      <c r="Q786" s="4" t="s">
        <v>1049</v>
      </c>
      <c r="R786" s="289" t="s">
        <v>1982</v>
      </c>
      <c r="S786">
        <v>2.3E-3</v>
      </c>
      <c r="T786" s="95">
        <f t="shared" si="617"/>
        <v>1.4424636104439428E-5</v>
      </c>
      <c r="W786">
        <v>310</v>
      </c>
      <c r="X786" s="95">
        <f>LOG(W786)</f>
        <v>2.4913616938342726</v>
      </c>
      <c r="Z786" s="95"/>
      <c r="AB786" s="95"/>
      <c r="AC786" s="95"/>
      <c r="AD786" s="95"/>
      <c r="AG786" s="138">
        <f t="shared" si="634"/>
        <v>2.4913616938342726</v>
      </c>
      <c r="AH786">
        <f t="shared" si="635"/>
        <v>3.15</v>
      </c>
      <c r="AK786">
        <f t="shared" si="636"/>
        <v>3.15</v>
      </c>
      <c r="AL786">
        <f t="shared" si="636"/>
        <v>3.15</v>
      </c>
      <c r="AO786">
        <f t="shared" si="637"/>
        <v>3.15</v>
      </c>
      <c r="BW786" s="138"/>
      <c r="BX786">
        <f>LOG(1*$J786)</f>
        <v>2.202622970157059</v>
      </c>
      <c r="BY786">
        <f>LOG(1*$J786)</f>
        <v>2.202622970157059</v>
      </c>
      <c r="CB786">
        <f>LOG(1*$J786)</f>
        <v>2.202622970157059</v>
      </c>
      <c r="CE786">
        <f>LOG(1*$J786)</f>
        <v>2.202622970157059</v>
      </c>
      <c r="DG786" s="138"/>
      <c r="EY786" s="479">
        <f>VLOOKUP(B786,Literatuur!$A:$B,2,FALSE)</f>
        <v>14</v>
      </c>
      <c r="EZ786" t="str">
        <f t="shared" si="569"/>
        <v>Ethylbenzene</v>
      </c>
      <c r="FA786" t="str">
        <f t="shared" si="570"/>
        <v>MAK</v>
      </c>
      <c r="FB786" t="str">
        <f t="shared" si="571"/>
        <v>HDPE</v>
      </c>
      <c r="FC786" t="str">
        <f t="shared" si="572"/>
        <v>Immersion</v>
      </c>
      <c r="FD786">
        <f t="shared" si="573"/>
        <v>295</v>
      </c>
      <c r="FE786" t="str">
        <f t="shared" si="574"/>
        <v>water</v>
      </c>
      <c r="FF786" t="str">
        <f t="shared" si="575"/>
        <v>measured 0.0023</v>
      </c>
      <c r="FG786" s="408">
        <f t="shared" si="564"/>
        <v>1.4424636104439428E-5</v>
      </c>
      <c r="FH786" s="138">
        <f t="shared" si="576"/>
        <v>2.4913616938342726</v>
      </c>
      <c r="FI786" s="106">
        <f t="shared" si="565"/>
        <v>2.2755733491444419</v>
      </c>
      <c r="FJ786" s="138" t="str">
        <f t="shared" si="577"/>
        <v/>
      </c>
      <c r="FK786" s="138" t="str">
        <f t="shared" si="563"/>
        <v>**</v>
      </c>
    </row>
    <row r="787" spans="1:167" ht="12.75" hidden="1" customHeight="1" x14ac:dyDescent="0.2">
      <c r="A787">
        <v>752</v>
      </c>
      <c r="B787" s="4" t="s">
        <v>1859</v>
      </c>
      <c r="D787" s="4" t="s">
        <v>694</v>
      </c>
      <c r="E787" s="33">
        <v>201</v>
      </c>
      <c r="F787" t="str">
        <f>VLOOKUP(E787,CompDbase!B:L,4,FALSE)</f>
        <v>Ethylbenzene</v>
      </c>
      <c r="G787" s="95" t="str">
        <f>VLOOKUP(E787,CompDbase!B:M,12,FALSE)</f>
        <v>MAK</v>
      </c>
      <c r="H787" s="95">
        <f>VLOOKUP(E787,CompDbase!B:L,8,FALSE)</f>
        <v>106.18666499232586</v>
      </c>
      <c r="I787" s="95" t="e">
        <f>VLOOKUP(E787,CompDbase!B:L,11,FALSE)</f>
        <v>#DIV/0!</v>
      </c>
      <c r="J787" s="95">
        <f>VLOOKUP(E787,CompDbase!B:L,9,FALSE)</f>
        <v>159.4494296665228</v>
      </c>
      <c r="K787" s="95">
        <f>VLOOKUP(E787,CompDbase!B:L,10,FALSE)</f>
        <v>3.15</v>
      </c>
      <c r="L787" s="4" t="s">
        <v>717</v>
      </c>
      <c r="O787" s="4" t="s">
        <v>1082</v>
      </c>
      <c r="P787">
        <f t="shared" si="616"/>
        <v>295</v>
      </c>
      <c r="Q787" s="4" t="s">
        <v>1049</v>
      </c>
      <c r="R787" s="289" t="s">
        <v>1982</v>
      </c>
      <c r="S787">
        <v>2.3E-3</v>
      </c>
      <c r="T787" s="95">
        <f t="shared" si="617"/>
        <v>1.4424636104439428E-5</v>
      </c>
      <c r="X787" s="95"/>
      <c r="Y787">
        <f>0.18*10^-12</f>
        <v>1.7999999999999999E-13</v>
      </c>
      <c r="Z787" s="95">
        <f>LOG(Y787)</f>
        <v>-12.744727494896694</v>
      </c>
      <c r="AB787" s="95"/>
      <c r="AC787" s="95"/>
      <c r="AD787" s="95"/>
      <c r="AG787" s="138"/>
      <c r="BW787" s="138"/>
      <c r="DG787">
        <f t="shared" ref="DG787:DG788" si="638">Z787</f>
        <v>-12.744727494896694</v>
      </c>
      <c r="DH787">
        <f t="shared" ref="DH787:DH788" si="639">$H787</f>
        <v>106.18666499232586</v>
      </c>
      <c r="DK787">
        <f t="shared" ref="DK787:DK788" si="640">$H787</f>
        <v>106.18666499232586</v>
      </c>
      <c r="DM787">
        <f t="shared" ref="DM787:DM788" si="641">$H787</f>
        <v>106.18666499232586</v>
      </c>
      <c r="EY787" s="479">
        <f>VLOOKUP(B787,Literatuur!$A:$B,2,FALSE)</f>
        <v>14</v>
      </c>
      <c r="EZ787" t="str">
        <f t="shared" si="569"/>
        <v>Ethylbenzene</v>
      </c>
      <c r="FA787" t="str">
        <f t="shared" si="570"/>
        <v>MAK</v>
      </c>
      <c r="FB787" t="str">
        <f t="shared" si="571"/>
        <v>HDPE</v>
      </c>
      <c r="FC787" t="str">
        <f t="shared" si="572"/>
        <v>Permeation</v>
      </c>
      <c r="FD787">
        <f t="shared" si="573"/>
        <v>295</v>
      </c>
      <c r="FE787" t="str">
        <f t="shared" si="574"/>
        <v>water</v>
      </c>
      <c r="FF787" t="str">
        <f t="shared" si="575"/>
        <v>measured 0.0023</v>
      </c>
      <c r="FG787" s="408">
        <f t="shared" si="564"/>
        <v>1.4424636104439428E-5</v>
      </c>
      <c r="FH787" s="138" t="str">
        <f t="shared" si="576"/>
        <v/>
      </c>
      <c r="FI787" s="106" t="str">
        <f t="shared" si="565"/>
        <v>**</v>
      </c>
      <c r="FJ787" s="138">
        <f t="shared" si="577"/>
        <v>-12.744727494896694</v>
      </c>
      <c r="FK787" s="138">
        <f t="shared" si="563"/>
        <v>-12.381273303189619</v>
      </c>
    </row>
    <row r="788" spans="1:167" ht="12.75" hidden="1" customHeight="1" x14ac:dyDescent="0.2">
      <c r="A788">
        <v>753</v>
      </c>
      <c r="B788" s="4" t="s">
        <v>1859</v>
      </c>
      <c r="D788" s="4" t="s">
        <v>694</v>
      </c>
      <c r="E788" s="33">
        <v>201</v>
      </c>
      <c r="F788" t="str">
        <f>VLOOKUP(E788,CompDbase!B:L,4,FALSE)</f>
        <v>Ethylbenzene</v>
      </c>
      <c r="G788" s="95" t="str">
        <f>VLOOKUP(E788,CompDbase!B:M,12,FALSE)</f>
        <v>MAK</v>
      </c>
      <c r="H788" s="95">
        <f>VLOOKUP(E788,CompDbase!B:L,8,FALSE)</f>
        <v>106.18666499232586</v>
      </c>
      <c r="I788" s="95" t="e">
        <f>VLOOKUP(E788,CompDbase!B:L,11,FALSE)</f>
        <v>#DIV/0!</v>
      </c>
      <c r="J788" s="95">
        <f>VLOOKUP(E788,CompDbase!B:L,9,FALSE)</f>
        <v>159.4494296665228</v>
      </c>
      <c r="K788" s="95">
        <f>VLOOKUP(E788,CompDbase!B:L,10,FALSE)</f>
        <v>3.15</v>
      </c>
      <c r="L788" s="4" t="s">
        <v>717</v>
      </c>
      <c r="O788" s="4" t="s">
        <v>1082</v>
      </c>
      <c r="P788">
        <f t="shared" si="616"/>
        <v>295</v>
      </c>
      <c r="Q788" s="4" t="s">
        <v>1049</v>
      </c>
      <c r="R788" s="289" t="s">
        <v>1982</v>
      </c>
      <c r="S788">
        <v>2.3E-3</v>
      </c>
      <c r="T788" s="95">
        <f t="shared" si="617"/>
        <v>1.4424636104439428E-5</v>
      </c>
      <c r="X788" s="95"/>
      <c r="Y788">
        <f>0.16*10^-12</f>
        <v>1.6E-13</v>
      </c>
      <c r="Z788" s="95">
        <f>LOG(Y788)</f>
        <v>-12.795880017344075</v>
      </c>
      <c r="AB788" s="95"/>
      <c r="AC788" s="95"/>
      <c r="AD788" s="95"/>
      <c r="AG788" s="138"/>
      <c r="BW788" s="138"/>
      <c r="DG788">
        <f t="shared" si="638"/>
        <v>-12.795880017344075</v>
      </c>
      <c r="DH788">
        <f t="shared" si="639"/>
        <v>106.18666499232586</v>
      </c>
      <c r="DK788">
        <f t="shared" si="640"/>
        <v>106.18666499232586</v>
      </c>
      <c r="DM788">
        <f t="shared" si="641"/>
        <v>106.18666499232586</v>
      </c>
      <c r="EY788" s="479">
        <f>VLOOKUP(B788,Literatuur!$A:$B,2,FALSE)</f>
        <v>14</v>
      </c>
      <c r="EZ788" t="str">
        <f t="shared" si="569"/>
        <v>Ethylbenzene</v>
      </c>
      <c r="FA788" t="str">
        <f t="shared" si="570"/>
        <v>MAK</v>
      </c>
      <c r="FB788" t="str">
        <f t="shared" si="571"/>
        <v>HDPE</v>
      </c>
      <c r="FC788" t="str">
        <f t="shared" si="572"/>
        <v>Permeation</v>
      </c>
      <c r="FD788">
        <f t="shared" si="573"/>
        <v>295</v>
      </c>
      <c r="FE788" t="str">
        <f t="shared" si="574"/>
        <v>water</v>
      </c>
      <c r="FF788" t="str">
        <f t="shared" si="575"/>
        <v>measured 0.0023</v>
      </c>
      <c r="FG788" s="408">
        <f t="shared" si="564"/>
        <v>1.4424636104439428E-5</v>
      </c>
      <c r="FH788" s="138" t="str">
        <f t="shared" si="576"/>
        <v/>
      </c>
      <c r="FI788" s="106" t="str">
        <f t="shared" si="565"/>
        <v>**</v>
      </c>
      <c r="FJ788" s="138">
        <f t="shared" si="577"/>
        <v>-12.795880017344075</v>
      </c>
      <c r="FK788" s="138">
        <f t="shared" si="563"/>
        <v>-12.381273303189619</v>
      </c>
    </row>
    <row r="789" spans="1:167" ht="12.75" hidden="1" customHeight="1" x14ac:dyDescent="0.2">
      <c r="A789">
        <v>754</v>
      </c>
      <c r="B789" s="4" t="s">
        <v>1859</v>
      </c>
      <c r="D789" s="4" t="s">
        <v>1843</v>
      </c>
      <c r="E789" s="33">
        <v>-200</v>
      </c>
      <c r="F789" t="str">
        <f>VLOOKUP(E789,CompDbase!B:L,4,FALSE)</f>
        <v>Xylene</v>
      </c>
      <c r="G789" s="95" t="str">
        <f>VLOOKUP(E789,CompDbase!B:M,12,FALSE)</f>
        <v>MAK</v>
      </c>
      <c r="H789" s="95">
        <f>VLOOKUP(E789,CompDbase!B:L,8,FALSE)</f>
        <v>120.20888801685282</v>
      </c>
      <c r="I789" s="95" t="e">
        <f>VLOOKUP(E789,CompDbase!B:L,11,FALSE)</f>
        <v>#DIV/0!</v>
      </c>
      <c r="J789" s="95" t="e">
        <f>VLOOKUP(E789,CompDbase!B:L,9,FALSE)</f>
        <v>#DIV/0!</v>
      </c>
      <c r="K789" s="95">
        <f>VLOOKUP(E789,CompDbase!B:L,10,FALSE)</f>
        <v>3.74</v>
      </c>
      <c r="L789" s="4" t="s">
        <v>717</v>
      </c>
      <c r="O789" s="4" t="s">
        <v>1044</v>
      </c>
      <c r="P789">
        <f t="shared" si="616"/>
        <v>295</v>
      </c>
      <c r="Q789" s="4" t="s">
        <v>1049</v>
      </c>
      <c r="R789" s="289" t="s">
        <v>1982</v>
      </c>
      <c r="S789">
        <v>2.3E-3</v>
      </c>
      <c r="T789" s="95" t="e">
        <f t="shared" si="617"/>
        <v>#DIV/0!</v>
      </c>
      <c r="W789">
        <v>440</v>
      </c>
      <c r="X789" s="95">
        <f>LOG(W789)</f>
        <v>2.6434526764861874</v>
      </c>
      <c r="Z789" s="95"/>
      <c r="AB789" s="95"/>
      <c r="AC789" s="95"/>
      <c r="AD789" s="95"/>
      <c r="AG789" s="138">
        <f t="shared" ref="AG789:AG790" si="642">X789</f>
        <v>2.6434526764861874</v>
      </c>
      <c r="AH789">
        <f t="shared" ref="AH789:AH790" si="643">$K789</f>
        <v>3.74</v>
      </c>
      <c r="AK789">
        <f t="shared" ref="AK789:AL790" si="644">$K789</f>
        <v>3.74</v>
      </c>
      <c r="AL789">
        <f t="shared" si="644"/>
        <v>3.74</v>
      </c>
      <c r="AO789">
        <f t="shared" ref="AO789:AO790" si="645">$K789</f>
        <v>3.74</v>
      </c>
      <c r="BW789" s="138"/>
      <c r="BX789" t="e">
        <f>LOG(1*$J789)</f>
        <v>#DIV/0!</v>
      </c>
      <c r="BY789" t="e">
        <f>LOG(1*$J789)</f>
        <v>#DIV/0!</v>
      </c>
      <c r="CB789" t="e">
        <f>LOG(1*$J789)</f>
        <v>#DIV/0!</v>
      </c>
      <c r="CE789" t="e">
        <f>LOG(1*$J789)</f>
        <v>#DIV/0!</v>
      </c>
      <c r="DG789" s="138"/>
      <c r="EY789" s="479">
        <f>VLOOKUP(B789,Literatuur!$A:$B,2,FALSE)</f>
        <v>14</v>
      </c>
      <c r="EZ789" t="str">
        <f t="shared" si="569"/>
        <v>M&amp;p-xylenes</v>
      </c>
      <c r="FA789" t="str">
        <f t="shared" si="570"/>
        <v>MAK</v>
      </c>
      <c r="FB789" t="str">
        <f t="shared" si="571"/>
        <v>HDPE</v>
      </c>
      <c r="FC789" t="str">
        <f t="shared" si="572"/>
        <v>Immersion</v>
      </c>
      <c r="FD789">
        <f t="shared" si="573"/>
        <v>295</v>
      </c>
      <c r="FE789" t="str">
        <f t="shared" si="574"/>
        <v>water</v>
      </c>
      <c r="FF789" t="str">
        <f t="shared" si="575"/>
        <v>measured 0.0023</v>
      </c>
      <c r="FG789" s="408" t="str">
        <f t="shared" si="564"/>
        <v/>
      </c>
      <c r="FH789" s="138">
        <f t="shared" si="576"/>
        <v>2.6434526764861874</v>
      </c>
      <c r="FI789" s="106">
        <f t="shared" si="565"/>
        <v>2.967088118564984</v>
      </c>
      <c r="FJ789" s="138" t="str">
        <f t="shared" si="577"/>
        <v/>
      </c>
      <c r="FK789" s="138" t="str">
        <f t="shared" si="563"/>
        <v>**</v>
      </c>
    </row>
    <row r="790" spans="1:167" ht="12.75" hidden="1" customHeight="1" x14ac:dyDescent="0.2">
      <c r="A790">
        <v>755</v>
      </c>
      <c r="B790" s="4" t="s">
        <v>1859</v>
      </c>
      <c r="D790" s="4" t="s">
        <v>1843</v>
      </c>
      <c r="E790" s="33">
        <v>-200</v>
      </c>
      <c r="F790" t="str">
        <f>VLOOKUP(E790,CompDbase!B:L,4,FALSE)</f>
        <v>Xylene</v>
      </c>
      <c r="G790" s="95" t="str">
        <f>VLOOKUP(E790,CompDbase!B:M,12,FALSE)</f>
        <v>MAK</v>
      </c>
      <c r="H790" s="95">
        <f>VLOOKUP(E790,CompDbase!B:L,8,FALSE)</f>
        <v>120.20888801685282</v>
      </c>
      <c r="I790" s="95" t="e">
        <f>VLOOKUP(E790,CompDbase!B:L,11,FALSE)</f>
        <v>#DIV/0!</v>
      </c>
      <c r="J790" s="95" t="e">
        <f>VLOOKUP(E790,CompDbase!B:L,9,FALSE)</f>
        <v>#DIV/0!</v>
      </c>
      <c r="K790" s="95">
        <f>VLOOKUP(E790,CompDbase!B:L,10,FALSE)</f>
        <v>3.74</v>
      </c>
      <c r="L790" s="4" t="s">
        <v>717</v>
      </c>
      <c r="O790" s="4" t="s">
        <v>1044</v>
      </c>
      <c r="P790">
        <f t="shared" si="616"/>
        <v>295</v>
      </c>
      <c r="Q790" s="4" t="s">
        <v>1049</v>
      </c>
      <c r="R790" s="289" t="s">
        <v>1982</v>
      </c>
      <c r="S790">
        <v>2.3E-3</v>
      </c>
      <c r="T790" s="95" t="e">
        <f t="shared" si="617"/>
        <v>#DIV/0!</v>
      </c>
      <c r="W790">
        <v>340</v>
      </c>
      <c r="X790" s="95">
        <f>LOG(W790)</f>
        <v>2.5314789170422549</v>
      </c>
      <c r="Z790" s="95"/>
      <c r="AB790" s="95"/>
      <c r="AC790" s="95"/>
      <c r="AD790" s="95"/>
      <c r="AG790" s="138">
        <f t="shared" si="642"/>
        <v>2.5314789170422549</v>
      </c>
      <c r="AH790">
        <f t="shared" si="643"/>
        <v>3.74</v>
      </c>
      <c r="AK790">
        <f t="shared" si="644"/>
        <v>3.74</v>
      </c>
      <c r="AL790">
        <f t="shared" si="644"/>
        <v>3.74</v>
      </c>
      <c r="AO790">
        <f t="shared" si="645"/>
        <v>3.74</v>
      </c>
      <c r="BW790" s="138"/>
      <c r="BX790" t="e">
        <f>LOG(1*$J790)</f>
        <v>#DIV/0!</v>
      </c>
      <c r="BY790" t="e">
        <f>LOG(1*$J790)</f>
        <v>#DIV/0!</v>
      </c>
      <c r="CB790" t="e">
        <f>LOG(1*$J790)</f>
        <v>#DIV/0!</v>
      </c>
      <c r="CE790" t="e">
        <f>LOG(1*$J790)</f>
        <v>#DIV/0!</v>
      </c>
      <c r="DG790" s="138"/>
      <c r="EY790" s="479">
        <f>VLOOKUP(B790,Literatuur!$A:$B,2,FALSE)</f>
        <v>14</v>
      </c>
      <c r="EZ790" t="str">
        <f t="shared" si="569"/>
        <v>M&amp;p-xylenes</v>
      </c>
      <c r="FA790" t="str">
        <f t="shared" si="570"/>
        <v>MAK</v>
      </c>
      <c r="FB790" t="str">
        <f t="shared" si="571"/>
        <v>HDPE</v>
      </c>
      <c r="FC790" t="str">
        <f t="shared" si="572"/>
        <v>Immersion</v>
      </c>
      <c r="FD790">
        <f t="shared" si="573"/>
        <v>295</v>
      </c>
      <c r="FE790" t="str">
        <f t="shared" si="574"/>
        <v>water</v>
      </c>
      <c r="FF790" t="str">
        <f t="shared" si="575"/>
        <v>measured 0.0023</v>
      </c>
      <c r="FG790" s="408" t="str">
        <f t="shared" si="564"/>
        <v/>
      </c>
      <c r="FH790" s="138">
        <f t="shared" si="576"/>
        <v>2.5314789170422549</v>
      </c>
      <c r="FI790" s="106">
        <f t="shared" si="565"/>
        <v>2.967088118564984</v>
      </c>
      <c r="FJ790" s="138" t="str">
        <f t="shared" si="577"/>
        <v/>
      </c>
      <c r="FK790" s="138" t="str">
        <f t="shared" si="563"/>
        <v>**</v>
      </c>
    </row>
    <row r="791" spans="1:167" ht="12.75" hidden="1" customHeight="1" x14ac:dyDescent="0.2">
      <c r="A791">
        <v>756</v>
      </c>
      <c r="B791" s="4" t="s">
        <v>1859</v>
      </c>
      <c r="D791" s="4" t="s">
        <v>1843</v>
      </c>
      <c r="E791" s="33">
        <v>-200</v>
      </c>
      <c r="F791" t="str">
        <f>VLOOKUP(E791,CompDbase!B:L,4,FALSE)</f>
        <v>Xylene</v>
      </c>
      <c r="G791" s="95" t="str">
        <f>VLOOKUP(E791,CompDbase!B:M,12,FALSE)</f>
        <v>MAK</v>
      </c>
      <c r="H791" s="95">
        <f>VLOOKUP(E791,CompDbase!B:L,8,FALSE)</f>
        <v>120.20888801685282</v>
      </c>
      <c r="I791" s="95" t="e">
        <f>VLOOKUP(E791,CompDbase!B:L,11,FALSE)</f>
        <v>#DIV/0!</v>
      </c>
      <c r="J791" s="95" t="e">
        <f>VLOOKUP(E791,CompDbase!B:L,9,FALSE)</f>
        <v>#DIV/0!</v>
      </c>
      <c r="K791" s="95">
        <f>VLOOKUP(E791,CompDbase!B:L,10,FALSE)</f>
        <v>3.74</v>
      </c>
      <c r="L791" s="4" t="s">
        <v>717</v>
      </c>
      <c r="O791" s="4" t="s">
        <v>1082</v>
      </c>
      <c r="P791">
        <f t="shared" si="616"/>
        <v>295</v>
      </c>
      <c r="Q791" s="4" t="s">
        <v>1049</v>
      </c>
      <c r="R791" s="289" t="s">
        <v>1982</v>
      </c>
      <c r="S791">
        <v>2.3E-3</v>
      </c>
      <c r="T791" s="95" t="e">
        <f t="shared" si="617"/>
        <v>#DIV/0!</v>
      </c>
      <c r="X791" s="95"/>
      <c r="Y791">
        <f>0.17*10^-12</f>
        <v>1.7000000000000001E-13</v>
      </c>
      <c r="Z791" s="95">
        <f t="shared" ref="Z791:Z832" si="646">LOG(Y791)</f>
        <v>-12.769551078621726</v>
      </c>
      <c r="AB791" s="95"/>
      <c r="AC791" s="95"/>
      <c r="AD791" s="95"/>
      <c r="AG791" s="138"/>
      <c r="BW791" s="138"/>
      <c r="DG791">
        <f t="shared" ref="DG791:DG793" si="647">Z791</f>
        <v>-12.769551078621726</v>
      </c>
      <c r="DH791">
        <f t="shared" ref="DH791:DI793" si="648">$H791</f>
        <v>120.20888801685282</v>
      </c>
      <c r="DK791">
        <f t="shared" ref="DK791:DK792" si="649">$H791</f>
        <v>120.20888801685282</v>
      </c>
      <c r="DM791">
        <f t="shared" ref="DM791:DM792" si="650">$H791</f>
        <v>120.20888801685282</v>
      </c>
      <c r="EY791" s="479">
        <f>VLOOKUP(B791,Literatuur!$A:$B,2,FALSE)</f>
        <v>14</v>
      </c>
      <c r="EZ791" t="str">
        <f t="shared" si="569"/>
        <v>M&amp;p-xylenes</v>
      </c>
      <c r="FA791" t="str">
        <f t="shared" si="570"/>
        <v>MAK</v>
      </c>
      <c r="FB791" t="str">
        <f t="shared" si="571"/>
        <v>HDPE</v>
      </c>
      <c r="FC791" t="str">
        <f t="shared" si="572"/>
        <v>Permeation</v>
      </c>
      <c r="FD791">
        <f t="shared" si="573"/>
        <v>295</v>
      </c>
      <c r="FE791" t="str">
        <f t="shared" si="574"/>
        <v>water</v>
      </c>
      <c r="FF791" t="str">
        <f t="shared" si="575"/>
        <v>measured 0.0023</v>
      </c>
      <c r="FG791" s="408" t="str">
        <f t="shared" si="564"/>
        <v/>
      </c>
      <c r="FH791" s="138" t="str">
        <f t="shared" si="576"/>
        <v/>
      </c>
      <c r="FI791" s="106" t="str">
        <f t="shared" si="565"/>
        <v>**</v>
      </c>
      <c r="FJ791" s="138">
        <f t="shared" si="577"/>
        <v>-12.769551078621726</v>
      </c>
      <c r="FK791" s="138">
        <f t="shared" si="563"/>
        <v>-12.538802518210574</v>
      </c>
    </row>
    <row r="792" spans="1:167" ht="12.75" hidden="1" customHeight="1" x14ac:dyDescent="0.2">
      <c r="A792">
        <v>757</v>
      </c>
      <c r="B792" s="4" t="s">
        <v>1859</v>
      </c>
      <c r="D792" s="4" t="s">
        <v>1843</v>
      </c>
      <c r="E792" s="33">
        <v>-200</v>
      </c>
      <c r="F792" t="str">
        <f>VLOOKUP(E792,CompDbase!B:L,4,FALSE)</f>
        <v>Xylene</v>
      </c>
      <c r="G792" s="95" t="str">
        <f>VLOOKUP(E792,CompDbase!B:M,12,FALSE)</f>
        <v>MAK</v>
      </c>
      <c r="H792" s="95">
        <f>VLOOKUP(E792,CompDbase!B:L,8,FALSE)</f>
        <v>120.20888801685282</v>
      </c>
      <c r="I792" s="95" t="e">
        <f>VLOOKUP(E792,CompDbase!B:L,11,FALSE)</f>
        <v>#DIV/0!</v>
      </c>
      <c r="J792" s="95" t="e">
        <f>VLOOKUP(E792,CompDbase!B:L,9,FALSE)</f>
        <v>#DIV/0!</v>
      </c>
      <c r="K792" s="95">
        <f>VLOOKUP(E792,CompDbase!B:L,10,FALSE)</f>
        <v>3.74</v>
      </c>
      <c r="L792" s="4" t="s">
        <v>717</v>
      </c>
      <c r="O792" s="4" t="s">
        <v>1082</v>
      </c>
      <c r="P792">
        <f t="shared" si="616"/>
        <v>295</v>
      </c>
      <c r="Q792" s="4" t="s">
        <v>1049</v>
      </c>
      <c r="R792" s="289" t="s">
        <v>1982</v>
      </c>
      <c r="S792">
        <v>2.3E-3</v>
      </c>
      <c r="T792" s="95" t="e">
        <f t="shared" si="617"/>
        <v>#DIV/0!</v>
      </c>
      <c r="X792" s="95"/>
      <c r="Y792">
        <f>0.15*10^-12</f>
        <v>1.4999999999999999E-13</v>
      </c>
      <c r="Z792" s="95">
        <f t="shared" si="646"/>
        <v>-12.823908740944319</v>
      </c>
      <c r="AB792" s="95"/>
      <c r="AC792" s="95" t="s">
        <v>68</v>
      </c>
      <c r="AD792" s="95"/>
      <c r="AG792" s="138"/>
      <c r="BW792" s="138"/>
      <c r="DG792">
        <f t="shared" si="647"/>
        <v>-12.823908740944319</v>
      </c>
      <c r="DH792">
        <f t="shared" si="648"/>
        <v>120.20888801685282</v>
      </c>
      <c r="DK792">
        <f t="shared" si="649"/>
        <v>120.20888801685282</v>
      </c>
      <c r="DM792">
        <f t="shared" si="650"/>
        <v>120.20888801685282</v>
      </c>
      <c r="EY792" s="479">
        <f>VLOOKUP(B792,Literatuur!$A:$B,2,FALSE)</f>
        <v>14</v>
      </c>
      <c r="EZ792" t="str">
        <f t="shared" si="569"/>
        <v>M&amp;p-xylenes</v>
      </c>
      <c r="FA792" t="str">
        <f t="shared" si="570"/>
        <v>MAK</v>
      </c>
      <c r="FB792" t="str">
        <f t="shared" si="571"/>
        <v>HDPE</v>
      </c>
      <c r="FC792" t="str">
        <f t="shared" si="572"/>
        <v>Permeation</v>
      </c>
      <c r="FD792">
        <f t="shared" si="573"/>
        <v>295</v>
      </c>
      <c r="FE792" t="str">
        <f t="shared" si="574"/>
        <v>water</v>
      </c>
      <c r="FF792" t="str">
        <f t="shared" si="575"/>
        <v>measured 0.0023</v>
      </c>
      <c r="FG792" s="408" t="str">
        <f t="shared" si="564"/>
        <v/>
      </c>
      <c r="FH792" s="138" t="str">
        <f t="shared" si="576"/>
        <v/>
      </c>
      <c r="FI792" s="106" t="str">
        <f t="shared" si="565"/>
        <v>**</v>
      </c>
      <c r="FJ792" s="138">
        <f t="shared" si="577"/>
        <v>-12.823908740944319</v>
      </c>
      <c r="FK792" s="138">
        <f t="shared" si="563"/>
        <v>-12.538802518210574</v>
      </c>
    </row>
    <row r="793" spans="1:167" ht="12.75" customHeight="1" x14ac:dyDescent="0.2">
      <c r="A793">
        <v>758</v>
      </c>
      <c r="B793" s="4" t="s">
        <v>1939</v>
      </c>
      <c r="C793" s="4"/>
      <c r="D793" s="4" t="s">
        <v>548</v>
      </c>
      <c r="E793">
        <v>200</v>
      </c>
      <c r="F793" t="str">
        <f>VLOOKUP(E793,CompDbase!B:L,4,FALSE)</f>
        <v>Benzene</v>
      </c>
      <c r="G793" s="95" t="str">
        <f>VLOOKUP(E793,CompDbase!B:M,12,FALSE)</f>
        <v>MAK</v>
      </c>
      <c r="H793" s="95">
        <f>VLOOKUP(E793,CompDbase!B:L,8,FALSE)</f>
        <v>78.106666524406961</v>
      </c>
      <c r="I793" s="95">
        <f>VLOOKUP(E793,CompDbase!B:L,11,FALSE)</f>
        <v>89.4</v>
      </c>
      <c r="J793" s="95">
        <f>VLOOKUP(E793,CompDbase!B:L,9,FALSE)</f>
        <v>1988.89882593368</v>
      </c>
      <c r="K793" s="95">
        <f>VLOOKUP(E793,CompDbase!B:L,10,FALSE)</f>
        <v>2.13</v>
      </c>
      <c r="L793" s="4" t="s">
        <v>717</v>
      </c>
      <c r="M793" s="420">
        <v>940000</v>
      </c>
      <c r="N793" s="420"/>
      <c r="O793" s="4" t="s">
        <v>1986</v>
      </c>
      <c r="P793">
        <v>293</v>
      </c>
      <c r="Q793" s="4" t="s">
        <v>1049</v>
      </c>
      <c r="R793" s="289" t="s">
        <v>1982</v>
      </c>
      <c r="S793">
        <v>0.05</v>
      </c>
      <c r="T793" s="95">
        <f t="shared" si="617"/>
        <v>2.5139539200304832E-5</v>
      </c>
      <c r="W793">
        <v>47.06</v>
      </c>
      <c r="X793" s="288">
        <f t="shared" ref="X793:X834" si="651">LOG(W793)</f>
        <v>1.6726519228400025</v>
      </c>
      <c r="Y793">
        <v>4.0100000000000001E-13</v>
      </c>
      <c r="Z793" s="95">
        <f t="shared" si="646"/>
        <v>-12.396855627379818</v>
      </c>
      <c r="AA793">
        <f t="shared" ref="AA793:AA832" si="652">W793*Y793</f>
        <v>1.887106E-11</v>
      </c>
      <c r="AB793" s="288">
        <f t="shared" ref="AB793:AB832" si="653">LOG(AA793)</f>
        <v>-10.724203704539816</v>
      </c>
      <c r="AC793" s="95"/>
      <c r="AD793" s="95"/>
      <c r="AG793" s="138">
        <f t="shared" ref="AG793:AG834" si="654">X793</f>
        <v>1.6726519228400025</v>
      </c>
      <c r="AH793">
        <f t="shared" ref="AH793:AI834" si="655">$K793</f>
        <v>2.13</v>
      </c>
      <c r="AI793">
        <f>$K793</f>
        <v>2.13</v>
      </c>
      <c r="AL793">
        <f t="shared" ref="AL793" si="656">$K793</f>
        <v>2.13</v>
      </c>
      <c r="BW793" s="138"/>
      <c r="BX793">
        <f>LOG(1*$J793)</f>
        <v>3.2986126913917664</v>
      </c>
      <c r="BY793">
        <f>LOG(1*$J793)</f>
        <v>3.2986126913917664</v>
      </c>
      <c r="CB793">
        <f>LOG(1*$J793)</f>
        <v>3.2986126913917664</v>
      </c>
      <c r="DG793">
        <f t="shared" si="647"/>
        <v>-12.396855627379818</v>
      </c>
      <c r="DH793">
        <f t="shared" si="648"/>
        <v>78.106666524406961</v>
      </c>
      <c r="DI793">
        <f t="shared" si="648"/>
        <v>78.106666524406961</v>
      </c>
      <c r="EY793" s="479">
        <f>VLOOKUP(B793,Literatuur!$A:$B,2,FALSE)</f>
        <v>15</v>
      </c>
      <c r="EZ793" t="str">
        <f t="shared" si="569"/>
        <v>Benzene</v>
      </c>
      <c r="FA793" t="str">
        <f t="shared" si="570"/>
        <v>MAK</v>
      </c>
      <c r="FB793" t="str">
        <f t="shared" si="571"/>
        <v>HDPE</v>
      </c>
      <c r="FC793" t="str">
        <f t="shared" si="572"/>
        <v>Immersion (spinning)</v>
      </c>
      <c r="FD793">
        <f t="shared" si="573"/>
        <v>293</v>
      </c>
      <c r="FE793" t="str">
        <f t="shared" si="574"/>
        <v>water</v>
      </c>
      <c r="FF793" t="str">
        <f t="shared" si="575"/>
        <v>measured 0.05</v>
      </c>
      <c r="FG793" s="408">
        <f t="shared" si="564"/>
        <v>2.5139539200304832E-5</v>
      </c>
      <c r="FH793" s="138">
        <f t="shared" si="576"/>
        <v>1.6726519228400025</v>
      </c>
      <c r="FI793" s="106">
        <f t="shared" si="565"/>
        <v>1.08007323929876</v>
      </c>
      <c r="FJ793" s="138">
        <f t="shared" si="577"/>
        <v>-12.396855627379818</v>
      </c>
      <c r="FK793" s="138" t="str">
        <f t="shared" si="563"/>
        <v>**</v>
      </c>
    </row>
    <row r="794" spans="1:167" ht="12.75" customHeight="1" x14ac:dyDescent="0.2">
      <c r="A794">
        <v>759</v>
      </c>
      <c r="B794" s="4" t="s">
        <v>1939</v>
      </c>
      <c r="C794" s="4"/>
      <c r="D794" s="4" t="s">
        <v>548</v>
      </c>
      <c r="E794">
        <v>200</v>
      </c>
      <c r="F794" t="str">
        <f>VLOOKUP(E794,CompDbase!B:L,4,FALSE)</f>
        <v>Benzene</v>
      </c>
      <c r="G794" s="95" t="str">
        <f>VLOOKUP(E794,CompDbase!B:M,12,FALSE)</f>
        <v>MAK</v>
      </c>
      <c r="H794" s="95">
        <f>VLOOKUP(E794,CompDbase!B:L,8,FALSE)</f>
        <v>78.106666524406961</v>
      </c>
      <c r="I794" s="95">
        <f>VLOOKUP(E794,CompDbase!B:L,11,FALSE)</f>
        <v>89.4</v>
      </c>
      <c r="J794" s="95">
        <f>VLOOKUP(E794,CompDbase!B:L,9,FALSE)</f>
        <v>1988.89882593368</v>
      </c>
      <c r="K794" s="95">
        <f>VLOOKUP(E794,CompDbase!B:L,10,FALSE)</f>
        <v>2.13</v>
      </c>
      <c r="L794" s="4" t="s">
        <v>717</v>
      </c>
      <c r="M794" s="420">
        <v>940000</v>
      </c>
      <c r="N794" s="420"/>
      <c r="O794" s="4" t="s">
        <v>1082</v>
      </c>
      <c r="P794">
        <v>293</v>
      </c>
      <c r="Q794" s="4" t="s">
        <v>1049</v>
      </c>
      <c r="R794" s="289" t="s">
        <v>1982</v>
      </c>
      <c r="S794">
        <v>0.05</v>
      </c>
      <c r="T794" s="95">
        <f t="shared" si="617"/>
        <v>2.5139539200304832E-5</v>
      </c>
      <c r="W794">
        <v>60.58</v>
      </c>
      <c r="X794" s="288">
        <f t="shared" si="651"/>
        <v>1.7823292689968369</v>
      </c>
      <c r="Y794">
        <v>4.5900000000000006E-13</v>
      </c>
      <c r="Z794" s="95">
        <f t="shared" si="646"/>
        <v>-12.338187314462738</v>
      </c>
      <c r="AA794">
        <f t="shared" si="652"/>
        <v>2.7806220000000004E-11</v>
      </c>
      <c r="AB794" s="288">
        <f t="shared" si="653"/>
        <v>-10.555858045465902</v>
      </c>
      <c r="AC794" s="95">
        <v>1</v>
      </c>
      <c r="AD794" s="95">
        <v>1</v>
      </c>
      <c r="AG794" s="138">
        <f t="shared" si="654"/>
        <v>1.7823292689968369</v>
      </c>
      <c r="AH794">
        <f t="shared" si="655"/>
        <v>2.13</v>
      </c>
      <c r="BW794" s="138"/>
      <c r="BX794">
        <f t="shared" ref="BX794:BX834" si="657">LOG(1*$J794)</f>
        <v>3.2986126913917664</v>
      </c>
      <c r="EY794" s="479">
        <f>VLOOKUP(B794,Literatuur!$A:$B,2,FALSE)</f>
        <v>15</v>
      </c>
      <c r="EZ794" t="str">
        <f t="shared" si="569"/>
        <v>Benzene</v>
      </c>
      <c r="FA794" t="str">
        <f t="shared" si="570"/>
        <v>MAK</v>
      </c>
      <c r="FB794" t="str">
        <f t="shared" si="571"/>
        <v>HDPE</v>
      </c>
      <c r="FC794" t="str">
        <f t="shared" si="572"/>
        <v>Permeation</v>
      </c>
      <c r="FD794">
        <f t="shared" si="573"/>
        <v>293</v>
      </c>
      <c r="FE794" t="str">
        <f t="shared" si="574"/>
        <v>water</v>
      </c>
      <c r="FF794" t="str">
        <f t="shared" si="575"/>
        <v>measured 0.05</v>
      </c>
      <c r="FG794" s="408">
        <f t="shared" si="564"/>
        <v>2.5139539200304832E-5</v>
      </c>
      <c r="FH794" s="138">
        <f t="shared" si="576"/>
        <v>1.7823292689968369</v>
      </c>
      <c r="FI794" s="106" t="str">
        <f t="shared" si="565"/>
        <v>**</v>
      </c>
      <c r="FJ794" s="138">
        <f t="shared" si="577"/>
        <v>-12.338187314462738</v>
      </c>
      <c r="FK794" s="138" t="str">
        <f t="shared" si="563"/>
        <v>**</v>
      </c>
    </row>
    <row r="795" spans="1:167" ht="12.75" customHeight="1" x14ac:dyDescent="0.2">
      <c r="A795">
        <v>760</v>
      </c>
      <c r="B795" s="4" t="s">
        <v>1939</v>
      </c>
      <c r="C795" s="4"/>
      <c r="D795" s="4" t="s">
        <v>548</v>
      </c>
      <c r="E795">
        <v>200</v>
      </c>
      <c r="F795" t="str">
        <f>VLOOKUP(E795,CompDbase!B:L,4,FALSE)</f>
        <v>Benzene</v>
      </c>
      <c r="G795" s="95" t="str">
        <f>VLOOKUP(E795,CompDbase!B:M,12,FALSE)</f>
        <v>MAK</v>
      </c>
      <c r="H795" s="95">
        <f>VLOOKUP(E795,CompDbase!B:L,8,FALSE)</f>
        <v>78.106666524406961</v>
      </c>
      <c r="I795" s="95">
        <f>VLOOKUP(E795,CompDbase!B:L,11,FALSE)</f>
        <v>89.4</v>
      </c>
      <c r="J795" s="95">
        <f>VLOOKUP(E795,CompDbase!B:L,9,FALSE)</f>
        <v>1988.89882593368</v>
      </c>
      <c r="K795" s="95">
        <f>VLOOKUP(E795,CompDbase!B:L,10,FALSE)</f>
        <v>2.13</v>
      </c>
      <c r="L795" s="4" t="s">
        <v>717</v>
      </c>
      <c r="M795" s="420">
        <v>940000</v>
      </c>
      <c r="N795" s="420"/>
      <c r="O795" s="4" t="s">
        <v>1082</v>
      </c>
      <c r="P795">
        <v>293</v>
      </c>
      <c r="Q795" s="4" t="s">
        <v>1049</v>
      </c>
      <c r="R795" s="289" t="s">
        <v>1982</v>
      </c>
      <c r="S795">
        <v>0.1</v>
      </c>
      <c r="T795" s="95">
        <f t="shared" si="617"/>
        <v>5.0279078400609665E-5</v>
      </c>
      <c r="W795">
        <v>91.12</v>
      </c>
      <c r="X795" s="288">
        <f t="shared" si="651"/>
        <v>1.9596137110710439</v>
      </c>
      <c r="Y795">
        <v>7.3000000000000002E-13</v>
      </c>
      <c r="Z795" s="95">
        <f t="shared" si="646"/>
        <v>-12.136677139879543</v>
      </c>
      <c r="AA795">
        <f t="shared" si="652"/>
        <v>6.6517600000000004E-11</v>
      </c>
      <c r="AB795" s="288">
        <f t="shared" si="653"/>
        <v>-10.1770634288085</v>
      </c>
      <c r="AC795" s="95" t="s">
        <v>68</v>
      </c>
      <c r="AD795" s="95"/>
      <c r="AG795" s="138">
        <f t="shared" si="654"/>
        <v>1.9596137110710439</v>
      </c>
      <c r="AH795">
        <f t="shared" si="655"/>
        <v>2.13</v>
      </c>
      <c r="AK795">
        <f t="shared" ref="AK795" si="658">$K795</f>
        <v>2.13</v>
      </c>
      <c r="BW795" s="138"/>
      <c r="BX795">
        <f t="shared" si="657"/>
        <v>3.2986126913917664</v>
      </c>
      <c r="CA795">
        <f>LOG(1*$J795)</f>
        <v>3.2986126913917664</v>
      </c>
      <c r="DG795">
        <f t="shared" ref="DG795:DG796" si="659">Z795</f>
        <v>-12.136677139879543</v>
      </c>
      <c r="DH795">
        <f t="shared" ref="DH795:DI796" si="660">$H795</f>
        <v>78.106666524406961</v>
      </c>
      <c r="DK795">
        <f t="shared" ref="DK795" si="661">$H795</f>
        <v>78.106666524406961</v>
      </c>
      <c r="DM795">
        <f t="shared" ref="DM795" si="662">$H795</f>
        <v>78.106666524406961</v>
      </c>
      <c r="EY795" s="479">
        <f>VLOOKUP(B795,Literatuur!$A:$B,2,FALSE)</f>
        <v>15</v>
      </c>
      <c r="EZ795" t="str">
        <f t="shared" si="569"/>
        <v>Benzene</v>
      </c>
      <c r="FA795" t="str">
        <f t="shared" si="570"/>
        <v>MAK</v>
      </c>
      <c r="FB795" t="str">
        <f t="shared" si="571"/>
        <v>HDPE</v>
      </c>
      <c r="FC795" t="str">
        <f t="shared" si="572"/>
        <v>Permeation</v>
      </c>
      <c r="FD795">
        <f t="shared" si="573"/>
        <v>293</v>
      </c>
      <c r="FE795" t="str">
        <f t="shared" si="574"/>
        <v>water</v>
      </c>
      <c r="FF795" t="str">
        <f t="shared" si="575"/>
        <v>measured 0.1</v>
      </c>
      <c r="FG795" s="408">
        <f t="shared" si="564"/>
        <v>5.0279078400609665E-5</v>
      </c>
      <c r="FH795" s="138">
        <f t="shared" si="576"/>
        <v>1.9596137110710439</v>
      </c>
      <c r="FI795" s="106" t="str">
        <f t="shared" si="565"/>
        <v>**</v>
      </c>
      <c r="FJ795" s="138">
        <f t="shared" si="577"/>
        <v>-12.136677139879543</v>
      </c>
      <c r="FK795" s="138">
        <f t="shared" si="563"/>
        <v>-12.065815468244072</v>
      </c>
    </row>
    <row r="796" spans="1:167" ht="12.75" hidden="1" customHeight="1" x14ac:dyDescent="0.2">
      <c r="A796">
        <v>761</v>
      </c>
      <c r="B796" s="4" t="s">
        <v>1939</v>
      </c>
      <c r="C796" s="4"/>
      <c r="D796" s="4" t="s">
        <v>694</v>
      </c>
      <c r="E796">
        <v>201</v>
      </c>
      <c r="F796" t="str">
        <f>VLOOKUP(E796,CompDbase!B:L,4,FALSE)</f>
        <v>Ethylbenzene</v>
      </c>
      <c r="G796" s="95" t="str">
        <f>VLOOKUP(E796,CompDbase!B:M,12,FALSE)</f>
        <v>MAK</v>
      </c>
      <c r="H796" s="95">
        <f>VLOOKUP(E796,CompDbase!B:L,8,FALSE)</f>
        <v>106.18666499232586</v>
      </c>
      <c r="I796" s="95" t="e">
        <f>VLOOKUP(E796,CompDbase!B:L,11,FALSE)</f>
        <v>#DIV/0!</v>
      </c>
      <c r="J796" s="95">
        <f>VLOOKUP(E796,CompDbase!B:L,9,FALSE)</f>
        <v>159.4494296665228</v>
      </c>
      <c r="K796" s="95">
        <f>VLOOKUP(E796,CompDbase!B:L,10,FALSE)</f>
        <v>3.15</v>
      </c>
      <c r="L796" s="4" t="s">
        <v>717</v>
      </c>
      <c r="M796" s="420">
        <v>940000</v>
      </c>
      <c r="N796" s="420"/>
      <c r="O796" s="4" t="s">
        <v>1986</v>
      </c>
      <c r="P796">
        <v>293</v>
      </c>
      <c r="Q796" s="4" t="s">
        <v>1049</v>
      </c>
      <c r="R796" s="289" t="s">
        <v>1982</v>
      </c>
      <c r="S796">
        <v>0.05</v>
      </c>
      <c r="T796" s="95">
        <f t="shared" si="617"/>
        <v>3.1357904574868324E-4</v>
      </c>
      <c r="W796">
        <v>162.62</v>
      </c>
      <c r="X796" s="288">
        <f t="shared" si="651"/>
        <v>2.2111739567284943</v>
      </c>
      <c r="Y796">
        <v>1.9400000000000001E-13</v>
      </c>
      <c r="Z796" s="95">
        <f t="shared" si="646"/>
        <v>-12.712198270069774</v>
      </c>
      <c r="AA796">
        <f t="shared" si="652"/>
        <v>3.1548279999999999E-11</v>
      </c>
      <c r="AB796" s="288">
        <f t="shared" si="653"/>
        <v>-10.501024313341279</v>
      </c>
      <c r="AC796" s="95"/>
      <c r="AD796" s="95"/>
      <c r="AG796" s="138">
        <f t="shared" si="654"/>
        <v>2.2111739567284943</v>
      </c>
      <c r="AH796">
        <f t="shared" si="655"/>
        <v>3.15</v>
      </c>
      <c r="AI796">
        <f>$K796</f>
        <v>3.15</v>
      </c>
      <c r="AL796">
        <f t="shared" ref="AL796" si="663">$K796</f>
        <v>3.15</v>
      </c>
      <c r="BW796" s="138"/>
      <c r="BX796">
        <f t="shared" si="657"/>
        <v>2.202622970157059</v>
      </c>
      <c r="BY796">
        <f>LOG(1*$J796)</f>
        <v>2.202622970157059</v>
      </c>
      <c r="CB796">
        <f>LOG(1*$J796)</f>
        <v>2.202622970157059</v>
      </c>
      <c r="DG796">
        <f t="shared" si="659"/>
        <v>-12.712198270069774</v>
      </c>
      <c r="DH796">
        <f t="shared" si="660"/>
        <v>106.18666499232586</v>
      </c>
      <c r="DI796">
        <f t="shared" si="660"/>
        <v>106.18666499232586</v>
      </c>
      <c r="EY796" s="479">
        <f>VLOOKUP(B796,Literatuur!$A:$B,2,FALSE)</f>
        <v>15</v>
      </c>
      <c r="EZ796" t="str">
        <f t="shared" si="569"/>
        <v>Ethylbenzene</v>
      </c>
      <c r="FA796" t="str">
        <f t="shared" si="570"/>
        <v>MAK</v>
      </c>
      <c r="FB796" t="str">
        <f t="shared" si="571"/>
        <v>HDPE</v>
      </c>
      <c r="FC796" t="str">
        <f t="shared" si="572"/>
        <v>Immersion (spinning)</v>
      </c>
      <c r="FD796">
        <f t="shared" si="573"/>
        <v>293</v>
      </c>
      <c r="FE796" t="str">
        <f t="shared" si="574"/>
        <v>water</v>
      </c>
      <c r="FF796" t="str">
        <f t="shared" si="575"/>
        <v>measured 0.05</v>
      </c>
      <c r="FG796" s="408">
        <f t="shared" si="564"/>
        <v>3.1357904574868324E-4</v>
      </c>
      <c r="FH796" s="138">
        <f t="shared" si="576"/>
        <v>2.2111739567284943</v>
      </c>
      <c r="FI796" s="106">
        <f t="shared" si="565"/>
        <v>2.2755733491444419</v>
      </c>
      <c r="FJ796" s="138">
        <f t="shared" si="577"/>
        <v>-12.712198270069774</v>
      </c>
      <c r="FK796" s="138" t="str">
        <f t="shared" si="563"/>
        <v>**</v>
      </c>
    </row>
    <row r="797" spans="1:167" ht="12.75" hidden="1" customHeight="1" x14ac:dyDescent="0.2">
      <c r="A797">
        <v>762</v>
      </c>
      <c r="B797" s="4" t="s">
        <v>1939</v>
      </c>
      <c r="C797" s="4"/>
      <c r="D797" s="4" t="s">
        <v>694</v>
      </c>
      <c r="E797">
        <v>201</v>
      </c>
      <c r="F797" t="str">
        <f>VLOOKUP(E797,CompDbase!B:L,4,FALSE)</f>
        <v>Ethylbenzene</v>
      </c>
      <c r="G797" s="95" t="str">
        <f>VLOOKUP(E797,CompDbase!B:M,12,FALSE)</f>
        <v>MAK</v>
      </c>
      <c r="H797" s="95">
        <f>VLOOKUP(E797,CompDbase!B:L,8,FALSE)</f>
        <v>106.18666499232586</v>
      </c>
      <c r="I797" s="95" t="e">
        <f>VLOOKUP(E797,CompDbase!B:L,11,FALSE)</f>
        <v>#DIV/0!</v>
      </c>
      <c r="J797" s="95">
        <f>VLOOKUP(E797,CompDbase!B:L,9,FALSE)</f>
        <v>159.4494296665228</v>
      </c>
      <c r="K797" s="95">
        <f>VLOOKUP(E797,CompDbase!B:L,10,FALSE)</f>
        <v>3.15</v>
      </c>
      <c r="L797" s="4" t="s">
        <v>717</v>
      </c>
      <c r="M797" s="420">
        <v>940000</v>
      </c>
      <c r="N797" s="420"/>
      <c r="O797" s="4" t="s">
        <v>1082</v>
      </c>
      <c r="P797">
        <v>293</v>
      </c>
      <c r="Q797" s="4" t="s">
        <v>1049</v>
      </c>
      <c r="R797" s="289" t="s">
        <v>1982</v>
      </c>
      <c r="S797">
        <v>0.05</v>
      </c>
      <c r="T797" s="95">
        <f t="shared" si="617"/>
        <v>3.1357904574868324E-4</v>
      </c>
      <c r="W797">
        <v>231.92</v>
      </c>
      <c r="X797" s="288">
        <f t="shared" si="651"/>
        <v>2.3653382023469409</v>
      </c>
      <c r="Y797">
        <v>2.1500000000000004E-13</v>
      </c>
      <c r="Z797" s="95">
        <f t="shared" si="646"/>
        <v>-12.667561540084394</v>
      </c>
      <c r="AA797">
        <f t="shared" si="652"/>
        <v>4.986280000000001E-11</v>
      </c>
      <c r="AB797" s="288">
        <f t="shared" si="653"/>
        <v>-10.302223337737454</v>
      </c>
      <c r="AC797" s="95">
        <v>1</v>
      </c>
      <c r="AD797" s="95">
        <v>1</v>
      </c>
      <c r="AG797" s="138">
        <f t="shared" si="654"/>
        <v>2.3653382023469409</v>
      </c>
      <c r="AH797">
        <f t="shared" si="655"/>
        <v>3.15</v>
      </c>
      <c r="BW797" s="138"/>
      <c r="BX797">
        <f t="shared" si="657"/>
        <v>2.202622970157059</v>
      </c>
      <c r="EY797" s="479">
        <f>VLOOKUP(B797,Literatuur!$A:$B,2,FALSE)</f>
        <v>15</v>
      </c>
      <c r="EZ797" t="str">
        <f t="shared" si="569"/>
        <v>Ethylbenzene</v>
      </c>
      <c r="FA797" t="str">
        <f t="shared" si="570"/>
        <v>MAK</v>
      </c>
      <c r="FB797" t="str">
        <f t="shared" si="571"/>
        <v>HDPE</v>
      </c>
      <c r="FC797" t="str">
        <f t="shared" si="572"/>
        <v>Permeation</v>
      </c>
      <c r="FD797">
        <f t="shared" si="573"/>
        <v>293</v>
      </c>
      <c r="FE797" t="str">
        <f t="shared" si="574"/>
        <v>water</v>
      </c>
      <c r="FF797" t="str">
        <f t="shared" si="575"/>
        <v>measured 0.05</v>
      </c>
      <c r="FG797" s="408">
        <f t="shared" si="564"/>
        <v>3.1357904574868324E-4</v>
      </c>
      <c r="FH797" s="138">
        <f t="shared" si="576"/>
        <v>2.3653382023469409</v>
      </c>
      <c r="FI797" s="106" t="str">
        <f t="shared" si="565"/>
        <v>**</v>
      </c>
      <c r="FJ797" s="138">
        <f t="shared" si="577"/>
        <v>-12.667561540084394</v>
      </c>
      <c r="FK797" s="138" t="str">
        <f t="shared" si="563"/>
        <v>**</v>
      </c>
    </row>
    <row r="798" spans="1:167" ht="12.75" hidden="1" customHeight="1" x14ac:dyDescent="0.2">
      <c r="A798">
        <v>763</v>
      </c>
      <c r="B798" s="4" t="s">
        <v>1939</v>
      </c>
      <c r="C798" s="4"/>
      <c r="D798" s="4" t="s">
        <v>694</v>
      </c>
      <c r="E798">
        <v>201</v>
      </c>
      <c r="F798" t="str">
        <f>VLOOKUP(E798,CompDbase!B:L,4,FALSE)</f>
        <v>Ethylbenzene</v>
      </c>
      <c r="G798" s="95" t="str">
        <f>VLOOKUP(E798,CompDbase!B:M,12,FALSE)</f>
        <v>MAK</v>
      </c>
      <c r="H798" s="95">
        <f>VLOOKUP(E798,CompDbase!B:L,8,FALSE)</f>
        <v>106.18666499232586</v>
      </c>
      <c r="I798" s="95" t="e">
        <f>VLOOKUP(E798,CompDbase!B:L,11,FALSE)</f>
        <v>#DIV/0!</v>
      </c>
      <c r="J798" s="95">
        <f>VLOOKUP(E798,CompDbase!B:L,9,FALSE)</f>
        <v>159.4494296665228</v>
      </c>
      <c r="K798" s="95">
        <f>VLOOKUP(E798,CompDbase!B:L,10,FALSE)</f>
        <v>3.15</v>
      </c>
      <c r="L798" s="4" t="s">
        <v>717</v>
      </c>
      <c r="M798" s="420">
        <v>940000</v>
      </c>
      <c r="N798" s="420"/>
      <c r="O798" s="4" t="s">
        <v>1082</v>
      </c>
      <c r="P798">
        <v>293</v>
      </c>
      <c r="Q798" s="4" t="s">
        <v>1049</v>
      </c>
      <c r="R798" s="289" t="s">
        <v>1982</v>
      </c>
      <c r="S798">
        <v>0.1</v>
      </c>
      <c r="T798" s="95">
        <f t="shared" si="617"/>
        <v>6.2715809149736649E-4</v>
      </c>
      <c r="W798">
        <v>269.42</v>
      </c>
      <c r="X798" s="288">
        <f t="shared" si="651"/>
        <v>2.4304298317998767</v>
      </c>
      <c r="Y798">
        <v>2.9700000000000005E-13</v>
      </c>
      <c r="Z798" s="95">
        <f t="shared" si="646"/>
        <v>-12.527243550682787</v>
      </c>
      <c r="AA798">
        <f t="shared" si="652"/>
        <v>8.0017740000000012E-11</v>
      </c>
      <c r="AB798" s="288">
        <f t="shared" si="653"/>
        <v>-10.096813718882911</v>
      </c>
      <c r="AC798" s="95" t="s">
        <v>68</v>
      </c>
      <c r="AD798" s="95"/>
      <c r="AG798" s="138">
        <f t="shared" si="654"/>
        <v>2.4304298317998767</v>
      </c>
      <c r="AH798">
        <f t="shared" si="655"/>
        <v>3.15</v>
      </c>
      <c r="AK798">
        <f t="shared" ref="AK798" si="664">$K798</f>
        <v>3.15</v>
      </c>
      <c r="BW798" s="138"/>
      <c r="BX798">
        <f t="shared" si="657"/>
        <v>2.202622970157059</v>
      </c>
      <c r="CA798">
        <f>LOG(1*$J798)</f>
        <v>2.202622970157059</v>
      </c>
      <c r="DG798">
        <f t="shared" ref="DG798:DG799" si="665">Z798</f>
        <v>-12.527243550682787</v>
      </c>
      <c r="DH798">
        <f t="shared" ref="DH798:DI799" si="666">$H798</f>
        <v>106.18666499232586</v>
      </c>
      <c r="DK798">
        <f t="shared" ref="DK798" si="667">$H798</f>
        <v>106.18666499232586</v>
      </c>
      <c r="DM798">
        <f t="shared" ref="DM798" si="668">$H798</f>
        <v>106.18666499232586</v>
      </c>
      <c r="EY798" s="479">
        <f>VLOOKUP(B798,Literatuur!$A:$B,2,FALSE)</f>
        <v>15</v>
      </c>
      <c r="EZ798" t="str">
        <f t="shared" si="569"/>
        <v>Ethylbenzene</v>
      </c>
      <c r="FA798" t="str">
        <f t="shared" si="570"/>
        <v>MAK</v>
      </c>
      <c r="FB798" t="str">
        <f t="shared" si="571"/>
        <v>HDPE</v>
      </c>
      <c r="FC798" t="str">
        <f t="shared" si="572"/>
        <v>Permeation</v>
      </c>
      <c r="FD798">
        <f t="shared" si="573"/>
        <v>293</v>
      </c>
      <c r="FE798" t="str">
        <f t="shared" si="574"/>
        <v>water</v>
      </c>
      <c r="FF798" t="str">
        <f t="shared" si="575"/>
        <v>measured 0.1</v>
      </c>
      <c r="FG798" s="408">
        <f t="shared" si="564"/>
        <v>6.2715809149736649E-4</v>
      </c>
      <c r="FH798" s="138">
        <f t="shared" si="576"/>
        <v>2.4304298317998767</v>
      </c>
      <c r="FI798" s="106" t="str">
        <f t="shared" si="565"/>
        <v>**</v>
      </c>
      <c r="FJ798" s="138">
        <f t="shared" si="577"/>
        <v>-12.527243550682787</v>
      </c>
      <c r="FK798" s="138">
        <f t="shared" si="563"/>
        <v>-12.381273303189619</v>
      </c>
    </row>
    <row r="799" spans="1:167" ht="12.75" hidden="1" customHeight="1" x14ac:dyDescent="0.2">
      <c r="A799">
        <v>764</v>
      </c>
      <c r="B799" s="4" t="s">
        <v>1939</v>
      </c>
      <c r="C799" s="4"/>
      <c r="D799" s="4" t="s">
        <v>698</v>
      </c>
      <c r="E799">
        <v>218</v>
      </c>
      <c r="F799" t="str">
        <f>VLOOKUP(E799,CompDbase!B:L,4,FALSE)</f>
        <v>o-Xylene</v>
      </c>
      <c r="G799" s="95" t="str">
        <f>VLOOKUP(E799,CompDbase!B:M,12,FALSE)</f>
        <v>MAK</v>
      </c>
      <c r="H799" s="95">
        <f>VLOOKUP(E799,CompDbase!B:L,8,FALSE)</f>
        <v>106.18666499232586</v>
      </c>
      <c r="I799" s="95" t="e">
        <f>VLOOKUP(E799,CompDbase!B:L,11,FALSE)</f>
        <v>#DIV/0!</v>
      </c>
      <c r="J799" s="95">
        <f>VLOOKUP(E799,CompDbase!B:L,9,FALSE)</f>
        <v>218.93359574593291</v>
      </c>
      <c r="K799" s="95">
        <f>VLOOKUP(E799,CompDbase!B:L,10,FALSE)</f>
        <v>3.12</v>
      </c>
      <c r="L799" s="4" t="s">
        <v>717</v>
      </c>
      <c r="M799" s="420">
        <v>940000</v>
      </c>
      <c r="N799" s="420"/>
      <c r="O799" s="4" t="s">
        <v>1986</v>
      </c>
      <c r="P799">
        <v>293</v>
      </c>
      <c r="Q799" s="4" t="s">
        <v>1049</v>
      </c>
      <c r="R799" s="289" t="s">
        <v>1982</v>
      </c>
      <c r="S799">
        <v>0.05</v>
      </c>
      <c r="T799" s="95">
        <f t="shared" si="617"/>
        <v>2.2837975062549917E-4</v>
      </c>
      <c r="W799">
        <v>237.87</v>
      </c>
      <c r="X799" s="288">
        <f t="shared" si="651"/>
        <v>2.3763396725710351</v>
      </c>
      <c r="Y799">
        <v>2.0499999999999998E-13</v>
      </c>
      <c r="Z799" s="95">
        <f t="shared" si="646"/>
        <v>-12.688246138944246</v>
      </c>
      <c r="AA799">
        <f t="shared" si="652"/>
        <v>4.8763349999999997E-11</v>
      </c>
      <c r="AB799" s="288">
        <f t="shared" si="653"/>
        <v>-10.311906466373211</v>
      </c>
      <c r="AC799" s="95"/>
      <c r="AD799" s="95"/>
      <c r="AG799" s="138">
        <f t="shared" si="654"/>
        <v>2.3763396725710351</v>
      </c>
      <c r="AH799">
        <f t="shared" si="655"/>
        <v>3.12</v>
      </c>
      <c r="AI799">
        <f>$K799</f>
        <v>3.12</v>
      </c>
      <c r="AL799">
        <f t="shared" ref="AL799" si="669">$K799</f>
        <v>3.12</v>
      </c>
      <c r="BW799" s="138"/>
      <c r="BX799">
        <f t="shared" si="657"/>
        <v>2.3403124099350032</v>
      </c>
      <c r="BY799">
        <f>LOG(1*$J799)</f>
        <v>2.3403124099350032</v>
      </c>
      <c r="CB799">
        <f>LOG(1*$J799)</f>
        <v>2.3403124099350032</v>
      </c>
      <c r="DG799">
        <f t="shared" si="665"/>
        <v>-12.688246138944246</v>
      </c>
      <c r="DH799">
        <f t="shared" si="666"/>
        <v>106.18666499232586</v>
      </c>
      <c r="DI799">
        <f t="shared" si="666"/>
        <v>106.18666499232586</v>
      </c>
      <c r="EY799" s="479">
        <f>VLOOKUP(B799,Literatuur!$A:$B,2,FALSE)</f>
        <v>15</v>
      </c>
      <c r="EZ799" t="str">
        <f t="shared" si="569"/>
        <v>o-xylene</v>
      </c>
      <c r="FA799" t="str">
        <f t="shared" si="570"/>
        <v>MAK</v>
      </c>
      <c r="FB799" t="str">
        <f t="shared" si="571"/>
        <v>HDPE</v>
      </c>
      <c r="FC799" t="str">
        <f t="shared" si="572"/>
        <v>Immersion (spinning)</v>
      </c>
      <c r="FD799">
        <f t="shared" si="573"/>
        <v>293</v>
      </c>
      <c r="FE799" t="str">
        <f t="shared" si="574"/>
        <v>water</v>
      </c>
      <c r="FF799" t="str">
        <f t="shared" si="575"/>
        <v>measured 0.05</v>
      </c>
      <c r="FG799" s="408">
        <f t="shared" si="564"/>
        <v>2.2837975062549917E-4</v>
      </c>
      <c r="FH799" s="138">
        <f t="shared" si="576"/>
        <v>2.3763396725710351</v>
      </c>
      <c r="FI799" s="106">
        <f t="shared" si="565"/>
        <v>2.2404115812078045</v>
      </c>
      <c r="FJ799" s="138">
        <f t="shared" si="577"/>
        <v>-12.688246138944246</v>
      </c>
      <c r="FK799" s="138" t="str">
        <f t="shared" si="563"/>
        <v>**</v>
      </c>
    </row>
    <row r="800" spans="1:167" ht="12.75" hidden="1" customHeight="1" x14ac:dyDescent="0.2">
      <c r="A800">
        <v>765</v>
      </c>
      <c r="B800" s="4" t="s">
        <v>1939</v>
      </c>
      <c r="C800" s="4"/>
      <c r="D800" s="4" t="s">
        <v>698</v>
      </c>
      <c r="E800">
        <v>218</v>
      </c>
      <c r="F800" t="str">
        <f>VLOOKUP(E800,CompDbase!B:L,4,FALSE)</f>
        <v>o-Xylene</v>
      </c>
      <c r="G800" s="95" t="str">
        <f>VLOOKUP(E800,CompDbase!B:M,12,FALSE)</f>
        <v>MAK</v>
      </c>
      <c r="H800" s="95">
        <f>VLOOKUP(E800,CompDbase!B:L,8,FALSE)</f>
        <v>106.18666499232586</v>
      </c>
      <c r="I800" s="95" t="e">
        <f>VLOOKUP(E800,CompDbase!B:L,11,FALSE)</f>
        <v>#DIV/0!</v>
      </c>
      <c r="J800" s="95">
        <f>VLOOKUP(E800,CompDbase!B:L,9,FALSE)</f>
        <v>218.93359574593291</v>
      </c>
      <c r="K800" s="95">
        <f>VLOOKUP(E800,CompDbase!B:L,10,FALSE)</f>
        <v>3.12</v>
      </c>
      <c r="L800" s="4" t="s">
        <v>717</v>
      </c>
      <c r="M800" s="420">
        <v>940000</v>
      </c>
      <c r="N800" s="420"/>
      <c r="O800" s="4" t="s">
        <v>1082</v>
      </c>
      <c r="P800">
        <v>293</v>
      </c>
      <c r="Q800" s="4" t="s">
        <v>1049</v>
      </c>
      <c r="R800" s="289" t="s">
        <v>1982</v>
      </c>
      <c r="S800">
        <v>0.05</v>
      </c>
      <c r="T800" s="95">
        <f t="shared" si="617"/>
        <v>2.2837975062549917E-4</v>
      </c>
      <c r="W800">
        <v>438.21</v>
      </c>
      <c r="X800" s="288">
        <f t="shared" si="651"/>
        <v>2.6416822839852192</v>
      </c>
      <c r="Y800">
        <v>1.25E-13</v>
      </c>
      <c r="Z800" s="95">
        <f t="shared" si="646"/>
        <v>-12.903089986991944</v>
      </c>
      <c r="AA800">
        <f t="shared" si="652"/>
        <v>5.4776249999999997E-11</v>
      </c>
      <c r="AB800" s="288">
        <f t="shared" si="653"/>
        <v>-10.261407703006725</v>
      </c>
      <c r="AC800" s="95">
        <v>1</v>
      </c>
      <c r="AD800" s="95">
        <v>1</v>
      </c>
      <c r="AG800" s="138">
        <f t="shared" si="654"/>
        <v>2.6416822839852192</v>
      </c>
      <c r="AH800">
        <f t="shared" si="655"/>
        <v>3.12</v>
      </c>
      <c r="BW800" s="138"/>
      <c r="BX800">
        <f t="shared" si="657"/>
        <v>2.3403124099350032</v>
      </c>
      <c r="EY800" s="479">
        <f>VLOOKUP(B800,Literatuur!$A:$B,2,FALSE)</f>
        <v>15</v>
      </c>
      <c r="EZ800" t="str">
        <f t="shared" si="569"/>
        <v>o-xylene</v>
      </c>
      <c r="FA800" t="str">
        <f t="shared" si="570"/>
        <v>MAK</v>
      </c>
      <c r="FB800" t="str">
        <f t="shared" si="571"/>
        <v>HDPE</v>
      </c>
      <c r="FC800" t="str">
        <f t="shared" si="572"/>
        <v>Permeation</v>
      </c>
      <c r="FD800">
        <f t="shared" si="573"/>
        <v>293</v>
      </c>
      <c r="FE800" t="str">
        <f t="shared" si="574"/>
        <v>water</v>
      </c>
      <c r="FF800" t="str">
        <f t="shared" si="575"/>
        <v>measured 0.05</v>
      </c>
      <c r="FG800" s="408">
        <f t="shared" si="564"/>
        <v>2.2837975062549917E-4</v>
      </c>
      <c r="FH800" s="138">
        <f t="shared" si="576"/>
        <v>2.6416822839852192</v>
      </c>
      <c r="FI800" s="106" t="str">
        <f t="shared" si="565"/>
        <v>**</v>
      </c>
      <c r="FJ800" s="138">
        <f t="shared" si="577"/>
        <v>-12.903089986991944</v>
      </c>
      <c r="FK800" s="138" t="str">
        <f t="shared" si="563"/>
        <v>**</v>
      </c>
    </row>
    <row r="801" spans="1:167" ht="12.75" hidden="1" customHeight="1" x14ac:dyDescent="0.2">
      <c r="A801">
        <v>766</v>
      </c>
      <c r="B801" s="4" t="s">
        <v>1939</v>
      </c>
      <c r="C801" s="4"/>
      <c r="D801" s="4" t="s">
        <v>698</v>
      </c>
      <c r="E801">
        <v>218</v>
      </c>
      <c r="F801" t="str">
        <f>VLOOKUP(E801,CompDbase!B:L,4,FALSE)</f>
        <v>o-Xylene</v>
      </c>
      <c r="G801" s="95" t="str">
        <f>VLOOKUP(E801,CompDbase!B:M,12,FALSE)</f>
        <v>MAK</v>
      </c>
      <c r="H801" s="95">
        <f>VLOOKUP(E801,CompDbase!B:L,8,FALSE)</f>
        <v>106.18666499232586</v>
      </c>
      <c r="I801" s="95" t="e">
        <f>VLOOKUP(E801,CompDbase!B:L,11,FALSE)</f>
        <v>#DIV/0!</v>
      </c>
      <c r="J801" s="95">
        <f>VLOOKUP(E801,CompDbase!B:L,9,FALSE)</f>
        <v>218.93359574593291</v>
      </c>
      <c r="K801" s="95">
        <f>VLOOKUP(E801,CompDbase!B:L,10,FALSE)</f>
        <v>3.12</v>
      </c>
      <c r="L801" s="4" t="s">
        <v>717</v>
      </c>
      <c r="M801" s="420">
        <v>940000</v>
      </c>
      <c r="N801" s="420"/>
      <c r="O801" s="4" t="s">
        <v>1082</v>
      </c>
      <c r="P801">
        <v>293</v>
      </c>
      <c r="Q801" s="4" t="s">
        <v>1049</v>
      </c>
      <c r="R801" s="289" t="s">
        <v>1982</v>
      </c>
      <c r="S801">
        <v>0.1</v>
      </c>
      <c r="T801" s="95">
        <f t="shared" si="617"/>
        <v>4.5675950125099833E-4</v>
      </c>
      <c r="W801">
        <v>436.57</v>
      </c>
      <c r="X801" s="288">
        <f t="shared" si="651"/>
        <v>2.6400538887663836</v>
      </c>
      <c r="Y801">
        <v>1.8100000000000004E-13</v>
      </c>
      <c r="Z801" s="95">
        <f t="shared" si="646"/>
        <v>-12.742321425130815</v>
      </c>
      <c r="AA801">
        <f t="shared" si="652"/>
        <v>7.9019170000000014E-11</v>
      </c>
      <c r="AB801" s="288">
        <f t="shared" si="653"/>
        <v>-10.102267536364431</v>
      </c>
      <c r="AC801" s="95" t="s">
        <v>68</v>
      </c>
      <c r="AD801" s="95"/>
      <c r="AG801" s="138">
        <f t="shared" si="654"/>
        <v>2.6400538887663836</v>
      </c>
      <c r="AH801">
        <f t="shared" si="655"/>
        <v>3.12</v>
      </c>
      <c r="AK801">
        <f t="shared" ref="AK801" si="670">$K801</f>
        <v>3.12</v>
      </c>
      <c r="BW801" s="138"/>
      <c r="BX801">
        <f t="shared" si="657"/>
        <v>2.3403124099350032</v>
      </c>
      <c r="CA801">
        <f>LOG(1*$J801)</f>
        <v>2.3403124099350032</v>
      </c>
      <c r="DG801">
        <f t="shared" ref="DG801:DG802" si="671">Z801</f>
        <v>-12.742321425130815</v>
      </c>
      <c r="DH801">
        <f t="shared" ref="DH801:DI802" si="672">$H801</f>
        <v>106.18666499232586</v>
      </c>
      <c r="DK801">
        <f t="shared" ref="DK801" si="673">$H801</f>
        <v>106.18666499232586</v>
      </c>
      <c r="DM801">
        <f t="shared" ref="DM801" si="674">$H801</f>
        <v>106.18666499232586</v>
      </c>
      <c r="EY801" s="479">
        <f>VLOOKUP(B801,Literatuur!$A:$B,2,FALSE)</f>
        <v>15</v>
      </c>
      <c r="EZ801" t="str">
        <f t="shared" si="569"/>
        <v>o-xylene</v>
      </c>
      <c r="FA801" t="str">
        <f t="shared" si="570"/>
        <v>MAK</v>
      </c>
      <c r="FB801" t="str">
        <f t="shared" si="571"/>
        <v>HDPE</v>
      </c>
      <c r="FC801" t="str">
        <f t="shared" si="572"/>
        <v>Permeation</v>
      </c>
      <c r="FD801">
        <f t="shared" si="573"/>
        <v>293</v>
      </c>
      <c r="FE801" t="str">
        <f t="shared" si="574"/>
        <v>water</v>
      </c>
      <c r="FF801" t="str">
        <f t="shared" si="575"/>
        <v>measured 0.1</v>
      </c>
      <c r="FG801" s="408">
        <f t="shared" si="564"/>
        <v>4.5675950125099833E-4</v>
      </c>
      <c r="FH801" s="138">
        <f t="shared" si="576"/>
        <v>2.6400538887663836</v>
      </c>
      <c r="FI801" s="106" t="str">
        <f t="shared" si="565"/>
        <v>**</v>
      </c>
      <c r="FJ801" s="138">
        <f t="shared" si="577"/>
        <v>-12.742321425130815</v>
      </c>
      <c r="FK801" s="138">
        <f t="shared" si="563"/>
        <v>-12.381273303189619</v>
      </c>
    </row>
    <row r="802" spans="1:167" ht="12.75" hidden="1" customHeight="1" x14ac:dyDescent="0.2">
      <c r="A802">
        <v>767</v>
      </c>
      <c r="B802" s="4" t="s">
        <v>1939</v>
      </c>
      <c r="C802" s="4"/>
      <c r="D802" s="4" t="s">
        <v>699</v>
      </c>
      <c r="E802">
        <v>219</v>
      </c>
      <c r="F802" t="str">
        <f>VLOOKUP(E802,CompDbase!B:L,4,FALSE)</f>
        <v>p-Xylene</v>
      </c>
      <c r="G802" s="95" t="str">
        <f>VLOOKUP(E802,CompDbase!B:M,12,FALSE)</f>
        <v>MAK</v>
      </c>
      <c r="H802" s="95">
        <f>VLOOKUP(E802,CompDbase!B:L,8,FALSE)</f>
        <v>106.18666499232586</v>
      </c>
      <c r="I802" s="95">
        <f>VLOOKUP(E802,CompDbase!B:L,11,FALSE)</f>
        <v>123.9</v>
      </c>
      <c r="J802" s="95">
        <f>VLOOKUP(E802,CompDbase!B:L,9,FALSE)</f>
        <v>210.93846155625408</v>
      </c>
      <c r="K802" s="95">
        <f>VLOOKUP(E802,CompDbase!B:L,10,FALSE)</f>
        <v>3.15</v>
      </c>
      <c r="L802" s="4" t="s">
        <v>717</v>
      </c>
      <c r="M802" s="420">
        <v>940000</v>
      </c>
      <c r="N802" s="420"/>
      <c r="O802" s="4" t="s">
        <v>1986</v>
      </c>
      <c r="P802">
        <v>293</v>
      </c>
      <c r="Q802" s="4" t="s">
        <v>1049</v>
      </c>
      <c r="R802" s="289" t="s">
        <v>1982</v>
      </c>
      <c r="S802">
        <v>0.05</v>
      </c>
      <c r="T802" s="95">
        <f t="shared" si="617"/>
        <v>2.3703595651125843E-4</v>
      </c>
      <c r="W802">
        <v>221.53</v>
      </c>
      <c r="X802" s="288">
        <f t="shared" si="651"/>
        <v>2.3454325474991466</v>
      </c>
      <c r="Y802">
        <v>3.2700000000000002E-13</v>
      </c>
      <c r="Z802" s="95">
        <f t="shared" si="646"/>
        <v>-12.485452247339714</v>
      </c>
      <c r="AA802">
        <f t="shared" si="652"/>
        <v>7.2440310000000008E-11</v>
      </c>
      <c r="AB802" s="288">
        <f t="shared" si="653"/>
        <v>-10.140019699840567</v>
      </c>
      <c r="AC802" s="95"/>
      <c r="AD802" s="95"/>
      <c r="AG802" s="138">
        <f t="shared" si="654"/>
        <v>2.3454325474991466</v>
      </c>
      <c r="AH802">
        <f t="shared" si="655"/>
        <v>3.15</v>
      </c>
      <c r="AI802">
        <f>$K802</f>
        <v>3.15</v>
      </c>
      <c r="AL802">
        <f t="shared" ref="AL802" si="675">$K802</f>
        <v>3.15</v>
      </c>
      <c r="BW802" s="138"/>
      <c r="BX802">
        <f t="shared" si="657"/>
        <v>2.3241557742331853</v>
      </c>
      <c r="BY802">
        <f>LOG(1*$J802)</f>
        <v>2.3241557742331853</v>
      </c>
      <c r="CB802">
        <f>LOG(1*$J802)</f>
        <v>2.3241557742331853</v>
      </c>
      <c r="DG802">
        <f t="shared" si="671"/>
        <v>-12.485452247339714</v>
      </c>
      <c r="DH802">
        <f t="shared" si="672"/>
        <v>106.18666499232586</v>
      </c>
      <c r="DI802">
        <f t="shared" si="672"/>
        <v>106.18666499232586</v>
      </c>
      <c r="EY802" s="479">
        <f>VLOOKUP(B802,Literatuur!$A:$B,2,FALSE)</f>
        <v>15</v>
      </c>
      <c r="EZ802" t="str">
        <f t="shared" si="569"/>
        <v>p-xylene</v>
      </c>
      <c r="FA802" t="str">
        <f t="shared" si="570"/>
        <v>MAK</v>
      </c>
      <c r="FB802" t="str">
        <f t="shared" si="571"/>
        <v>HDPE</v>
      </c>
      <c r="FC802" t="str">
        <f t="shared" si="572"/>
        <v>Immersion (spinning)</v>
      </c>
      <c r="FD802">
        <f t="shared" si="573"/>
        <v>293</v>
      </c>
      <c r="FE802" t="str">
        <f t="shared" si="574"/>
        <v>water</v>
      </c>
      <c r="FF802" t="str">
        <f t="shared" si="575"/>
        <v>measured 0.05</v>
      </c>
      <c r="FG802" s="408">
        <f t="shared" si="564"/>
        <v>2.3703595651125843E-4</v>
      </c>
      <c r="FH802" s="138">
        <f t="shared" si="576"/>
        <v>2.3454325474991466</v>
      </c>
      <c r="FI802" s="106">
        <f t="shared" si="565"/>
        <v>2.2755733491444419</v>
      </c>
      <c r="FJ802" s="138">
        <f t="shared" si="577"/>
        <v>-12.485452247339714</v>
      </c>
      <c r="FK802" s="138" t="str">
        <f t="shared" si="563"/>
        <v>**</v>
      </c>
    </row>
    <row r="803" spans="1:167" ht="12.75" hidden="1" customHeight="1" x14ac:dyDescent="0.2">
      <c r="A803">
        <v>768</v>
      </c>
      <c r="B803" s="4" t="s">
        <v>1939</v>
      </c>
      <c r="C803" s="4"/>
      <c r="D803" s="4" t="s">
        <v>699</v>
      </c>
      <c r="E803">
        <v>219</v>
      </c>
      <c r="F803" t="str">
        <f>VLOOKUP(E803,CompDbase!B:L,4,FALSE)</f>
        <v>p-Xylene</v>
      </c>
      <c r="G803" s="95" t="str">
        <f>VLOOKUP(E803,CompDbase!B:M,12,FALSE)</f>
        <v>MAK</v>
      </c>
      <c r="H803" s="95">
        <f>VLOOKUP(E803,CompDbase!B:L,8,FALSE)</f>
        <v>106.18666499232586</v>
      </c>
      <c r="I803" s="95">
        <f>VLOOKUP(E803,CompDbase!B:L,11,FALSE)</f>
        <v>123.9</v>
      </c>
      <c r="J803" s="95">
        <f>VLOOKUP(E803,CompDbase!B:L,9,FALSE)</f>
        <v>210.93846155625408</v>
      </c>
      <c r="K803" s="95">
        <f>VLOOKUP(E803,CompDbase!B:L,10,FALSE)</f>
        <v>3.15</v>
      </c>
      <c r="L803" s="4" t="s">
        <v>717</v>
      </c>
      <c r="M803" s="420">
        <v>940000</v>
      </c>
      <c r="N803" s="420"/>
      <c r="O803" s="4" t="s">
        <v>1082</v>
      </c>
      <c r="P803">
        <v>293</v>
      </c>
      <c r="Q803" s="4" t="s">
        <v>1049</v>
      </c>
      <c r="R803" s="289" t="s">
        <v>1982</v>
      </c>
      <c r="S803">
        <v>0.05</v>
      </c>
      <c r="T803" s="95">
        <f t="shared" si="617"/>
        <v>2.3703595651125843E-4</v>
      </c>
      <c r="W803">
        <v>357.35</v>
      </c>
      <c r="X803" s="288">
        <f t="shared" si="651"/>
        <v>2.5530937864371861</v>
      </c>
      <c r="Y803">
        <v>1.9100000000000004E-13</v>
      </c>
      <c r="Z803" s="95">
        <f t="shared" si="646"/>
        <v>-12.718966632752272</v>
      </c>
      <c r="AA803">
        <f t="shared" si="652"/>
        <v>6.8253850000000022E-11</v>
      </c>
      <c r="AB803" s="288">
        <f t="shared" si="653"/>
        <v>-10.165872846315086</v>
      </c>
      <c r="AC803" s="95">
        <v>1</v>
      </c>
      <c r="AD803" s="95">
        <v>1</v>
      </c>
      <c r="AG803" s="138">
        <f t="shared" si="654"/>
        <v>2.5530937864371861</v>
      </c>
      <c r="AH803">
        <f t="shared" si="655"/>
        <v>3.15</v>
      </c>
      <c r="BW803" s="138"/>
      <c r="BX803">
        <f t="shared" si="657"/>
        <v>2.3241557742331853</v>
      </c>
      <c r="EY803" s="479">
        <f>VLOOKUP(B803,Literatuur!$A:$B,2,FALSE)</f>
        <v>15</v>
      </c>
      <c r="EZ803" t="str">
        <f t="shared" si="569"/>
        <v>p-xylene</v>
      </c>
      <c r="FA803" t="str">
        <f t="shared" si="570"/>
        <v>MAK</v>
      </c>
      <c r="FB803" t="str">
        <f t="shared" si="571"/>
        <v>HDPE</v>
      </c>
      <c r="FC803" t="str">
        <f t="shared" si="572"/>
        <v>Permeation</v>
      </c>
      <c r="FD803">
        <f t="shared" si="573"/>
        <v>293</v>
      </c>
      <c r="FE803" t="str">
        <f t="shared" si="574"/>
        <v>water</v>
      </c>
      <c r="FF803" t="str">
        <f t="shared" si="575"/>
        <v>measured 0.05</v>
      </c>
      <c r="FG803" s="408">
        <f t="shared" si="564"/>
        <v>2.3703595651125843E-4</v>
      </c>
      <c r="FH803" s="138">
        <f t="shared" si="576"/>
        <v>2.5530937864371861</v>
      </c>
      <c r="FI803" s="106" t="str">
        <f t="shared" si="565"/>
        <v>**</v>
      </c>
      <c r="FJ803" s="138">
        <f t="shared" si="577"/>
        <v>-12.718966632752272</v>
      </c>
      <c r="FK803" s="138" t="str">
        <f t="shared" si="563"/>
        <v>**</v>
      </c>
    </row>
    <row r="804" spans="1:167" ht="12.75" hidden="1" customHeight="1" x14ac:dyDescent="0.2">
      <c r="A804">
        <v>769</v>
      </c>
      <c r="B804" s="4" t="s">
        <v>1939</v>
      </c>
      <c r="C804" s="4"/>
      <c r="D804" s="4" t="s">
        <v>699</v>
      </c>
      <c r="E804">
        <v>219</v>
      </c>
      <c r="F804" t="str">
        <f>VLOOKUP(E804,CompDbase!B:L,4,FALSE)</f>
        <v>p-Xylene</v>
      </c>
      <c r="G804" s="95" t="str">
        <f>VLOOKUP(E804,CompDbase!B:M,12,FALSE)</f>
        <v>MAK</v>
      </c>
      <c r="H804" s="95">
        <f>VLOOKUP(E804,CompDbase!B:L,8,FALSE)</f>
        <v>106.18666499232586</v>
      </c>
      <c r="I804" s="95">
        <f>VLOOKUP(E804,CompDbase!B:L,11,FALSE)</f>
        <v>123.9</v>
      </c>
      <c r="J804" s="95">
        <f>VLOOKUP(E804,CompDbase!B:L,9,FALSE)</f>
        <v>210.93846155625408</v>
      </c>
      <c r="K804" s="95">
        <f>VLOOKUP(E804,CompDbase!B:L,10,FALSE)</f>
        <v>3.15</v>
      </c>
      <c r="L804" s="4" t="s">
        <v>717</v>
      </c>
      <c r="M804" s="420">
        <v>940000</v>
      </c>
      <c r="N804" s="420"/>
      <c r="O804" s="4" t="s">
        <v>1082</v>
      </c>
      <c r="P804">
        <v>293</v>
      </c>
      <c r="Q804" s="4" t="s">
        <v>1049</v>
      </c>
      <c r="R804" s="289" t="s">
        <v>1982</v>
      </c>
      <c r="S804">
        <v>0.1</v>
      </c>
      <c r="T804" s="95">
        <f t="shared" si="617"/>
        <v>4.7407191302251687E-4</v>
      </c>
      <c r="W804">
        <v>383.39</v>
      </c>
      <c r="X804" s="288">
        <f t="shared" si="651"/>
        <v>2.5836407809430422</v>
      </c>
      <c r="Y804">
        <v>2.6900000000000001E-13</v>
      </c>
      <c r="Z804" s="95">
        <f t="shared" si="646"/>
        <v>-12.570247719997592</v>
      </c>
      <c r="AA804">
        <f t="shared" si="652"/>
        <v>1.0313191E-10</v>
      </c>
      <c r="AB804" s="288">
        <f t="shared" si="653"/>
        <v>-9.9866069390545498</v>
      </c>
      <c r="AC804" s="95" t="s">
        <v>68</v>
      </c>
      <c r="AD804" s="95"/>
      <c r="AG804" s="138">
        <f t="shared" si="654"/>
        <v>2.5836407809430422</v>
      </c>
      <c r="AH804">
        <f t="shared" si="655"/>
        <v>3.15</v>
      </c>
      <c r="AK804">
        <f t="shared" ref="AK804" si="676">$K804</f>
        <v>3.15</v>
      </c>
      <c r="BW804" s="138"/>
      <c r="BX804">
        <f t="shared" si="657"/>
        <v>2.3241557742331853</v>
      </c>
      <c r="CA804">
        <f>LOG(1*$J804)</f>
        <v>2.3241557742331853</v>
      </c>
      <c r="DG804">
        <f t="shared" ref="DG804:DG805" si="677">Z804</f>
        <v>-12.570247719997592</v>
      </c>
      <c r="DH804">
        <f t="shared" ref="DH804:DI805" si="678">$H804</f>
        <v>106.18666499232586</v>
      </c>
      <c r="DK804">
        <f t="shared" ref="DK804" si="679">$H804</f>
        <v>106.18666499232586</v>
      </c>
      <c r="DM804">
        <f t="shared" ref="DM804" si="680">$H804</f>
        <v>106.18666499232586</v>
      </c>
      <c r="EY804" s="479">
        <f>VLOOKUP(B804,Literatuur!$A:$B,2,FALSE)</f>
        <v>15</v>
      </c>
      <c r="EZ804" t="str">
        <f t="shared" si="569"/>
        <v>p-xylene</v>
      </c>
      <c r="FA804" t="str">
        <f t="shared" si="570"/>
        <v>MAK</v>
      </c>
      <c r="FB804" t="str">
        <f t="shared" si="571"/>
        <v>HDPE</v>
      </c>
      <c r="FC804" t="str">
        <f t="shared" si="572"/>
        <v>Permeation</v>
      </c>
      <c r="FD804">
        <f t="shared" si="573"/>
        <v>293</v>
      </c>
      <c r="FE804" t="str">
        <f t="shared" si="574"/>
        <v>water</v>
      </c>
      <c r="FF804" t="str">
        <f t="shared" si="575"/>
        <v>measured 0.1</v>
      </c>
      <c r="FG804" s="408">
        <f t="shared" si="564"/>
        <v>4.7407191302251687E-4</v>
      </c>
      <c r="FH804" s="138">
        <f t="shared" si="576"/>
        <v>2.5836407809430422</v>
      </c>
      <c r="FI804" s="106" t="str">
        <f t="shared" si="565"/>
        <v>**</v>
      </c>
      <c r="FJ804" s="138">
        <f t="shared" si="577"/>
        <v>-12.570247719997592</v>
      </c>
      <c r="FK804" s="138">
        <f t="shared" si="563"/>
        <v>-12.381273303189619</v>
      </c>
    </row>
    <row r="805" spans="1:167" ht="12.75" hidden="1" customHeight="1" x14ac:dyDescent="0.2">
      <c r="A805">
        <v>770</v>
      </c>
      <c r="B805" s="4" t="s">
        <v>1939</v>
      </c>
      <c r="C805" s="4"/>
      <c r="D805" s="4" t="s">
        <v>492</v>
      </c>
      <c r="E805">
        <v>204</v>
      </c>
      <c r="F805" t="str">
        <f>VLOOKUP(E805,CompDbase!B:L,4,FALSE)</f>
        <v>Toluene</v>
      </c>
      <c r="G805" s="95" t="str">
        <f>VLOOKUP(E805,CompDbase!B:M,12,FALSE)</f>
        <v>MAK</v>
      </c>
      <c r="H805" s="95">
        <f>VLOOKUP(E805,CompDbase!B:L,8,FALSE)</f>
        <v>92.14249284505685</v>
      </c>
      <c r="I805" s="95">
        <f>VLOOKUP(E805,CompDbase!B:L,11,FALSE)</f>
        <v>106.9</v>
      </c>
      <c r="J805" s="95">
        <f>VLOOKUP(E805,CompDbase!B:L,9,FALSE)</f>
        <v>610.59105234897152</v>
      </c>
      <c r="K805" s="95">
        <f>VLOOKUP(E805,CompDbase!B:L,10,FALSE)</f>
        <v>2.73</v>
      </c>
      <c r="L805" s="4" t="s">
        <v>717</v>
      </c>
      <c r="M805" s="420">
        <v>940000</v>
      </c>
      <c r="N805" s="420"/>
      <c r="O805" s="4" t="s">
        <v>1986</v>
      </c>
      <c r="P805">
        <v>293</v>
      </c>
      <c r="Q805" s="4" t="s">
        <v>1049</v>
      </c>
      <c r="R805" s="289" t="s">
        <v>1982</v>
      </c>
      <c r="S805">
        <v>0.05</v>
      </c>
      <c r="T805" s="95">
        <f t="shared" si="617"/>
        <v>8.1887868824228149E-5</v>
      </c>
      <c r="W805">
        <v>59.76</v>
      </c>
      <c r="X805" s="288">
        <f t="shared" si="651"/>
        <v>1.7764105888073423</v>
      </c>
      <c r="Y805">
        <v>3.9300000000000004E-13</v>
      </c>
      <c r="Z805" s="95">
        <f t="shared" si="646"/>
        <v>-12.405607449624574</v>
      </c>
      <c r="AA805">
        <f t="shared" si="652"/>
        <v>2.3485680000000002E-11</v>
      </c>
      <c r="AB805" s="288">
        <f t="shared" si="653"/>
        <v>-10.629196860817231</v>
      </c>
      <c r="AC805" s="95"/>
      <c r="AD805" s="95"/>
      <c r="AG805" s="138">
        <f t="shared" si="654"/>
        <v>1.7764105888073423</v>
      </c>
      <c r="AH805">
        <f t="shared" si="655"/>
        <v>2.73</v>
      </c>
      <c r="AI805">
        <f>$K805</f>
        <v>2.73</v>
      </c>
      <c r="AL805">
        <f t="shared" ref="AL805" si="681">$K805</f>
        <v>2.73</v>
      </c>
      <c r="BW805" s="138"/>
      <c r="BX805">
        <f t="shared" si="657"/>
        <v>2.7857504358225516</v>
      </c>
      <c r="BY805">
        <f>LOG(1*$J805)</f>
        <v>2.7857504358225516</v>
      </c>
      <c r="CB805">
        <f>LOG(1*$J805)</f>
        <v>2.7857504358225516</v>
      </c>
      <c r="DG805">
        <f t="shared" si="677"/>
        <v>-12.405607449624574</v>
      </c>
      <c r="DH805">
        <f t="shared" si="678"/>
        <v>92.14249284505685</v>
      </c>
      <c r="DI805">
        <f t="shared" si="678"/>
        <v>92.14249284505685</v>
      </c>
      <c r="EY805" s="479">
        <f>VLOOKUP(B805,Literatuur!$A:$B,2,FALSE)</f>
        <v>15</v>
      </c>
      <c r="EZ805" t="str">
        <f t="shared" si="569"/>
        <v>Toluene</v>
      </c>
      <c r="FA805" t="str">
        <f t="shared" si="570"/>
        <v>MAK</v>
      </c>
      <c r="FB805" t="str">
        <f t="shared" si="571"/>
        <v>HDPE</v>
      </c>
      <c r="FC805" t="str">
        <f t="shared" si="572"/>
        <v>Immersion (spinning)</v>
      </c>
      <c r="FD805">
        <f t="shared" si="573"/>
        <v>293</v>
      </c>
      <c r="FE805" t="str">
        <f t="shared" si="574"/>
        <v>water</v>
      </c>
      <c r="FF805" t="str">
        <f t="shared" si="575"/>
        <v>measured 0.05</v>
      </c>
      <c r="FG805" s="408">
        <f t="shared" si="564"/>
        <v>8.1887868824228149E-5</v>
      </c>
      <c r="FH805" s="138">
        <f t="shared" si="576"/>
        <v>1.7764105888073423</v>
      </c>
      <c r="FI805" s="106">
        <f t="shared" si="565"/>
        <v>1.7833085980315144</v>
      </c>
      <c r="FJ805" s="138">
        <f t="shared" si="577"/>
        <v>-12.405607449624574</v>
      </c>
      <c r="FK805" s="138" t="str">
        <f t="shared" si="563"/>
        <v>**</v>
      </c>
    </row>
    <row r="806" spans="1:167" ht="12.75" hidden="1" customHeight="1" x14ac:dyDescent="0.2">
      <c r="A806">
        <v>771</v>
      </c>
      <c r="B806" s="4" t="s">
        <v>1939</v>
      </c>
      <c r="C806" s="4"/>
      <c r="D806" s="4" t="s">
        <v>492</v>
      </c>
      <c r="E806">
        <v>204</v>
      </c>
      <c r="F806" t="str">
        <f>VLOOKUP(E806,CompDbase!B:L,4,FALSE)</f>
        <v>Toluene</v>
      </c>
      <c r="G806" s="95" t="str">
        <f>VLOOKUP(E806,CompDbase!B:M,12,FALSE)</f>
        <v>MAK</v>
      </c>
      <c r="H806" s="95">
        <f>VLOOKUP(E806,CompDbase!B:L,8,FALSE)</f>
        <v>92.14249284505685</v>
      </c>
      <c r="I806" s="95">
        <f>VLOOKUP(E806,CompDbase!B:L,11,FALSE)</f>
        <v>106.9</v>
      </c>
      <c r="J806" s="95">
        <f>VLOOKUP(E806,CompDbase!B:L,9,FALSE)</f>
        <v>610.59105234897152</v>
      </c>
      <c r="K806" s="95">
        <f>VLOOKUP(E806,CompDbase!B:L,10,FALSE)</f>
        <v>2.73</v>
      </c>
      <c r="L806" s="4" t="s">
        <v>717</v>
      </c>
      <c r="M806" s="420">
        <v>940000</v>
      </c>
      <c r="N806" s="420"/>
      <c r="O806" s="4" t="s">
        <v>1082</v>
      </c>
      <c r="P806">
        <v>293</v>
      </c>
      <c r="Q806" s="4" t="s">
        <v>1049</v>
      </c>
      <c r="R806" s="289" t="s">
        <v>1982</v>
      </c>
      <c r="S806">
        <v>0.05</v>
      </c>
      <c r="T806" s="95">
        <f t="shared" si="617"/>
        <v>8.1887868824228149E-5</v>
      </c>
      <c r="W806">
        <v>112.85</v>
      </c>
      <c r="X806" s="288">
        <f t="shared" si="651"/>
        <v>2.0525015634137809</v>
      </c>
      <c r="Y806">
        <v>2.2799999999999999E-13</v>
      </c>
      <c r="Z806" s="95">
        <f t="shared" si="646"/>
        <v>-12.642065152999546</v>
      </c>
      <c r="AA806">
        <f t="shared" si="652"/>
        <v>2.5729799999999999E-11</v>
      </c>
      <c r="AB806" s="288">
        <f t="shared" si="653"/>
        <v>-10.589563589585765</v>
      </c>
      <c r="AC806" s="95">
        <v>1</v>
      </c>
      <c r="AD806" s="95">
        <v>1</v>
      </c>
      <c r="AG806" s="138">
        <f t="shared" si="654"/>
        <v>2.0525015634137809</v>
      </c>
      <c r="AH806">
        <f t="shared" si="655"/>
        <v>2.73</v>
      </c>
      <c r="BW806" s="138"/>
      <c r="BX806">
        <f t="shared" si="657"/>
        <v>2.7857504358225516</v>
      </c>
      <c r="EY806" s="479">
        <f>VLOOKUP(B806,Literatuur!$A:$B,2,FALSE)</f>
        <v>15</v>
      </c>
      <c r="EZ806" t="str">
        <f t="shared" si="569"/>
        <v>Toluene</v>
      </c>
      <c r="FA806" t="str">
        <f t="shared" si="570"/>
        <v>MAK</v>
      </c>
      <c r="FB806" t="str">
        <f t="shared" si="571"/>
        <v>HDPE</v>
      </c>
      <c r="FC806" t="str">
        <f t="shared" si="572"/>
        <v>Permeation</v>
      </c>
      <c r="FD806">
        <f t="shared" si="573"/>
        <v>293</v>
      </c>
      <c r="FE806" t="str">
        <f t="shared" si="574"/>
        <v>water</v>
      </c>
      <c r="FF806" t="str">
        <f t="shared" si="575"/>
        <v>measured 0.05</v>
      </c>
      <c r="FG806" s="408">
        <f t="shared" si="564"/>
        <v>8.1887868824228149E-5</v>
      </c>
      <c r="FH806" s="138">
        <f t="shared" si="576"/>
        <v>2.0525015634137809</v>
      </c>
      <c r="FI806" s="106" t="str">
        <f t="shared" si="565"/>
        <v>**</v>
      </c>
      <c r="FJ806" s="138">
        <f t="shared" si="577"/>
        <v>-12.642065152999546</v>
      </c>
      <c r="FK806" s="138" t="str">
        <f t="shared" si="563"/>
        <v>**</v>
      </c>
    </row>
    <row r="807" spans="1:167" ht="12.75" hidden="1" customHeight="1" x14ac:dyDescent="0.2">
      <c r="A807">
        <v>772</v>
      </c>
      <c r="B807" s="4" t="s">
        <v>1939</v>
      </c>
      <c r="C807" s="4"/>
      <c r="D807" s="4" t="s">
        <v>492</v>
      </c>
      <c r="E807">
        <v>204</v>
      </c>
      <c r="F807" t="str">
        <f>VLOOKUP(E807,CompDbase!B:L,4,FALSE)</f>
        <v>Toluene</v>
      </c>
      <c r="G807" s="95" t="str">
        <f>VLOOKUP(E807,CompDbase!B:M,12,FALSE)</f>
        <v>MAK</v>
      </c>
      <c r="H807" s="95">
        <f>VLOOKUP(E807,CompDbase!B:L,8,FALSE)</f>
        <v>92.14249284505685</v>
      </c>
      <c r="I807" s="95">
        <f>VLOOKUP(E807,CompDbase!B:L,11,FALSE)</f>
        <v>106.9</v>
      </c>
      <c r="J807" s="95">
        <f>VLOOKUP(E807,CompDbase!B:L,9,FALSE)</f>
        <v>610.59105234897152</v>
      </c>
      <c r="K807" s="95">
        <f>VLOOKUP(E807,CompDbase!B:L,10,FALSE)</f>
        <v>2.73</v>
      </c>
      <c r="L807" s="4" t="s">
        <v>717</v>
      </c>
      <c r="M807" s="420">
        <v>940000</v>
      </c>
      <c r="N807" s="420"/>
      <c r="O807" s="4" t="s">
        <v>1082</v>
      </c>
      <c r="P807">
        <v>293</v>
      </c>
      <c r="Q807" s="4" t="s">
        <v>1049</v>
      </c>
      <c r="R807" s="289" t="s">
        <v>1982</v>
      </c>
      <c r="S807">
        <v>0.1</v>
      </c>
      <c r="T807" s="95">
        <f t="shared" si="617"/>
        <v>1.637757376484563E-4</v>
      </c>
      <c r="W807">
        <v>126.31</v>
      </c>
      <c r="X807" s="288">
        <f t="shared" si="651"/>
        <v>2.1014377351388491</v>
      </c>
      <c r="Y807">
        <v>3.9400000000000004E-13</v>
      </c>
      <c r="Z807" s="95">
        <f t="shared" si="646"/>
        <v>-12.404503778174426</v>
      </c>
      <c r="AA807">
        <f t="shared" si="652"/>
        <v>4.9766140000000008E-11</v>
      </c>
      <c r="AB807" s="288">
        <f t="shared" si="653"/>
        <v>-10.303066043035576</v>
      </c>
      <c r="AC807" s="95" t="s">
        <v>68</v>
      </c>
      <c r="AD807" s="95"/>
      <c r="AG807" s="138">
        <f t="shared" si="654"/>
        <v>2.1014377351388491</v>
      </c>
      <c r="AH807">
        <f t="shared" si="655"/>
        <v>2.73</v>
      </c>
      <c r="AK807">
        <f t="shared" ref="AK807:AK821" si="682">$K807</f>
        <v>2.73</v>
      </c>
      <c r="BW807" s="138"/>
      <c r="BX807">
        <f t="shared" si="657"/>
        <v>2.7857504358225516</v>
      </c>
      <c r="CA807">
        <f>LOG(1*$J807)</f>
        <v>2.7857504358225516</v>
      </c>
      <c r="DG807">
        <f>Z807</f>
        <v>-12.404503778174426</v>
      </c>
      <c r="DH807">
        <f>$H807</f>
        <v>92.14249284505685</v>
      </c>
      <c r="DK807">
        <f t="shared" ref="DK807" si="683">$H807</f>
        <v>92.14249284505685</v>
      </c>
      <c r="DM807">
        <f t="shared" ref="DM807" si="684">$H807</f>
        <v>92.14249284505685</v>
      </c>
      <c r="EY807" s="479">
        <f>VLOOKUP(B807,Literatuur!$A:$B,2,FALSE)</f>
        <v>15</v>
      </c>
      <c r="EZ807" t="str">
        <f t="shared" si="569"/>
        <v>Toluene</v>
      </c>
      <c r="FA807" t="str">
        <f t="shared" si="570"/>
        <v>MAK</v>
      </c>
      <c r="FB807" t="str">
        <f t="shared" si="571"/>
        <v>HDPE</v>
      </c>
      <c r="FC807" t="str">
        <f t="shared" si="572"/>
        <v>Permeation</v>
      </c>
      <c r="FD807">
        <f t="shared" si="573"/>
        <v>293</v>
      </c>
      <c r="FE807" t="str">
        <f t="shared" si="574"/>
        <v>water</v>
      </c>
      <c r="FF807" t="str">
        <f t="shared" si="575"/>
        <v>measured 0.1</v>
      </c>
      <c r="FG807" s="408">
        <f t="shared" si="564"/>
        <v>1.637757376484563E-4</v>
      </c>
      <c r="FH807" s="138">
        <f t="shared" si="576"/>
        <v>2.1014377351388491</v>
      </c>
      <c r="FI807" s="106" t="str">
        <f t="shared" si="565"/>
        <v>**</v>
      </c>
      <c r="FJ807" s="138">
        <f t="shared" si="577"/>
        <v>-12.404503778174426</v>
      </c>
      <c r="FK807" s="138">
        <f t="shared" si="563"/>
        <v>-12.22349750614883</v>
      </c>
    </row>
    <row r="808" spans="1:167" ht="12.75" customHeight="1" x14ac:dyDescent="0.2">
      <c r="A808">
        <v>773</v>
      </c>
      <c r="B808" t="s">
        <v>1940</v>
      </c>
      <c r="D808" s="4" t="s">
        <v>548</v>
      </c>
      <c r="E808">
        <v>200</v>
      </c>
      <c r="F808" t="str">
        <f>VLOOKUP(E808,CompDbase!B:L,4,FALSE)</f>
        <v>Benzene</v>
      </c>
      <c r="G808" s="95" t="str">
        <f>VLOOKUP(E808,CompDbase!B:M,12,FALSE)</f>
        <v>MAK</v>
      </c>
      <c r="H808" s="95">
        <f>VLOOKUP(E808,CompDbase!B:L,8,FALSE)</f>
        <v>78.106666524406961</v>
      </c>
      <c r="I808" s="95">
        <f>VLOOKUP(E808,CompDbase!B:L,11,FALSE)</f>
        <v>89.4</v>
      </c>
      <c r="J808" s="95">
        <f>VLOOKUP(E808,CompDbase!B:L,9,FALSE)</f>
        <v>1988.89882593368</v>
      </c>
      <c r="K808" s="95">
        <f>VLOOKUP(E808,CompDbase!B:L,10,FALSE)</f>
        <v>2.13</v>
      </c>
      <c r="L808" s="4" t="s">
        <v>717</v>
      </c>
      <c r="M808" s="423"/>
      <c r="N808" s="423"/>
      <c r="O808" s="4" t="s">
        <v>1082</v>
      </c>
      <c r="P808">
        <v>296</v>
      </c>
      <c r="Q808" s="4" t="s">
        <v>1230</v>
      </c>
      <c r="R808" s="289" t="s">
        <v>1982</v>
      </c>
      <c r="S808">
        <v>5.9999999999999995E-4</v>
      </c>
      <c r="T808" s="95">
        <f t="shared" si="617"/>
        <v>3.0167447040365793E-7</v>
      </c>
      <c r="W808">
        <v>15.189200000000001</v>
      </c>
      <c r="X808" s="288">
        <f t="shared" si="651"/>
        <v>1.1815349006083489</v>
      </c>
      <c r="Y808">
        <v>1.7361111111111111E-13</v>
      </c>
      <c r="Z808" s="95">
        <f t="shared" si="646"/>
        <v>-12.760422483423213</v>
      </c>
      <c r="AA808" s="95">
        <f t="shared" si="652"/>
        <v>2.6370138888888893E-12</v>
      </c>
      <c r="AB808" s="288">
        <f t="shared" si="653"/>
        <v>-11.578887582814863</v>
      </c>
      <c r="AC808" s="95">
        <v>1</v>
      </c>
      <c r="AD808" s="95">
        <v>1</v>
      </c>
      <c r="AG808" s="138">
        <f t="shared" si="654"/>
        <v>1.1815349006083489</v>
      </c>
      <c r="AH808">
        <f t="shared" si="655"/>
        <v>2.13</v>
      </c>
      <c r="BW808" s="138"/>
      <c r="BX808">
        <f t="shared" si="657"/>
        <v>3.2986126913917664</v>
      </c>
      <c r="EY808" s="479">
        <f>VLOOKUP(B808,Literatuur!$A:$B,2,FALSE)</f>
        <v>16</v>
      </c>
      <c r="EZ808" t="str">
        <f t="shared" si="569"/>
        <v>Benzene</v>
      </c>
      <c r="FA808" t="str">
        <f t="shared" si="570"/>
        <v>MAK</v>
      </c>
      <c r="FB808" t="str">
        <f t="shared" si="571"/>
        <v>HDPE</v>
      </c>
      <c r="FC808" t="str">
        <f t="shared" si="572"/>
        <v>Permeation</v>
      </c>
      <c r="FD808">
        <f t="shared" si="573"/>
        <v>296</v>
      </c>
      <c r="FE808" t="str">
        <f t="shared" si="574"/>
        <v>soilwater</v>
      </c>
      <c r="FF808" t="str">
        <f t="shared" si="575"/>
        <v>measured 0.0006</v>
      </c>
      <c r="FG808" s="408">
        <f t="shared" si="564"/>
        <v>3.0167447040365793E-7</v>
      </c>
      <c r="FH808" s="138">
        <f t="shared" si="576"/>
        <v>1.1815349006083489</v>
      </c>
      <c r="FI808" s="106" t="str">
        <f t="shared" si="565"/>
        <v>**</v>
      </c>
      <c r="FJ808" s="138">
        <f t="shared" si="577"/>
        <v>-12.760422483423213</v>
      </c>
      <c r="FK808" s="138" t="str">
        <f t="shared" si="563"/>
        <v>**</v>
      </c>
    </row>
    <row r="809" spans="1:167" ht="12.75" customHeight="1" x14ac:dyDescent="0.2">
      <c r="A809">
        <v>774</v>
      </c>
      <c r="B809" t="s">
        <v>1940</v>
      </c>
      <c r="D809" s="4" t="s">
        <v>548</v>
      </c>
      <c r="E809">
        <v>200</v>
      </c>
      <c r="F809" t="str">
        <f>VLOOKUP(E809,CompDbase!B:L,4,FALSE)</f>
        <v>Benzene</v>
      </c>
      <c r="G809" s="95" t="str">
        <f>VLOOKUP(E809,CompDbase!B:M,12,FALSE)</f>
        <v>MAK</v>
      </c>
      <c r="H809" s="95">
        <f>VLOOKUP(E809,CompDbase!B:L,8,FALSE)</f>
        <v>78.106666524406961</v>
      </c>
      <c r="I809" s="95">
        <f>VLOOKUP(E809,CompDbase!B:L,11,FALSE)</f>
        <v>89.4</v>
      </c>
      <c r="J809" s="95">
        <f>VLOOKUP(E809,CompDbase!B:L,9,FALSE)</f>
        <v>1988.89882593368</v>
      </c>
      <c r="K809" s="95">
        <f>VLOOKUP(E809,CompDbase!B:L,10,FALSE)</f>
        <v>2.13</v>
      </c>
      <c r="L809" s="4" t="s">
        <v>717</v>
      </c>
      <c r="M809" s="423"/>
      <c r="N809" s="423"/>
      <c r="O809" s="4" t="s">
        <v>1082</v>
      </c>
      <c r="P809">
        <v>296</v>
      </c>
      <c r="Q809" s="4" t="s">
        <v>1230</v>
      </c>
      <c r="R809" s="289" t="s">
        <v>1982</v>
      </c>
      <c r="S809">
        <v>6.0000000000000001E-3</v>
      </c>
      <c r="T809" s="95">
        <f t="shared" si="617"/>
        <v>3.0167447040365798E-6</v>
      </c>
      <c r="W809">
        <v>11.292840000000002</v>
      </c>
      <c r="X809" s="288">
        <f t="shared" si="651"/>
        <v>1.0528031749829099</v>
      </c>
      <c r="Y809">
        <v>2.8935185185185189E-13</v>
      </c>
      <c r="Z809" s="95">
        <f t="shared" si="646"/>
        <v>-12.538573733806855</v>
      </c>
      <c r="AA809" s="95">
        <f t="shared" si="652"/>
        <v>3.2676041666666678E-12</v>
      </c>
      <c r="AB809" s="288">
        <f t="shared" si="653"/>
        <v>-11.485770558823946</v>
      </c>
      <c r="AC809" s="95">
        <v>1</v>
      </c>
      <c r="AD809" s="95">
        <v>1</v>
      </c>
      <c r="AG809" s="138">
        <f t="shared" si="654"/>
        <v>1.0528031749829099</v>
      </c>
      <c r="AH809">
        <f t="shared" si="655"/>
        <v>2.13</v>
      </c>
      <c r="BW809" s="138"/>
      <c r="BX809">
        <f t="shared" si="657"/>
        <v>3.2986126913917664</v>
      </c>
      <c r="EY809" s="479">
        <f>VLOOKUP(B809,Literatuur!$A:$B,2,FALSE)</f>
        <v>16</v>
      </c>
      <c r="EZ809" t="str">
        <f t="shared" si="569"/>
        <v>Benzene</v>
      </c>
      <c r="FA809" t="str">
        <f t="shared" si="570"/>
        <v>MAK</v>
      </c>
      <c r="FB809" t="str">
        <f t="shared" si="571"/>
        <v>HDPE</v>
      </c>
      <c r="FC809" t="str">
        <f t="shared" si="572"/>
        <v>Permeation</v>
      </c>
      <c r="FD809">
        <f t="shared" si="573"/>
        <v>296</v>
      </c>
      <c r="FE809" t="str">
        <f t="shared" si="574"/>
        <v>soilwater</v>
      </c>
      <c r="FF809" t="str">
        <f t="shared" si="575"/>
        <v>measured 0.006</v>
      </c>
      <c r="FG809" s="408">
        <f t="shared" si="564"/>
        <v>3.0167447040365798E-6</v>
      </c>
      <c r="FH809" s="138">
        <f t="shared" si="576"/>
        <v>1.0528031749829099</v>
      </c>
      <c r="FI809" s="106" t="str">
        <f t="shared" si="565"/>
        <v>**</v>
      </c>
      <c r="FJ809" s="138">
        <f t="shared" si="577"/>
        <v>-12.538573733806855</v>
      </c>
      <c r="FK809" s="138" t="str">
        <f t="shared" si="563"/>
        <v>**</v>
      </c>
    </row>
    <row r="810" spans="1:167" ht="12.75" customHeight="1" x14ac:dyDescent="0.2">
      <c r="A810">
        <v>775</v>
      </c>
      <c r="B810" t="s">
        <v>1940</v>
      </c>
      <c r="D810" s="4" t="s">
        <v>548</v>
      </c>
      <c r="E810">
        <v>200</v>
      </c>
      <c r="F810" t="str">
        <f>VLOOKUP(E810,CompDbase!B:L,4,FALSE)</f>
        <v>Benzene</v>
      </c>
      <c r="G810" s="95" t="str">
        <f>VLOOKUP(E810,CompDbase!B:M,12,FALSE)</f>
        <v>MAK</v>
      </c>
      <c r="H810" s="95">
        <f>VLOOKUP(E810,CompDbase!B:L,8,FALSE)</f>
        <v>78.106666524406961</v>
      </c>
      <c r="I810" s="95">
        <f>VLOOKUP(E810,CompDbase!B:L,11,FALSE)</f>
        <v>89.4</v>
      </c>
      <c r="J810" s="95">
        <f>VLOOKUP(E810,CompDbase!B:L,9,FALSE)</f>
        <v>1988.89882593368</v>
      </c>
      <c r="K810" s="95">
        <f>VLOOKUP(E810,CompDbase!B:L,10,FALSE)</f>
        <v>2.13</v>
      </c>
      <c r="L810" s="4" t="s">
        <v>717</v>
      </c>
      <c r="M810" s="423"/>
      <c r="N810" s="423"/>
      <c r="O810" s="4" t="s">
        <v>1082</v>
      </c>
      <c r="P810">
        <v>296</v>
      </c>
      <c r="Q810" s="4" t="s">
        <v>1230</v>
      </c>
      <c r="R810" s="289" t="s">
        <v>1982</v>
      </c>
      <c r="S810">
        <v>3.1199999999999999E-2</v>
      </c>
      <c r="T810" s="95">
        <f t="shared" si="617"/>
        <v>1.5687072460990212E-5</v>
      </c>
      <c r="W810">
        <v>10.569677419354838</v>
      </c>
      <c r="X810" s="288">
        <f t="shared" si="651"/>
        <v>1.0240617330849142</v>
      </c>
      <c r="Y810">
        <v>3.5879629629629636E-13</v>
      </c>
      <c r="Z810" s="95">
        <f t="shared" si="646"/>
        <v>-12.445152048644621</v>
      </c>
      <c r="AA810" s="95">
        <f t="shared" si="652"/>
        <v>3.7923611111111117E-12</v>
      </c>
      <c r="AB810" s="288">
        <f t="shared" si="653"/>
        <v>-11.421090315559706</v>
      </c>
      <c r="AC810" s="95">
        <v>1</v>
      </c>
      <c r="AD810" s="95">
        <v>1</v>
      </c>
      <c r="AG810" s="138">
        <f t="shared" si="654"/>
        <v>1.0240617330849142</v>
      </c>
      <c r="AH810">
        <f t="shared" si="655"/>
        <v>2.13</v>
      </c>
      <c r="BW810" s="138"/>
      <c r="BX810">
        <f t="shared" si="657"/>
        <v>3.2986126913917664</v>
      </c>
      <c r="EY810" s="479">
        <f>VLOOKUP(B810,Literatuur!$A:$B,2,FALSE)</f>
        <v>16</v>
      </c>
      <c r="EZ810" t="str">
        <f t="shared" si="569"/>
        <v>Benzene</v>
      </c>
      <c r="FA810" t="str">
        <f t="shared" si="570"/>
        <v>MAK</v>
      </c>
      <c r="FB810" t="str">
        <f t="shared" si="571"/>
        <v>HDPE</v>
      </c>
      <c r="FC810" t="str">
        <f t="shared" si="572"/>
        <v>Permeation</v>
      </c>
      <c r="FD810">
        <f t="shared" si="573"/>
        <v>296</v>
      </c>
      <c r="FE810" t="str">
        <f t="shared" si="574"/>
        <v>soilwater</v>
      </c>
      <c r="FF810" t="str">
        <f t="shared" si="575"/>
        <v>measured 0.0312</v>
      </c>
      <c r="FG810" s="408">
        <f t="shared" si="564"/>
        <v>1.5687072460990212E-5</v>
      </c>
      <c r="FH810" s="138">
        <f t="shared" si="576"/>
        <v>1.0240617330849142</v>
      </c>
      <c r="FI810" s="106" t="str">
        <f t="shared" si="565"/>
        <v>**</v>
      </c>
      <c r="FJ810" s="138">
        <f t="shared" si="577"/>
        <v>-12.445152048644621</v>
      </c>
      <c r="FK810" s="138" t="str">
        <f t="shared" si="563"/>
        <v>**</v>
      </c>
    </row>
    <row r="811" spans="1:167" ht="12.75" customHeight="1" x14ac:dyDescent="0.2">
      <c r="A811">
        <v>776</v>
      </c>
      <c r="B811" t="s">
        <v>1940</v>
      </c>
      <c r="D811" s="4" t="s">
        <v>548</v>
      </c>
      <c r="E811">
        <v>200</v>
      </c>
      <c r="F811" t="str">
        <f>VLOOKUP(E811,CompDbase!B:L,4,FALSE)</f>
        <v>Benzene</v>
      </c>
      <c r="G811" s="95" t="str">
        <f>VLOOKUP(E811,CompDbase!B:M,12,FALSE)</f>
        <v>MAK</v>
      </c>
      <c r="H811" s="95">
        <f>VLOOKUP(E811,CompDbase!B:L,8,FALSE)</f>
        <v>78.106666524406961</v>
      </c>
      <c r="I811" s="95">
        <f>VLOOKUP(E811,CompDbase!B:L,11,FALSE)</f>
        <v>89.4</v>
      </c>
      <c r="J811" s="95">
        <f>VLOOKUP(E811,CompDbase!B:L,9,FALSE)</f>
        <v>1988.89882593368</v>
      </c>
      <c r="K811" s="95">
        <f>VLOOKUP(E811,CompDbase!B:L,10,FALSE)</f>
        <v>2.13</v>
      </c>
      <c r="L811" s="4" t="s">
        <v>717</v>
      </c>
      <c r="M811" s="423"/>
      <c r="N811" s="423"/>
      <c r="O811" s="4" t="s">
        <v>1082</v>
      </c>
      <c r="P811">
        <v>296</v>
      </c>
      <c r="Q811" s="4" t="s">
        <v>1230</v>
      </c>
      <c r="R811" s="289" t="s">
        <v>1982</v>
      </c>
      <c r="S811">
        <v>6.7500000000000004E-2</v>
      </c>
      <c r="T811" s="95">
        <f t="shared" si="617"/>
        <v>3.3938377920411524E-5</v>
      </c>
      <c r="W811">
        <v>14.363700000000001</v>
      </c>
      <c r="X811" s="288">
        <f t="shared" si="651"/>
        <v>1.1572663258814122</v>
      </c>
      <c r="Y811">
        <v>3.7037037037037036E-13</v>
      </c>
      <c r="Z811" s="95">
        <f t="shared" si="646"/>
        <v>-12.431363764158988</v>
      </c>
      <c r="AA811" s="95">
        <f t="shared" si="652"/>
        <v>5.3198888888888896E-12</v>
      </c>
      <c r="AB811" s="288">
        <f t="shared" si="653"/>
        <v>-11.274097438277575</v>
      </c>
      <c r="AC811" s="95" t="s">
        <v>68</v>
      </c>
      <c r="AD811" s="95"/>
      <c r="AG811" s="138">
        <f t="shared" si="654"/>
        <v>1.1572663258814122</v>
      </c>
      <c r="AH811">
        <f t="shared" si="655"/>
        <v>2.13</v>
      </c>
      <c r="AK811">
        <f t="shared" si="682"/>
        <v>2.13</v>
      </c>
      <c r="BW811" s="138"/>
      <c r="BX811">
        <f t="shared" si="657"/>
        <v>3.2986126913917664</v>
      </c>
      <c r="CA811">
        <f>LOG(1*$J811)</f>
        <v>3.2986126913917664</v>
      </c>
      <c r="DG811">
        <f>Z811</f>
        <v>-12.431363764158988</v>
      </c>
      <c r="DH811">
        <f>$H811</f>
        <v>78.106666524406961</v>
      </c>
      <c r="DK811">
        <f t="shared" ref="DK811" si="685">$H811</f>
        <v>78.106666524406961</v>
      </c>
      <c r="DM811">
        <f t="shared" ref="DM811" si="686">$H811</f>
        <v>78.106666524406961</v>
      </c>
      <c r="EY811" s="479">
        <f>VLOOKUP(B811,Literatuur!$A:$B,2,FALSE)</f>
        <v>16</v>
      </c>
      <c r="EZ811" t="str">
        <f t="shared" si="569"/>
        <v>Benzene</v>
      </c>
      <c r="FA811" t="str">
        <f t="shared" si="570"/>
        <v>MAK</v>
      </c>
      <c r="FB811" t="str">
        <f t="shared" si="571"/>
        <v>HDPE</v>
      </c>
      <c r="FC811" t="str">
        <f t="shared" si="572"/>
        <v>Permeation</v>
      </c>
      <c r="FD811">
        <f t="shared" si="573"/>
        <v>296</v>
      </c>
      <c r="FE811" t="str">
        <f t="shared" si="574"/>
        <v>soilwater</v>
      </c>
      <c r="FF811" t="str">
        <f t="shared" si="575"/>
        <v>measured 0.0675</v>
      </c>
      <c r="FG811" s="408">
        <f t="shared" si="564"/>
        <v>3.3938377920411524E-5</v>
      </c>
      <c r="FH811" s="138">
        <f t="shared" si="576"/>
        <v>1.1572663258814122</v>
      </c>
      <c r="FI811" s="106" t="str">
        <f t="shared" si="565"/>
        <v>**</v>
      </c>
      <c r="FJ811" s="138">
        <f t="shared" si="577"/>
        <v>-12.431363764158988</v>
      </c>
      <c r="FK811" s="138">
        <f t="shared" si="563"/>
        <v>-12.065815468244072</v>
      </c>
    </row>
    <row r="812" spans="1:167" ht="12.75" hidden="1" customHeight="1" x14ac:dyDescent="0.2">
      <c r="A812">
        <v>777</v>
      </c>
      <c r="B812" t="s">
        <v>1940</v>
      </c>
      <c r="D812" s="4" t="s">
        <v>492</v>
      </c>
      <c r="E812">
        <v>204</v>
      </c>
      <c r="F812" t="str">
        <f>VLOOKUP(E812,CompDbase!B:L,4,FALSE)</f>
        <v>Toluene</v>
      </c>
      <c r="G812" s="95" t="str">
        <f>VLOOKUP(E812,CompDbase!B:M,12,FALSE)</f>
        <v>MAK</v>
      </c>
      <c r="H812" s="95">
        <f>VLOOKUP(E812,CompDbase!B:L,8,FALSE)</f>
        <v>92.14249284505685</v>
      </c>
      <c r="I812" s="95">
        <f>VLOOKUP(E812,CompDbase!B:L,11,FALSE)</f>
        <v>106.9</v>
      </c>
      <c r="J812" s="95">
        <f>VLOOKUP(E812,CompDbase!B:L,9,FALSE)</f>
        <v>610.59105234897152</v>
      </c>
      <c r="K812" s="95">
        <f>VLOOKUP(E812,CompDbase!B:L,10,FALSE)</f>
        <v>2.73</v>
      </c>
      <c r="L812" s="4" t="s">
        <v>717</v>
      </c>
      <c r="M812" s="423"/>
      <c r="N812" s="423"/>
      <c r="O812" s="4" t="s">
        <v>1082</v>
      </c>
      <c r="P812">
        <v>296</v>
      </c>
      <c r="Q812" s="4" t="s">
        <v>1230</v>
      </c>
      <c r="R812" s="289" t="s">
        <v>1982</v>
      </c>
      <c r="S812">
        <v>5.0000000000000001E-4</v>
      </c>
      <c r="T812" s="95">
        <f t="shared" si="617"/>
        <v>8.1887868824228148E-7</v>
      </c>
      <c r="W812">
        <v>18.306288000000002</v>
      </c>
      <c r="X812" s="288">
        <f t="shared" si="651"/>
        <v>1.2626002905305251</v>
      </c>
      <c r="Y812">
        <v>1.7361111111111111E-13</v>
      </c>
      <c r="Z812" s="95">
        <f t="shared" si="646"/>
        <v>-12.760422483423213</v>
      </c>
      <c r="AA812" s="95">
        <f t="shared" si="652"/>
        <v>3.1781750000000004E-12</v>
      </c>
      <c r="AB812" s="288">
        <f t="shared" si="653"/>
        <v>-11.497822192892686</v>
      </c>
      <c r="AC812" s="95">
        <v>1</v>
      </c>
      <c r="AD812" s="95">
        <v>1</v>
      </c>
      <c r="AG812" s="138">
        <f t="shared" si="654"/>
        <v>1.2626002905305251</v>
      </c>
      <c r="AH812">
        <f t="shared" si="655"/>
        <v>2.73</v>
      </c>
      <c r="BW812" s="138"/>
      <c r="BX812">
        <f t="shared" si="657"/>
        <v>2.7857504358225516</v>
      </c>
      <c r="EY812" s="479">
        <f>VLOOKUP(B812,Literatuur!$A:$B,2,FALSE)</f>
        <v>16</v>
      </c>
      <c r="EZ812" t="str">
        <f t="shared" si="569"/>
        <v>Toluene</v>
      </c>
      <c r="FA812" t="str">
        <f t="shared" si="570"/>
        <v>MAK</v>
      </c>
      <c r="FB812" t="str">
        <f t="shared" si="571"/>
        <v>HDPE</v>
      </c>
      <c r="FC812" t="str">
        <f t="shared" si="572"/>
        <v>Permeation</v>
      </c>
      <c r="FD812">
        <f t="shared" si="573"/>
        <v>296</v>
      </c>
      <c r="FE812" t="str">
        <f t="shared" si="574"/>
        <v>soilwater</v>
      </c>
      <c r="FF812" t="str">
        <f t="shared" si="575"/>
        <v>measured 0.0005</v>
      </c>
      <c r="FG812" s="408">
        <f t="shared" si="564"/>
        <v>8.1887868824228148E-7</v>
      </c>
      <c r="FH812" s="138">
        <f t="shared" si="576"/>
        <v>1.2626002905305251</v>
      </c>
      <c r="FI812" s="106" t="str">
        <f t="shared" si="565"/>
        <v>**</v>
      </c>
      <c r="FJ812" s="138">
        <f t="shared" si="577"/>
        <v>-12.760422483423213</v>
      </c>
      <c r="FK812" s="138" t="str">
        <f t="shared" ref="FK812:FK875" si="687">IF(ISNUMBER(DM812),DM812*DP$33+DP$35,IF(ISNUMBER(DN812),DN812*DP$33+DP$35,IF(ISNUMBER(DO812),DO812*DP$33+DP$35,"**")))</f>
        <v>**</v>
      </c>
    </row>
    <row r="813" spans="1:167" ht="12.75" hidden="1" customHeight="1" x14ac:dyDescent="0.2">
      <c r="A813">
        <v>778</v>
      </c>
      <c r="B813" t="s">
        <v>1940</v>
      </c>
      <c r="D813" s="4" t="s">
        <v>492</v>
      </c>
      <c r="E813">
        <v>204</v>
      </c>
      <c r="F813" t="str">
        <f>VLOOKUP(E813,CompDbase!B:L,4,FALSE)</f>
        <v>Toluene</v>
      </c>
      <c r="G813" s="95" t="str">
        <f>VLOOKUP(E813,CompDbase!B:M,12,FALSE)</f>
        <v>MAK</v>
      </c>
      <c r="H813" s="95">
        <f>VLOOKUP(E813,CompDbase!B:L,8,FALSE)</f>
        <v>92.14249284505685</v>
      </c>
      <c r="I813" s="95">
        <f>VLOOKUP(E813,CompDbase!B:L,11,FALSE)</f>
        <v>106.9</v>
      </c>
      <c r="J813" s="95">
        <f>VLOOKUP(E813,CompDbase!B:L,9,FALSE)</f>
        <v>610.59105234897152</v>
      </c>
      <c r="K813" s="95">
        <f>VLOOKUP(E813,CompDbase!B:L,10,FALSE)</f>
        <v>2.73</v>
      </c>
      <c r="L813" s="4" t="s">
        <v>717</v>
      </c>
      <c r="M813" s="423"/>
      <c r="N813" s="423"/>
      <c r="O813" s="4" t="s">
        <v>1082</v>
      </c>
      <c r="P813">
        <v>296</v>
      </c>
      <c r="Q813" s="4" t="s">
        <v>1230</v>
      </c>
      <c r="R813" s="289" t="s">
        <v>1982</v>
      </c>
      <c r="S813">
        <v>5.1999999999999998E-3</v>
      </c>
      <c r="T813" s="95">
        <f t="shared" si="617"/>
        <v>8.5163383577197275E-6</v>
      </c>
      <c r="W813">
        <v>13.508181818181818</v>
      </c>
      <c r="X813" s="288">
        <f t="shared" si="651"/>
        <v>1.1305968975438934</v>
      </c>
      <c r="Y813">
        <v>2.5462962962962965E-13</v>
      </c>
      <c r="Z813" s="95">
        <f t="shared" si="646"/>
        <v>-12.594091061656687</v>
      </c>
      <c r="AA813" s="95">
        <f t="shared" si="652"/>
        <v>3.4395833333333334E-12</v>
      </c>
      <c r="AB813" s="288">
        <f t="shared" si="653"/>
        <v>-11.463494164112793</v>
      </c>
      <c r="AC813" s="95">
        <v>1</v>
      </c>
      <c r="AD813" s="95">
        <v>1</v>
      </c>
      <c r="AG813" s="138">
        <f t="shared" si="654"/>
        <v>1.1305968975438934</v>
      </c>
      <c r="AH813">
        <f t="shared" si="655"/>
        <v>2.73</v>
      </c>
      <c r="BW813" s="138"/>
      <c r="BX813">
        <f t="shared" si="657"/>
        <v>2.7857504358225516</v>
      </c>
      <c r="EY813" s="479">
        <f>VLOOKUP(B813,Literatuur!$A:$B,2,FALSE)</f>
        <v>16</v>
      </c>
      <c r="EZ813" t="str">
        <f t="shared" si="569"/>
        <v>Toluene</v>
      </c>
      <c r="FA813" t="str">
        <f t="shared" si="570"/>
        <v>MAK</v>
      </c>
      <c r="FB813" t="str">
        <f t="shared" si="571"/>
        <v>HDPE</v>
      </c>
      <c r="FC813" t="str">
        <f t="shared" si="572"/>
        <v>Permeation</v>
      </c>
      <c r="FD813">
        <f t="shared" si="573"/>
        <v>296</v>
      </c>
      <c r="FE813" t="str">
        <f t="shared" si="574"/>
        <v>soilwater</v>
      </c>
      <c r="FF813" t="str">
        <f t="shared" si="575"/>
        <v>measured 0.0052</v>
      </c>
      <c r="FG813" s="408">
        <f t="shared" si="564"/>
        <v>8.5163383577197275E-6</v>
      </c>
      <c r="FH813" s="138">
        <f t="shared" si="576"/>
        <v>1.1305968975438934</v>
      </c>
      <c r="FI813" s="106" t="str">
        <f t="shared" si="565"/>
        <v>**</v>
      </c>
      <c r="FJ813" s="138">
        <f t="shared" si="577"/>
        <v>-12.594091061656687</v>
      </c>
      <c r="FK813" s="138" t="str">
        <f t="shared" si="687"/>
        <v>**</v>
      </c>
    </row>
    <row r="814" spans="1:167" ht="12.75" hidden="1" customHeight="1" x14ac:dyDescent="0.2">
      <c r="A814">
        <v>779</v>
      </c>
      <c r="B814" t="s">
        <v>1940</v>
      </c>
      <c r="D814" s="4" t="s">
        <v>492</v>
      </c>
      <c r="E814">
        <v>204</v>
      </c>
      <c r="F814" t="str">
        <f>VLOOKUP(E814,CompDbase!B:L,4,FALSE)</f>
        <v>Toluene</v>
      </c>
      <c r="G814" s="95" t="str">
        <f>VLOOKUP(E814,CompDbase!B:M,12,FALSE)</f>
        <v>MAK</v>
      </c>
      <c r="H814" s="95">
        <f>VLOOKUP(E814,CompDbase!B:L,8,FALSE)</f>
        <v>92.14249284505685</v>
      </c>
      <c r="I814" s="95">
        <f>VLOOKUP(E814,CompDbase!B:L,11,FALSE)</f>
        <v>106.9</v>
      </c>
      <c r="J814" s="95">
        <f>VLOOKUP(E814,CompDbase!B:L,9,FALSE)</f>
        <v>610.59105234897152</v>
      </c>
      <c r="K814" s="95">
        <f>VLOOKUP(E814,CompDbase!B:L,10,FALSE)</f>
        <v>2.73</v>
      </c>
      <c r="L814" s="4" t="s">
        <v>717</v>
      </c>
      <c r="M814" s="423"/>
      <c r="N814" s="423"/>
      <c r="O814" s="4" t="s">
        <v>1082</v>
      </c>
      <c r="P814">
        <v>296</v>
      </c>
      <c r="Q814" s="4" t="s">
        <v>1230</v>
      </c>
      <c r="R814" s="289" t="s">
        <v>1982</v>
      </c>
      <c r="S814">
        <v>2.63E-2</v>
      </c>
      <c r="T814" s="95">
        <f t="shared" si="617"/>
        <v>4.3073019001544003E-5</v>
      </c>
      <c r="W814">
        <v>14.124524714828897</v>
      </c>
      <c r="X814" s="288">
        <f t="shared" si="651"/>
        <v>1.1499738428843982</v>
      </c>
      <c r="Y814">
        <v>3.0092592592592594E-13</v>
      </c>
      <c r="Z814" s="95">
        <f t="shared" si="646"/>
        <v>-12.521540394508076</v>
      </c>
      <c r="AA814" s="95">
        <f t="shared" si="652"/>
        <v>4.2504356780735109E-12</v>
      </c>
      <c r="AB814" s="288">
        <f t="shared" si="653"/>
        <v>-11.371566551623678</v>
      </c>
      <c r="AC814" s="95">
        <v>1</v>
      </c>
      <c r="AD814" s="95">
        <v>1</v>
      </c>
      <c r="AG814" s="138">
        <f t="shared" si="654"/>
        <v>1.1499738428843982</v>
      </c>
      <c r="AH814">
        <f t="shared" si="655"/>
        <v>2.73</v>
      </c>
      <c r="BW814" s="138"/>
      <c r="BX814">
        <f t="shared" si="657"/>
        <v>2.7857504358225516</v>
      </c>
      <c r="EY814" s="479">
        <f>VLOOKUP(B814,Literatuur!$A:$B,2,FALSE)</f>
        <v>16</v>
      </c>
      <c r="EZ814" t="str">
        <f t="shared" si="569"/>
        <v>Toluene</v>
      </c>
      <c r="FA814" t="str">
        <f t="shared" si="570"/>
        <v>MAK</v>
      </c>
      <c r="FB814" t="str">
        <f t="shared" si="571"/>
        <v>HDPE</v>
      </c>
      <c r="FC814" t="str">
        <f t="shared" si="572"/>
        <v>Permeation</v>
      </c>
      <c r="FD814">
        <f t="shared" si="573"/>
        <v>296</v>
      </c>
      <c r="FE814" t="str">
        <f t="shared" si="574"/>
        <v>soilwater</v>
      </c>
      <c r="FF814" t="str">
        <f t="shared" si="575"/>
        <v>measured 0.0263</v>
      </c>
      <c r="FG814" s="408">
        <f t="shared" si="564"/>
        <v>4.3073019001544003E-5</v>
      </c>
      <c r="FH814" s="138">
        <f t="shared" si="576"/>
        <v>1.1499738428843982</v>
      </c>
      <c r="FI814" s="106" t="str">
        <f t="shared" si="565"/>
        <v>**</v>
      </c>
      <c r="FJ814" s="138">
        <f t="shared" si="577"/>
        <v>-12.521540394508076</v>
      </c>
      <c r="FK814" s="138" t="str">
        <f t="shared" si="687"/>
        <v>**</v>
      </c>
    </row>
    <row r="815" spans="1:167" ht="12.75" hidden="1" customHeight="1" x14ac:dyDescent="0.2">
      <c r="A815">
        <v>780</v>
      </c>
      <c r="B815" s="4" t="s">
        <v>1940</v>
      </c>
      <c r="C815" s="4"/>
      <c r="D815" s="4" t="s">
        <v>492</v>
      </c>
      <c r="E815">
        <v>204</v>
      </c>
      <c r="F815" t="str">
        <f>VLOOKUP(E815,CompDbase!B:L,4,FALSE)</f>
        <v>Toluene</v>
      </c>
      <c r="G815" s="95" t="str">
        <f>VLOOKUP(E815,CompDbase!B:M,12,FALSE)</f>
        <v>MAK</v>
      </c>
      <c r="H815" s="95">
        <f>VLOOKUP(E815,CompDbase!B:L,8,FALSE)</f>
        <v>92.14249284505685</v>
      </c>
      <c r="I815" s="95">
        <f>VLOOKUP(E815,CompDbase!B:L,11,FALSE)</f>
        <v>106.9</v>
      </c>
      <c r="J815" s="95">
        <f>VLOOKUP(E815,CompDbase!B:L,9,FALSE)</f>
        <v>610.59105234897152</v>
      </c>
      <c r="K815" s="95">
        <f>VLOOKUP(E815,CompDbase!B:L,10,FALSE)</f>
        <v>2.73</v>
      </c>
      <c r="L815" s="4" t="s">
        <v>717</v>
      </c>
      <c r="M815" s="423"/>
      <c r="N815" s="423"/>
      <c r="O815" s="4" t="s">
        <v>1082</v>
      </c>
      <c r="P815">
        <v>296</v>
      </c>
      <c r="Q815" s="4" t="s">
        <v>1230</v>
      </c>
      <c r="R815" s="289" t="s">
        <v>1982</v>
      </c>
      <c r="S815">
        <v>5.62E-2</v>
      </c>
      <c r="T815" s="95">
        <f t="shared" si="617"/>
        <v>9.2041964558432429E-5</v>
      </c>
      <c r="W815">
        <v>18.434714688918884</v>
      </c>
      <c r="X815" s="288">
        <f t="shared" si="651"/>
        <v>1.2656364204890835</v>
      </c>
      <c r="Y815">
        <v>3.3564814814814817E-13</v>
      </c>
      <c r="Z815" s="95">
        <f t="shared" si="646"/>
        <v>-12.474115744579937</v>
      </c>
      <c r="AA815" s="95">
        <f t="shared" si="652"/>
        <v>6.1875778469750887E-12</v>
      </c>
      <c r="AB815" s="288">
        <f t="shared" si="653"/>
        <v>-11.208479324090854</v>
      </c>
      <c r="AC815" s="95" t="s">
        <v>68</v>
      </c>
      <c r="AD815" s="95"/>
      <c r="AG815" s="138">
        <f t="shared" si="654"/>
        <v>1.2656364204890835</v>
      </c>
      <c r="AH815">
        <f t="shared" si="655"/>
        <v>2.73</v>
      </c>
      <c r="AK815">
        <f t="shared" si="682"/>
        <v>2.73</v>
      </c>
      <c r="BW815" s="138"/>
      <c r="BX815">
        <f t="shared" si="657"/>
        <v>2.7857504358225516</v>
      </c>
      <c r="CA815">
        <f>LOG(1*$J815)</f>
        <v>2.7857504358225516</v>
      </c>
      <c r="DG815">
        <f>Z815</f>
        <v>-12.474115744579937</v>
      </c>
      <c r="DH815">
        <f>$H815</f>
        <v>92.14249284505685</v>
      </c>
      <c r="DK815">
        <f t="shared" ref="DK815" si="688">$H815</f>
        <v>92.14249284505685</v>
      </c>
      <c r="DM815">
        <f t="shared" ref="DM815" si="689">$H815</f>
        <v>92.14249284505685</v>
      </c>
      <c r="EY815" s="479">
        <f>VLOOKUP(B815,Literatuur!$A:$B,2,FALSE)</f>
        <v>16</v>
      </c>
      <c r="EZ815" t="str">
        <f t="shared" si="569"/>
        <v>Toluene</v>
      </c>
      <c r="FA815" t="str">
        <f t="shared" si="570"/>
        <v>MAK</v>
      </c>
      <c r="FB815" t="str">
        <f t="shared" si="571"/>
        <v>HDPE</v>
      </c>
      <c r="FC815" t="str">
        <f t="shared" si="572"/>
        <v>Permeation</v>
      </c>
      <c r="FD815">
        <f t="shared" si="573"/>
        <v>296</v>
      </c>
      <c r="FE815" t="str">
        <f t="shared" si="574"/>
        <v>soilwater</v>
      </c>
      <c r="FF815" t="str">
        <f t="shared" si="575"/>
        <v>measured 0.0562</v>
      </c>
      <c r="FG815" s="408">
        <f t="shared" ref="FG815:FG878" si="690">IF(ISNUMBER(T815),T815,"")</f>
        <v>9.2041964558432429E-5</v>
      </c>
      <c r="FH815" s="138">
        <f t="shared" si="576"/>
        <v>1.2656364204890835</v>
      </c>
      <c r="FI815" s="106" t="str">
        <f t="shared" ref="FI815:FI878" si="691">IF(ISNUMBER(AL815),AL815*AL$33+AL$35,IF(ISNUMBER(AM815),AM815*AM$33+AM$35,IF(ISNUMBER(AN815),AN815*AN$33+AN$35,"**")))</f>
        <v>**</v>
      </c>
      <c r="FJ815" s="138">
        <f t="shared" si="577"/>
        <v>-12.474115744579937</v>
      </c>
      <c r="FK815" s="138">
        <f t="shared" si="687"/>
        <v>-12.22349750614883</v>
      </c>
    </row>
    <row r="816" spans="1:167" ht="12.75" hidden="1" customHeight="1" x14ac:dyDescent="0.2">
      <c r="A816">
        <v>781</v>
      </c>
      <c r="B816" t="s">
        <v>1817</v>
      </c>
      <c r="D816" s="4" t="s">
        <v>762</v>
      </c>
      <c r="E816">
        <v>205</v>
      </c>
      <c r="F816" t="str">
        <f>VLOOKUP(E816,CompDbase!B:L,4,FALSE)</f>
        <v>m-Xylene</v>
      </c>
      <c r="G816" s="95" t="str">
        <f>VLOOKUP(E816,CompDbase!B:M,12,FALSE)</f>
        <v>MAK</v>
      </c>
      <c r="H816" s="95">
        <f>VLOOKUP(E816,CompDbase!B:L,8,FALSE)</f>
        <v>106.18999905823263</v>
      </c>
      <c r="I816" s="95" t="e">
        <f>VLOOKUP(E816,CompDbase!B:L,11,FALSE)</f>
        <v>#DIV/0!</v>
      </c>
      <c r="J816" s="95">
        <f>VLOOKUP(E816,CompDbase!B:L,9,FALSE)</f>
        <v>197.40652052455141</v>
      </c>
      <c r="K816" s="95">
        <f>VLOOKUP(E816,CompDbase!B:L,10,FALSE)</f>
        <v>3.2</v>
      </c>
      <c r="L816" s="4" t="s">
        <v>717</v>
      </c>
      <c r="M816" s="423"/>
      <c r="N816" s="423"/>
      <c r="O816" s="4" t="s">
        <v>1082</v>
      </c>
      <c r="P816">
        <v>293</v>
      </c>
      <c r="Q816" s="4" t="s">
        <v>1049</v>
      </c>
      <c r="R816" s="289" t="s">
        <v>1982</v>
      </c>
      <c r="S816">
        <v>0.01</v>
      </c>
      <c r="T816" s="95">
        <f t="shared" si="617"/>
        <v>5.0656887996545698E-5</v>
      </c>
      <c r="W816">
        <v>6.3</v>
      </c>
      <c r="X816" s="288">
        <f t="shared" si="651"/>
        <v>0.79934054945358168</v>
      </c>
      <c r="Y816">
        <v>5.3000000000000006E-13</v>
      </c>
      <c r="Z816" s="95">
        <f t="shared" si="646"/>
        <v>-12.275724130399212</v>
      </c>
      <c r="AA816" s="95">
        <f t="shared" si="652"/>
        <v>3.3390000000000002E-12</v>
      </c>
      <c r="AB816" s="288">
        <f t="shared" si="653"/>
        <v>-11.47638358094563</v>
      </c>
      <c r="AC816" s="95">
        <v>1</v>
      </c>
      <c r="AD816" s="95">
        <v>1</v>
      </c>
      <c r="AG816" s="138">
        <f t="shared" si="654"/>
        <v>0.79934054945358168</v>
      </c>
      <c r="AH816">
        <f t="shared" si="655"/>
        <v>3.2</v>
      </c>
      <c r="BW816" s="138"/>
      <c r="BX816">
        <f t="shared" si="657"/>
        <v>2.2953614937290703</v>
      </c>
      <c r="EY816" s="479">
        <f>VLOOKUP(B816,Literatuur!$A:$B,2,FALSE)</f>
        <v>18</v>
      </c>
      <c r="EZ816" t="str">
        <f t="shared" ref="EZ816:EZ879" si="692">D816</f>
        <v>m-Xylene</v>
      </c>
      <c r="FA816" t="str">
        <f t="shared" ref="FA816:FA879" si="693">G816</f>
        <v>MAK</v>
      </c>
      <c r="FB816" t="str">
        <f t="shared" ref="FB816:FB879" si="694">L816</f>
        <v>HDPE</v>
      </c>
      <c r="FC816" t="str">
        <f t="shared" ref="FC816:FC879" si="695">CONCATENATE(O816)</f>
        <v>Permeation</v>
      </c>
      <c r="FD816">
        <f t="shared" ref="FD816:FD879" si="696">P816</f>
        <v>293</v>
      </c>
      <c r="FE816" t="str">
        <f t="shared" ref="FE816:FE879" si="697">Q816</f>
        <v>water</v>
      </c>
      <c r="FF816" t="str">
        <f t="shared" ref="FF816:FF879" si="698">CONCATENATE(R816," ",S816)</f>
        <v>measured 0.01</v>
      </c>
      <c r="FG816" s="408">
        <f t="shared" si="690"/>
        <v>5.0656887996545698E-5</v>
      </c>
      <c r="FH816" s="138">
        <f t="shared" ref="FH816:FH879" si="699">IF(ISNUMBER(X816),X816,"")</f>
        <v>0.79934054945358168</v>
      </c>
      <c r="FI816" s="106" t="str">
        <f t="shared" si="691"/>
        <v>**</v>
      </c>
      <c r="FJ816" s="138">
        <f t="shared" ref="FJ816:FJ879" si="700">IF(ISNUMBER(Z816),Z816,"")</f>
        <v>-12.275724130399212</v>
      </c>
      <c r="FK816" s="138" t="str">
        <f t="shared" si="687"/>
        <v>**</v>
      </c>
    </row>
    <row r="817" spans="1:167" ht="12.75" hidden="1" customHeight="1" x14ac:dyDescent="0.2">
      <c r="A817">
        <v>782</v>
      </c>
      <c r="B817" t="s">
        <v>1817</v>
      </c>
      <c r="D817" s="4" t="s">
        <v>762</v>
      </c>
      <c r="E817">
        <v>205</v>
      </c>
      <c r="F817" t="str">
        <f>VLOOKUP(E817,CompDbase!B:L,4,FALSE)</f>
        <v>m-Xylene</v>
      </c>
      <c r="G817" s="95" t="str">
        <f>VLOOKUP(E817,CompDbase!B:M,12,FALSE)</f>
        <v>MAK</v>
      </c>
      <c r="H817" s="95">
        <f>VLOOKUP(E817,CompDbase!B:L,8,FALSE)</f>
        <v>106.18999905823263</v>
      </c>
      <c r="I817" s="95" t="e">
        <f>VLOOKUP(E817,CompDbase!B:L,11,FALSE)</f>
        <v>#DIV/0!</v>
      </c>
      <c r="J817" s="95">
        <f>VLOOKUP(E817,CompDbase!B:L,9,FALSE)</f>
        <v>197.40652052455141</v>
      </c>
      <c r="K817" s="95">
        <f>VLOOKUP(E817,CompDbase!B:L,10,FALSE)</f>
        <v>3.2</v>
      </c>
      <c r="L817" s="4" t="s">
        <v>717</v>
      </c>
      <c r="M817" s="423"/>
      <c r="N817" s="423"/>
      <c r="O817" s="4" t="s">
        <v>1082</v>
      </c>
      <c r="P817">
        <v>293</v>
      </c>
      <c r="Q817" s="4" t="s">
        <v>1049</v>
      </c>
      <c r="R817" s="289" t="s">
        <v>1982</v>
      </c>
      <c r="S817">
        <v>0.05</v>
      </c>
      <c r="T817" s="95">
        <f t="shared" si="617"/>
        <v>2.5328443998272847E-4</v>
      </c>
      <c r="W817">
        <v>6.5</v>
      </c>
      <c r="X817" s="288">
        <f t="shared" si="651"/>
        <v>0.81291335664285558</v>
      </c>
      <c r="Y817">
        <v>6.7000000000000007E-13</v>
      </c>
      <c r="Z817" s="95">
        <f t="shared" si="646"/>
        <v>-12.173925197299173</v>
      </c>
      <c r="AA817" s="95">
        <f t="shared" si="652"/>
        <v>4.3550000000000007E-12</v>
      </c>
      <c r="AB817" s="288">
        <f t="shared" si="653"/>
        <v>-11.361011840656317</v>
      </c>
      <c r="AC817" s="95">
        <v>1</v>
      </c>
      <c r="AD817" s="95">
        <v>1</v>
      </c>
      <c r="AG817" s="138">
        <f t="shared" si="654"/>
        <v>0.81291335664285558</v>
      </c>
      <c r="AH817">
        <f t="shared" si="655"/>
        <v>3.2</v>
      </c>
      <c r="BW817" s="138"/>
      <c r="BX817">
        <f t="shared" si="657"/>
        <v>2.2953614937290703</v>
      </c>
      <c r="EY817" s="479">
        <f>VLOOKUP(B817,Literatuur!$A:$B,2,FALSE)</f>
        <v>18</v>
      </c>
      <c r="EZ817" t="str">
        <f t="shared" si="692"/>
        <v>m-Xylene</v>
      </c>
      <c r="FA817" t="str">
        <f t="shared" si="693"/>
        <v>MAK</v>
      </c>
      <c r="FB817" t="str">
        <f t="shared" si="694"/>
        <v>HDPE</v>
      </c>
      <c r="FC817" t="str">
        <f t="shared" si="695"/>
        <v>Permeation</v>
      </c>
      <c r="FD817">
        <f t="shared" si="696"/>
        <v>293</v>
      </c>
      <c r="FE817" t="str">
        <f t="shared" si="697"/>
        <v>water</v>
      </c>
      <c r="FF817" t="str">
        <f t="shared" si="698"/>
        <v>measured 0.05</v>
      </c>
      <c r="FG817" s="408">
        <f t="shared" si="690"/>
        <v>2.5328443998272847E-4</v>
      </c>
      <c r="FH817" s="138">
        <f t="shared" si="699"/>
        <v>0.81291335664285558</v>
      </c>
      <c r="FI817" s="106" t="str">
        <f t="shared" si="691"/>
        <v>**</v>
      </c>
      <c r="FJ817" s="138">
        <f t="shared" si="700"/>
        <v>-12.173925197299173</v>
      </c>
      <c r="FK817" s="138" t="str">
        <f t="shared" si="687"/>
        <v>**</v>
      </c>
    </row>
    <row r="818" spans="1:167" ht="12.75" hidden="1" customHeight="1" x14ac:dyDescent="0.2">
      <c r="A818">
        <v>783</v>
      </c>
      <c r="B818" t="s">
        <v>1817</v>
      </c>
      <c r="D818" s="4" t="s">
        <v>762</v>
      </c>
      <c r="E818">
        <v>205</v>
      </c>
      <c r="F818" t="str">
        <f>VLOOKUP(E818,CompDbase!B:L,4,FALSE)</f>
        <v>m-Xylene</v>
      </c>
      <c r="G818" s="95" t="str">
        <f>VLOOKUP(E818,CompDbase!B:M,12,FALSE)</f>
        <v>MAK</v>
      </c>
      <c r="H818" s="95">
        <f>VLOOKUP(E818,CompDbase!B:L,8,FALSE)</f>
        <v>106.18999905823263</v>
      </c>
      <c r="I818" s="95" t="e">
        <f>VLOOKUP(E818,CompDbase!B:L,11,FALSE)</f>
        <v>#DIV/0!</v>
      </c>
      <c r="J818" s="95">
        <f>VLOOKUP(E818,CompDbase!B:L,9,FALSE)</f>
        <v>197.40652052455141</v>
      </c>
      <c r="K818" s="95">
        <f>VLOOKUP(E818,CompDbase!B:L,10,FALSE)</f>
        <v>3.2</v>
      </c>
      <c r="L818" s="4" t="s">
        <v>717</v>
      </c>
      <c r="M818" s="423"/>
      <c r="N818" s="423"/>
      <c r="O818" s="4" t="s">
        <v>1082</v>
      </c>
      <c r="P818">
        <v>293</v>
      </c>
      <c r="Q818" s="4" t="s">
        <v>1049</v>
      </c>
      <c r="R818" s="289" t="s">
        <v>1982</v>
      </c>
      <c r="S818">
        <v>0.1</v>
      </c>
      <c r="T818" s="95">
        <f t="shared" si="617"/>
        <v>5.0656887996545694E-4</v>
      </c>
      <c r="W818">
        <v>6.3</v>
      </c>
      <c r="X818" s="288">
        <f t="shared" si="651"/>
        <v>0.79934054945358168</v>
      </c>
      <c r="Y818">
        <v>9.5999999999999995E-13</v>
      </c>
      <c r="Z818" s="95">
        <f t="shared" si="646"/>
        <v>-12.017728766960431</v>
      </c>
      <c r="AA818" s="95">
        <f t="shared" si="652"/>
        <v>6.0479999999999993E-12</v>
      </c>
      <c r="AB818" s="288">
        <f t="shared" si="653"/>
        <v>-11.218388217506851</v>
      </c>
      <c r="AC818" s="95" t="s">
        <v>68</v>
      </c>
      <c r="AD818" s="95"/>
      <c r="AG818" s="138">
        <f t="shared" si="654"/>
        <v>0.79934054945358168</v>
      </c>
      <c r="AH818">
        <f t="shared" si="655"/>
        <v>3.2</v>
      </c>
      <c r="AK818">
        <f t="shared" si="682"/>
        <v>3.2</v>
      </c>
      <c r="BW818" s="138"/>
      <c r="BX818">
        <f t="shared" si="657"/>
        <v>2.2953614937290703</v>
      </c>
      <c r="CA818">
        <f>LOG(1*$J818)</f>
        <v>2.2953614937290703</v>
      </c>
      <c r="DG818">
        <f>Z818</f>
        <v>-12.017728766960431</v>
      </c>
      <c r="DH818">
        <f>$H818</f>
        <v>106.18999905823263</v>
      </c>
      <c r="DK818">
        <f t="shared" ref="DK818" si="701">$H818</f>
        <v>106.18999905823263</v>
      </c>
      <c r="DM818">
        <f t="shared" ref="DM818" si="702">$H818</f>
        <v>106.18999905823263</v>
      </c>
      <c r="EY818" s="479">
        <f>VLOOKUP(B818,Literatuur!$A:$B,2,FALSE)</f>
        <v>18</v>
      </c>
      <c r="EZ818" t="str">
        <f t="shared" si="692"/>
        <v>m-Xylene</v>
      </c>
      <c r="FA818" t="str">
        <f t="shared" si="693"/>
        <v>MAK</v>
      </c>
      <c r="FB818" t="str">
        <f t="shared" si="694"/>
        <v>HDPE</v>
      </c>
      <c r="FC818" t="str">
        <f t="shared" si="695"/>
        <v>Permeation</v>
      </c>
      <c r="FD818">
        <f t="shared" si="696"/>
        <v>293</v>
      </c>
      <c r="FE818" t="str">
        <f t="shared" si="697"/>
        <v>water</v>
      </c>
      <c r="FF818" t="str">
        <f t="shared" si="698"/>
        <v>measured 0.1</v>
      </c>
      <c r="FG818" s="408">
        <f t="shared" si="690"/>
        <v>5.0656887996545694E-4</v>
      </c>
      <c r="FH818" s="138">
        <f t="shared" si="699"/>
        <v>0.79934054945358168</v>
      </c>
      <c r="FI818" s="106" t="str">
        <f t="shared" si="691"/>
        <v>**</v>
      </c>
      <c r="FJ818" s="138">
        <f t="shared" si="700"/>
        <v>-12.017728766960431</v>
      </c>
      <c r="FK818" s="138">
        <f t="shared" si="687"/>
        <v>-12.38131075893285</v>
      </c>
    </row>
    <row r="819" spans="1:167" ht="12.75" hidden="1" customHeight="1" x14ac:dyDescent="0.2">
      <c r="A819">
        <v>784</v>
      </c>
      <c r="B819" t="s">
        <v>1817</v>
      </c>
      <c r="D819" s="4" t="s">
        <v>492</v>
      </c>
      <c r="E819">
        <v>204</v>
      </c>
      <c r="F819" t="str">
        <f>VLOOKUP(E819,CompDbase!B:L,4,FALSE)</f>
        <v>Toluene</v>
      </c>
      <c r="G819" s="95" t="str">
        <f>VLOOKUP(E819,CompDbase!B:M,12,FALSE)</f>
        <v>MAK</v>
      </c>
      <c r="H819" s="95">
        <f>VLOOKUP(E819,CompDbase!B:L,8,FALSE)</f>
        <v>92.14249284505685</v>
      </c>
      <c r="I819" s="95">
        <f>VLOOKUP(E819,CompDbase!B:L,11,FALSE)</f>
        <v>106.9</v>
      </c>
      <c r="J819" s="95">
        <f>VLOOKUP(E819,CompDbase!B:L,9,FALSE)</f>
        <v>610.59105234897152</v>
      </c>
      <c r="K819" s="95">
        <f>VLOOKUP(E819,CompDbase!B:L,10,FALSE)</f>
        <v>2.73</v>
      </c>
      <c r="L819" s="4" t="s">
        <v>717</v>
      </c>
      <c r="M819" s="423"/>
      <c r="N819" s="423"/>
      <c r="O819" s="4" t="s">
        <v>1082</v>
      </c>
      <c r="P819">
        <v>293</v>
      </c>
      <c r="Q819" s="4" t="s">
        <v>1049</v>
      </c>
      <c r="R819" s="289" t="s">
        <v>1982</v>
      </c>
      <c r="S819">
        <v>0.01</v>
      </c>
      <c r="T819" s="95">
        <f t="shared" si="617"/>
        <v>1.6377573764845628E-5</v>
      </c>
      <c r="W819">
        <v>135</v>
      </c>
      <c r="X819" s="288">
        <f t="shared" si="651"/>
        <v>2.1303337684950061</v>
      </c>
      <c r="Y819">
        <v>3.2000000000000005E-13</v>
      </c>
      <c r="Z819" s="95">
        <f t="shared" si="646"/>
        <v>-12.494850021680094</v>
      </c>
      <c r="AA819" s="95">
        <f t="shared" si="652"/>
        <v>4.320000000000001E-11</v>
      </c>
      <c r="AB819" s="288">
        <f t="shared" si="653"/>
        <v>-10.364516253185087</v>
      </c>
      <c r="AC819" s="95">
        <v>1</v>
      </c>
      <c r="AD819" s="95">
        <v>1</v>
      </c>
      <c r="AG819" s="138">
        <f t="shared" si="654"/>
        <v>2.1303337684950061</v>
      </c>
      <c r="AH819">
        <f t="shared" si="655"/>
        <v>2.73</v>
      </c>
      <c r="BW819" s="138"/>
      <c r="BX819">
        <f t="shared" si="657"/>
        <v>2.7857504358225516</v>
      </c>
      <c r="EY819" s="479">
        <f>VLOOKUP(B819,Literatuur!$A:$B,2,FALSE)</f>
        <v>18</v>
      </c>
      <c r="EZ819" t="str">
        <f t="shared" si="692"/>
        <v>Toluene</v>
      </c>
      <c r="FA819" t="str">
        <f t="shared" si="693"/>
        <v>MAK</v>
      </c>
      <c r="FB819" t="str">
        <f t="shared" si="694"/>
        <v>HDPE</v>
      </c>
      <c r="FC819" t="str">
        <f t="shared" si="695"/>
        <v>Permeation</v>
      </c>
      <c r="FD819">
        <f t="shared" si="696"/>
        <v>293</v>
      </c>
      <c r="FE819" t="str">
        <f t="shared" si="697"/>
        <v>water</v>
      </c>
      <c r="FF819" t="str">
        <f t="shared" si="698"/>
        <v>measured 0.01</v>
      </c>
      <c r="FG819" s="408">
        <f t="shared" si="690"/>
        <v>1.6377573764845628E-5</v>
      </c>
      <c r="FH819" s="138">
        <f t="shared" si="699"/>
        <v>2.1303337684950061</v>
      </c>
      <c r="FI819" s="106" t="str">
        <f t="shared" si="691"/>
        <v>**</v>
      </c>
      <c r="FJ819" s="138">
        <f t="shared" si="700"/>
        <v>-12.494850021680094</v>
      </c>
      <c r="FK819" s="138" t="str">
        <f t="shared" si="687"/>
        <v>**</v>
      </c>
    </row>
    <row r="820" spans="1:167" ht="12.75" hidden="1" customHeight="1" x14ac:dyDescent="0.2">
      <c r="A820">
        <v>785</v>
      </c>
      <c r="B820" t="s">
        <v>1817</v>
      </c>
      <c r="D820" s="4" t="s">
        <v>492</v>
      </c>
      <c r="E820">
        <v>204</v>
      </c>
      <c r="F820" t="str">
        <f>VLOOKUP(E820,CompDbase!B:L,4,FALSE)</f>
        <v>Toluene</v>
      </c>
      <c r="G820" s="95" t="str">
        <f>VLOOKUP(E820,CompDbase!B:M,12,FALSE)</f>
        <v>MAK</v>
      </c>
      <c r="H820" s="95">
        <f>VLOOKUP(E820,CompDbase!B:L,8,FALSE)</f>
        <v>92.14249284505685</v>
      </c>
      <c r="I820" s="95">
        <f>VLOOKUP(E820,CompDbase!B:L,11,FALSE)</f>
        <v>106.9</v>
      </c>
      <c r="J820" s="95">
        <f>VLOOKUP(E820,CompDbase!B:L,9,FALSE)</f>
        <v>610.59105234897152</v>
      </c>
      <c r="K820" s="95">
        <f>VLOOKUP(E820,CompDbase!B:L,10,FALSE)</f>
        <v>2.73</v>
      </c>
      <c r="L820" s="4" t="s">
        <v>717</v>
      </c>
      <c r="M820" s="423"/>
      <c r="N820" s="423"/>
      <c r="O820" s="4" t="s">
        <v>1082</v>
      </c>
      <c r="P820">
        <v>293</v>
      </c>
      <c r="Q820" s="4" t="s">
        <v>1049</v>
      </c>
      <c r="R820" s="289" t="s">
        <v>1982</v>
      </c>
      <c r="S820">
        <v>0.05</v>
      </c>
      <c r="T820" s="95">
        <f t="shared" si="617"/>
        <v>8.1887868824228149E-5</v>
      </c>
      <c r="W820">
        <v>145</v>
      </c>
      <c r="X820" s="288">
        <f t="shared" si="651"/>
        <v>2.1613680022349748</v>
      </c>
      <c r="Y820">
        <v>3.6000000000000003E-13</v>
      </c>
      <c r="Z820" s="95">
        <f t="shared" si="646"/>
        <v>-12.443697499232712</v>
      </c>
      <c r="AA820" s="95">
        <f t="shared" si="652"/>
        <v>5.2200000000000005E-11</v>
      </c>
      <c r="AB820" s="288">
        <f t="shared" si="653"/>
        <v>-10.282329496997738</v>
      </c>
      <c r="AC820" s="95">
        <v>1</v>
      </c>
      <c r="AD820" s="95">
        <v>1</v>
      </c>
      <c r="AG820" s="138">
        <f t="shared" si="654"/>
        <v>2.1613680022349748</v>
      </c>
      <c r="AH820">
        <f t="shared" si="655"/>
        <v>2.73</v>
      </c>
      <c r="BW820" s="138"/>
      <c r="BX820">
        <f t="shared" si="657"/>
        <v>2.7857504358225516</v>
      </c>
      <c r="EY820" s="479">
        <f>VLOOKUP(B820,Literatuur!$A:$B,2,FALSE)</f>
        <v>18</v>
      </c>
      <c r="EZ820" t="str">
        <f t="shared" si="692"/>
        <v>Toluene</v>
      </c>
      <c r="FA820" t="str">
        <f t="shared" si="693"/>
        <v>MAK</v>
      </c>
      <c r="FB820" t="str">
        <f t="shared" si="694"/>
        <v>HDPE</v>
      </c>
      <c r="FC820" t="str">
        <f t="shared" si="695"/>
        <v>Permeation</v>
      </c>
      <c r="FD820">
        <f t="shared" si="696"/>
        <v>293</v>
      </c>
      <c r="FE820" t="str">
        <f t="shared" si="697"/>
        <v>water</v>
      </c>
      <c r="FF820" t="str">
        <f t="shared" si="698"/>
        <v>measured 0.05</v>
      </c>
      <c r="FG820" s="408">
        <f t="shared" si="690"/>
        <v>8.1887868824228149E-5</v>
      </c>
      <c r="FH820" s="138">
        <f t="shared" si="699"/>
        <v>2.1613680022349748</v>
      </c>
      <c r="FI820" s="106" t="str">
        <f t="shared" si="691"/>
        <v>**</v>
      </c>
      <c r="FJ820" s="138">
        <f t="shared" si="700"/>
        <v>-12.443697499232712</v>
      </c>
      <c r="FK820" s="138" t="str">
        <f t="shared" si="687"/>
        <v>**</v>
      </c>
    </row>
    <row r="821" spans="1:167" ht="12.75" hidden="1" customHeight="1" x14ac:dyDescent="0.2">
      <c r="A821">
        <v>786</v>
      </c>
      <c r="B821" t="s">
        <v>1817</v>
      </c>
      <c r="D821" s="4" t="s">
        <v>492</v>
      </c>
      <c r="E821">
        <v>204</v>
      </c>
      <c r="F821" t="str">
        <f>VLOOKUP(E821,CompDbase!B:L,4,FALSE)</f>
        <v>Toluene</v>
      </c>
      <c r="G821" s="95" t="str">
        <f>VLOOKUP(E821,CompDbase!B:M,12,FALSE)</f>
        <v>MAK</v>
      </c>
      <c r="H821" s="95">
        <f>VLOOKUP(E821,CompDbase!B:L,8,FALSE)</f>
        <v>92.14249284505685</v>
      </c>
      <c r="I821" s="95">
        <f>VLOOKUP(E821,CompDbase!B:L,11,FALSE)</f>
        <v>106.9</v>
      </c>
      <c r="J821" s="95">
        <f>VLOOKUP(E821,CompDbase!B:L,9,FALSE)</f>
        <v>610.59105234897152</v>
      </c>
      <c r="K821" s="95">
        <f>VLOOKUP(E821,CompDbase!B:L,10,FALSE)</f>
        <v>2.73</v>
      </c>
      <c r="L821" s="4" t="s">
        <v>717</v>
      </c>
      <c r="O821" s="4" t="s">
        <v>1082</v>
      </c>
      <c r="P821">
        <v>293</v>
      </c>
      <c r="Q821" s="4" t="s">
        <v>1049</v>
      </c>
      <c r="R821" s="289" t="s">
        <v>1982</v>
      </c>
      <c r="S821">
        <v>0.1</v>
      </c>
      <c r="T821" s="95">
        <f t="shared" si="617"/>
        <v>1.637757376484563E-4</v>
      </c>
      <c r="W821">
        <v>140</v>
      </c>
      <c r="X821" s="288">
        <f t="shared" si="651"/>
        <v>2.1461280356782382</v>
      </c>
      <c r="Y821">
        <v>5.3000000000000006E-13</v>
      </c>
      <c r="Z821" s="95">
        <f t="shared" si="646"/>
        <v>-12.275724130399212</v>
      </c>
      <c r="AA821" s="95">
        <f t="shared" si="652"/>
        <v>7.4200000000000013E-11</v>
      </c>
      <c r="AB821" s="288">
        <f t="shared" si="653"/>
        <v>-10.129596094720974</v>
      </c>
      <c r="AC821" s="95" t="s">
        <v>68</v>
      </c>
      <c r="AD821" s="95"/>
      <c r="AG821" s="138">
        <f t="shared" si="654"/>
        <v>2.1461280356782382</v>
      </c>
      <c r="AH821">
        <f t="shared" si="655"/>
        <v>2.73</v>
      </c>
      <c r="AK821">
        <f t="shared" si="682"/>
        <v>2.73</v>
      </c>
      <c r="BW821" s="138"/>
      <c r="BX821">
        <f t="shared" si="657"/>
        <v>2.7857504358225516</v>
      </c>
      <c r="CA821">
        <f>LOG(1*$J821)</f>
        <v>2.7857504358225516</v>
      </c>
      <c r="DG821">
        <f t="shared" ref="DG821:DG822" si="703">Z821</f>
        <v>-12.275724130399212</v>
      </c>
      <c r="DH821">
        <f t="shared" ref="DH821:DI822" si="704">$H821</f>
        <v>92.14249284505685</v>
      </c>
      <c r="DK821">
        <f t="shared" ref="DK821" si="705">$H821</f>
        <v>92.14249284505685</v>
      </c>
      <c r="DM821">
        <f t="shared" ref="DM821" si="706">$H821</f>
        <v>92.14249284505685</v>
      </c>
      <c r="EY821" s="479">
        <f>VLOOKUP(B821,Literatuur!$A:$B,2,FALSE)</f>
        <v>18</v>
      </c>
      <c r="EZ821" t="str">
        <f t="shared" si="692"/>
        <v>Toluene</v>
      </c>
      <c r="FA821" t="str">
        <f t="shared" si="693"/>
        <v>MAK</v>
      </c>
      <c r="FB821" t="str">
        <f t="shared" si="694"/>
        <v>HDPE</v>
      </c>
      <c r="FC821" t="str">
        <f t="shared" si="695"/>
        <v>Permeation</v>
      </c>
      <c r="FD821">
        <f t="shared" si="696"/>
        <v>293</v>
      </c>
      <c r="FE821" t="str">
        <f t="shared" si="697"/>
        <v>water</v>
      </c>
      <c r="FF821" t="str">
        <f t="shared" si="698"/>
        <v>measured 0.1</v>
      </c>
      <c r="FG821" s="408">
        <f t="shared" si="690"/>
        <v>1.637757376484563E-4</v>
      </c>
      <c r="FH821" s="138">
        <f t="shared" si="699"/>
        <v>2.1461280356782382</v>
      </c>
      <c r="FI821" s="106" t="str">
        <f t="shared" si="691"/>
        <v>**</v>
      </c>
      <c r="FJ821" s="138">
        <f t="shared" si="700"/>
        <v>-12.275724130399212</v>
      </c>
      <c r="FK821" s="138">
        <f t="shared" si="687"/>
        <v>-12.22349750614883</v>
      </c>
    </row>
    <row r="822" spans="1:167" ht="12.75" hidden="1" customHeight="1" x14ac:dyDescent="0.2">
      <c r="A822">
        <v>787</v>
      </c>
      <c r="B822" t="s">
        <v>1231</v>
      </c>
      <c r="D822" s="4" t="s">
        <v>694</v>
      </c>
      <c r="E822">
        <v>201</v>
      </c>
      <c r="F822" t="str">
        <f>VLOOKUP(E822,CompDbase!B:L,4,FALSE)</f>
        <v>Ethylbenzene</v>
      </c>
      <c r="G822" s="95" t="str">
        <f>VLOOKUP(E822,CompDbase!B:M,12,FALSE)</f>
        <v>MAK</v>
      </c>
      <c r="H822" s="95">
        <f>VLOOKUP(E822,CompDbase!B:L,8,FALSE)</f>
        <v>106.18666499232586</v>
      </c>
      <c r="I822" s="95" t="e">
        <f>VLOOKUP(E822,CompDbase!B:L,11,FALSE)</f>
        <v>#DIV/0!</v>
      </c>
      <c r="J822" s="95">
        <f>VLOOKUP(E822,CompDbase!B:L,9,FALSE)</f>
        <v>159.4494296665228</v>
      </c>
      <c r="K822" s="95">
        <f>VLOOKUP(E822,CompDbase!B:L,10,FALSE)</f>
        <v>3.15</v>
      </c>
      <c r="L822" s="4" t="s">
        <v>717</v>
      </c>
      <c r="M822" s="420">
        <v>940000</v>
      </c>
      <c r="N822" s="420"/>
      <c r="O822" s="4" t="s">
        <v>1044</v>
      </c>
      <c r="P822">
        <v>293</v>
      </c>
      <c r="Q822" s="4" t="s">
        <v>1049</v>
      </c>
      <c r="T822" s="95">
        <v>1</v>
      </c>
      <c r="V822">
        <v>7.85E-2</v>
      </c>
      <c r="W822" s="95">
        <f>V822*M822/J822</f>
        <v>462.77995571590668</v>
      </c>
      <c r="X822" s="288">
        <f t="shared" si="651"/>
        <v>2.6653745401878921</v>
      </c>
      <c r="Y822">
        <v>2.7799999999999999E-12</v>
      </c>
      <c r="Z822" s="95">
        <f t="shared" si="646"/>
        <v>-11.555955204081924</v>
      </c>
      <c r="AA822" s="95">
        <f t="shared" si="652"/>
        <v>1.2865282768902206E-9</v>
      </c>
      <c r="AB822" s="288">
        <f t="shared" si="653"/>
        <v>-8.8905806638940312</v>
      </c>
      <c r="AC822" s="95" t="s">
        <v>68</v>
      </c>
      <c r="AD822" s="95"/>
      <c r="AG822" s="138">
        <f t="shared" si="654"/>
        <v>2.6653745401878921</v>
      </c>
      <c r="AH822">
        <f t="shared" si="655"/>
        <v>3.15</v>
      </c>
      <c r="AI822">
        <f t="shared" si="655"/>
        <v>3.15</v>
      </c>
      <c r="AL822">
        <f t="shared" ref="AL822" si="707">$K822</f>
        <v>3.15</v>
      </c>
      <c r="AO822">
        <f t="shared" ref="AO822" si="708">$K822</f>
        <v>3.15</v>
      </c>
      <c r="BW822" s="138"/>
      <c r="BX822">
        <f t="shared" si="657"/>
        <v>2.202622970157059</v>
      </c>
      <c r="BY822">
        <f>LOG(1*$J822)</f>
        <v>2.202622970157059</v>
      </c>
      <c r="CB822">
        <f>LOG(1*$J822)</f>
        <v>2.202622970157059</v>
      </c>
      <c r="CE822">
        <f>LOG(1*$J822)</f>
        <v>2.202622970157059</v>
      </c>
      <c r="DG822">
        <f t="shared" si="703"/>
        <v>-11.555955204081924</v>
      </c>
      <c r="DH822">
        <f t="shared" si="704"/>
        <v>106.18666499232586</v>
      </c>
      <c r="DI822">
        <f t="shared" si="704"/>
        <v>106.18666499232586</v>
      </c>
      <c r="EY822" s="479">
        <f>VLOOKUP(B822,Literatuur!$A:$B,2,FALSE)</f>
        <v>19</v>
      </c>
      <c r="EZ822" t="str">
        <f t="shared" si="692"/>
        <v>Ethylbenzene</v>
      </c>
      <c r="FA822" t="str">
        <f t="shared" si="693"/>
        <v>MAK</v>
      </c>
      <c r="FB822" t="str">
        <f t="shared" si="694"/>
        <v>HDPE</v>
      </c>
      <c r="FC822" t="str">
        <f t="shared" si="695"/>
        <v>Immersion</v>
      </c>
      <c r="FD822">
        <f t="shared" si="696"/>
        <v>293</v>
      </c>
      <c r="FE822" t="str">
        <f t="shared" si="697"/>
        <v>water</v>
      </c>
      <c r="FF822" t="str">
        <f t="shared" si="698"/>
        <v xml:space="preserve"> </v>
      </c>
      <c r="FG822" s="408">
        <f t="shared" si="690"/>
        <v>1</v>
      </c>
      <c r="FH822" s="138">
        <f t="shared" si="699"/>
        <v>2.6653745401878921</v>
      </c>
      <c r="FI822" s="106">
        <f t="shared" si="691"/>
        <v>2.2755733491444419</v>
      </c>
      <c r="FJ822" s="138">
        <f t="shared" si="700"/>
        <v>-11.555955204081924</v>
      </c>
      <c r="FK822" s="138" t="str">
        <f t="shared" si="687"/>
        <v>**</v>
      </c>
    </row>
    <row r="823" spans="1:167" ht="12.75" hidden="1" customHeight="1" x14ac:dyDescent="0.2">
      <c r="A823">
        <v>788</v>
      </c>
      <c r="B823" t="s">
        <v>1231</v>
      </c>
      <c r="D823" s="4" t="s">
        <v>762</v>
      </c>
      <c r="E823">
        <v>205</v>
      </c>
      <c r="F823" t="str">
        <f>VLOOKUP(E823,CompDbase!B:L,4,FALSE)</f>
        <v>m-Xylene</v>
      </c>
      <c r="G823" s="95" t="str">
        <f>VLOOKUP(E823,CompDbase!B:M,12,FALSE)</f>
        <v>MAK</v>
      </c>
      <c r="H823" s="95">
        <f>VLOOKUP(E823,CompDbase!B:L,8,FALSE)</f>
        <v>106.18999905823263</v>
      </c>
      <c r="I823" s="95" t="e">
        <f>VLOOKUP(E823,CompDbase!B:L,11,FALSE)</f>
        <v>#DIV/0!</v>
      </c>
      <c r="J823" s="95">
        <f>VLOOKUP(E823,CompDbase!B:L,9,FALSE)</f>
        <v>197.40652052455141</v>
      </c>
      <c r="K823" s="95">
        <f>VLOOKUP(E823,CompDbase!B:L,10,FALSE)</f>
        <v>3.2</v>
      </c>
      <c r="L823" s="4" t="s">
        <v>717</v>
      </c>
      <c r="M823" s="420">
        <v>940000</v>
      </c>
      <c r="N823" s="420"/>
      <c r="O823" s="4" t="s">
        <v>1044</v>
      </c>
      <c r="P823">
        <v>293</v>
      </c>
      <c r="Q823" s="4" t="s">
        <v>1049</v>
      </c>
      <c r="S823">
        <v>1.5000000000000001E-2</v>
      </c>
      <c r="T823" s="95">
        <f>S823/J823</f>
        <v>7.5985331994818557E-5</v>
      </c>
      <c r="W823">
        <v>310.22000000000003</v>
      </c>
      <c r="X823" s="288">
        <f t="shared" si="651"/>
        <v>2.4916697935086654</v>
      </c>
      <c r="Y823">
        <v>3.1100000000000003E-12</v>
      </c>
      <c r="Z823" s="95">
        <f t="shared" si="646"/>
        <v>-11.507239610973162</v>
      </c>
      <c r="AA823" s="95">
        <f t="shared" si="652"/>
        <v>9.6478420000000015E-10</v>
      </c>
      <c r="AB823" s="288">
        <f t="shared" si="653"/>
        <v>-9.0155698174644971</v>
      </c>
      <c r="AC823" s="95">
        <v>1</v>
      </c>
      <c r="AD823" s="95">
        <v>1</v>
      </c>
      <c r="AG823" s="138">
        <f t="shared" si="654"/>
        <v>2.4916697935086654</v>
      </c>
      <c r="AH823">
        <f t="shared" si="655"/>
        <v>3.2</v>
      </c>
      <c r="BW823" s="138"/>
      <c r="BX823">
        <f t="shared" si="657"/>
        <v>2.2953614937290703</v>
      </c>
      <c r="EY823" s="479">
        <f>VLOOKUP(B823,Literatuur!$A:$B,2,FALSE)</f>
        <v>19</v>
      </c>
      <c r="EZ823" t="str">
        <f t="shared" si="692"/>
        <v>m-Xylene</v>
      </c>
      <c r="FA823" t="str">
        <f t="shared" si="693"/>
        <v>MAK</v>
      </c>
      <c r="FB823" t="str">
        <f t="shared" si="694"/>
        <v>HDPE</v>
      </c>
      <c r="FC823" t="str">
        <f t="shared" si="695"/>
        <v>Immersion</v>
      </c>
      <c r="FD823">
        <f t="shared" si="696"/>
        <v>293</v>
      </c>
      <c r="FE823" t="str">
        <f t="shared" si="697"/>
        <v>water</v>
      </c>
      <c r="FF823" t="str">
        <f t="shared" si="698"/>
        <v xml:space="preserve"> 0.015</v>
      </c>
      <c r="FG823" s="408">
        <f t="shared" si="690"/>
        <v>7.5985331994818557E-5</v>
      </c>
      <c r="FH823" s="138">
        <f t="shared" si="699"/>
        <v>2.4916697935086654</v>
      </c>
      <c r="FI823" s="106" t="str">
        <f t="shared" si="691"/>
        <v>**</v>
      </c>
      <c r="FJ823" s="138">
        <f t="shared" si="700"/>
        <v>-11.507239610973162</v>
      </c>
      <c r="FK823" s="138" t="str">
        <f t="shared" si="687"/>
        <v>**</v>
      </c>
    </row>
    <row r="824" spans="1:167" ht="12.75" hidden="1" customHeight="1" x14ac:dyDescent="0.2">
      <c r="A824">
        <v>789</v>
      </c>
      <c r="B824" t="s">
        <v>1231</v>
      </c>
      <c r="D824" s="4" t="s">
        <v>762</v>
      </c>
      <c r="E824">
        <v>205</v>
      </c>
      <c r="F824" t="str">
        <f>VLOOKUP(E824,CompDbase!B:L,4,FALSE)</f>
        <v>m-Xylene</v>
      </c>
      <c r="G824" s="95" t="str">
        <f>VLOOKUP(E824,CompDbase!B:M,12,FALSE)</f>
        <v>MAK</v>
      </c>
      <c r="H824" s="95">
        <f>VLOOKUP(E824,CompDbase!B:L,8,FALSE)</f>
        <v>106.18999905823263</v>
      </c>
      <c r="I824" s="95" t="e">
        <f>VLOOKUP(E824,CompDbase!B:L,11,FALSE)</f>
        <v>#DIV/0!</v>
      </c>
      <c r="J824" s="95">
        <f>VLOOKUP(E824,CompDbase!B:L,9,FALSE)</f>
        <v>197.40652052455141</v>
      </c>
      <c r="K824" s="95">
        <f>VLOOKUP(E824,CompDbase!B:L,10,FALSE)</f>
        <v>3.2</v>
      </c>
      <c r="L824" s="4" t="s">
        <v>717</v>
      </c>
      <c r="M824" s="420">
        <v>940000</v>
      </c>
      <c r="N824" s="420"/>
      <c r="O824" s="4" t="s">
        <v>1044</v>
      </c>
      <c r="P824">
        <v>293</v>
      </c>
      <c r="Q824" s="4" t="s">
        <v>1049</v>
      </c>
      <c r="S824">
        <v>4.5999999999999999E-2</v>
      </c>
      <c r="T824" s="95">
        <f>S824/J824</f>
        <v>2.330216847841102E-4</v>
      </c>
      <c r="W824">
        <v>215.81</v>
      </c>
      <c r="X824" s="288">
        <f t="shared" si="651"/>
        <v>2.334071564740765</v>
      </c>
      <c r="Y824">
        <v>3.0600000000000003E-12</v>
      </c>
      <c r="Z824" s="95">
        <f t="shared" si="646"/>
        <v>-11.514278573518419</v>
      </c>
      <c r="AA824" s="95">
        <f t="shared" si="652"/>
        <v>6.6037860000000012E-10</v>
      </c>
      <c r="AB824" s="288">
        <f t="shared" si="653"/>
        <v>-9.1802070087776553</v>
      </c>
      <c r="AC824" s="95">
        <v>1</v>
      </c>
      <c r="AD824" s="95">
        <v>1</v>
      </c>
      <c r="AG824" s="138">
        <f t="shared" si="654"/>
        <v>2.334071564740765</v>
      </c>
      <c r="AH824">
        <f t="shared" si="655"/>
        <v>3.2</v>
      </c>
      <c r="BW824" s="138"/>
      <c r="BX824">
        <f t="shared" si="657"/>
        <v>2.2953614937290703</v>
      </c>
      <c r="EY824" s="479">
        <f>VLOOKUP(B824,Literatuur!$A:$B,2,FALSE)</f>
        <v>19</v>
      </c>
      <c r="EZ824" t="str">
        <f t="shared" si="692"/>
        <v>m-Xylene</v>
      </c>
      <c r="FA824" t="str">
        <f t="shared" si="693"/>
        <v>MAK</v>
      </c>
      <c r="FB824" t="str">
        <f t="shared" si="694"/>
        <v>HDPE</v>
      </c>
      <c r="FC824" t="str">
        <f t="shared" si="695"/>
        <v>Immersion</v>
      </c>
      <c r="FD824">
        <f t="shared" si="696"/>
        <v>293</v>
      </c>
      <c r="FE824" t="str">
        <f t="shared" si="697"/>
        <v>water</v>
      </c>
      <c r="FF824" t="str">
        <f t="shared" si="698"/>
        <v xml:space="preserve"> 0.046</v>
      </c>
      <c r="FG824" s="408">
        <f t="shared" si="690"/>
        <v>2.330216847841102E-4</v>
      </c>
      <c r="FH824" s="138">
        <f t="shared" si="699"/>
        <v>2.334071564740765</v>
      </c>
      <c r="FI824" s="106" t="str">
        <f t="shared" si="691"/>
        <v>**</v>
      </c>
      <c r="FJ824" s="138">
        <f t="shared" si="700"/>
        <v>-11.514278573518419</v>
      </c>
      <c r="FK824" s="138" t="str">
        <f t="shared" si="687"/>
        <v>**</v>
      </c>
    </row>
    <row r="825" spans="1:167" ht="12.75" hidden="1" customHeight="1" x14ac:dyDescent="0.2">
      <c r="A825">
        <v>790</v>
      </c>
      <c r="B825" t="s">
        <v>1231</v>
      </c>
      <c r="D825" s="4" t="s">
        <v>762</v>
      </c>
      <c r="E825">
        <v>205</v>
      </c>
      <c r="F825" t="str">
        <f>VLOOKUP(E825,CompDbase!B:L,4,FALSE)</f>
        <v>m-Xylene</v>
      </c>
      <c r="G825" s="95" t="str">
        <f>VLOOKUP(E825,CompDbase!B:M,12,FALSE)</f>
        <v>MAK</v>
      </c>
      <c r="H825" s="95">
        <f>VLOOKUP(E825,CompDbase!B:L,8,FALSE)</f>
        <v>106.18999905823263</v>
      </c>
      <c r="I825" s="95" t="e">
        <f>VLOOKUP(E825,CompDbase!B:L,11,FALSE)</f>
        <v>#DIV/0!</v>
      </c>
      <c r="J825" s="95">
        <f>VLOOKUP(E825,CompDbase!B:L,9,FALSE)</f>
        <v>197.40652052455141</v>
      </c>
      <c r="K825" s="95">
        <f>VLOOKUP(E825,CompDbase!B:L,10,FALSE)</f>
        <v>3.2</v>
      </c>
      <c r="L825" s="4" t="s">
        <v>717</v>
      </c>
      <c r="M825" s="420">
        <v>940000</v>
      </c>
      <c r="N825" s="420"/>
      <c r="O825" s="4" t="s">
        <v>1044</v>
      </c>
      <c r="P825">
        <v>293</v>
      </c>
      <c r="Q825" s="4" t="s">
        <v>1049</v>
      </c>
      <c r="S825">
        <v>9.4E-2</v>
      </c>
      <c r="T825" s="95">
        <f>S825/J825</f>
        <v>4.7617474716752956E-4</v>
      </c>
      <c r="W825">
        <v>192.63</v>
      </c>
      <c r="X825" s="288">
        <f t="shared" si="651"/>
        <v>2.284723924636157</v>
      </c>
      <c r="Y825">
        <v>3.6100000000000002E-12</v>
      </c>
      <c r="Z825" s="95">
        <f t="shared" si="646"/>
        <v>-11.442492798094342</v>
      </c>
      <c r="AA825" s="95">
        <f t="shared" si="652"/>
        <v>6.9539430000000004E-10</v>
      </c>
      <c r="AB825" s="288">
        <f t="shared" si="653"/>
        <v>-9.1577688734581848</v>
      </c>
      <c r="AC825" s="95">
        <v>1</v>
      </c>
      <c r="AD825" s="95"/>
      <c r="AG825" s="138">
        <f t="shared" si="654"/>
        <v>2.284723924636157</v>
      </c>
      <c r="AH825">
        <f t="shared" si="655"/>
        <v>3.2</v>
      </c>
      <c r="BW825" s="138"/>
      <c r="BX825">
        <f t="shared" si="657"/>
        <v>2.2953614937290703</v>
      </c>
      <c r="DG825">
        <f>Z825</f>
        <v>-11.442492798094342</v>
      </c>
      <c r="DH825">
        <f>$H825</f>
        <v>106.18999905823263</v>
      </c>
      <c r="DI825">
        <f t="shared" ref="DI825" si="709">$H825</f>
        <v>106.18999905823263</v>
      </c>
      <c r="EY825" s="479">
        <f>VLOOKUP(B825,Literatuur!$A:$B,2,FALSE)</f>
        <v>19</v>
      </c>
      <c r="EZ825" t="str">
        <f t="shared" si="692"/>
        <v>m-Xylene</v>
      </c>
      <c r="FA825" t="str">
        <f t="shared" si="693"/>
        <v>MAK</v>
      </c>
      <c r="FB825" t="str">
        <f t="shared" si="694"/>
        <v>HDPE</v>
      </c>
      <c r="FC825" t="str">
        <f t="shared" si="695"/>
        <v>Immersion</v>
      </c>
      <c r="FD825">
        <f t="shared" si="696"/>
        <v>293</v>
      </c>
      <c r="FE825" t="str">
        <f t="shared" si="697"/>
        <v>water</v>
      </c>
      <c r="FF825" t="str">
        <f t="shared" si="698"/>
        <v xml:space="preserve"> 0.094</v>
      </c>
      <c r="FG825" s="408">
        <f t="shared" si="690"/>
        <v>4.7617474716752956E-4</v>
      </c>
      <c r="FH825" s="138">
        <f t="shared" si="699"/>
        <v>2.284723924636157</v>
      </c>
      <c r="FI825" s="106" t="str">
        <f t="shared" si="691"/>
        <v>**</v>
      </c>
      <c r="FJ825" s="138">
        <f t="shared" si="700"/>
        <v>-11.442492798094342</v>
      </c>
      <c r="FK825" s="138" t="str">
        <f t="shared" si="687"/>
        <v>**</v>
      </c>
    </row>
    <row r="826" spans="1:167" ht="12.75" hidden="1" customHeight="1" x14ac:dyDescent="0.2">
      <c r="A826">
        <v>791</v>
      </c>
      <c r="B826" t="s">
        <v>1231</v>
      </c>
      <c r="D826" s="4" t="s">
        <v>762</v>
      </c>
      <c r="E826">
        <v>205</v>
      </c>
      <c r="F826" t="str">
        <f>VLOOKUP(E826,CompDbase!B:L,4,FALSE)</f>
        <v>m-Xylene</v>
      </c>
      <c r="G826" s="95" t="str">
        <f>VLOOKUP(E826,CompDbase!B:M,12,FALSE)</f>
        <v>MAK</v>
      </c>
      <c r="H826" s="95">
        <f>VLOOKUP(E826,CompDbase!B:L,8,FALSE)</f>
        <v>106.18999905823263</v>
      </c>
      <c r="I826" s="95" t="e">
        <f>VLOOKUP(E826,CompDbase!B:L,11,FALSE)</f>
        <v>#DIV/0!</v>
      </c>
      <c r="J826" s="95">
        <f>VLOOKUP(E826,CompDbase!B:L,9,FALSE)</f>
        <v>197.40652052455141</v>
      </c>
      <c r="K826" s="95">
        <f>VLOOKUP(E826,CompDbase!B:L,10,FALSE)</f>
        <v>3.2</v>
      </c>
      <c r="L826" s="4" t="s">
        <v>717</v>
      </c>
      <c r="M826" s="420">
        <v>940000</v>
      </c>
      <c r="N826" s="420"/>
      <c r="O826" s="4" t="s">
        <v>1044</v>
      </c>
      <c r="P826">
        <v>293</v>
      </c>
      <c r="Q826" s="4" t="s">
        <v>1049</v>
      </c>
      <c r="S826">
        <v>0.14000000000000001</v>
      </c>
      <c r="T826" s="95">
        <f>S826/J826</f>
        <v>7.0919643195163987E-4</v>
      </c>
      <c r="W826">
        <v>201.32</v>
      </c>
      <c r="X826" s="288">
        <f t="shared" si="651"/>
        <v>2.3038869217251019</v>
      </c>
      <c r="Y826">
        <v>3.3300000000000001E-12</v>
      </c>
      <c r="Z826" s="95">
        <f t="shared" si="646"/>
        <v>-11.47755576649368</v>
      </c>
      <c r="AA826" s="95">
        <f t="shared" si="652"/>
        <v>6.7039560000000003E-10</v>
      </c>
      <c r="AB826" s="288">
        <f t="shared" si="653"/>
        <v>-9.1736688447685779</v>
      </c>
      <c r="AC826" s="95">
        <v>1</v>
      </c>
      <c r="AD826" s="95">
        <v>1</v>
      </c>
      <c r="AF826" s="338" t="s">
        <v>2007</v>
      </c>
      <c r="AG826" s="138">
        <f t="shared" si="654"/>
        <v>2.3038869217251019</v>
      </c>
      <c r="AH826">
        <f t="shared" si="655"/>
        <v>3.2</v>
      </c>
      <c r="BW826" s="138"/>
      <c r="BX826">
        <f t="shared" si="657"/>
        <v>2.2953614937290703</v>
      </c>
      <c r="EY826" s="479">
        <f>VLOOKUP(B826,Literatuur!$A:$B,2,FALSE)</f>
        <v>19</v>
      </c>
      <c r="EZ826" t="str">
        <f t="shared" si="692"/>
        <v>m-Xylene</v>
      </c>
      <c r="FA826" t="str">
        <f t="shared" si="693"/>
        <v>MAK</v>
      </c>
      <c r="FB826" t="str">
        <f t="shared" si="694"/>
        <v>HDPE</v>
      </c>
      <c r="FC826" t="str">
        <f t="shared" si="695"/>
        <v>Immersion</v>
      </c>
      <c r="FD826">
        <f t="shared" si="696"/>
        <v>293</v>
      </c>
      <c r="FE826" t="str">
        <f t="shared" si="697"/>
        <v>water</v>
      </c>
      <c r="FF826" t="str">
        <f t="shared" si="698"/>
        <v xml:space="preserve"> 0.14</v>
      </c>
      <c r="FG826" s="408">
        <f t="shared" si="690"/>
        <v>7.0919643195163987E-4</v>
      </c>
      <c r="FH826" s="138">
        <f t="shared" si="699"/>
        <v>2.3038869217251019</v>
      </c>
      <c r="FI826" s="106" t="str">
        <f t="shared" si="691"/>
        <v>**</v>
      </c>
      <c r="FJ826" s="138">
        <f t="shared" si="700"/>
        <v>-11.47755576649368</v>
      </c>
      <c r="FK826" s="138" t="str">
        <f t="shared" si="687"/>
        <v>**</v>
      </c>
    </row>
    <row r="827" spans="1:167" ht="12.75" hidden="1" customHeight="1" x14ac:dyDescent="0.2">
      <c r="A827">
        <v>792</v>
      </c>
      <c r="B827" s="13" t="s">
        <v>1231</v>
      </c>
      <c r="C827" s="13"/>
      <c r="D827" s="14" t="s">
        <v>762</v>
      </c>
      <c r="E827" s="13">
        <v>205</v>
      </c>
      <c r="F827" s="13" t="str">
        <f>VLOOKUP(E827,CompDbase!B:L,4,FALSE)</f>
        <v>m-Xylene</v>
      </c>
      <c r="G827" s="182" t="str">
        <f>VLOOKUP(E827,CompDbase!B:M,12,FALSE)</f>
        <v>MAK</v>
      </c>
      <c r="H827" s="182">
        <f>VLOOKUP(E827,CompDbase!B:L,8,FALSE)</f>
        <v>106.18999905823263</v>
      </c>
      <c r="I827" s="182" t="e">
        <f>VLOOKUP(E827,CompDbase!B:L,11,FALSE)</f>
        <v>#DIV/0!</v>
      </c>
      <c r="J827" s="182">
        <f>VLOOKUP(E827,CompDbase!B:L,9,FALSE)</f>
        <v>197.40652052455141</v>
      </c>
      <c r="K827" s="182">
        <f>VLOOKUP(E827,CompDbase!B:L,10,FALSE)</f>
        <v>3.2</v>
      </c>
      <c r="L827" s="14" t="s">
        <v>717</v>
      </c>
      <c r="M827" s="420">
        <v>940000</v>
      </c>
      <c r="N827" s="420"/>
      <c r="O827" s="14" t="s">
        <v>1044</v>
      </c>
      <c r="P827" s="13">
        <v>293</v>
      </c>
      <c r="Q827" s="14" t="s">
        <v>1049</v>
      </c>
      <c r="S827" s="13"/>
      <c r="T827" s="95">
        <v>1</v>
      </c>
      <c r="U827" s="13"/>
      <c r="V827" s="13">
        <v>8.5400000000000004E-2</v>
      </c>
      <c r="W827" s="95">
        <f>V827*M827/J827</f>
        <v>406.65323408107025</v>
      </c>
      <c r="X827" s="317">
        <f t="shared" si="651"/>
        <v>2.6092242305596334</v>
      </c>
      <c r="Y827" s="13">
        <v>3.6800000000000005E-12</v>
      </c>
      <c r="Z827" s="182">
        <f t="shared" si="646"/>
        <v>-11.434152181326482</v>
      </c>
      <c r="AA827" s="182">
        <f t="shared" si="652"/>
        <v>1.4964839014183387E-9</v>
      </c>
      <c r="AB827" s="288">
        <f t="shared" si="653"/>
        <v>-8.824927950766849</v>
      </c>
      <c r="AC827" s="95" t="s">
        <v>68</v>
      </c>
      <c r="AD827" s="95">
        <v>1</v>
      </c>
      <c r="AG827" s="138">
        <f t="shared" si="654"/>
        <v>2.6092242305596334</v>
      </c>
      <c r="AH827">
        <f t="shared" si="655"/>
        <v>3.2</v>
      </c>
      <c r="AI827">
        <f t="shared" si="655"/>
        <v>3.2</v>
      </c>
      <c r="AL827">
        <f t="shared" ref="AL827" si="710">$K827</f>
        <v>3.2</v>
      </c>
      <c r="AO827">
        <f t="shared" ref="AO827" si="711">$K827</f>
        <v>3.2</v>
      </c>
      <c r="BW827" s="138"/>
      <c r="BX827">
        <f t="shared" si="657"/>
        <v>2.2953614937290703</v>
      </c>
      <c r="BY827">
        <f>LOG(1*$J827)</f>
        <v>2.2953614937290703</v>
      </c>
      <c r="CB827">
        <f>LOG(1*$J827)</f>
        <v>2.2953614937290703</v>
      </c>
      <c r="CE827">
        <f>LOG(1*$J827)</f>
        <v>2.2953614937290703</v>
      </c>
      <c r="EY827" s="479">
        <f>VLOOKUP(B827,Literatuur!$A:$B,2,FALSE)</f>
        <v>19</v>
      </c>
      <c r="EZ827" t="str">
        <f t="shared" si="692"/>
        <v>m-Xylene</v>
      </c>
      <c r="FA827" t="str">
        <f t="shared" si="693"/>
        <v>MAK</v>
      </c>
      <c r="FB827" t="str">
        <f t="shared" si="694"/>
        <v>HDPE</v>
      </c>
      <c r="FC827" t="str">
        <f t="shared" si="695"/>
        <v>Immersion</v>
      </c>
      <c r="FD827">
        <f t="shared" si="696"/>
        <v>293</v>
      </c>
      <c r="FE827" t="str">
        <f t="shared" si="697"/>
        <v>water</v>
      </c>
      <c r="FF827" t="str">
        <f t="shared" si="698"/>
        <v xml:space="preserve"> </v>
      </c>
      <c r="FG827" s="408">
        <f t="shared" si="690"/>
        <v>1</v>
      </c>
      <c r="FH827" s="138">
        <f t="shared" si="699"/>
        <v>2.6092242305596334</v>
      </c>
      <c r="FI827" s="106">
        <f t="shared" si="691"/>
        <v>2.3341762957055052</v>
      </c>
      <c r="FJ827" s="138">
        <f t="shared" si="700"/>
        <v>-11.434152181326482</v>
      </c>
      <c r="FK827" s="138" t="str">
        <f t="shared" si="687"/>
        <v>**</v>
      </c>
    </row>
    <row r="828" spans="1:167" ht="12.75" hidden="1" customHeight="1" x14ac:dyDescent="0.2">
      <c r="A828">
        <v>793</v>
      </c>
      <c r="B828" t="s">
        <v>1231</v>
      </c>
      <c r="D828" s="4" t="s">
        <v>492</v>
      </c>
      <c r="E828">
        <v>204</v>
      </c>
      <c r="F828" t="str">
        <f>VLOOKUP(E828,CompDbase!B:L,4,FALSE)</f>
        <v>Toluene</v>
      </c>
      <c r="G828" s="95" t="str">
        <f>VLOOKUP(E828,CompDbase!B:M,12,FALSE)</f>
        <v>MAK</v>
      </c>
      <c r="H828" s="95">
        <f>VLOOKUP(E828,CompDbase!B:L,8,FALSE)</f>
        <v>92.14249284505685</v>
      </c>
      <c r="I828" s="95">
        <f>VLOOKUP(E828,CompDbase!B:L,11,FALSE)</f>
        <v>106.9</v>
      </c>
      <c r="J828" s="95">
        <f>VLOOKUP(E828,CompDbase!B:L,9,FALSE)</f>
        <v>610.59105234897152</v>
      </c>
      <c r="K828" s="95">
        <f>VLOOKUP(E828,CompDbase!B:L,10,FALSE)</f>
        <v>2.73</v>
      </c>
      <c r="L828" s="4" t="s">
        <v>717</v>
      </c>
      <c r="M828" s="420">
        <v>940000</v>
      </c>
      <c r="N828" s="420"/>
      <c r="O828" s="4" t="s">
        <v>1044</v>
      </c>
      <c r="P828">
        <v>293</v>
      </c>
      <c r="Q828" s="4" t="s">
        <v>1049</v>
      </c>
      <c r="R828" s="289" t="s">
        <v>1982</v>
      </c>
      <c r="S828">
        <v>2.1887500000000004E-2</v>
      </c>
      <c r="T828" s="95">
        <f>S828/J828</f>
        <v>3.5846414577805878E-5</v>
      </c>
      <c r="W828">
        <v>151.03</v>
      </c>
      <c r="X828" s="288">
        <f t="shared" si="651"/>
        <v>2.17906322239498</v>
      </c>
      <c r="Y828">
        <v>5.5500000000000004E-12</v>
      </c>
      <c r="Z828" s="95">
        <f t="shared" si="646"/>
        <v>-11.255707016877324</v>
      </c>
      <c r="AA828" s="95">
        <f t="shared" si="652"/>
        <v>8.3821650000000005E-10</v>
      </c>
      <c r="AB828" s="288">
        <f t="shared" si="653"/>
        <v>-9.0766437944823437</v>
      </c>
      <c r="AC828" s="95">
        <v>1</v>
      </c>
      <c r="AD828" s="95">
        <v>1</v>
      </c>
      <c r="AG828" s="138">
        <f t="shared" si="654"/>
        <v>2.17906322239498</v>
      </c>
      <c r="AH828">
        <f t="shared" si="655"/>
        <v>2.73</v>
      </c>
      <c r="BW828" s="138"/>
      <c r="BX828">
        <f t="shared" si="657"/>
        <v>2.7857504358225516</v>
      </c>
      <c r="EY828" s="479">
        <f>VLOOKUP(B828,Literatuur!$A:$B,2,FALSE)</f>
        <v>19</v>
      </c>
      <c r="EZ828" t="str">
        <f t="shared" si="692"/>
        <v>Toluene</v>
      </c>
      <c r="FA828" t="str">
        <f t="shared" si="693"/>
        <v>MAK</v>
      </c>
      <c r="FB828" t="str">
        <f t="shared" si="694"/>
        <v>HDPE</v>
      </c>
      <c r="FC828" t="str">
        <f t="shared" si="695"/>
        <v>Immersion</v>
      </c>
      <c r="FD828">
        <f t="shared" si="696"/>
        <v>293</v>
      </c>
      <c r="FE828" t="str">
        <f t="shared" si="697"/>
        <v>water</v>
      </c>
      <c r="FF828" t="str">
        <f t="shared" si="698"/>
        <v>measured 0.0218875</v>
      </c>
      <c r="FG828" s="408">
        <f t="shared" si="690"/>
        <v>3.5846414577805878E-5</v>
      </c>
      <c r="FH828" s="138">
        <f t="shared" si="699"/>
        <v>2.17906322239498</v>
      </c>
      <c r="FI828" s="106" t="str">
        <f t="shared" si="691"/>
        <v>**</v>
      </c>
      <c r="FJ828" s="138">
        <f t="shared" si="700"/>
        <v>-11.255707016877324</v>
      </c>
      <c r="FK828" s="138" t="str">
        <f t="shared" si="687"/>
        <v>**</v>
      </c>
    </row>
    <row r="829" spans="1:167" ht="12.75" hidden="1" customHeight="1" x14ac:dyDescent="0.2">
      <c r="A829">
        <v>794</v>
      </c>
      <c r="B829" t="s">
        <v>1231</v>
      </c>
      <c r="D829" s="4" t="s">
        <v>492</v>
      </c>
      <c r="E829">
        <v>204</v>
      </c>
      <c r="F829" t="str">
        <f>VLOOKUP(E829,CompDbase!B:L,4,FALSE)</f>
        <v>Toluene</v>
      </c>
      <c r="G829" s="95" t="str">
        <f>VLOOKUP(E829,CompDbase!B:M,12,FALSE)</f>
        <v>MAK</v>
      </c>
      <c r="H829" s="95">
        <f>VLOOKUP(E829,CompDbase!B:L,8,FALSE)</f>
        <v>92.14249284505685</v>
      </c>
      <c r="I829" s="95">
        <f>VLOOKUP(E829,CompDbase!B:L,11,FALSE)</f>
        <v>106.9</v>
      </c>
      <c r="J829" s="95">
        <f>VLOOKUP(E829,CompDbase!B:L,9,FALSE)</f>
        <v>610.59105234897152</v>
      </c>
      <c r="K829" s="95">
        <f>VLOOKUP(E829,CompDbase!B:L,10,FALSE)</f>
        <v>2.73</v>
      </c>
      <c r="L829" s="4" t="s">
        <v>717</v>
      </c>
      <c r="M829" s="420">
        <v>940000</v>
      </c>
      <c r="N829" s="420"/>
      <c r="O829" s="4" t="s">
        <v>1044</v>
      </c>
      <c r="P829">
        <v>293</v>
      </c>
      <c r="Q829" s="4" t="s">
        <v>1049</v>
      </c>
      <c r="R829" s="289" t="s">
        <v>1982</v>
      </c>
      <c r="S829">
        <v>0.141625</v>
      </c>
      <c r="T829" s="95">
        <f>S829/J829</f>
        <v>2.3194738844462622E-4</v>
      </c>
      <c r="W829">
        <v>83.92</v>
      </c>
      <c r="X829" s="288">
        <f t="shared" si="651"/>
        <v>1.9238654751855016</v>
      </c>
      <c r="Y829">
        <v>3.47E-12</v>
      </c>
      <c r="Z829" s="95">
        <f t="shared" si="646"/>
        <v>-11.459670525209127</v>
      </c>
      <c r="AA829" s="95">
        <f t="shared" si="652"/>
        <v>2.9120239999999998E-10</v>
      </c>
      <c r="AB829" s="288">
        <f t="shared" si="653"/>
        <v>-9.5358050500236242</v>
      </c>
      <c r="AC829" s="95">
        <v>1</v>
      </c>
      <c r="AD829" s="95">
        <v>1</v>
      </c>
      <c r="AG829" s="138">
        <f t="shared" si="654"/>
        <v>1.9238654751855016</v>
      </c>
      <c r="AH829">
        <f t="shared" si="655"/>
        <v>2.73</v>
      </c>
      <c r="BW829" s="138"/>
      <c r="BX829">
        <f t="shared" si="657"/>
        <v>2.7857504358225516</v>
      </c>
      <c r="EY829" s="479">
        <f>VLOOKUP(B829,Literatuur!$A:$B,2,FALSE)</f>
        <v>19</v>
      </c>
      <c r="EZ829" t="str">
        <f t="shared" si="692"/>
        <v>Toluene</v>
      </c>
      <c r="FA829" t="str">
        <f t="shared" si="693"/>
        <v>MAK</v>
      </c>
      <c r="FB829" t="str">
        <f t="shared" si="694"/>
        <v>HDPE</v>
      </c>
      <c r="FC829" t="str">
        <f t="shared" si="695"/>
        <v>Immersion</v>
      </c>
      <c r="FD829">
        <f t="shared" si="696"/>
        <v>293</v>
      </c>
      <c r="FE829" t="str">
        <f t="shared" si="697"/>
        <v>water</v>
      </c>
      <c r="FF829" t="str">
        <f t="shared" si="698"/>
        <v>measured 0.141625</v>
      </c>
      <c r="FG829" s="408">
        <f t="shared" si="690"/>
        <v>2.3194738844462622E-4</v>
      </c>
      <c r="FH829" s="138">
        <f t="shared" si="699"/>
        <v>1.9238654751855016</v>
      </c>
      <c r="FI829" s="106" t="str">
        <f t="shared" si="691"/>
        <v>**</v>
      </c>
      <c r="FJ829" s="138">
        <f t="shared" si="700"/>
        <v>-11.459670525209127</v>
      </c>
      <c r="FK829" s="138" t="str">
        <f t="shared" si="687"/>
        <v>**</v>
      </c>
    </row>
    <row r="830" spans="1:167" ht="12.75" hidden="1" customHeight="1" x14ac:dyDescent="0.2">
      <c r="A830">
        <v>795</v>
      </c>
      <c r="B830" t="s">
        <v>1231</v>
      </c>
      <c r="D830" s="4" t="s">
        <v>492</v>
      </c>
      <c r="E830">
        <v>204</v>
      </c>
      <c r="F830" t="str">
        <f>VLOOKUP(E830,CompDbase!B:L,4,FALSE)</f>
        <v>Toluene</v>
      </c>
      <c r="G830" s="95" t="str">
        <f>VLOOKUP(E830,CompDbase!B:M,12,FALSE)</f>
        <v>MAK</v>
      </c>
      <c r="H830" s="95">
        <f>VLOOKUP(E830,CompDbase!B:L,8,FALSE)</f>
        <v>92.14249284505685</v>
      </c>
      <c r="I830" s="95">
        <f>VLOOKUP(E830,CompDbase!B:L,11,FALSE)</f>
        <v>106.9</v>
      </c>
      <c r="J830" s="95">
        <f>VLOOKUP(E830,CompDbase!B:L,9,FALSE)</f>
        <v>610.59105234897152</v>
      </c>
      <c r="K830" s="95">
        <f>VLOOKUP(E830,CompDbase!B:L,10,FALSE)</f>
        <v>2.73</v>
      </c>
      <c r="L830" s="4" t="s">
        <v>717</v>
      </c>
      <c r="M830" s="420">
        <v>940000</v>
      </c>
      <c r="N830" s="420"/>
      <c r="O830" s="4" t="s">
        <v>1044</v>
      </c>
      <c r="P830">
        <v>293</v>
      </c>
      <c r="Q830" s="4" t="s">
        <v>1049</v>
      </c>
      <c r="R830" s="289" t="s">
        <v>1982</v>
      </c>
      <c r="S830">
        <v>0.27294999999999997</v>
      </c>
      <c r="T830" s="95">
        <f>S830/J830</f>
        <v>4.470258759114614E-4</v>
      </c>
      <c r="W830">
        <v>86.27</v>
      </c>
      <c r="X830" s="288">
        <f t="shared" si="651"/>
        <v>1.9358597980378804</v>
      </c>
      <c r="Y830">
        <v>4.7200000000000001E-12</v>
      </c>
      <c r="Z830" s="95">
        <f t="shared" si="646"/>
        <v>-11.326058001365912</v>
      </c>
      <c r="AA830" s="95">
        <f t="shared" si="652"/>
        <v>4.0719439999999997E-10</v>
      </c>
      <c r="AB830" s="288">
        <f t="shared" si="653"/>
        <v>-9.3901982033280316</v>
      </c>
      <c r="AC830" s="95">
        <v>1</v>
      </c>
      <c r="AD830" s="95"/>
      <c r="AG830" s="138">
        <f t="shared" si="654"/>
        <v>1.9358597980378804</v>
      </c>
      <c r="AH830">
        <f t="shared" si="655"/>
        <v>2.73</v>
      </c>
      <c r="BW830" s="138"/>
      <c r="BX830">
        <f t="shared" si="657"/>
        <v>2.7857504358225516</v>
      </c>
      <c r="DG830">
        <f>Z830</f>
        <v>-11.326058001365912</v>
      </c>
      <c r="DH830">
        <f>$H830</f>
        <v>92.14249284505685</v>
      </c>
      <c r="DI830">
        <f t="shared" ref="DI830" si="712">$H830</f>
        <v>92.14249284505685</v>
      </c>
      <c r="EY830" s="479">
        <f>VLOOKUP(B830,Literatuur!$A:$B,2,FALSE)</f>
        <v>19</v>
      </c>
      <c r="EZ830" t="str">
        <f t="shared" si="692"/>
        <v>Toluene</v>
      </c>
      <c r="FA830" t="str">
        <f t="shared" si="693"/>
        <v>MAK</v>
      </c>
      <c r="FB830" t="str">
        <f t="shared" si="694"/>
        <v>HDPE</v>
      </c>
      <c r="FC830" t="str">
        <f t="shared" si="695"/>
        <v>Immersion</v>
      </c>
      <c r="FD830">
        <f t="shared" si="696"/>
        <v>293</v>
      </c>
      <c r="FE830" t="str">
        <f t="shared" si="697"/>
        <v>water</v>
      </c>
      <c r="FF830" t="str">
        <f t="shared" si="698"/>
        <v>measured 0.27295</v>
      </c>
      <c r="FG830" s="408">
        <f t="shared" si="690"/>
        <v>4.470258759114614E-4</v>
      </c>
      <c r="FH830" s="138">
        <f t="shared" si="699"/>
        <v>1.9358597980378804</v>
      </c>
      <c r="FI830" s="106" t="str">
        <f t="shared" si="691"/>
        <v>**</v>
      </c>
      <c r="FJ830" s="138">
        <f t="shared" si="700"/>
        <v>-11.326058001365912</v>
      </c>
      <c r="FK830" s="138" t="str">
        <f t="shared" si="687"/>
        <v>**</v>
      </c>
    </row>
    <row r="831" spans="1:167" ht="12.75" hidden="1" customHeight="1" x14ac:dyDescent="0.2">
      <c r="A831">
        <v>796</v>
      </c>
      <c r="B831" t="s">
        <v>1231</v>
      </c>
      <c r="D831" s="4" t="s">
        <v>492</v>
      </c>
      <c r="E831">
        <v>204</v>
      </c>
      <c r="F831" t="str">
        <f>VLOOKUP(E831,CompDbase!B:L,4,FALSE)</f>
        <v>Toluene</v>
      </c>
      <c r="G831" s="95" t="str">
        <f>VLOOKUP(E831,CompDbase!B:M,12,FALSE)</f>
        <v>MAK</v>
      </c>
      <c r="H831" s="95">
        <f>VLOOKUP(E831,CompDbase!B:L,8,FALSE)</f>
        <v>92.14249284505685</v>
      </c>
      <c r="I831" s="95">
        <f>VLOOKUP(E831,CompDbase!B:L,11,FALSE)</f>
        <v>106.9</v>
      </c>
      <c r="J831" s="95">
        <f>VLOOKUP(E831,CompDbase!B:L,9,FALSE)</f>
        <v>610.59105234897152</v>
      </c>
      <c r="K831" s="95">
        <f>VLOOKUP(E831,CompDbase!B:L,10,FALSE)</f>
        <v>2.73</v>
      </c>
      <c r="L831" s="4" t="s">
        <v>717</v>
      </c>
      <c r="M831" s="420">
        <v>940000</v>
      </c>
      <c r="N831" s="420"/>
      <c r="O831" s="4" t="s">
        <v>1044</v>
      </c>
      <c r="P831">
        <v>293</v>
      </c>
      <c r="Q831" s="4" t="s">
        <v>1049</v>
      </c>
      <c r="R831" s="289" t="s">
        <v>1982</v>
      </c>
      <c r="S831">
        <v>0.41972499999999996</v>
      </c>
      <c r="T831" s="95">
        <f>S831/J831</f>
        <v>6.8740771484498313E-4</v>
      </c>
      <c r="W831">
        <v>63.45</v>
      </c>
      <c r="X831" s="288">
        <f t="shared" si="651"/>
        <v>1.8024316264307236</v>
      </c>
      <c r="Y831">
        <v>5.1400000000000003E-12</v>
      </c>
      <c r="Z831" s="95">
        <f t="shared" si="646"/>
        <v>-11.289036881004725</v>
      </c>
      <c r="AA831" s="95">
        <f t="shared" si="652"/>
        <v>3.2613300000000002E-10</v>
      </c>
      <c r="AB831" s="288">
        <f t="shared" si="653"/>
        <v>-9.4866052545740001</v>
      </c>
      <c r="AC831" s="95">
        <v>1</v>
      </c>
      <c r="AD831" s="95">
        <v>1</v>
      </c>
      <c r="AF831" s="338" t="s">
        <v>2007</v>
      </c>
      <c r="AG831" s="138">
        <f t="shared" si="654"/>
        <v>1.8024316264307236</v>
      </c>
      <c r="AH831">
        <f t="shared" si="655"/>
        <v>2.73</v>
      </c>
      <c r="BW831" s="138"/>
      <c r="BX831">
        <f t="shared" si="657"/>
        <v>2.7857504358225516</v>
      </c>
      <c r="EY831" s="479">
        <f>VLOOKUP(B831,Literatuur!$A:$B,2,FALSE)</f>
        <v>19</v>
      </c>
      <c r="EZ831" t="str">
        <f t="shared" si="692"/>
        <v>Toluene</v>
      </c>
      <c r="FA831" t="str">
        <f t="shared" si="693"/>
        <v>MAK</v>
      </c>
      <c r="FB831" t="str">
        <f t="shared" si="694"/>
        <v>HDPE</v>
      </c>
      <c r="FC831" t="str">
        <f t="shared" si="695"/>
        <v>Immersion</v>
      </c>
      <c r="FD831">
        <f t="shared" si="696"/>
        <v>293</v>
      </c>
      <c r="FE831" t="str">
        <f t="shared" si="697"/>
        <v>water</v>
      </c>
      <c r="FF831" t="str">
        <f t="shared" si="698"/>
        <v>measured 0.419725</v>
      </c>
      <c r="FG831" s="408">
        <f t="shared" si="690"/>
        <v>6.8740771484498313E-4</v>
      </c>
      <c r="FH831" s="138">
        <f t="shared" si="699"/>
        <v>1.8024316264307236</v>
      </c>
      <c r="FI831" s="106" t="str">
        <f t="shared" si="691"/>
        <v>**</v>
      </c>
      <c r="FJ831" s="138">
        <f t="shared" si="700"/>
        <v>-11.289036881004725</v>
      </c>
      <c r="FK831" s="138" t="str">
        <f t="shared" si="687"/>
        <v>**</v>
      </c>
    </row>
    <row r="832" spans="1:167" ht="12.75" hidden="1" customHeight="1" x14ac:dyDescent="0.2">
      <c r="A832">
        <v>797</v>
      </c>
      <c r="B832" t="s">
        <v>1231</v>
      </c>
      <c r="D832" s="4" t="s">
        <v>492</v>
      </c>
      <c r="E832">
        <v>204</v>
      </c>
      <c r="F832" t="str">
        <f>VLOOKUP(E832,CompDbase!B:L,4,FALSE)</f>
        <v>Toluene</v>
      </c>
      <c r="G832" s="95" t="str">
        <f>VLOOKUP(E832,CompDbase!B:M,12,FALSE)</f>
        <v>MAK</v>
      </c>
      <c r="H832" s="95">
        <f>VLOOKUP(E832,CompDbase!B:L,8,FALSE)</f>
        <v>92.14249284505685</v>
      </c>
      <c r="I832" s="95">
        <f>VLOOKUP(E832,CompDbase!B:L,11,FALSE)</f>
        <v>106.9</v>
      </c>
      <c r="J832" s="95">
        <f>VLOOKUP(E832,CompDbase!B:L,9,FALSE)</f>
        <v>610.59105234897152</v>
      </c>
      <c r="K832" s="95">
        <f>VLOOKUP(E832,CompDbase!B:L,10,FALSE)</f>
        <v>2.73</v>
      </c>
      <c r="L832" s="4" t="s">
        <v>717</v>
      </c>
      <c r="M832" s="420">
        <v>940000</v>
      </c>
      <c r="N832" s="420"/>
      <c r="O832" s="4" t="s">
        <v>1044</v>
      </c>
      <c r="P832">
        <v>293</v>
      </c>
      <c r="Q832" s="4" t="s">
        <v>1049</v>
      </c>
      <c r="R832" s="289" t="s">
        <v>1993</v>
      </c>
      <c r="T832" s="95">
        <v>1</v>
      </c>
      <c r="V832">
        <v>8.3799999999999999E-2</v>
      </c>
      <c r="W832" s="95">
        <f>V832*M832/J832</f>
        <v>129.009424060442</v>
      </c>
      <c r="X832" s="288">
        <f t="shared" si="651"/>
        <v>2.1106214364074236</v>
      </c>
      <c r="Y832">
        <v>4.4400000000000013E-12</v>
      </c>
      <c r="Z832" s="95">
        <f t="shared" si="646"/>
        <v>-11.35261702988538</v>
      </c>
      <c r="AA832" s="95">
        <f t="shared" si="652"/>
        <v>5.728018428283627E-10</v>
      </c>
      <c r="AB832" s="288">
        <f t="shared" si="653"/>
        <v>-9.2419955934779559</v>
      </c>
      <c r="AC832" s="95" t="s">
        <v>68</v>
      </c>
      <c r="AD832" s="95">
        <v>1</v>
      </c>
      <c r="AG832" s="138">
        <f t="shared" si="654"/>
        <v>2.1106214364074236</v>
      </c>
      <c r="AH832">
        <f t="shared" si="655"/>
        <v>2.73</v>
      </c>
      <c r="AI832">
        <f t="shared" si="655"/>
        <v>2.73</v>
      </c>
      <c r="AL832">
        <f t="shared" ref="AL832" si="713">$K832</f>
        <v>2.73</v>
      </c>
      <c r="AO832">
        <f t="shared" ref="AO832" si="714">$K832</f>
        <v>2.73</v>
      </c>
      <c r="BW832" s="138"/>
      <c r="BX832">
        <f t="shared" si="657"/>
        <v>2.7857504358225516</v>
      </c>
      <c r="BY832">
        <f>LOG(1*$J832)</f>
        <v>2.7857504358225516</v>
      </c>
      <c r="CB832">
        <f>LOG(1*$J832)</f>
        <v>2.7857504358225516</v>
      </c>
      <c r="CE832">
        <f>LOG(1*$J832)</f>
        <v>2.7857504358225516</v>
      </c>
      <c r="EY832" s="479">
        <f>VLOOKUP(B832,Literatuur!$A:$B,2,FALSE)</f>
        <v>19</v>
      </c>
      <c r="EZ832" t="str">
        <f t="shared" si="692"/>
        <v>Toluene</v>
      </c>
      <c r="FA832" t="str">
        <f t="shared" si="693"/>
        <v>MAK</v>
      </c>
      <c r="FB832" t="str">
        <f t="shared" si="694"/>
        <v>HDPE</v>
      </c>
      <c r="FC832" t="str">
        <f t="shared" si="695"/>
        <v>Immersion</v>
      </c>
      <c r="FD832">
        <f t="shared" si="696"/>
        <v>293</v>
      </c>
      <c r="FE832" t="str">
        <f t="shared" si="697"/>
        <v>water</v>
      </c>
      <c r="FF832" t="str">
        <f t="shared" si="698"/>
        <v xml:space="preserve">pure product </v>
      </c>
      <c r="FG832" s="408">
        <f t="shared" si="690"/>
        <v>1</v>
      </c>
      <c r="FH832" s="138">
        <f t="shared" si="699"/>
        <v>2.1106214364074236</v>
      </c>
      <c r="FI832" s="106">
        <f t="shared" si="691"/>
        <v>1.7833085980315144</v>
      </c>
      <c r="FJ832" s="138">
        <f t="shared" si="700"/>
        <v>-11.35261702988538</v>
      </c>
      <c r="FK832" s="138" t="str">
        <f t="shared" si="687"/>
        <v>**</v>
      </c>
    </row>
    <row r="833" spans="1:167" s="9" customFormat="1" ht="12.75" customHeight="1" x14ac:dyDescent="0.2">
      <c r="A833">
        <v>798</v>
      </c>
      <c r="B833" s="9" t="s">
        <v>1984</v>
      </c>
      <c r="D833" s="10" t="s">
        <v>548</v>
      </c>
      <c r="E833" s="9">
        <v>200</v>
      </c>
      <c r="F833" s="9" t="str">
        <f>VLOOKUP(E833,CompDbase!B:L,4,FALSE)</f>
        <v>Benzene</v>
      </c>
      <c r="G833" s="181" t="str">
        <f>VLOOKUP(E833,CompDbase!B:M,12,FALSE)</f>
        <v>MAK</v>
      </c>
      <c r="H833" s="181">
        <f>VLOOKUP(E833,CompDbase!B:L,8,FALSE)</f>
        <v>78.106666524406961</v>
      </c>
      <c r="I833" s="181">
        <f>VLOOKUP(E833,CompDbase!B:L,11,FALSE)</f>
        <v>89.4</v>
      </c>
      <c r="J833" s="181">
        <f>VLOOKUP(E833,CompDbase!B:L,9,FALSE)</f>
        <v>1988.89882593368</v>
      </c>
      <c r="K833" s="181">
        <f>VLOOKUP(E833,CompDbase!B:L,10,FALSE)</f>
        <v>2.13</v>
      </c>
      <c r="L833" s="4" t="s">
        <v>717</v>
      </c>
      <c r="M833" s="425"/>
      <c r="N833" s="423"/>
      <c r="O833" s="10" t="s">
        <v>1981</v>
      </c>
      <c r="P833" s="9">
        <v>295</v>
      </c>
      <c r="Q833" s="10" t="s">
        <v>1049</v>
      </c>
      <c r="R833" s="289" t="s">
        <v>1982</v>
      </c>
      <c r="S833" s="9">
        <v>0.25</v>
      </c>
      <c r="T833" s="95">
        <f t="shared" ref="T833:T857" si="715">S833/J833</f>
        <v>1.2569769600152415E-4</v>
      </c>
      <c r="W833">
        <v>30</v>
      </c>
      <c r="X833" s="316">
        <f t="shared" si="651"/>
        <v>1.4771212547196624</v>
      </c>
      <c r="Z833" s="181"/>
      <c r="AF833"/>
      <c r="AG833" s="138">
        <f t="shared" si="654"/>
        <v>1.4771212547196624</v>
      </c>
      <c r="AH833">
        <f t="shared" si="655"/>
        <v>2.13</v>
      </c>
      <c r="AI833"/>
      <c r="AJ833">
        <v>2.13</v>
      </c>
      <c r="BW833" s="138"/>
      <c r="BX833">
        <f t="shared" si="657"/>
        <v>3.2986126913917664</v>
      </c>
      <c r="BY833"/>
      <c r="BZ833">
        <f>LOG(1*$J833)</f>
        <v>3.2986126913917664</v>
      </c>
      <c r="DF833"/>
      <c r="DG833" s="138"/>
      <c r="DH833"/>
      <c r="DI833"/>
      <c r="DJ833"/>
      <c r="DP833"/>
      <c r="EY833" s="479">
        <f>VLOOKUP(B833,Literatuur!$A:$B,2,FALSE)</f>
        <v>22</v>
      </c>
      <c r="EZ833" t="str">
        <f t="shared" si="692"/>
        <v>Benzene</v>
      </c>
      <c r="FA833" t="str">
        <f t="shared" si="693"/>
        <v>MAK</v>
      </c>
      <c r="FB833" t="str">
        <f t="shared" si="694"/>
        <v>HDPE</v>
      </c>
      <c r="FC833" t="str">
        <f t="shared" si="695"/>
        <v>DeSorption to water</v>
      </c>
      <c r="FD833">
        <f t="shared" si="696"/>
        <v>295</v>
      </c>
      <c r="FE833" t="str">
        <f t="shared" si="697"/>
        <v>water</v>
      </c>
      <c r="FF833" t="str">
        <f t="shared" si="698"/>
        <v>measured 0.25</v>
      </c>
      <c r="FG833" s="408">
        <f t="shared" si="690"/>
        <v>1.2569769600152415E-4</v>
      </c>
      <c r="FH833" s="138">
        <f t="shared" si="699"/>
        <v>1.4771212547196624</v>
      </c>
      <c r="FI833" s="106" t="str">
        <f t="shared" si="691"/>
        <v>**</v>
      </c>
      <c r="FJ833" s="138" t="str">
        <f t="shared" si="700"/>
        <v/>
      </c>
      <c r="FK833" s="138" t="str">
        <f t="shared" si="687"/>
        <v>**</v>
      </c>
    </row>
    <row r="834" spans="1:167" ht="12.75" customHeight="1" x14ac:dyDescent="0.2">
      <c r="A834">
        <v>799</v>
      </c>
      <c r="B834" t="s">
        <v>1984</v>
      </c>
      <c r="D834" s="4" t="s">
        <v>548</v>
      </c>
      <c r="E834">
        <v>200</v>
      </c>
      <c r="F834" t="str">
        <f>VLOOKUP(E834,CompDbase!B:L,4,FALSE)</f>
        <v>Benzene</v>
      </c>
      <c r="G834" s="95" t="str">
        <f>VLOOKUP(E834,CompDbase!B:M,12,FALSE)</f>
        <v>MAK</v>
      </c>
      <c r="H834" s="95">
        <f>VLOOKUP(E834,CompDbase!B:L,8,FALSE)</f>
        <v>78.106666524406961</v>
      </c>
      <c r="I834" s="95">
        <f>VLOOKUP(E834,CompDbase!B:L,11,FALSE)</f>
        <v>89.4</v>
      </c>
      <c r="J834" s="95">
        <f>VLOOKUP(E834,CompDbase!B:L,9,FALSE)</f>
        <v>1988.89882593368</v>
      </c>
      <c r="K834" s="95">
        <f>VLOOKUP(E834,CompDbase!B:L,10,FALSE)</f>
        <v>2.13</v>
      </c>
      <c r="L834" s="4" t="s">
        <v>717</v>
      </c>
      <c r="M834" s="423"/>
      <c r="N834" s="423"/>
      <c r="O834" s="4" t="s">
        <v>1044</v>
      </c>
      <c r="P834">
        <v>295</v>
      </c>
      <c r="Q834" s="4" t="s">
        <v>1049</v>
      </c>
      <c r="R834" s="289" t="s">
        <v>1982</v>
      </c>
      <c r="S834">
        <v>0.25</v>
      </c>
      <c r="T834" s="95">
        <f t="shared" si="715"/>
        <v>1.2569769600152415E-4</v>
      </c>
      <c r="W834">
        <v>36</v>
      </c>
      <c r="X834" s="288">
        <f t="shared" si="651"/>
        <v>1.5563025007672873</v>
      </c>
      <c r="Z834" s="95"/>
      <c r="AG834" s="138">
        <f t="shared" si="654"/>
        <v>1.5563025007672873</v>
      </c>
      <c r="AH834">
        <f t="shared" si="655"/>
        <v>2.13</v>
      </c>
      <c r="AI834">
        <f>$K834</f>
        <v>2.13</v>
      </c>
      <c r="AJ834">
        <v>3.15</v>
      </c>
      <c r="AL834">
        <f t="shared" ref="AL834" si="716">$K834</f>
        <v>2.13</v>
      </c>
      <c r="BW834" s="138"/>
      <c r="BX834">
        <f t="shared" si="657"/>
        <v>3.2986126913917664</v>
      </c>
      <c r="BY834">
        <f>LOG(1*$J834)</f>
        <v>3.2986126913917664</v>
      </c>
      <c r="CB834">
        <f>LOG(1*$J834)</f>
        <v>3.2986126913917664</v>
      </c>
      <c r="DG834" s="138"/>
      <c r="EY834" s="479">
        <f>VLOOKUP(B834,Literatuur!$A:$B,2,FALSE)</f>
        <v>22</v>
      </c>
      <c r="EZ834" t="str">
        <f t="shared" si="692"/>
        <v>Benzene</v>
      </c>
      <c r="FA834" t="str">
        <f t="shared" si="693"/>
        <v>MAK</v>
      </c>
      <c r="FB834" t="str">
        <f t="shared" si="694"/>
        <v>HDPE</v>
      </c>
      <c r="FC834" t="str">
        <f t="shared" si="695"/>
        <v>Immersion</v>
      </c>
      <c r="FD834">
        <f t="shared" si="696"/>
        <v>295</v>
      </c>
      <c r="FE834" t="str">
        <f t="shared" si="697"/>
        <v>water</v>
      </c>
      <c r="FF834" t="str">
        <f t="shared" si="698"/>
        <v>measured 0.25</v>
      </c>
      <c r="FG834" s="408">
        <f t="shared" si="690"/>
        <v>1.2569769600152415E-4</v>
      </c>
      <c r="FH834" s="138">
        <f t="shared" si="699"/>
        <v>1.5563025007672873</v>
      </c>
      <c r="FI834" s="106">
        <f t="shared" si="691"/>
        <v>1.08007323929876</v>
      </c>
      <c r="FJ834" s="138" t="str">
        <f t="shared" si="700"/>
        <v/>
      </c>
      <c r="FK834" s="138" t="str">
        <f t="shared" si="687"/>
        <v>**</v>
      </c>
    </row>
    <row r="835" spans="1:167" ht="12.75" customHeight="1" x14ac:dyDescent="0.2">
      <c r="A835">
        <v>800</v>
      </c>
      <c r="B835" t="s">
        <v>1984</v>
      </c>
      <c r="D835" s="4" t="s">
        <v>548</v>
      </c>
      <c r="E835">
        <v>200</v>
      </c>
      <c r="F835" t="str">
        <f>VLOOKUP(E835,CompDbase!B:L,4,FALSE)</f>
        <v>Benzene</v>
      </c>
      <c r="G835" s="95" t="str">
        <f>VLOOKUP(E835,CompDbase!B:M,12,FALSE)</f>
        <v>MAK</v>
      </c>
      <c r="H835" s="95">
        <f>VLOOKUP(E835,CompDbase!B:L,8,FALSE)</f>
        <v>78.106666524406961</v>
      </c>
      <c r="I835" s="95">
        <f>VLOOKUP(E835,CompDbase!B:L,11,FALSE)</f>
        <v>89.4</v>
      </c>
      <c r="J835" s="95">
        <f>VLOOKUP(E835,CompDbase!B:L,9,FALSE)</f>
        <v>1988.89882593368</v>
      </c>
      <c r="K835" s="95">
        <f>VLOOKUP(E835,CompDbase!B:L,10,FALSE)</f>
        <v>2.13</v>
      </c>
      <c r="L835" s="4" t="s">
        <v>717</v>
      </c>
      <c r="M835" s="423"/>
      <c r="N835" s="423"/>
      <c r="O835" s="4" t="s">
        <v>1082</v>
      </c>
      <c r="P835">
        <v>295</v>
      </c>
      <c r="Q835" s="4" t="s">
        <v>1049</v>
      </c>
      <c r="R835" s="289" t="s">
        <v>1982</v>
      </c>
      <c r="S835">
        <v>0.25</v>
      </c>
      <c r="T835" s="95">
        <f t="shared" si="715"/>
        <v>1.2569769600152415E-4</v>
      </c>
      <c r="X835" s="288"/>
      <c r="Y835">
        <v>2.7000000000000001E-13</v>
      </c>
      <c r="Z835" s="288">
        <f>LOG(Y835)</f>
        <v>-12.568636235841012</v>
      </c>
      <c r="AG835" s="138"/>
      <c r="AJ835">
        <v>3.12</v>
      </c>
      <c r="BW835" s="138"/>
      <c r="DG835">
        <f>Z835</f>
        <v>-12.568636235841012</v>
      </c>
      <c r="DH835">
        <f>$H835</f>
        <v>78.106666524406961</v>
      </c>
      <c r="DK835">
        <f t="shared" ref="DK835" si="717">$H835</f>
        <v>78.106666524406961</v>
      </c>
      <c r="DM835">
        <f t="shared" ref="DM835" si="718">$H835</f>
        <v>78.106666524406961</v>
      </c>
      <c r="EY835" s="479">
        <f>VLOOKUP(B835,Literatuur!$A:$B,2,FALSE)</f>
        <v>22</v>
      </c>
      <c r="EZ835" t="str">
        <f t="shared" si="692"/>
        <v>Benzene</v>
      </c>
      <c r="FA835" t="str">
        <f t="shared" si="693"/>
        <v>MAK</v>
      </c>
      <c r="FB835" t="str">
        <f t="shared" si="694"/>
        <v>HDPE</v>
      </c>
      <c r="FC835" t="str">
        <f t="shared" si="695"/>
        <v>Permeation</v>
      </c>
      <c r="FD835">
        <f t="shared" si="696"/>
        <v>295</v>
      </c>
      <c r="FE835" t="str">
        <f t="shared" si="697"/>
        <v>water</v>
      </c>
      <c r="FF835" t="str">
        <f t="shared" si="698"/>
        <v>measured 0.25</v>
      </c>
      <c r="FG835" s="408">
        <f t="shared" si="690"/>
        <v>1.2569769600152415E-4</v>
      </c>
      <c r="FH835" s="138" t="str">
        <f t="shared" si="699"/>
        <v/>
      </c>
      <c r="FI835" s="106" t="str">
        <f t="shared" si="691"/>
        <v>**</v>
      </c>
      <c r="FJ835" s="138">
        <f t="shared" si="700"/>
        <v>-12.568636235841012</v>
      </c>
      <c r="FK835" s="138">
        <f t="shared" si="687"/>
        <v>-12.065815468244072</v>
      </c>
    </row>
    <row r="836" spans="1:167" ht="12.75" hidden="1" customHeight="1" x14ac:dyDescent="0.2">
      <c r="A836">
        <v>801</v>
      </c>
      <c r="B836" t="s">
        <v>1984</v>
      </c>
      <c r="D836" s="4" t="s">
        <v>1778</v>
      </c>
      <c r="E836">
        <v>201</v>
      </c>
      <c r="F836" t="str">
        <f>VLOOKUP(E836,CompDbase!B:L,4,FALSE)</f>
        <v>Ethylbenzene</v>
      </c>
      <c r="G836" s="95" t="str">
        <f>VLOOKUP(E836,CompDbase!B:M,12,FALSE)</f>
        <v>MAK</v>
      </c>
      <c r="H836" s="95">
        <f>VLOOKUP(E836,CompDbase!B:L,8,FALSE)</f>
        <v>106.18666499232586</v>
      </c>
      <c r="I836" s="95" t="e">
        <f>VLOOKUP(E836,CompDbase!B:L,11,FALSE)</f>
        <v>#DIV/0!</v>
      </c>
      <c r="J836" s="95">
        <f>VLOOKUP(E836,CompDbase!B:L,9,FALSE)</f>
        <v>159.4494296665228</v>
      </c>
      <c r="K836" s="95">
        <f>VLOOKUP(E836,CompDbase!B:L,10,FALSE)</f>
        <v>3.15</v>
      </c>
      <c r="L836" s="4" t="s">
        <v>717</v>
      </c>
      <c r="M836" s="423"/>
      <c r="N836" s="423"/>
      <c r="O836" s="4" t="s">
        <v>1981</v>
      </c>
      <c r="P836">
        <v>295</v>
      </c>
      <c r="Q836" s="4" t="s">
        <v>1049</v>
      </c>
      <c r="R836" s="289" t="s">
        <v>1982</v>
      </c>
      <c r="S836">
        <v>0.25</v>
      </c>
      <c r="T836" s="95">
        <f t="shared" si="715"/>
        <v>1.5678952287434161E-3</v>
      </c>
      <c r="W836">
        <v>325</v>
      </c>
      <c r="X836" s="288">
        <f>LOG(W836)</f>
        <v>2.5118833609788744</v>
      </c>
      <c r="Z836" s="95"/>
      <c r="AG836" s="138">
        <f t="shared" ref="AG836:AG837" si="719">X836</f>
        <v>2.5118833609788744</v>
      </c>
      <c r="AH836">
        <f t="shared" ref="AH836:AH837" si="720">$K836</f>
        <v>3.15</v>
      </c>
      <c r="AJ836">
        <v>3.2</v>
      </c>
      <c r="BW836" s="138"/>
      <c r="BX836">
        <f>LOG(1*$J836)</f>
        <v>2.202622970157059</v>
      </c>
      <c r="BZ836">
        <f>LOG(1*$J836)</f>
        <v>2.202622970157059</v>
      </c>
      <c r="DG836" s="138"/>
      <c r="EY836" s="479">
        <f>VLOOKUP(B836,Literatuur!$A:$B,2,FALSE)</f>
        <v>22</v>
      </c>
      <c r="EZ836" t="str">
        <f t="shared" si="692"/>
        <v>ETB</v>
      </c>
      <c r="FA836" t="str">
        <f t="shared" si="693"/>
        <v>MAK</v>
      </c>
      <c r="FB836" t="str">
        <f t="shared" si="694"/>
        <v>HDPE</v>
      </c>
      <c r="FC836" t="str">
        <f t="shared" si="695"/>
        <v>DeSorption to water</v>
      </c>
      <c r="FD836">
        <f t="shared" si="696"/>
        <v>295</v>
      </c>
      <c r="FE836" t="str">
        <f t="shared" si="697"/>
        <v>water</v>
      </c>
      <c r="FF836" t="str">
        <f t="shared" si="698"/>
        <v>measured 0.25</v>
      </c>
      <c r="FG836" s="408">
        <f t="shared" si="690"/>
        <v>1.5678952287434161E-3</v>
      </c>
      <c r="FH836" s="138">
        <f t="shared" si="699"/>
        <v>2.5118833609788744</v>
      </c>
      <c r="FI836" s="106" t="str">
        <f t="shared" si="691"/>
        <v>**</v>
      </c>
      <c r="FJ836" s="138" t="str">
        <f t="shared" si="700"/>
        <v/>
      </c>
      <c r="FK836" s="138" t="str">
        <f t="shared" si="687"/>
        <v>**</v>
      </c>
    </row>
    <row r="837" spans="1:167" ht="12.75" hidden="1" customHeight="1" x14ac:dyDescent="0.2">
      <c r="A837">
        <v>802</v>
      </c>
      <c r="B837" t="s">
        <v>1984</v>
      </c>
      <c r="D837" s="4" t="s">
        <v>1778</v>
      </c>
      <c r="E837">
        <v>201</v>
      </c>
      <c r="F837" t="str">
        <f>VLOOKUP(E837,CompDbase!B:L,4,FALSE)</f>
        <v>Ethylbenzene</v>
      </c>
      <c r="G837" s="95" t="str">
        <f>VLOOKUP(E837,CompDbase!B:M,12,FALSE)</f>
        <v>MAK</v>
      </c>
      <c r="H837" s="95">
        <f>VLOOKUP(E837,CompDbase!B:L,8,FALSE)</f>
        <v>106.18666499232586</v>
      </c>
      <c r="I837" s="95" t="e">
        <f>VLOOKUP(E837,CompDbase!B:L,11,FALSE)</f>
        <v>#DIV/0!</v>
      </c>
      <c r="J837" s="95">
        <f>VLOOKUP(E837,CompDbase!B:L,9,FALSE)</f>
        <v>159.4494296665228</v>
      </c>
      <c r="K837" s="95">
        <f>VLOOKUP(E837,CompDbase!B:L,10,FALSE)</f>
        <v>3.15</v>
      </c>
      <c r="L837" s="4" t="s">
        <v>717</v>
      </c>
      <c r="M837" s="423"/>
      <c r="N837" s="423"/>
      <c r="O837" s="4" t="s">
        <v>1044</v>
      </c>
      <c r="P837">
        <v>295</v>
      </c>
      <c r="Q837" s="4" t="s">
        <v>1049</v>
      </c>
      <c r="R837" s="289" t="s">
        <v>1982</v>
      </c>
      <c r="S837">
        <v>0.25</v>
      </c>
      <c r="T837" s="95">
        <f t="shared" si="715"/>
        <v>1.5678952287434161E-3</v>
      </c>
      <c r="W837">
        <v>309</v>
      </c>
      <c r="X837" s="288">
        <f>LOG(W837)</f>
        <v>2.4899584794248346</v>
      </c>
      <c r="Z837" s="95"/>
      <c r="AF837" s="338" t="s">
        <v>2007</v>
      </c>
      <c r="AG837" s="138">
        <f t="shared" si="719"/>
        <v>2.4899584794248346</v>
      </c>
      <c r="AH837">
        <f t="shared" si="720"/>
        <v>3.15</v>
      </c>
      <c r="AI837">
        <f>$K837</f>
        <v>3.15</v>
      </c>
      <c r="AJ837">
        <v>2.73</v>
      </c>
      <c r="AL837">
        <f t="shared" ref="AL837" si="721">$K837</f>
        <v>3.15</v>
      </c>
      <c r="AO837">
        <f t="shared" ref="AO837" si="722">$K837</f>
        <v>3.15</v>
      </c>
      <c r="BW837" s="138"/>
      <c r="BX837">
        <f>LOG(1*$J837)</f>
        <v>2.202622970157059</v>
      </c>
      <c r="BY837">
        <f>LOG(1*$J837)</f>
        <v>2.202622970157059</v>
      </c>
      <c r="CB837">
        <f>LOG(1*$J837)</f>
        <v>2.202622970157059</v>
      </c>
      <c r="CE837">
        <f>LOG(1*$J837)</f>
        <v>2.202622970157059</v>
      </c>
      <c r="DG837" s="138"/>
      <c r="EY837" s="479">
        <f>VLOOKUP(B837,Literatuur!$A:$B,2,FALSE)</f>
        <v>22</v>
      </c>
      <c r="EZ837" t="str">
        <f t="shared" si="692"/>
        <v>ETB</v>
      </c>
      <c r="FA837" t="str">
        <f t="shared" si="693"/>
        <v>MAK</v>
      </c>
      <c r="FB837" t="str">
        <f t="shared" si="694"/>
        <v>HDPE</v>
      </c>
      <c r="FC837" t="str">
        <f t="shared" si="695"/>
        <v>Immersion</v>
      </c>
      <c r="FD837">
        <f t="shared" si="696"/>
        <v>295</v>
      </c>
      <c r="FE837" t="str">
        <f t="shared" si="697"/>
        <v>water</v>
      </c>
      <c r="FF837" t="str">
        <f t="shared" si="698"/>
        <v>measured 0.25</v>
      </c>
      <c r="FG837" s="408">
        <f t="shared" si="690"/>
        <v>1.5678952287434161E-3</v>
      </c>
      <c r="FH837" s="138">
        <f t="shared" si="699"/>
        <v>2.4899584794248346</v>
      </c>
      <c r="FI837" s="106">
        <f t="shared" si="691"/>
        <v>2.2755733491444419</v>
      </c>
      <c r="FJ837" s="138" t="str">
        <f t="shared" si="700"/>
        <v/>
      </c>
      <c r="FK837" s="138" t="str">
        <f t="shared" si="687"/>
        <v>**</v>
      </c>
    </row>
    <row r="838" spans="1:167" ht="12.75" hidden="1" customHeight="1" x14ac:dyDescent="0.2">
      <c r="A838">
        <v>803</v>
      </c>
      <c r="B838" t="s">
        <v>1984</v>
      </c>
      <c r="D838" s="4" t="s">
        <v>1778</v>
      </c>
      <c r="E838">
        <v>201</v>
      </c>
      <c r="F838" t="str">
        <f>VLOOKUP(E838,CompDbase!B:L,4,FALSE)</f>
        <v>Ethylbenzene</v>
      </c>
      <c r="G838" s="95" t="str">
        <f>VLOOKUP(E838,CompDbase!B:M,12,FALSE)</f>
        <v>MAK</v>
      </c>
      <c r="H838" s="95">
        <f>VLOOKUP(E838,CompDbase!B:L,8,FALSE)</f>
        <v>106.18666499232586</v>
      </c>
      <c r="I838" s="95" t="e">
        <f>VLOOKUP(E838,CompDbase!B:L,11,FALSE)</f>
        <v>#DIV/0!</v>
      </c>
      <c r="J838" s="95">
        <f>VLOOKUP(E838,CompDbase!B:L,9,FALSE)</f>
        <v>159.4494296665228</v>
      </c>
      <c r="K838" s="95">
        <f>VLOOKUP(E838,CompDbase!B:L,10,FALSE)</f>
        <v>3.15</v>
      </c>
      <c r="L838" s="4" t="s">
        <v>717</v>
      </c>
      <c r="M838" s="423"/>
      <c r="N838" s="423"/>
      <c r="O838" s="4" t="s">
        <v>1082</v>
      </c>
      <c r="P838">
        <v>295</v>
      </c>
      <c r="Q838" s="4" t="s">
        <v>1049</v>
      </c>
      <c r="R838" s="289" t="s">
        <v>1982</v>
      </c>
      <c r="S838">
        <v>0.25</v>
      </c>
      <c r="T838" s="95">
        <f t="shared" si="715"/>
        <v>1.5678952287434161E-3</v>
      </c>
      <c r="X838" s="288"/>
      <c r="Y838">
        <v>1.9E-13</v>
      </c>
      <c r="Z838" s="288">
        <f>LOG(Y838)</f>
        <v>-12.721246399047171</v>
      </c>
      <c r="AG838" s="138"/>
      <c r="BW838" s="138"/>
      <c r="DG838">
        <f>Z838</f>
        <v>-12.721246399047171</v>
      </c>
      <c r="DH838">
        <f>$H838</f>
        <v>106.18666499232586</v>
      </c>
      <c r="DK838">
        <f t="shared" ref="DK838" si="723">$H838</f>
        <v>106.18666499232586</v>
      </c>
      <c r="EY838" s="479">
        <f>VLOOKUP(B838,Literatuur!$A:$B,2,FALSE)</f>
        <v>22</v>
      </c>
      <c r="EZ838" t="str">
        <f t="shared" si="692"/>
        <v>ETB</v>
      </c>
      <c r="FA838" t="str">
        <f t="shared" si="693"/>
        <v>MAK</v>
      </c>
      <c r="FB838" t="str">
        <f t="shared" si="694"/>
        <v>HDPE</v>
      </c>
      <c r="FC838" t="str">
        <f t="shared" si="695"/>
        <v>Permeation</v>
      </c>
      <c r="FD838">
        <f t="shared" si="696"/>
        <v>295</v>
      </c>
      <c r="FE838" t="str">
        <f t="shared" si="697"/>
        <v>water</v>
      </c>
      <c r="FF838" t="str">
        <f t="shared" si="698"/>
        <v>measured 0.25</v>
      </c>
      <c r="FG838" s="408">
        <f t="shared" si="690"/>
        <v>1.5678952287434161E-3</v>
      </c>
      <c r="FH838" s="138" t="str">
        <f t="shared" si="699"/>
        <v/>
      </c>
      <c r="FI838" s="106" t="str">
        <f t="shared" si="691"/>
        <v>**</v>
      </c>
      <c r="FJ838" s="138">
        <f t="shared" si="700"/>
        <v>-12.721246399047171</v>
      </c>
      <c r="FK838" s="138" t="str">
        <f t="shared" si="687"/>
        <v>**</v>
      </c>
    </row>
    <row r="839" spans="1:167" ht="12.75" hidden="1" customHeight="1" x14ac:dyDescent="0.2">
      <c r="A839">
        <v>804</v>
      </c>
      <c r="B839" t="s">
        <v>1984</v>
      </c>
      <c r="D839" s="4" t="s">
        <v>762</v>
      </c>
      <c r="E839">
        <v>218</v>
      </c>
      <c r="F839" t="str">
        <f>VLOOKUP(E839,CompDbase!B:L,4,FALSE)</f>
        <v>o-Xylene</v>
      </c>
      <c r="G839" s="95" t="str">
        <f>VLOOKUP(E839,CompDbase!B:M,12,FALSE)</f>
        <v>MAK</v>
      </c>
      <c r="H839" s="95">
        <f>VLOOKUP(E839,CompDbase!B:L,8,FALSE)</f>
        <v>106.18666499232586</v>
      </c>
      <c r="I839" s="95" t="e">
        <f>VLOOKUP(E839,CompDbase!B:L,11,FALSE)</f>
        <v>#DIV/0!</v>
      </c>
      <c r="J839" s="95">
        <f>VLOOKUP(E839,CompDbase!B:L,9,FALSE)</f>
        <v>218.93359574593291</v>
      </c>
      <c r="K839" s="95">
        <f>VLOOKUP(E839,CompDbase!B:L,10,FALSE)</f>
        <v>3.12</v>
      </c>
      <c r="L839" s="4" t="s">
        <v>717</v>
      </c>
      <c r="M839" s="423"/>
      <c r="N839" s="423"/>
      <c r="O839" s="4" t="s">
        <v>1981</v>
      </c>
      <c r="P839">
        <v>295</v>
      </c>
      <c r="Q839" s="4" t="s">
        <v>1049</v>
      </c>
      <c r="R839" s="289" t="s">
        <v>1982</v>
      </c>
      <c r="S839">
        <v>0.25</v>
      </c>
      <c r="T839" s="95">
        <f t="shared" si="715"/>
        <v>1.1418987531274958E-3</v>
      </c>
      <c r="W839">
        <v>412</v>
      </c>
      <c r="X839" s="288">
        <f>LOG(W839)</f>
        <v>2.6148972160331345</v>
      </c>
      <c r="Z839" s="95"/>
      <c r="AG839" s="138">
        <f t="shared" ref="AG839:AG840" si="724">X839</f>
        <v>2.6148972160331345</v>
      </c>
      <c r="AH839">
        <f t="shared" ref="AH839:AH840" si="725">$K839</f>
        <v>3.12</v>
      </c>
      <c r="BW839" s="138"/>
      <c r="BX839">
        <f>LOG(1*$J839)</f>
        <v>2.3403124099350032</v>
      </c>
      <c r="BZ839">
        <f>LOG(1*$J839)</f>
        <v>2.3403124099350032</v>
      </c>
      <c r="DG839" s="138"/>
      <c r="EY839" s="479">
        <f>VLOOKUP(B839,Literatuur!$A:$B,2,FALSE)</f>
        <v>22</v>
      </c>
      <c r="EZ839" t="str">
        <f t="shared" si="692"/>
        <v>m-Xylene</v>
      </c>
      <c r="FA839" t="str">
        <f t="shared" si="693"/>
        <v>MAK</v>
      </c>
      <c r="FB839" t="str">
        <f t="shared" si="694"/>
        <v>HDPE</v>
      </c>
      <c r="FC839" t="str">
        <f t="shared" si="695"/>
        <v>DeSorption to water</v>
      </c>
      <c r="FD839">
        <f t="shared" si="696"/>
        <v>295</v>
      </c>
      <c r="FE839" t="str">
        <f t="shared" si="697"/>
        <v>water</v>
      </c>
      <c r="FF839" t="str">
        <f t="shared" si="698"/>
        <v>measured 0.25</v>
      </c>
      <c r="FG839" s="408">
        <f t="shared" si="690"/>
        <v>1.1418987531274958E-3</v>
      </c>
      <c r="FH839" s="138">
        <f t="shared" si="699"/>
        <v>2.6148972160331345</v>
      </c>
      <c r="FI839" s="106" t="str">
        <f t="shared" si="691"/>
        <v>**</v>
      </c>
      <c r="FJ839" s="138" t="str">
        <f t="shared" si="700"/>
        <v/>
      </c>
      <c r="FK839" s="138" t="str">
        <f t="shared" si="687"/>
        <v>**</v>
      </c>
    </row>
    <row r="840" spans="1:167" ht="12.75" hidden="1" customHeight="1" x14ac:dyDescent="0.2">
      <c r="A840">
        <v>805</v>
      </c>
      <c r="B840" t="s">
        <v>1984</v>
      </c>
      <c r="D840" s="4" t="s">
        <v>762</v>
      </c>
      <c r="E840">
        <v>218</v>
      </c>
      <c r="F840" t="str">
        <f>VLOOKUP(E840,CompDbase!B:L,4,FALSE)</f>
        <v>o-Xylene</v>
      </c>
      <c r="G840" s="95" t="str">
        <f>VLOOKUP(E840,CompDbase!B:M,12,FALSE)</f>
        <v>MAK</v>
      </c>
      <c r="H840" s="95">
        <f>VLOOKUP(E840,CompDbase!B:L,8,FALSE)</f>
        <v>106.18666499232586</v>
      </c>
      <c r="I840" s="95" t="e">
        <f>VLOOKUP(E840,CompDbase!B:L,11,FALSE)</f>
        <v>#DIV/0!</v>
      </c>
      <c r="J840" s="95">
        <f>VLOOKUP(E840,CompDbase!B:L,9,FALSE)</f>
        <v>218.93359574593291</v>
      </c>
      <c r="K840" s="95">
        <f>VLOOKUP(E840,CompDbase!B:L,10,FALSE)</f>
        <v>3.12</v>
      </c>
      <c r="L840" s="4" t="s">
        <v>717</v>
      </c>
      <c r="M840" s="423"/>
      <c r="N840" s="423"/>
      <c r="O840" s="4" t="s">
        <v>1044</v>
      </c>
      <c r="P840">
        <v>295</v>
      </c>
      <c r="Q840" s="4" t="s">
        <v>1049</v>
      </c>
      <c r="R840" s="289" t="s">
        <v>1982</v>
      </c>
      <c r="S840">
        <v>0.25</v>
      </c>
      <c r="T840" s="95">
        <f t="shared" si="715"/>
        <v>1.1418987531274958E-3</v>
      </c>
      <c r="W840">
        <v>337</v>
      </c>
      <c r="X840" s="288">
        <f>LOG(W840)</f>
        <v>2.5276299008713385</v>
      </c>
      <c r="Z840" s="95"/>
      <c r="AA840" s="13"/>
      <c r="AB840" s="13"/>
      <c r="AF840" s="338" t="s">
        <v>2007</v>
      </c>
      <c r="AG840" s="138">
        <f t="shared" si="724"/>
        <v>2.5276299008713385</v>
      </c>
      <c r="AH840">
        <f t="shared" si="725"/>
        <v>3.12</v>
      </c>
      <c r="AI840">
        <f>$K840</f>
        <v>3.12</v>
      </c>
      <c r="AL840">
        <f t="shared" ref="AL840" si="726">$K840</f>
        <v>3.12</v>
      </c>
      <c r="AO840">
        <f t="shared" ref="AO840" si="727">$K840</f>
        <v>3.12</v>
      </c>
      <c r="BW840" s="138"/>
      <c r="BX840">
        <f>LOG(1*$J840)</f>
        <v>2.3403124099350032</v>
      </c>
      <c r="BY840">
        <f>LOG(1*$J840)</f>
        <v>2.3403124099350032</v>
      </c>
      <c r="CB840">
        <f>LOG(1*$J840)</f>
        <v>2.3403124099350032</v>
      </c>
      <c r="CE840">
        <f>LOG(1*$J840)</f>
        <v>2.3403124099350032</v>
      </c>
      <c r="DG840" s="138"/>
      <c r="EY840" s="479">
        <f>VLOOKUP(B840,Literatuur!$A:$B,2,FALSE)</f>
        <v>22</v>
      </c>
      <c r="EZ840" t="str">
        <f t="shared" si="692"/>
        <v>m-Xylene</v>
      </c>
      <c r="FA840" t="str">
        <f t="shared" si="693"/>
        <v>MAK</v>
      </c>
      <c r="FB840" t="str">
        <f t="shared" si="694"/>
        <v>HDPE</v>
      </c>
      <c r="FC840" t="str">
        <f t="shared" si="695"/>
        <v>Immersion</v>
      </c>
      <c r="FD840">
        <f t="shared" si="696"/>
        <v>295</v>
      </c>
      <c r="FE840" t="str">
        <f t="shared" si="697"/>
        <v>water</v>
      </c>
      <c r="FF840" t="str">
        <f t="shared" si="698"/>
        <v>measured 0.25</v>
      </c>
      <c r="FG840" s="408">
        <f t="shared" si="690"/>
        <v>1.1418987531274958E-3</v>
      </c>
      <c r="FH840" s="138">
        <f t="shared" si="699"/>
        <v>2.5276299008713385</v>
      </c>
      <c r="FI840" s="106">
        <f t="shared" si="691"/>
        <v>2.2404115812078045</v>
      </c>
      <c r="FJ840" s="138" t="str">
        <f t="shared" si="700"/>
        <v/>
      </c>
      <c r="FK840" s="138" t="str">
        <f t="shared" si="687"/>
        <v>**</v>
      </c>
    </row>
    <row r="841" spans="1:167" ht="12.75" hidden="1" customHeight="1" x14ac:dyDescent="0.2">
      <c r="A841">
        <v>806</v>
      </c>
      <c r="B841" t="s">
        <v>1984</v>
      </c>
      <c r="D841" s="4" t="s">
        <v>762</v>
      </c>
      <c r="E841">
        <v>218</v>
      </c>
      <c r="F841" t="str">
        <f>VLOOKUP(E841,CompDbase!B:L,4,FALSE)</f>
        <v>o-Xylene</v>
      </c>
      <c r="G841" s="95" t="str">
        <f>VLOOKUP(E841,CompDbase!B:M,12,FALSE)</f>
        <v>MAK</v>
      </c>
      <c r="H841" s="95">
        <f>VLOOKUP(E841,CompDbase!B:L,8,FALSE)</f>
        <v>106.18666499232586</v>
      </c>
      <c r="I841" s="95" t="e">
        <f>VLOOKUP(E841,CompDbase!B:L,11,FALSE)</f>
        <v>#DIV/0!</v>
      </c>
      <c r="J841" s="95">
        <f>VLOOKUP(E841,CompDbase!B:L,9,FALSE)</f>
        <v>218.93359574593291</v>
      </c>
      <c r="K841" s="95">
        <f>VLOOKUP(E841,CompDbase!B:L,10,FALSE)</f>
        <v>3.12</v>
      </c>
      <c r="L841" s="4" t="s">
        <v>717</v>
      </c>
      <c r="M841" s="423"/>
      <c r="N841" s="423"/>
      <c r="O841" s="4" t="s">
        <v>1082</v>
      </c>
      <c r="P841">
        <v>295</v>
      </c>
      <c r="Q841" s="4" t="s">
        <v>1049</v>
      </c>
      <c r="R841" s="289" t="s">
        <v>1982</v>
      </c>
      <c r="S841">
        <v>0.25</v>
      </c>
      <c r="T841" s="95">
        <f t="shared" si="715"/>
        <v>1.1418987531274958E-3</v>
      </c>
      <c r="X841" s="288"/>
      <c r="Y841">
        <v>1.9E-13</v>
      </c>
      <c r="Z841" s="288">
        <f>LOG(Y841)</f>
        <v>-12.721246399047171</v>
      </c>
      <c r="AG841" s="138"/>
      <c r="BW841" s="138"/>
      <c r="DG841">
        <f>Z841</f>
        <v>-12.721246399047171</v>
      </c>
      <c r="DH841">
        <f>$H841</f>
        <v>106.18666499232586</v>
      </c>
      <c r="DK841">
        <f t="shared" ref="DK841" si="728">$H841</f>
        <v>106.18666499232586</v>
      </c>
      <c r="EY841" s="479">
        <f>VLOOKUP(B841,Literatuur!$A:$B,2,FALSE)</f>
        <v>22</v>
      </c>
      <c r="EZ841" t="str">
        <f t="shared" si="692"/>
        <v>m-Xylene</v>
      </c>
      <c r="FA841" t="str">
        <f t="shared" si="693"/>
        <v>MAK</v>
      </c>
      <c r="FB841" t="str">
        <f t="shared" si="694"/>
        <v>HDPE</v>
      </c>
      <c r="FC841" t="str">
        <f t="shared" si="695"/>
        <v>Permeation</v>
      </c>
      <c r="FD841">
        <f t="shared" si="696"/>
        <v>295</v>
      </c>
      <c r="FE841" t="str">
        <f t="shared" si="697"/>
        <v>water</v>
      </c>
      <c r="FF841" t="str">
        <f t="shared" si="698"/>
        <v>measured 0.25</v>
      </c>
      <c r="FG841" s="408">
        <f t="shared" si="690"/>
        <v>1.1418987531274958E-3</v>
      </c>
      <c r="FH841" s="138" t="str">
        <f t="shared" si="699"/>
        <v/>
      </c>
      <c r="FI841" s="106" t="str">
        <f t="shared" si="691"/>
        <v>**</v>
      </c>
      <c r="FJ841" s="138">
        <f t="shared" si="700"/>
        <v>-12.721246399047171</v>
      </c>
      <c r="FK841" s="138" t="str">
        <f t="shared" si="687"/>
        <v>**</v>
      </c>
    </row>
    <row r="842" spans="1:167" ht="12.75" hidden="1" customHeight="1" x14ac:dyDescent="0.2">
      <c r="A842">
        <v>807</v>
      </c>
      <c r="B842" t="s">
        <v>1984</v>
      </c>
      <c r="D842" s="4" t="s">
        <v>872</v>
      </c>
      <c r="E842">
        <v>205</v>
      </c>
      <c r="F842" t="str">
        <f>VLOOKUP(E842,CompDbase!B:L,4,FALSE)</f>
        <v>m-Xylene</v>
      </c>
      <c r="G842" s="95" t="str">
        <f>VLOOKUP(E842,CompDbase!B:M,12,FALSE)</f>
        <v>MAK</v>
      </c>
      <c r="H842" s="95">
        <f>VLOOKUP(E842,CompDbase!B:L,8,FALSE)</f>
        <v>106.18999905823263</v>
      </c>
      <c r="I842" s="95" t="e">
        <f>VLOOKUP(E842,CompDbase!B:L,11,FALSE)</f>
        <v>#DIV/0!</v>
      </c>
      <c r="J842" s="95">
        <f>VLOOKUP(E842,CompDbase!B:L,9,FALSE)</f>
        <v>197.40652052455141</v>
      </c>
      <c r="K842" s="95">
        <f>VLOOKUP(E842,CompDbase!B:L,10,FALSE)</f>
        <v>3.2</v>
      </c>
      <c r="L842" s="4" t="s">
        <v>717</v>
      </c>
      <c r="M842" s="423"/>
      <c r="N842" s="423"/>
      <c r="O842" s="4" t="s">
        <v>1981</v>
      </c>
      <c r="P842">
        <v>295</v>
      </c>
      <c r="Q842" s="4" t="s">
        <v>1049</v>
      </c>
      <c r="R842" s="289" t="s">
        <v>1982</v>
      </c>
      <c r="S842">
        <v>0.25</v>
      </c>
      <c r="T842" s="95">
        <f t="shared" si="715"/>
        <v>1.2664221999136424E-3</v>
      </c>
      <c r="W842">
        <v>349</v>
      </c>
      <c r="X842" s="288">
        <f>LOG(W842)</f>
        <v>2.5428254269591797</v>
      </c>
      <c r="Z842" s="95"/>
      <c r="AG842" s="138">
        <f t="shared" ref="AG842:AG843" si="729">X842</f>
        <v>2.5428254269591797</v>
      </c>
      <c r="AH842">
        <f t="shared" ref="AH842:AH843" si="730">$K842</f>
        <v>3.2</v>
      </c>
      <c r="BW842" s="138"/>
      <c r="BX842">
        <f>LOG(1*$J842)</f>
        <v>2.2953614937290703</v>
      </c>
      <c r="BZ842">
        <f>LOG(1*$J842)</f>
        <v>2.2953614937290703</v>
      </c>
      <c r="DG842" s="138"/>
      <c r="EY842" s="479">
        <f>VLOOKUP(B842,Literatuur!$A:$B,2,FALSE)</f>
        <v>22</v>
      </c>
      <c r="EZ842" t="str">
        <f t="shared" si="692"/>
        <v>o-Xylene</v>
      </c>
      <c r="FA842" t="str">
        <f t="shared" si="693"/>
        <v>MAK</v>
      </c>
      <c r="FB842" t="str">
        <f t="shared" si="694"/>
        <v>HDPE</v>
      </c>
      <c r="FC842" t="str">
        <f t="shared" si="695"/>
        <v>DeSorption to water</v>
      </c>
      <c r="FD842">
        <f t="shared" si="696"/>
        <v>295</v>
      </c>
      <c r="FE842" t="str">
        <f t="shared" si="697"/>
        <v>water</v>
      </c>
      <c r="FF842" t="str">
        <f t="shared" si="698"/>
        <v>measured 0.25</v>
      </c>
      <c r="FG842" s="408">
        <f t="shared" si="690"/>
        <v>1.2664221999136424E-3</v>
      </c>
      <c r="FH842" s="138">
        <f t="shared" si="699"/>
        <v>2.5428254269591797</v>
      </c>
      <c r="FI842" s="106" t="str">
        <f t="shared" si="691"/>
        <v>**</v>
      </c>
      <c r="FJ842" s="138" t="str">
        <f t="shared" si="700"/>
        <v/>
      </c>
      <c r="FK842" s="138" t="str">
        <f t="shared" si="687"/>
        <v>**</v>
      </c>
    </row>
    <row r="843" spans="1:167" ht="12.75" hidden="1" customHeight="1" x14ac:dyDescent="0.2">
      <c r="A843">
        <v>808</v>
      </c>
      <c r="B843" t="s">
        <v>1984</v>
      </c>
      <c r="D843" s="4" t="s">
        <v>872</v>
      </c>
      <c r="E843">
        <v>205</v>
      </c>
      <c r="F843" t="str">
        <f>VLOOKUP(E843,CompDbase!B:L,4,FALSE)</f>
        <v>m-Xylene</v>
      </c>
      <c r="G843" s="95" t="str">
        <f>VLOOKUP(E843,CompDbase!B:M,12,FALSE)</f>
        <v>MAK</v>
      </c>
      <c r="H843" s="95">
        <f>VLOOKUP(E843,CompDbase!B:L,8,FALSE)</f>
        <v>106.18999905823263</v>
      </c>
      <c r="I843" s="95" t="e">
        <f>VLOOKUP(E843,CompDbase!B:L,11,FALSE)</f>
        <v>#DIV/0!</v>
      </c>
      <c r="J843" s="95">
        <f>VLOOKUP(E843,CompDbase!B:L,9,FALSE)</f>
        <v>197.40652052455141</v>
      </c>
      <c r="K843" s="95">
        <f>VLOOKUP(E843,CompDbase!B:L,10,FALSE)</f>
        <v>3.2</v>
      </c>
      <c r="L843" s="4" t="s">
        <v>717</v>
      </c>
      <c r="M843" s="423"/>
      <c r="N843" s="423"/>
      <c r="O843" s="4" t="s">
        <v>1044</v>
      </c>
      <c r="P843">
        <v>295</v>
      </c>
      <c r="Q843" s="4" t="s">
        <v>1049</v>
      </c>
      <c r="R843" s="289" t="s">
        <v>1982</v>
      </c>
      <c r="S843">
        <v>0.25</v>
      </c>
      <c r="T843" s="95">
        <f t="shared" si="715"/>
        <v>1.2664221999136424E-3</v>
      </c>
      <c r="W843">
        <v>243</v>
      </c>
      <c r="X843" s="288">
        <f>LOG(W843)</f>
        <v>2.3856062735983121</v>
      </c>
      <c r="Z843" s="95"/>
      <c r="AF843" s="338" t="s">
        <v>2007</v>
      </c>
      <c r="AG843" s="138">
        <f t="shared" si="729"/>
        <v>2.3856062735983121</v>
      </c>
      <c r="AH843">
        <f t="shared" si="730"/>
        <v>3.2</v>
      </c>
      <c r="AI843">
        <f>$K843</f>
        <v>3.2</v>
      </c>
      <c r="AL843">
        <f t="shared" ref="AL843" si="731">$K843</f>
        <v>3.2</v>
      </c>
      <c r="AO843">
        <f t="shared" ref="AO843" si="732">$K843</f>
        <v>3.2</v>
      </c>
      <c r="BW843" s="138"/>
      <c r="BX843">
        <f>LOG(1*$J843)</f>
        <v>2.2953614937290703</v>
      </c>
      <c r="BY843">
        <f>LOG(1*$J843)</f>
        <v>2.2953614937290703</v>
      </c>
      <c r="CB843">
        <f>LOG(1*$J843)</f>
        <v>2.2953614937290703</v>
      </c>
      <c r="CE843">
        <f>LOG(1*$J843)</f>
        <v>2.2953614937290703</v>
      </c>
      <c r="DG843" s="138"/>
      <c r="EY843" s="479">
        <f>VLOOKUP(B843,Literatuur!$A:$B,2,FALSE)</f>
        <v>22</v>
      </c>
      <c r="EZ843" t="str">
        <f t="shared" si="692"/>
        <v>o-Xylene</v>
      </c>
      <c r="FA843" t="str">
        <f t="shared" si="693"/>
        <v>MAK</v>
      </c>
      <c r="FB843" t="str">
        <f t="shared" si="694"/>
        <v>HDPE</v>
      </c>
      <c r="FC843" t="str">
        <f t="shared" si="695"/>
        <v>Immersion</v>
      </c>
      <c r="FD843">
        <f t="shared" si="696"/>
        <v>295</v>
      </c>
      <c r="FE843" t="str">
        <f t="shared" si="697"/>
        <v>water</v>
      </c>
      <c r="FF843" t="str">
        <f t="shared" si="698"/>
        <v>measured 0.25</v>
      </c>
      <c r="FG843" s="408">
        <f t="shared" si="690"/>
        <v>1.2664221999136424E-3</v>
      </c>
      <c r="FH843" s="138">
        <f t="shared" si="699"/>
        <v>2.3856062735983121</v>
      </c>
      <c r="FI843" s="106">
        <f t="shared" si="691"/>
        <v>2.3341762957055052</v>
      </c>
      <c r="FJ843" s="138" t="str">
        <f t="shared" si="700"/>
        <v/>
      </c>
      <c r="FK843" s="138" t="str">
        <f t="shared" si="687"/>
        <v>**</v>
      </c>
    </row>
    <row r="844" spans="1:167" ht="12.75" hidden="1" customHeight="1" x14ac:dyDescent="0.2">
      <c r="A844">
        <v>809</v>
      </c>
      <c r="B844" t="s">
        <v>1984</v>
      </c>
      <c r="D844" s="4" t="s">
        <v>872</v>
      </c>
      <c r="E844">
        <v>205</v>
      </c>
      <c r="F844" t="str">
        <f>VLOOKUP(E844,CompDbase!B:L,4,FALSE)</f>
        <v>m-Xylene</v>
      </c>
      <c r="G844" s="95" t="str">
        <f>VLOOKUP(E844,CompDbase!B:M,12,FALSE)</f>
        <v>MAK</v>
      </c>
      <c r="H844" s="95">
        <f>VLOOKUP(E844,CompDbase!B:L,8,FALSE)</f>
        <v>106.18999905823263</v>
      </c>
      <c r="I844" s="95" t="e">
        <f>VLOOKUP(E844,CompDbase!B:L,11,FALSE)</f>
        <v>#DIV/0!</v>
      </c>
      <c r="J844" s="95">
        <f>VLOOKUP(E844,CompDbase!B:L,9,FALSE)</f>
        <v>197.40652052455141</v>
      </c>
      <c r="K844" s="95">
        <f>VLOOKUP(E844,CompDbase!B:L,10,FALSE)</f>
        <v>3.2</v>
      </c>
      <c r="L844" s="4" t="s">
        <v>717</v>
      </c>
      <c r="M844" s="423"/>
      <c r="N844" s="423"/>
      <c r="O844" s="4" t="s">
        <v>1082</v>
      </c>
      <c r="P844">
        <v>295</v>
      </c>
      <c r="Q844" s="4" t="s">
        <v>1049</v>
      </c>
      <c r="R844" s="289" t="s">
        <v>1982</v>
      </c>
      <c r="S844">
        <v>0.25</v>
      </c>
      <c r="T844" s="95">
        <f t="shared" si="715"/>
        <v>1.2664221999136424E-3</v>
      </c>
      <c r="X844" s="288"/>
      <c r="Y844">
        <v>1.7000000000000001E-13</v>
      </c>
      <c r="Z844" s="288">
        <f>LOG(Y844)</f>
        <v>-12.769551078621726</v>
      </c>
      <c r="AG844" s="138"/>
      <c r="BW844" s="138"/>
      <c r="DG844">
        <f>Z844</f>
        <v>-12.769551078621726</v>
      </c>
      <c r="DH844">
        <f>$H844</f>
        <v>106.18999905823263</v>
      </c>
      <c r="DK844">
        <f t="shared" ref="DK844" si="733">$H844</f>
        <v>106.18999905823263</v>
      </c>
      <c r="EY844" s="479">
        <f>VLOOKUP(B844,Literatuur!$A:$B,2,FALSE)</f>
        <v>22</v>
      </c>
      <c r="EZ844" t="str">
        <f t="shared" si="692"/>
        <v>o-Xylene</v>
      </c>
      <c r="FA844" t="str">
        <f t="shared" si="693"/>
        <v>MAK</v>
      </c>
      <c r="FB844" t="str">
        <f t="shared" si="694"/>
        <v>HDPE</v>
      </c>
      <c r="FC844" t="str">
        <f t="shared" si="695"/>
        <v>Permeation</v>
      </c>
      <c r="FD844">
        <f t="shared" si="696"/>
        <v>295</v>
      </c>
      <c r="FE844" t="str">
        <f t="shared" si="697"/>
        <v>water</v>
      </c>
      <c r="FF844" t="str">
        <f t="shared" si="698"/>
        <v>measured 0.25</v>
      </c>
      <c r="FG844" s="408">
        <f t="shared" si="690"/>
        <v>1.2664221999136424E-3</v>
      </c>
      <c r="FH844" s="138" t="str">
        <f t="shared" si="699"/>
        <v/>
      </c>
      <c r="FI844" s="106" t="str">
        <f t="shared" si="691"/>
        <v>**</v>
      </c>
      <c r="FJ844" s="138">
        <f t="shared" si="700"/>
        <v>-12.769551078621726</v>
      </c>
      <c r="FK844" s="138" t="str">
        <f t="shared" si="687"/>
        <v>**</v>
      </c>
    </row>
    <row r="845" spans="1:167" ht="12.75" hidden="1" customHeight="1" x14ac:dyDescent="0.2">
      <c r="A845">
        <v>810</v>
      </c>
      <c r="B845" t="s">
        <v>1984</v>
      </c>
      <c r="D845" s="4" t="s">
        <v>1777</v>
      </c>
      <c r="E845">
        <v>204</v>
      </c>
      <c r="F845" t="str">
        <f>VLOOKUP(E845,CompDbase!B:L,4,FALSE)</f>
        <v>Toluene</v>
      </c>
      <c r="G845" s="95" t="str">
        <f>VLOOKUP(E845,CompDbase!B:M,12,FALSE)</f>
        <v>MAK</v>
      </c>
      <c r="H845" s="95">
        <f>VLOOKUP(E845,CompDbase!B:L,8,FALSE)</f>
        <v>92.14249284505685</v>
      </c>
      <c r="I845" s="95">
        <f>VLOOKUP(E845,CompDbase!B:L,11,FALSE)</f>
        <v>106.9</v>
      </c>
      <c r="J845" s="95">
        <f>VLOOKUP(E845,CompDbase!B:L,9,FALSE)</f>
        <v>610.59105234897152</v>
      </c>
      <c r="K845" s="95">
        <f>VLOOKUP(E845,CompDbase!B:L,10,FALSE)</f>
        <v>2.73</v>
      </c>
      <c r="L845" s="4" t="s">
        <v>717</v>
      </c>
      <c r="M845" s="423"/>
      <c r="N845" s="423"/>
      <c r="O845" s="4" t="s">
        <v>1981</v>
      </c>
      <c r="P845">
        <v>295</v>
      </c>
      <c r="Q845" s="4" t="s">
        <v>1049</v>
      </c>
      <c r="R845" s="289" t="s">
        <v>1982</v>
      </c>
      <c r="S845">
        <v>0.25</v>
      </c>
      <c r="T845" s="95">
        <f t="shared" si="715"/>
        <v>4.094393441211407E-4</v>
      </c>
      <c r="W845">
        <v>114</v>
      </c>
      <c r="X845" s="288">
        <f>LOG(W845)</f>
        <v>2.0569048513364727</v>
      </c>
      <c r="Z845" s="95"/>
      <c r="AG845" s="138">
        <f t="shared" ref="AG845:AG846" si="734">X845</f>
        <v>2.0569048513364727</v>
      </c>
      <c r="AH845">
        <f t="shared" ref="AH845:AH846" si="735">$K845</f>
        <v>2.73</v>
      </c>
      <c r="BW845" s="138"/>
      <c r="BX845">
        <f>LOG(1*$J845)</f>
        <v>2.7857504358225516</v>
      </c>
      <c r="BZ845">
        <f>LOG(1*$J845)</f>
        <v>2.7857504358225516</v>
      </c>
      <c r="DG845" s="138"/>
      <c r="EY845" s="479">
        <f>VLOOKUP(B845,Literatuur!$A:$B,2,FALSE)</f>
        <v>22</v>
      </c>
      <c r="EZ845" t="str">
        <f t="shared" si="692"/>
        <v>Tuluene</v>
      </c>
      <c r="FA845" t="str">
        <f t="shared" si="693"/>
        <v>MAK</v>
      </c>
      <c r="FB845" t="str">
        <f t="shared" si="694"/>
        <v>HDPE</v>
      </c>
      <c r="FC845" t="str">
        <f t="shared" si="695"/>
        <v>DeSorption to water</v>
      </c>
      <c r="FD845">
        <f t="shared" si="696"/>
        <v>295</v>
      </c>
      <c r="FE845" t="str">
        <f t="shared" si="697"/>
        <v>water</v>
      </c>
      <c r="FF845" t="str">
        <f t="shared" si="698"/>
        <v>measured 0.25</v>
      </c>
      <c r="FG845" s="408">
        <f t="shared" si="690"/>
        <v>4.094393441211407E-4</v>
      </c>
      <c r="FH845" s="138">
        <f t="shared" si="699"/>
        <v>2.0569048513364727</v>
      </c>
      <c r="FI845" s="106" t="str">
        <f t="shared" si="691"/>
        <v>**</v>
      </c>
      <c r="FJ845" s="138" t="str">
        <f t="shared" si="700"/>
        <v/>
      </c>
      <c r="FK845" s="138" t="str">
        <f t="shared" si="687"/>
        <v>**</v>
      </c>
    </row>
    <row r="846" spans="1:167" ht="12.75" hidden="1" customHeight="1" x14ac:dyDescent="0.2">
      <c r="A846">
        <v>811</v>
      </c>
      <c r="B846" t="s">
        <v>1984</v>
      </c>
      <c r="D846" s="4" t="s">
        <v>1777</v>
      </c>
      <c r="E846">
        <v>204</v>
      </c>
      <c r="F846" t="str">
        <f>VLOOKUP(E846,CompDbase!B:L,4,FALSE)</f>
        <v>Toluene</v>
      </c>
      <c r="G846" s="95" t="str">
        <f>VLOOKUP(E846,CompDbase!B:M,12,FALSE)</f>
        <v>MAK</v>
      </c>
      <c r="H846" s="95">
        <f>VLOOKUP(E846,CompDbase!B:L,8,FALSE)</f>
        <v>92.14249284505685</v>
      </c>
      <c r="I846" s="95">
        <f>VLOOKUP(E846,CompDbase!B:L,11,FALSE)</f>
        <v>106.9</v>
      </c>
      <c r="J846" s="95">
        <f>VLOOKUP(E846,CompDbase!B:L,9,FALSE)</f>
        <v>610.59105234897152</v>
      </c>
      <c r="K846" s="95">
        <f>VLOOKUP(E846,CompDbase!B:L,10,FALSE)</f>
        <v>2.73</v>
      </c>
      <c r="L846" s="4" t="s">
        <v>717</v>
      </c>
      <c r="M846" s="423"/>
      <c r="N846" s="423"/>
      <c r="O846" s="4" t="s">
        <v>1044</v>
      </c>
      <c r="P846">
        <v>295</v>
      </c>
      <c r="Q846" s="4" t="s">
        <v>1049</v>
      </c>
      <c r="R846" s="289" t="s">
        <v>1982</v>
      </c>
      <c r="S846">
        <v>0.25</v>
      </c>
      <c r="T846" s="95">
        <f t="shared" si="715"/>
        <v>4.094393441211407E-4</v>
      </c>
      <c r="W846" s="13">
        <v>121</v>
      </c>
      <c r="X846" s="317">
        <f>LOG(W846)</f>
        <v>2.0827853703164503</v>
      </c>
      <c r="Z846" s="182"/>
      <c r="AA846" s="13"/>
      <c r="AB846" s="13"/>
      <c r="AG846" s="138">
        <f t="shared" si="734"/>
        <v>2.0827853703164503</v>
      </c>
      <c r="AH846">
        <f t="shared" si="735"/>
        <v>2.73</v>
      </c>
      <c r="AI846">
        <f>$K846</f>
        <v>2.73</v>
      </c>
      <c r="AL846">
        <f t="shared" ref="AL846" si="736">$K846</f>
        <v>2.73</v>
      </c>
      <c r="BW846" s="138"/>
      <c r="BX846">
        <f>LOG(1*$J846)</f>
        <v>2.7857504358225516</v>
      </c>
      <c r="BY846">
        <f>LOG(1*$J846)</f>
        <v>2.7857504358225516</v>
      </c>
      <c r="CB846">
        <f>LOG(1*$J846)</f>
        <v>2.7857504358225516</v>
      </c>
      <c r="DG846" s="138"/>
      <c r="EY846" s="479">
        <f>VLOOKUP(B846,Literatuur!$A:$B,2,FALSE)</f>
        <v>22</v>
      </c>
      <c r="EZ846" t="str">
        <f t="shared" si="692"/>
        <v>Tuluene</v>
      </c>
      <c r="FA846" t="str">
        <f t="shared" si="693"/>
        <v>MAK</v>
      </c>
      <c r="FB846" t="str">
        <f t="shared" si="694"/>
        <v>HDPE</v>
      </c>
      <c r="FC846" t="str">
        <f t="shared" si="695"/>
        <v>Immersion</v>
      </c>
      <c r="FD846">
        <f t="shared" si="696"/>
        <v>295</v>
      </c>
      <c r="FE846" t="str">
        <f t="shared" si="697"/>
        <v>water</v>
      </c>
      <c r="FF846" t="str">
        <f t="shared" si="698"/>
        <v>measured 0.25</v>
      </c>
      <c r="FG846" s="408">
        <f t="shared" si="690"/>
        <v>4.094393441211407E-4</v>
      </c>
      <c r="FH846" s="138">
        <f t="shared" si="699"/>
        <v>2.0827853703164503</v>
      </c>
      <c r="FI846" s="106">
        <f t="shared" si="691"/>
        <v>1.7833085980315144</v>
      </c>
      <c r="FJ846" s="138" t="str">
        <f t="shared" si="700"/>
        <v/>
      </c>
      <c r="FK846" s="138" t="str">
        <f t="shared" si="687"/>
        <v>**</v>
      </c>
    </row>
    <row r="847" spans="1:167" s="9" customFormat="1" ht="12.75" hidden="1" customHeight="1" x14ac:dyDescent="0.2">
      <c r="A847">
        <v>812</v>
      </c>
      <c r="B847" s="9" t="s">
        <v>1984</v>
      </c>
      <c r="D847" s="10" t="s">
        <v>1777</v>
      </c>
      <c r="E847" s="9">
        <v>204</v>
      </c>
      <c r="F847" s="9" t="str">
        <f>VLOOKUP(E847,CompDbase!B:L,4,FALSE)</f>
        <v>Toluene</v>
      </c>
      <c r="G847" s="181" t="str">
        <f>VLOOKUP(E847,CompDbase!B:M,12,FALSE)</f>
        <v>MAK</v>
      </c>
      <c r="H847" s="181">
        <f>VLOOKUP(E847,CompDbase!B:L,8,FALSE)</f>
        <v>92.14249284505685</v>
      </c>
      <c r="I847" s="181">
        <f>VLOOKUP(E847,CompDbase!B:L,11,FALSE)</f>
        <v>106.9</v>
      </c>
      <c r="J847" s="181">
        <f>VLOOKUP(E847,CompDbase!B:L,9,FALSE)</f>
        <v>610.59105234897152</v>
      </c>
      <c r="K847" s="181">
        <f>VLOOKUP(E847,CompDbase!B:L,10,FALSE)</f>
        <v>2.73</v>
      </c>
      <c r="L847" s="10" t="s">
        <v>717</v>
      </c>
      <c r="M847" s="425"/>
      <c r="N847" s="423"/>
      <c r="O847" s="10" t="s">
        <v>1082</v>
      </c>
      <c r="P847" s="9">
        <v>295</v>
      </c>
      <c r="Q847" s="10" t="s">
        <v>1049</v>
      </c>
      <c r="R847" s="393" t="s">
        <v>1982</v>
      </c>
      <c r="S847" s="9">
        <v>0.25</v>
      </c>
      <c r="T847" s="95">
        <f t="shared" si="715"/>
        <v>4.094393441211407E-4</v>
      </c>
      <c r="W847"/>
      <c r="X847" s="288"/>
      <c r="Y847" s="9">
        <v>2.2999999999999998E-13</v>
      </c>
      <c r="Z847" s="288">
        <f>LOG(Y847)</f>
        <v>-12.638272163982407</v>
      </c>
      <c r="AC847" s="9" t="s">
        <v>68</v>
      </c>
      <c r="AF847"/>
      <c r="AG847" s="138"/>
      <c r="AH847"/>
      <c r="AI847"/>
      <c r="BW847" s="138"/>
      <c r="BX847"/>
      <c r="BY847"/>
      <c r="DF847"/>
      <c r="DG847">
        <f>Z847</f>
        <v>-12.638272163982407</v>
      </c>
      <c r="DH847">
        <f>$H847</f>
        <v>92.14249284505685</v>
      </c>
      <c r="DI847"/>
      <c r="DK847">
        <f t="shared" ref="DK847" si="737">$H847</f>
        <v>92.14249284505685</v>
      </c>
      <c r="DM847">
        <f t="shared" ref="DM847" si="738">$H847</f>
        <v>92.14249284505685</v>
      </c>
      <c r="DP847"/>
      <c r="EY847" s="479">
        <f>VLOOKUP(B847,Literatuur!$A:$B,2,FALSE)</f>
        <v>22</v>
      </c>
      <c r="EZ847" t="str">
        <f t="shared" si="692"/>
        <v>Tuluene</v>
      </c>
      <c r="FA847" t="str">
        <f t="shared" si="693"/>
        <v>MAK</v>
      </c>
      <c r="FB847" t="str">
        <f t="shared" si="694"/>
        <v>HDPE</v>
      </c>
      <c r="FC847" t="str">
        <f t="shared" si="695"/>
        <v>Permeation</v>
      </c>
      <c r="FD847">
        <f t="shared" si="696"/>
        <v>295</v>
      </c>
      <c r="FE847" t="str">
        <f t="shared" si="697"/>
        <v>water</v>
      </c>
      <c r="FF847" t="str">
        <f t="shared" si="698"/>
        <v>measured 0.25</v>
      </c>
      <c r="FG847" s="408">
        <f t="shared" si="690"/>
        <v>4.094393441211407E-4</v>
      </c>
      <c r="FH847" s="138" t="str">
        <f t="shared" si="699"/>
        <v/>
      </c>
      <c r="FI847" s="106" t="str">
        <f t="shared" si="691"/>
        <v>**</v>
      </c>
      <c r="FJ847" s="138">
        <f t="shared" si="700"/>
        <v>-12.638272163982407</v>
      </c>
      <c r="FK847" s="138">
        <f t="shared" si="687"/>
        <v>-12.22349750614883</v>
      </c>
    </row>
    <row r="848" spans="1:167" ht="12.75" customHeight="1" x14ac:dyDescent="0.2">
      <c r="A848">
        <v>813</v>
      </c>
      <c r="B848" t="s">
        <v>1236</v>
      </c>
      <c r="D848" s="4" t="s">
        <v>548</v>
      </c>
      <c r="E848">
        <v>200</v>
      </c>
      <c r="F848" t="str">
        <f>VLOOKUP(E848,CompDbase!B:L,4,FALSE)</f>
        <v>Benzene</v>
      </c>
      <c r="G848" s="95" t="str">
        <f>VLOOKUP(E848,CompDbase!B:M,12,FALSE)</f>
        <v>MAK</v>
      </c>
      <c r="H848" s="95">
        <f>VLOOKUP(E848,CompDbase!B:L,8,FALSE)</f>
        <v>78.106666524406961</v>
      </c>
      <c r="I848" s="95">
        <f>VLOOKUP(E848,CompDbase!B:L,11,FALSE)</f>
        <v>89.4</v>
      </c>
      <c r="J848" s="95">
        <f>VLOOKUP(E848,CompDbase!B:L,9,FALSE)</f>
        <v>1988.89882593368</v>
      </c>
      <c r="K848" s="95">
        <f>VLOOKUP(E848,CompDbase!B:L,10,FALSE)</f>
        <v>2.13</v>
      </c>
      <c r="L848" s="4" t="s">
        <v>717</v>
      </c>
      <c r="M848" s="423">
        <v>940000</v>
      </c>
      <c r="N848" s="423"/>
      <c r="O848" s="4" t="s">
        <v>1044</v>
      </c>
      <c r="P848">
        <v>295</v>
      </c>
      <c r="Q848" s="4" t="s">
        <v>1049</v>
      </c>
      <c r="S848">
        <v>3.0000000000000001E-3</v>
      </c>
      <c r="T848" s="95">
        <f t="shared" si="715"/>
        <v>1.5083723520182899E-6</v>
      </c>
      <c r="W848">
        <v>28</v>
      </c>
      <c r="X848" s="288">
        <f t="shared" ref="X848:X867" si="739">LOG(W848)</f>
        <v>1.4471580313422192</v>
      </c>
      <c r="Z848" s="190"/>
      <c r="AG848" s="138">
        <f t="shared" ref="AG848:AG867" si="740">X848</f>
        <v>1.4471580313422192</v>
      </c>
      <c r="AH848">
        <f t="shared" ref="AH848:AI867" si="741">$K848</f>
        <v>2.13</v>
      </c>
      <c r="AI848">
        <f>$K848</f>
        <v>2.13</v>
      </c>
      <c r="AL848">
        <f t="shared" ref="AL848" si="742">$K848</f>
        <v>2.13</v>
      </c>
      <c r="BW848" s="138"/>
      <c r="BX848">
        <f>LOG(1*$J848)</f>
        <v>3.2986126913917664</v>
      </c>
      <c r="BY848">
        <f>LOG(1*$J848)</f>
        <v>3.2986126913917664</v>
      </c>
      <c r="CB848">
        <f>LOG(1*$J848)</f>
        <v>3.2986126913917664</v>
      </c>
      <c r="DG848" s="138"/>
      <c r="EY848" s="479">
        <f>VLOOKUP(B848,Literatuur!$A:$B,2,FALSE)</f>
        <v>26</v>
      </c>
      <c r="EZ848" t="str">
        <f t="shared" si="692"/>
        <v>Benzene</v>
      </c>
      <c r="FA848" t="str">
        <f t="shared" si="693"/>
        <v>MAK</v>
      </c>
      <c r="FB848" t="str">
        <f t="shared" si="694"/>
        <v>HDPE</v>
      </c>
      <c r="FC848" t="str">
        <f t="shared" si="695"/>
        <v>Immersion</v>
      </c>
      <c r="FD848">
        <f t="shared" si="696"/>
        <v>295</v>
      </c>
      <c r="FE848" t="str">
        <f t="shared" si="697"/>
        <v>water</v>
      </c>
      <c r="FF848" t="str">
        <f t="shared" si="698"/>
        <v xml:space="preserve"> 0.003</v>
      </c>
      <c r="FG848" s="408">
        <f t="shared" si="690"/>
        <v>1.5083723520182899E-6</v>
      </c>
      <c r="FH848" s="138">
        <f t="shared" si="699"/>
        <v>1.4471580313422192</v>
      </c>
      <c r="FI848" s="106">
        <f t="shared" si="691"/>
        <v>1.08007323929876</v>
      </c>
      <c r="FJ848" s="138" t="str">
        <f t="shared" si="700"/>
        <v/>
      </c>
      <c r="FK848" s="138" t="str">
        <f t="shared" si="687"/>
        <v>**</v>
      </c>
    </row>
    <row r="849" spans="1:167" ht="12.75" customHeight="1" x14ac:dyDescent="0.2">
      <c r="A849">
        <v>814</v>
      </c>
      <c r="B849" t="s">
        <v>1236</v>
      </c>
      <c r="D849" s="4" t="s">
        <v>548</v>
      </c>
      <c r="E849">
        <v>200</v>
      </c>
      <c r="F849" t="str">
        <f>VLOOKUP(E849,CompDbase!B:L,4,FALSE)</f>
        <v>Benzene</v>
      </c>
      <c r="G849" s="95" t="str">
        <f>VLOOKUP(E849,CompDbase!B:M,12,FALSE)</f>
        <v>MAK</v>
      </c>
      <c r="H849" s="95">
        <f>VLOOKUP(E849,CompDbase!B:L,8,FALSE)</f>
        <v>78.106666524406961</v>
      </c>
      <c r="I849" s="95">
        <f>VLOOKUP(E849,CompDbase!B:L,11,FALSE)</f>
        <v>89.4</v>
      </c>
      <c r="J849" s="95">
        <f>VLOOKUP(E849,CompDbase!B:L,9,FALSE)</f>
        <v>1988.89882593368</v>
      </c>
      <c r="K849" s="95">
        <f>VLOOKUP(E849,CompDbase!B:L,10,FALSE)</f>
        <v>2.13</v>
      </c>
      <c r="L849" s="4" t="s">
        <v>717</v>
      </c>
      <c r="M849" s="423">
        <v>940000</v>
      </c>
      <c r="N849" s="423"/>
      <c r="O849" s="4" t="s">
        <v>1082</v>
      </c>
      <c r="P849">
        <v>295</v>
      </c>
      <c r="Q849" s="4" t="s">
        <v>1049</v>
      </c>
      <c r="S849">
        <v>3.0000000000000001E-3</v>
      </c>
      <c r="T849" s="95">
        <f t="shared" si="715"/>
        <v>1.5083723520182899E-6</v>
      </c>
      <c r="W849">
        <v>30</v>
      </c>
      <c r="X849" s="288">
        <f t="shared" si="739"/>
        <v>1.4771212547196624</v>
      </c>
      <c r="Y849">
        <v>3.5000000000000002E-13</v>
      </c>
      <c r="Z849" s="95">
        <f>LOG(Y849)</f>
        <v>-12.455931955649724</v>
      </c>
      <c r="AA849" s="95">
        <f>W849*Y849</f>
        <v>1.0500000000000001E-11</v>
      </c>
      <c r="AB849" s="288">
        <f>LOG(AA849)</f>
        <v>-10.978810700930062</v>
      </c>
      <c r="AC849" s="95"/>
      <c r="AD849" s="95"/>
      <c r="AG849" s="138">
        <f t="shared" si="740"/>
        <v>1.4771212547196624</v>
      </c>
      <c r="AH849">
        <f t="shared" si="741"/>
        <v>2.13</v>
      </c>
      <c r="AK849">
        <f t="shared" ref="AK849" si="743">$K849</f>
        <v>2.13</v>
      </c>
      <c r="BW849" s="138"/>
      <c r="BX849">
        <f t="shared" ref="BX849:BX867" si="744">LOG(1*$J849)</f>
        <v>3.2986126913917664</v>
      </c>
      <c r="CA849">
        <f>LOG(1*$J849)</f>
        <v>3.2986126913917664</v>
      </c>
      <c r="DG849">
        <f>Z849</f>
        <v>-12.455931955649724</v>
      </c>
      <c r="DH849">
        <f>$H849</f>
        <v>78.106666524406961</v>
      </c>
      <c r="DK849">
        <f t="shared" ref="DK849" si="745">$H849</f>
        <v>78.106666524406961</v>
      </c>
      <c r="DM849">
        <f t="shared" ref="DM849" si="746">$H849</f>
        <v>78.106666524406961</v>
      </c>
      <c r="EY849" s="479">
        <f>VLOOKUP(B849,Literatuur!$A:$B,2,FALSE)</f>
        <v>26</v>
      </c>
      <c r="EZ849" t="str">
        <f t="shared" si="692"/>
        <v>Benzene</v>
      </c>
      <c r="FA849" t="str">
        <f t="shared" si="693"/>
        <v>MAK</v>
      </c>
      <c r="FB849" t="str">
        <f t="shared" si="694"/>
        <v>HDPE</v>
      </c>
      <c r="FC849" t="str">
        <f t="shared" si="695"/>
        <v>Permeation</v>
      </c>
      <c r="FD849">
        <f t="shared" si="696"/>
        <v>295</v>
      </c>
      <c r="FE849" t="str">
        <f t="shared" si="697"/>
        <v>water</v>
      </c>
      <c r="FF849" t="str">
        <f t="shared" si="698"/>
        <v xml:space="preserve"> 0.003</v>
      </c>
      <c r="FG849" s="408">
        <f t="shared" si="690"/>
        <v>1.5083723520182899E-6</v>
      </c>
      <c r="FH849" s="138">
        <f t="shared" si="699"/>
        <v>1.4771212547196624</v>
      </c>
      <c r="FI849" s="106" t="str">
        <f t="shared" si="691"/>
        <v>**</v>
      </c>
      <c r="FJ849" s="138">
        <f t="shared" si="700"/>
        <v>-12.455931955649724</v>
      </c>
      <c r="FK849" s="138">
        <f t="shared" si="687"/>
        <v>-12.065815468244072</v>
      </c>
    </row>
    <row r="850" spans="1:167" ht="12.75" hidden="1" customHeight="1" x14ac:dyDescent="0.2">
      <c r="A850">
        <v>815</v>
      </c>
      <c r="B850" t="s">
        <v>1236</v>
      </c>
      <c r="D850" s="4" t="s">
        <v>694</v>
      </c>
      <c r="E850">
        <v>201</v>
      </c>
      <c r="F850" t="str">
        <f>VLOOKUP(E850,CompDbase!B:L,4,FALSE)</f>
        <v>Ethylbenzene</v>
      </c>
      <c r="G850" s="95" t="str">
        <f>VLOOKUP(E850,CompDbase!B:M,12,FALSE)</f>
        <v>MAK</v>
      </c>
      <c r="H850" s="95">
        <f>VLOOKUP(E850,CompDbase!B:L,8,FALSE)</f>
        <v>106.18666499232586</v>
      </c>
      <c r="I850" s="95" t="e">
        <f>VLOOKUP(E850,CompDbase!B:L,11,FALSE)</f>
        <v>#DIV/0!</v>
      </c>
      <c r="J850" s="95">
        <f>VLOOKUP(E850,CompDbase!B:L,9,FALSE)</f>
        <v>159.4494296665228</v>
      </c>
      <c r="K850" s="95">
        <f>VLOOKUP(E850,CompDbase!B:L,10,FALSE)</f>
        <v>3.15</v>
      </c>
      <c r="L850" s="4" t="s">
        <v>717</v>
      </c>
      <c r="M850" s="423">
        <v>940000</v>
      </c>
      <c r="N850" s="423"/>
      <c r="O850" s="4" t="s">
        <v>1044</v>
      </c>
      <c r="P850">
        <v>295</v>
      </c>
      <c r="Q850" s="4" t="s">
        <v>1049</v>
      </c>
      <c r="S850">
        <v>3.0000000000000001E-3</v>
      </c>
      <c r="T850" s="95">
        <f t="shared" si="715"/>
        <v>1.8814742744920994E-5</v>
      </c>
      <c r="W850">
        <v>276</v>
      </c>
      <c r="X850" s="288">
        <f t="shared" si="739"/>
        <v>2.4409090820652177</v>
      </c>
      <c r="Z850" s="190"/>
      <c r="AG850" s="138">
        <f t="shared" si="740"/>
        <v>2.4409090820652177</v>
      </c>
      <c r="AH850">
        <f t="shared" si="741"/>
        <v>3.15</v>
      </c>
      <c r="AI850">
        <f>$K850</f>
        <v>3.15</v>
      </c>
      <c r="AL850">
        <f t="shared" ref="AL850" si="747">$K850</f>
        <v>3.15</v>
      </c>
      <c r="BW850" s="138"/>
      <c r="BX850">
        <f t="shared" si="744"/>
        <v>2.202622970157059</v>
      </c>
      <c r="BY850">
        <f>LOG(1*$J850)</f>
        <v>2.202622970157059</v>
      </c>
      <c r="CB850">
        <f>LOG(1*$J850)</f>
        <v>2.202622970157059</v>
      </c>
      <c r="DG850" s="138"/>
      <c r="EY850" s="479">
        <f>VLOOKUP(B850,Literatuur!$A:$B,2,FALSE)</f>
        <v>26</v>
      </c>
      <c r="EZ850" t="str">
        <f t="shared" si="692"/>
        <v>Ethylbenzene</v>
      </c>
      <c r="FA850" t="str">
        <f t="shared" si="693"/>
        <v>MAK</v>
      </c>
      <c r="FB850" t="str">
        <f t="shared" si="694"/>
        <v>HDPE</v>
      </c>
      <c r="FC850" t="str">
        <f t="shared" si="695"/>
        <v>Immersion</v>
      </c>
      <c r="FD850">
        <f t="shared" si="696"/>
        <v>295</v>
      </c>
      <c r="FE850" t="str">
        <f t="shared" si="697"/>
        <v>water</v>
      </c>
      <c r="FF850" t="str">
        <f t="shared" si="698"/>
        <v xml:space="preserve"> 0.003</v>
      </c>
      <c r="FG850" s="408">
        <f t="shared" si="690"/>
        <v>1.8814742744920994E-5</v>
      </c>
      <c r="FH850" s="138">
        <f t="shared" si="699"/>
        <v>2.4409090820652177</v>
      </c>
      <c r="FI850" s="106">
        <f t="shared" si="691"/>
        <v>2.2755733491444419</v>
      </c>
      <c r="FJ850" s="138" t="str">
        <f t="shared" si="700"/>
        <v/>
      </c>
      <c r="FK850" s="138" t="str">
        <f t="shared" si="687"/>
        <v>**</v>
      </c>
    </row>
    <row r="851" spans="1:167" ht="12.75" hidden="1" customHeight="1" x14ac:dyDescent="0.2">
      <c r="A851">
        <v>816</v>
      </c>
      <c r="B851" t="s">
        <v>1236</v>
      </c>
      <c r="D851" s="4" t="s">
        <v>694</v>
      </c>
      <c r="E851">
        <v>201</v>
      </c>
      <c r="F851" t="str">
        <f>VLOOKUP(E851,CompDbase!B:L,4,FALSE)</f>
        <v>Ethylbenzene</v>
      </c>
      <c r="G851" s="95" t="str">
        <f>VLOOKUP(E851,CompDbase!B:M,12,FALSE)</f>
        <v>MAK</v>
      </c>
      <c r="H851" s="95">
        <f>VLOOKUP(E851,CompDbase!B:L,8,FALSE)</f>
        <v>106.18666499232586</v>
      </c>
      <c r="I851" s="95" t="e">
        <f>VLOOKUP(E851,CompDbase!B:L,11,FALSE)</f>
        <v>#DIV/0!</v>
      </c>
      <c r="J851" s="95">
        <f>VLOOKUP(E851,CompDbase!B:L,9,FALSE)</f>
        <v>159.4494296665228</v>
      </c>
      <c r="K851" s="95">
        <f>VLOOKUP(E851,CompDbase!B:L,10,FALSE)</f>
        <v>3.15</v>
      </c>
      <c r="L851" s="4" t="s">
        <v>717</v>
      </c>
      <c r="M851" s="423">
        <v>940000</v>
      </c>
      <c r="N851" s="423"/>
      <c r="O851" s="4" t="s">
        <v>1082</v>
      </c>
      <c r="P851">
        <v>295</v>
      </c>
      <c r="Q851" s="4" t="s">
        <v>1049</v>
      </c>
      <c r="S851">
        <v>3.0000000000000001E-3</v>
      </c>
      <c r="T851" s="95">
        <f t="shared" si="715"/>
        <v>1.8814742744920994E-5</v>
      </c>
      <c r="W851">
        <v>285</v>
      </c>
      <c r="X851" s="288">
        <f t="shared" si="739"/>
        <v>2.4548448600085102</v>
      </c>
      <c r="Y851">
        <v>1.8000000000000002E-13</v>
      </c>
      <c r="Z851" s="95">
        <f>LOG(Y851)</f>
        <v>-12.744727494896694</v>
      </c>
      <c r="AA851" s="95">
        <f>W851*Y851</f>
        <v>5.1300000000000006E-11</v>
      </c>
      <c r="AB851" s="288">
        <f>LOG(AA851)</f>
        <v>-10.289882634888183</v>
      </c>
      <c r="AC851" s="95"/>
      <c r="AD851" s="95"/>
      <c r="AG851" s="138">
        <f t="shared" si="740"/>
        <v>2.4548448600085102</v>
      </c>
      <c r="AH851">
        <f t="shared" si="741"/>
        <v>3.15</v>
      </c>
      <c r="AK851">
        <f t="shared" ref="AK851" si="748">$K851</f>
        <v>3.15</v>
      </c>
      <c r="BW851" s="138"/>
      <c r="BX851">
        <f t="shared" si="744"/>
        <v>2.202622970157059</v>
      </c>
      <c r="CA851">
        <f>LOG(1*$J851)</f>
        <v>2.202622970157059</v>
      </c>
      <c r="DG851">
        <f>Z851</f>
        <v>-12.744727494896694</v>
      </c>
      <c r="DH851">
        <f>$H851</f>
        <v>106.18666499232586</v>
      </c>
      <c r="DK851">
        <f t="shared" ref="DK851" si="749">$H851</f>
        <v>106.18666499232586</v>
      </c>
      <c r="DM851">
        <f t="shared" ref="DM851" si="750">$H851</f>
        <v>106.18666499232586</v>
      </c>
      <c r="EY851" s="479">
        <f>VLOOKUP(B851,Literatuur!$A:$B,2,FALSE)</f>
        <v>26</v>
      </c>
      <c r="EZ851" t="str">
        <f t="shared" si="692"/>
        <v>Ethylbenzene</v>
      </c>
      <c r="FA851" t="str">
        <f t="shared" si="693"/>
        <v>MAK</v>
      </c>
      <c r="FB851" t="str">
        <f t="shared" si="694"/>
        <v>HDPE</v>
      </c>
      <c r="FC851" t="str">
        <f t="shared" si="695"/>
        <v>Permeation</v>
      </c>
      <c r="FD851">
        <f t="shared" si="696"/>
        <v>295</v>
      </c>
      <c r="FE851" t="str">
        <f t="shared" si="697"/>
        <v>water</v>
      </c>
      <c r="FF851" t="str">
        <f t="shared" si="698"/>
        <v xml:space="preserve"> 0.003</v>
      </c>
      <c r="FG851" s="408">
        <f t="shared" si="690"/>
        <v>1.8814742744920994E-5</v>
      </c>
      <c r="FH851" s="138">
        <f t="shared" si="699"/>
        <v>2.4548448600085102</v>
      </c>
      <c r="FI851" s="106" t="str">
        <f t="shared" si="691"/>
        <v>**</v>
      </c>
      <c r="FJ851" s="138">
        <f t="shared" si="700"/>
        <v>-12.744727494896694</v>
      </c>
      <c r="FK851" s="138">
        <f t="shared" si="687"/>
        <v>-12.381273303189619</v>
      </c>
    </row>
    <row r="852" spans="1:167" ht="12.75" hidden="1" customHeight="1" x14ac:dyDescent="0.2">
      <c r="A852">
        <v>817</v>
      </c>
      <c r="B852" t="s">
        <v>1236</v>
      </c>
      <c r="D852" s="4" t="s">
        <v>914</v>
      </c>
      <c r="E852">
        <v>205</v>
      </c>
      <c r="F852" t="str">
        <f>VLOOKUP(E852,CompDbase!B:L,4,FALSE)</f>
        <v>m-Xylene</v>
      </c>
      <c r="G852" s="95" t="str">
        <f>VLOOKUP(E852,CompDbase!B:M,12,FALSE)</f>
        <v>MAK</v>
      </c>
      <c r="H852" s="95">
        <f>VLOOKUP(E852,CompDbase!B:L,8,FALSE)</f>
        <v>106.18999905823263</v>
      </c>
      <c r="I852" s="95" t="e">
        <f>VLOOKUP(E852,CompDbase!B:L,11,FALSE)</f>
        <v>#DIV/0!</v>
      </c>
      <c r="J852" s="95">
        <f>VLOOKUP(E852,CompDbase!B:L,9,FALSE)</f>
        <v>197.40652052455141</v>
      </c>
      <c r="K852" s="95">
        <f>VLOOKUP(E852,CompDbase!B:L,10,FALSE)</f>
        <v>3.2</v>
      </c>
      <c r="L852" s="4" t="s">
        <v>717</v>
      </c>
      <c r="M852" s="423">
        <v>940000</v>
      </c>
      <c r="N852" s="423"/>
      <c r="O852" s="4" t="s">
        <v>1044</v>
      </c>
      <c r="P852">
        <v>295</v>
      </c>
      <c r="Q852" s="4" t="s">
        <v>1049</v>
      </c>
      <c r="S852">
        <v>3.0000000000000001E-3</v>
      </c>
      <c r="T852" s="95">
        <f t="shared" si="715"/>
        <v>1.519706639896371E-5</v>
      </c>
      <c r="W852">
        <v>354</v>
      </c>
      <c r="X852" s="288">
        <f t="shared" si="739"/>
        <v>2.5490032620257876</v>
      </c>
      <c r="Z852" s="190"/>
      <c r="AG852" s="138">
        <f t="shared" si="740"/>
        <v>2.5490032620257876</v>
      </c>
      <c r="AH852">
        <f t="shared" si="741"/>
        <v>3.2</v>
      </c>
      <c r="AI852">
        <f>$K852</f>
        <v>3.2</v>
      </c>
      <c r="AL852">
        <f t="shared" ref="AL852" si="751">$K852</f>
        <v>3.2</v>
      </c>
      <c r="BW852" s="138"/>
      <c r="BX852">
        <f t="shared" si="744"/>
        <v>2.2953614937290703</v>
      </c>
      <c r="BY852">
        <f>LOG(1*$J852)</f>
        <v>2.2953614937290703</v>
      </c>
      <c r="CB852">
        <f>LOG(1*$J852)</f>
        <v>2.2953614937290703</v>
      </c>
      <c r="DG852" s="138"/>
      <c r="EY852" s="479">
        <f>VLOOKUP(B852,Literatuur!$A:$B,2,FALSE)</f>
        <v>26</v>
      </c>
      <c r="EZ852" t="str">
        <f t="shared" si="692"/>
        <v>m&amp;p-Xylene</v>
      </c>
      <c r="FA852" t="str">
        <f t="shared" si="693"/>
        <v>MAK</v>
      </c>
      <c r="FB852" t="str">
        <f t="shared" si="694"/>
        <v>HDPE</v>
      </c>
      <c r="FC852" t="str">
        <f t="shared" si="695"/>
        <v>Immersion</v>
      </c>
      <c r="FD852">
        <f t="shared" si="696"/>
        <v>295</v>
      </c>
      <c r="FE852" t="str">
        <f t="shared" si="697"/>
        <v>water</v>
      </c>
      <c r="FF852" t="str">
        <f t="shared" si="698"/>
        <v xml:space="preserve"> 0.003</v>
      </c>
      <c r="FG852" s="408">
        <f t="shared" si="690"/>
        <v>1.519706639896371E-5</v>
      </c>
      <c r="FH852" s="138">
        <f t="shared" si="699"/>
        <v>2.5490032620257876</v>
      </c>
      <c r="FI852" s="106">
        <f t="shared" si="691"/>
        <v>2.3341762957055052</v>
      </c>
      <c r="FJ852" s="138" t="str">
        <f t="shared" si="700"/>
        <v/>
      </c>
      <c r="FK852" s="138" t="str">
        <f t="shared" si="687"/>
        <v>**</v>
      </c>
    </row>
    <row r="853" spans="1:167" ht="12.75" hidden="1" customHeight="1" x14ac:dyDescent="0.2">
      <c r="A853">
        <v>818</v>
      </c>
      <c r="B853" t="s">
        <v>1236</v>
      </c>
      <c r="D853" s="4" t="s">
        <v>914</v>
      </c>
      <c r="E853">
        <v>205</v>
      </c>
      <c r="F853" t="str">
        <f>VLOOKUP(E853,CompDbase!B:L,4,FALSE)</f>
        <v>m-Xylene</v>
      </c>
      <c r="G853" s="95" t="str">
        <f>VLOOKUP(E853,CompDbase!B:M,12,FALSE)</f>
        <v>MAK</v>
      </c>
      <c r="H853" s="95">
        <f>VLOOKUP(E853,CompDbase!B:L,8,FALSE)</f>
        <v>106.18999905823263</v>
      </c>
      <c r="I853" s="95" t="e">
        <f>VLOOKUP(E853,CompDbase!B:L,11,FALSE)</f>
        <v>#DIV/0!</v>
      </c>
      <c r="J853" s="95">
        <f>VLOOKUP(E853,CompDbase!B:L,9,FALSE)</f>
        <v>197.40652052455141</v>
      </c>
      <c r="K853" s="95">
        <f>VLOOKUP(E853,CompDbase!B:L,10,FALSE)</f>
        <v>3.2</v>
      </c>
      <c r="L853" s="4" t="s">
        <v>717</v>
      </c>
      <c r="M853" s="423">
        <v>940000</v>
      </c>
      <c r="N853" s="423"/>
      <c r="O853" s="4" t="s">
        <v>1082</v>
      </c>
      <c r="P853">
        <v>295</v>
      </c>
      <c r="Q853" s="4" t="s">
        <v>1049</v>
      </c>
      <c r="S853">
        <v>3.0000000000000001E-3</v>
      </c>
      <c r="T853" s="95">
        <f t="shared" si="715"/>
        <v>1.519706639896371E-5</v>
      </c>
      <c r="W853">
        <v>347</v>
      </c>
      <c r="X853" s="288">
        <f t="shared" si="739"/>
        <v>2.5403294747908736</v>
      </c>
      <c r="Y853">
        <v>1.7000000000000003E-13</v>
      </c>
      <c r="Z853" s="95">
        <f>LOG(Y853)</f>
        <v>-12.769551078621726</v>
      </c>
      <c r="AA853" s="95">
        <f>W853*Y853</f>
        <v>5.8990000000000008E-11</v>
      </c>
      <c r="AB853" s="288">
        <f>LOG(AA853)</f>
        <v>-10.229221603830853</v>
      </c>
      <c r="AC853" s="95"/>
      <c r="AD853" s="95"/>
      <c r="AG853" s="138">
        <f t="shared" si="740"/>
        <v>2.5403294747908736</v>
      </c>
      <c r="AH853">
        <f t="shared" si="741"/>
        <v>3.2</v>
      </c>
      <c r="AK853">
        <f t="shared" ref="AK853" si="752">$K853</f>
        <v>3.2</v>
      </c>
      <c r="BW853" s="138"/>
      <c r="BX853">
        <f t="shared" si="744"/>
        <v>2.2953614937290703</v>
      </c>
      <c r="CA853">
        <f>LOG(1*$J853)</f>
        <v>2.2953614937290703</v>
      </c>
      <c r="DG853">
        <f>Z853</f>
        <v>-12.769551078621726</v>
      </c>
      <c r="DH853">
        <f>$H853</f>
        <v>106.18999905823263</v>
      </c>
      <c r="DK853">
        <f t="shared" ref="DK853" si="753">$H853</f>
        <v>106.18999905823263</v>
      </c>
      <c r="DM853">
        <f t="shared" ref="DM853" si="754">$H853</f>
        <v>106.18999905823263</v>
      </c>
      <c r="EY853" s="479">
        <f>VLOOKUP(B853,Literatuur!$A:$B,2,FALSE)</f>
        <v>26</v>
      </c>
      <c r="EZ853" t="str">
        <f t="shared" si="692"/>
        <v>m&amp;p-Xylene</v>
      </c>
      <c r="FA853" t="str">
        <f t="shared" si="693"/>
        <v>MAK</v>
      </c>
      <c r="FB853" t="str">
        <f t="shared" si="694"/>
        <v>HDPE</v>
      </c>
      <c r="FC853" t="str">
        <f t="shared" si="695"/>
        <v>Permeation</v>
      </c>
      <c r="FD853">
        <f t="shared" si="696"/>
        <v>295</v>
      </c>
      <c r="FE853" t="str">
        <f t="shared" si="697"/>
        <v>water</v>
      </c>
      <c r="FF853" t="str">
        <f t="shared" si="698"/>
        <v xml:space="preserve"> 0.003</v>
      </c>
      <c r="FG853" s="408">
        <f t="shared" si="690"/>
        <v>1.519706639896371E-5</v>
      </c>
      <c r="FH853" s="138">
        <f t="shared" si="699"/>
        <v>2.5403294747908736</v>
      </c>
      <c r="FI853" s="106" t="str">
        <f t="shared" si="691"/>
        <v>**</v>
      </c>
      <c r="FJ853" s="138">
        <f t="shared" si="700"/>
        <v>-12.769551078621726</v>
      </c>
      <c r="FK853" s="138">
        <f t="shared" si="687"/>
        <v>-12.38131075893285</v>
      </c>
    </row>
    <row r="854" spans="1:167" ht="12.75" hidden="1" customHeight="1" x14ac:dyDescent="0.2">
      <c r="A854">
        <v>819</v>
      </c>
      <c r="B854" t="s">
        <v>1236</v>
      </c>
      <c r="D854" s="4" t="s">
        <v>872</v>
      </c>
      <c r="E854">
        <v>218</v>
      </c>
      <c r="F854" t="str">
        <f>VLOOKUP(E854,CompDbase!B:L,4,FALSE)</f>
        <v>o-Xylene</v>
      </c>
      <c r="G854" s="95" t="str">
        <f>VLOOKUP(E854,CompDbase!B:M,12,FALSE)</f>
        <v>MAK</v>
      </c>
      <c r="H854" s="95">
        <f>VLOOKUP(E854,CompDbase!B:L,8,FALSE)</f>
        <v>106.18666499232586</v>
      </c>
      <c r="I854" s="95" t="e">
        <f>VLOOKUP(E854,CompDbase!B:L,11,FALSE)</f>
        <v>#DIV/0!</v>
      </c>
      <c r="J854" s="95">
        <f>VLOOKUP(E854,CompDbase!B:L,9,FALSE)</f>
        <v>218.93359574593291</v>
      </c>
      <c r="K854" s="95">
        <f>VLOOKUP(E854,CompDbase!B:L,10,FALSE)</f>
        <v>3.12</v>
      </c>
      <c r="L854" s="4" t="s">
        <v>717</v>
      </c>
      <c r="M854" s="423">
        <v>940000</v>
      </c>
      <c r="N854" s="423"/>
      <c r="O854" s="4" t="s">
        <v>1044</v>
      </c>
      <c r="P854">
        <v>295</v>
      </c>
      <c r="Q854" s="4" t="s">
        <v>1049</v>
      </c>
      <c r="S854">
        <v>3.0000000000000001E-3</v>
      </c>
      <c r="T854" s="95">
        <f t="shared" si="715"/>
        <v>1.3702785037529951E-5</v>
      </c>
      <c r="W854">
        <v>239</v>
      </c>
      <c r="X854" s="288">
        <f t="shared" si="739"/>
        <v>2.3783979009481375</v>
      </c>
      <c r="Z854" s="190"/>
      <c r="AG854" s="138">
        <f t="shared" si="740"/>
        <v>2.3783979009481375</v>
      </c>
      <c r="AH854">
        <f t="shared" si="741"/>
        <v>3.12</v>
      </c>
      <c r="AI854">
        <f>$K854</f>
        <v>3.12</v>
      </c>
      <c r="AL854">
        <f t="shared" ref="AL854" si="755">$K854</f>
        <v>3.12</v>
      </c>
      <c r="BW854" s="138"/>
      <c r="BX854">
        <f t="shared" si="744"/>
        <v>2.3403124099350032</v>
      </c>
      <c r="BY854">
        <f>LOG(1*$J854)</f>
        <v>2.3403124099350032</v>
      </c>
      <c r="CB854">
        <f>LOG(1*$J854)</f>
        <v>2.3403124099350032</v>
      </c>
      <c r="DG854" s="138"/>
      <c r="EY854" s="479">
        <f>VLOOKUP(B854,Literatuur!$A:$B,2,FALSE)</f>
        <v>26</v>
      </c>
      <c r="EZ854" t="str">
        <f t="shared" si="692"/>
        <v>o-Xylene</v>
      </c>
      <c r="FA854" t="str">
        <f t="shared" si="693"/>
        <v>MAK</v>
      </c>
      <c r="FB854" t="str">
        <f t="shared" si="694"/>
        <v>HDPE</v>
      </c>
      <c r="FC854" t="str">
        <f t="shared" si="695"/>
        <v>Immersion</v>
      </c>
      <c r="FD854">
        <f t="shared" si="696"/>
        <v>295</v>
      </c>
      <c r="FE854" t="str">
        <f t="shared" si="697"/>
        <v>water</v>
      </c>
      <c r="FF854" t="str">
        <f t="shared" si="698"/>
        <v xml:space="preserve"> 0.003</v>
      </c>
      <c r="FG854" s="408">
        <f t="shared" si="690"/>
        <v>1.3702785037529951E-5</v>
      </c>
      <c r="FH854" s="138">
        <f t="shared" si="699"/>
        <v>2.3783979009481375</v>
      </c>
      <c r="FI854" s="106">
        <f t="shared" si="691"/>
        <v>2.2404115812078045</v>
      </c>
      <c r="FJ854" s="138" t="str">
        <f t="shared" si="700"/>
        <v/>
      </c>
      <c r="FK854" s="138" t="str">
        <f t="shared" si="687"/>
        <v>**</v>
      </c>
    </row>
    <row r="855" spans="1:167" ht="12.75" hidden="1" customHeight="1" x14ac:dyDescent="0.2">
      <c r="A855">
        <v>820</v>
      </c>
      <c r="B855" t="s">
        <v>1236</v>
      </c>
      <c r="D855" s="4" t="s">
        <v>872</v>
      </c>
      <c r="E855">
        <v>218</v>
      </c>
      <c r="F855" t="str">
        <f>VLOOKUP(E855,CompDbase!B:L,4,FALSE)</f>
        <v>o-Xylene</v>
      </c>
      <c r="G855" s="95" t="str">
        <f>VLOOKUP(E855,CompDbase!B:M,12,FALSE)</f>
        <v>MAK</v>
      </c>
      <c r="H855" s="95">
        <f>VLOOKUP(E855,CompDbase!B:L,8,FALSE)</f>
        <v>106.18666499232586</v>
      </c>
      <c r="I855" s="95" t="e">
        <f>VLOOKUP(E855,CompDbase!B:L,11,FALSE)</f>
        <v>#DIV/0!</v>
      </c>
      <c r="J855" s="95">
        <f>VLOOKUP(E855,CompDbase!B:L,9,FALSE)</f>
        <v>218.93359574593291</v>
      </c>
      <c r="K855" s="95">
        <f>VLOOKUP(E855,CompDbase!B:L,10,FALSE)</f>
        <v>3.12</v>
      </c>
      <c r="L855" s="4" t="s">
        <v>717</v>
      </c>
      <c r="M855" s="423">
        <v>940000</v>
      </c>
      <c r="N855" s="423"/>
      <c r="O855" s="4" t="s">
        <v>1082</v>
      </c>
      <c r="P855">
        <v>295</v>
      </c>
      <c r="Q855" s="4" t="s">
        <v>1049</v>
      </c>
      <c r="S855">
        <v>3.0000000000000001E-3</v>
      </c>
      <c r="T855" s="95">
        <f t="shared" si="715"/>
        <v>1.3702785037529951E-5</v>
      </c>
      <c r="W855">
        <v>240</v>
      </c>
      <c r="X855" s="288">
        <f t="shared" si="739"/>
        <v>2.3802112417116059</v>
      </c>
      <c r="Y855">
        <v>1.5000000000000002E-13</v>
      </c>
      <c r="Z855" s="95">
        <f>LOG(Y855)</f>
        <v>-12.823908740944319</v>
      </c>
      <c r="AA855" s="95">
        <f>W855*Y855</f>
        <v>3.6000000000000005E-11</v>
      </c>
      <c r="AB855" s="288">
        <f>LOG(AA855)</f>
        <v>-10.443697499232712</v>
      </c>
      <c r="AC855" s="95"/>
      <c r="AD855" s="95"/>
      <c r="AG855" s="138">
        <f t="shared" si="740"/>
        <v>2.3802112417116059</v>
      </c>
      <c r="AH855">
        <f t="shared" si="741"/>
        <v>3.12</v>
      </c>
      <c r="AK855">
        <f t="shared" ref="AK855" si="756">$K855</f>
        <v>3.12</v>
      </c>
      <c r="BW855" s="138"/>
      <c r="BX855">
        <f t="shared" si="744"/>
        <v>2.3403124099350032</v>
      </c>
      <c r="CA855">
        <f>LOG(1*$J855)</f>
        <v>2.3403124099350032</v>
      </c>
      <c r="DG855">
        <f>Z855</f>
        <v>-12.823908740944319</v>
      </c>
      <c r="DH855">
        <f>$H855</f>
        <v>106.18666499232586</v>
      </c>
      <c r="DK855">
        <f t="shared" ref="DK855" si="757">$H855</f>
        <v>106.18666499232586</v>
      </c>
      <c r="DM855">
        <f t="shared" ref="DM855" si="758">$H855</f>
        <v>106.18666499232586</v>
      </c>
      <c r="EY855" s="479">
        <f>VLOOKUP(B855,Literatuur!$A:$B,2,FALSE)</f>
        <v>26</v>
      </c>
      <c r="EZ855" t="str">
        <f t="shared" si="692"/>
        <v>o-Xylene</v>
      </c>
      <c r="FA855" t="str">
        <f t="shared" si="693"/>
        <v>MAK</v>
      </c>
      <c r="FB855" t="str">
        <f t="shared" si="694"/>
        <v>HDPE</v>
      </c>
      <c r="FC855" t="str">
        <f t="shared" si="695"/>
        <v>Permeation</v>
      </c>
      <c r="FD855">
        <f t="shared" si="696"/>
        <v>295</v>
      </c>
      <c r="FE855" t="str">
        <f t="shared" si="697"/>
        <v>water</v>
      </c>
      <c r="FF855" t="str">
        <f t="shared" si="698"/>
        <v xml:space="preserve"> 0.003</v>
      </c>
      <c r="FG855" s="408">
        <f t="shared" si="690"/>
        <v>1.3702785037529951E-5</v>
      </c>
      <c r="FH855" s="138">
        <f t="shared" si="699"/>
        <v>2.3802112417116059</v>
      </c>
      <c r="FI855" s="106" t="str">
        <f t="shared" si="691"/>
        <v>**</v>
      </c>
      <c r="FJ855" s="138">
        <f t="shared" si="700"/>
        <v>-12.823908740944319</v>
      </c>
      <c r="FK855" s="138">
        <f t="shared" si="687"/>
        <v>-12.381273303189619</v>
      </c>
    </row>
    <row r="856" spans="1:167" ht="12.75" hidden="1" customHeight="1" x14ac:dyDescent="0.2">
      <c r="A856">
        <v>821</v>
      </c>
      <c r="B856" t="s">
        <v>1236</v>
      </c>
      <c r="D856" s="4" t="s">
        <v>492</v>
      </c>
      <c r="E856">
        <v>204</v>
      </c>
      <c r="F856" t="str">
        <f>VLOOKUP(E856,CompDbase!B:L,4,FALSE)</f>
        <v>Toluene</v>
      </c>
      <c r="G856" s="95" t="str">
        <f>VLOOKUP(E856,CompDbase!B:M,12,FALSE)</f>
        <v>MAK</v>
      </c>
      <c r="H856" s="95">
        <f>VLOOKUP(E856,CompDbase!B:L,8,FALSE)</f>
        <v>92.14249284505685</v>
      </c>
      <c r="I856" s="95">
        <f>VLOOKUP(E856,CompDbase!B:L,11,FALSE)</f>
        <v>106.9</v>
      </c>
      <c r="J856" s="95">
        <f>VLOOKUP(E856,CompDbase!B:L,9,FALSE)</f>
        <v>610.59105234897152</v>
      </c>
      <c r="K856" s="95">
        <f>VLOOKUP(E856,CompDbase!B:L,10,FALSE)</f>
        <v>2.73</v>
      </c>
      <c r="L856" s="4" t="s">
        <v>717</v>
      </c>
      <c r="M856" s="423">
        <v>940000</v>
      </c>
      <c r="N856" s="423"/>
      <c r="O856" s="4" t="s">
        <v>1044</v>
      </c>
      <c r="P856">
        <v>295</v>
      </c>
      <c r="Q856" s="4" t="s">
        <v>1049</v>
      </c>
      <c r="R856" s="289" t="s">
        <v>1982</v>
      </c>
      <c r="S856">
        <v>3.0000000000000001E-3</v>
      </c>
      <c r="T856" s="95">
        <f t="shared" si="715"/>
        <v>4.9132721294536887E-6</v>
      </c>
      <c r="W856">
        <v>107.5</v>
      </c>
      <c r="X856" s="288">
        <f t="shared" si="739"/>
        <v>2.0314084642516241</v>
      </c>
      <c r="Z856" s="190"/>
      <c r="AG856" s="138">
        <f t="shared" si="740"/>
        <v>2.0314084642516241</v>
      </c>
      <c r="AH856">
        <f t="shared" si="741"/>
        <v>2.73</v>
      </c>
      <c r="AI856">
        <f>$K856</f>
        <v>2.73</v>
      </c>
      <c r="AL856">
        <f t="shared" ref="AL856" si="759">$K856</f>
        <v>2.73</v>
      </c>
      <c r="BW856" s="138"/>
      <c r="BX856">
        <f t="shared" si="744"/>
        <v>2.7857504358225516</v>
      </c>
      <c r="BY856">
        <f>LOG(1*$J856)</f>
        <v>2.7857504358225516</v>
      </c>
      <c r="CB856">
        <f>LOG(1*$J856)</f>
        <v>2.7857504358225516</v>
      </c>
      <c r="DG856" s="138"/>
      <c r="EY856" s="479">
        <f>VLOOKUP(B856,Literatuur!$A:$B,2,FALSE)</f>
        <v>26</v>
      </c>
      <c r="EZ856" t="str">
        <f t="shared" si="692"/>
        <v>Toluene</v>
      </c>
      <c r="FA856" t="str">
        <f t="shared" si="693"/>
        <v>MAK</v>
      </c>
      <c r="FB856" t="str">
        <f t="shared" si="694"/>
        <v>HDPE</v>
      </c>
      <c r="FC856" t="str">
        <f t="shared" si="695"/>
        <v>Immersion</v>
      </c>
      <c r="FD856">
        <f t="shared" si="696"/>
        <v>295</v>
      </c>
      <c r="FE856" t="str">
        <f t="shared" si="697"/>
        <v>water</v>
      </c>
      <c r="FF856" t="str">
        <f t="shared" si="698"/>
        <v>measured 0.003</v>
      </c>
      <c r="FG856" s="408">
        <f t="shared" si="690"/>
        <v>4.9132721294536887E-6</v>
      </c>
      <c r="FH856" s="138">
        <f t="shared" si="699"/>
        <v>2.0314084642516241</v>
      </c>
      <c r="FI856" s="106">
        <f t="shared" si="691"/>
        <v>1.7833085980315144</v>
      </c>
      <c r="FJ856" s="138" t="str">
        <f t="shared" si="700"/>
        <v/>
      </c>
      <c r="FK856" s="138" t="str">
        <f t="shared" si="687"/>
        <v>**</v>
      </c>
    </row>
    <row r="857" spans="1:167" ht="12.75" hidden="1" customHeight="1" x14ac:dyDescent="0.2">
      <c r="A857">
        <v>822</v>
      </c>
      <c r="B857" t="s">
        <v>1236</v>
      </c>
      <c r="D857" s="4" t="s">
        <v>492</v>
      </c>
      <c r="E857">
        <v>204</v>
      </c>
      <c r="F857" t="str">
        <f>VLOOKUP(E857,CompDbase!B:L,4,FALSE)</f>
        <v>Toluene</v>
      </c>
      <c r="G857" s="95" t="str">
        <f>VLOOKUP(E857,CompDbase!B:M,12,FALSE)</f>
        <v>MAK</v>
      </c>
      <c r="H857" s="95">
        <f>VLOOKUP(E857,CompDbase!B:L,8,FALSE)</f>
        <v>92.14249284505685</v>
      </c>
      <c r="I857" s="95">
        <f>VLOOKUP(E857,CompDbase!B:L,11,FALSE)</f>
        <v>106.9</v>
      </c>
      <c r="J857" s="95">
        <f>VLOOKUP(E857,CompDbase!B:L,9,FALSE)</f>
        <v>610.59105234897152</v>
      </c>
      <c r="K857" s="95">
        <f>VLOOKUP(E857,CompDbase!B:L,10,FALSE)</f>
        <v>2.73</v>
      </c>
      <c r="L857" s="4" t="s">
        <v>717</v>
      </c>
      <c r="M857" s="423">
        <v>940000</v>
      </c>
      <c r="N857" s="423"/>
      <c r="O857" s="4" t="s">
        <v>1082</v>
      </c>
      <c r="P857">
        <v>295</v>
      </c>
      <c r="Q857" s="4" t="s">
        <v>1049</v>
      </c>
      <c r="R857" s="289" t="s">
        <v>1982</v>
      </c>
      <c r="S857">
        <v>3.0000000000000001E-3</v>
      </c>
      <c r="T857" s="95">
        <f t="shared" si="715"/>
        <v>4.9132721294536887E-6</v>
      </c>
      <c r="W857">
        <v>100</v>
      </c>
      <c r="X857" s="288">
        <f t="shared" si="739"/>
        <v>2</v>
      </c>
      <c r="Y857">
        <v>3.0000000000000003E-13</v>
      </c>
      <c r="Z857" s="95">
        <f>LOG(Y857)</f>
        <v>-12.522878745280337</v>
      </c>
      <c r="AA857" s="95">
        <f>W857*Y857</f>
        <v>3.0000000000000006E-11</v>
      </c>
      <c r="AB857" s="288">
        <f>LOG(AA857)</f>
        <v>-10.522878745280337</v>
      </c>
      <c r="AC857" s="95" t="s">
        <v>68</v>
      </c>
      <c r="AD857" s="95"/>
      <c r="AG857" s="138">
        <f t="shared" si="740"/>
        <v>2</v>
      </c>
      <c r="AH857">
        <f t="shared" si="741"/>
        <v>2.73</v>
      </c>
      <c r="AK857">
        <f t="shared" ref="AK857" si="760">$K857</f>
        <v>2.73</v>
      </c>
      <c r="BW857" s="138"/>
      <c r="BX857">
        <f t="shared" si="744"/>
        <v>2.7857504358225516</v>
      </c>
      <c r="CA857">
        <f>LOG(1*$J857)</f>
        <v>2.7857504358225516</v>
      </c>
      <c r="DG857">
        <f>Z857</f>
        <v>-12.522878745280337</v>
      </c>
      <c r="DH857">
        <f>$H857</f>
        <v>92.14249284505685</v>
      </c>
      <c r="DK857">
        <f t="shared" ref="DK857" si="761">$H857</f>
        <v>92.14249284505685</v>
      </c>
      <c r="DM857">
        <f t="shared" ref="DM857" si="762">$H857</f>
        <v>92.14249284505685</v>
      </c>
      <c r="EY857" s="479">
        <f>VLOOKUP(B857,Literatuur!$A:$B,2,FALSE)</f>
        <v>26</v>
      </c>
      <c r="EZ857" t="str">
        <f t="shared" si="692"/>
        <v>Toluene</v>
      </c>
      <c r="FA857" t="str">
        <f t="shared" si="693"/>
        <v>MAK</v>
      </c>
      <c r="FB857" t="str">
        <f t="shared" si="694"/>
        <v>HDPE</v>
      </c>
      <c r="FC857" t="str">
        <f t="shared" si="695"/>
        <v>Permeation</v>
      </c>
      <c r="FD857">
        <f t="shared" si="696"/>
        <v>295</v>
      </c>
      <c r="FE857" t="str">
        <f t="shared" si="697"/>
        <v>water</v>
      </c>
      <c r="FF857" t="str">
        <f t="shared" si="698"/>
        <v>measured 0.003</v>
      </c>
      <c r="FG857" s="408">
        <f t="shared" si="690"/>
        <v>4.9132721294536887E-6</v>
      </c>
      <c r="FH857" s="138">
        <f t="shared" si="699"/>
        <v>2</v>
      </c>
      <c r="FI857" s="106" t="str">
        <f t="shared" si="691"/>
        <v>**</v>
      </c>
      <c r="FJ857" s="138">
        <f t="shared" si="700"/>
        <v>-12.522878745280337</v>
      </c>
      <c r="FK857" s="138">
        <f t="shared" si="687"/>
        <v>-12.22349750614883</v>
      </c>
    </row>
    <row r="858" spans="1:167" ht="12.75" hidden="1" customHeight="1" x14ac:dyDescent="0.2">
      <c r="A858">
        <v>823</v>
      </c>
      <c r="B858" t="s">
        <v>430</v>
      </c>
      <c r="D858" t="s">
        <v>268</v>
      </c>
      <c r="E858">
        <v>-201</v>
      </c>
      <c r="F858" t="str">
        <f>VLOOKUP(E858,CompDbase!B:L,4,FALSE)</f>
        <v>1,3,5-Trimethylbenzene</v>
      </c>
      <c r="G858" s="95" t="str">
        <f>VLOOKUP(E858,CompDbase!B:M,12,FALSE)</f>
        <v>MAK</v>
      </c>
      <c r="H858" s="95">
        <f>VLOOKUP(E858,CompDbase!B:L,8,FALSE)</f>
        <v>120.19</v>
      </c>
      <c r="I858" s="95" t="e">
        <f>VLOOKUP(E858,CompDbase!B:L,11,FALSE)</f>
        <v>#DIV/0!</v>
      </c>
      <c r="J858" s="95">
        <f>VLOOKUP(E858,CompDbase!B:L,9,FALSE)</f>
        <v>11.45</v>
      </c>
      <c r="K858" s="95">
        <f>VLOOKUP(E858,CompDbase!B:L,10,FALSE)</f>
        <v>3.51</v>
      </c>
      <c r="L858" s="4" t="s">
        <v>717</v>
      </c>
      <c r="M858" s="423"/>
      <c r="N858" s="423">
        <v>948000</v>
      </c>
      <c r="O858" s="4" t="s">
        <v>1044</v>
      </c>
      <c r="P858">
        <v>293</v>
      </c>
      <c r="Q858" s="4" t="s">
        <v>1049</v>
      </c>
      <c r="R858" s="289" t="s">
        <v>1988</v>
      </c>
      <c r="T858" s="95">
        <v>1</v>
      </c>
      <c r="V858" s="33">
        <v>7.9000000000000001E-2</v>
      </c>
      <c r="W858" s="95">
        <f t="shared" ref="W858:W867" si="763">V858*N858/J858</f>
        <v>6540.7860262008735</v>
      </c>
      <c r="X858" s="288">
        <f t="shared" si="739"/>
        <v>3.8156299419526007</v>
      </c>
      <c r="Z858" s="190"/>
      <c r="AC858" t="s">
        <v>68</v>
      </c>
      <c r="AG858" s="138">
        <f t="shared" si="740"/>
        <v>3.8156299419526007</v>
      </c>
      <c r="AH858">
        <f t="shared" si="741"/>
        <v>3.51</v>
      </c>
      <c r="AI858">
        <f t="shared" si="741"/>
        <v>3.51</v>
      </c>
      <c r="AL858">
        <f t="shared" ref="AL858:AL867" si="764">$K858</f>
        <v>3.51</v>
      </c>
      <c r="AO858">
        <f t="shared" ref="AO858:AO867" si="765">$K858</f>
        <v>3.51</v>
      </c>
      <c r="BW858" s="138"/>
      <c r="BX858">
        <f t="shared" si="744"/>
        <v>1.0588054866759067</v>
      </c>
      <c r="BY858">
        <f t="shared" ref="BY858:BY867" si="766">LOG(1*$J858)</f>
        <v>1.0588054866759067</v>
      </c>
      <c r="CB858">
        <f t="shared" ref="CB858:CB867" si="767">LOG(1*$J858)</f>
        <v>1.0588054866759067</v>
      </c>
      <c r="CE858">
        <f t="shared" ref="CE858:CE867" si="768">LOG(1*$J858)</f>
        <v>1.0588054866759067</v>
      </c>
      <c r="DG858" s="138"/>
      <c r="EY858" s="479">
        <f>VLOOKUP(B858,Literatuur!$A:$B,2,FALSE)</f>
        <v>37</v>
      </c>
      <c r="EZ858" t="str">
        <f t="shared" si="692"/>
        <v>1,3,5-Trimethylbenzeen</v>
      </c>
      <c r="FA858" t="str">
        <f t="shared" si="693"/>
        <v>MAK</v>
      </c>
      <c r="FB858" t="str">
        <f t="shared" si="694"/>
        <v>HDPE</v>
      </c>
      <c r="FC858" t="str">
        <f t="shared" si="695"/>
        <v>Immersion</v>
      </c>
      <c r="FD858">
        <f t="shared" si="696"/>
        <v>293</v>
      </c>
      <c r="FE858" t="str">
        <f t="shared" si="697"/>
        <v>water</v>
      </c>
      <c r="FF858" t="str">
        <f t="shared" si="698"/>
        <v xml:space="preserve">saturated </v>
      </c>
      <c r="FG858" s="408">
        <f t="shared" si="690"/>
        <v>1</v>
      </c>
      <c r="FH858" s="138">
        <f t="shared" si="699"/>
        <v>3.8156299419526007</v>
      </c>
      <c r="FI858" s="106">
        <f t="shared" si="691"/>
        <v>2.6975145643840941</v>
      </c>
      <c r="FJ858" s="138" t="str">
        <f t="shared" si="700"/>
        <v/>
      </c>
      <c r="FK858" s="138" t="str">
        <f t="shared" si="687"/>
        <v>**</v>
      </c>
    </row>
    <row r="859" spans="1:167" s="13" customFormat="1" ht="12.75" hidden="1" customHeight="1" x14ac:dyDescent="0.2">
      <c r="A859">
        <v>824</v>
      </c>
      <c r="B859" s="13" t="s">
        <v>430</v>
      </c>
      <c r="D859" s="13" t="s">
        <v>0</v>
      </c>
      <c r="E859" s="13">
        <v>200</v>
      </c>
      <c r="F859" s="13" t="str">
        <f>VLOOKUP(E859,CompDbase!B:L,4,FALSE)</f>
        <v>Benzene</v>
      </c>
      <c r="G859" s="182" t="str">
        <f>VLOOKUP(E859,CompDbase!B:M,12,FALSE)</f>
        <v>MAK</v>
      </c>
      <c r="H859" s="182">
        <f>VLOOKUP(E859,CompDbase!B:L,8,FALSE)</f>
        <v>78.106666524406961</v>
      </c>
      <c r="I859" s="182">
        <f>VLOOKUP(E859,CompDbase!B:L,11,FALSE)</f>
        <v>89.4</v>
      </c>
      <c r="J859" s="182">
        <f>VLOOKUP(E859,CompDbase!B:L,9,FALSE)</f>
        <v>1988.89882593368</v>
      </c>
      <c r="K859" s="182">
        <f>VLOOKUP(E859,CompDbase!B:L,10,FALSE)</f>
        <v>2.13</v>
      </c>
      <c r="L859" s="14" t="s">
        <v>717</v>
      </c>
      <c r="M859" s="424"/>
      <c r="N859" s="423">
        <v>948000</v>
      </c>
      <c r="O859" s="14" t="s">
        <v>1044</v>
      </c>
      <c r="P859" s="13">
        <v>293</v>
      </c>
      <c r="Q859" s="14" t="s">
        <v>1049</v>
      </c>
      <c r="R859" s="405" t="s">
        <v>1988</v>
      </c>
      <c r="T859" s="95">
        <v>1</v>
      </c>
      <c r="V859" s="92">
        <v>7.0000000000000007E-2</v>
      </c>
      <c r="W859" s="95">
        <f t="shared" si="763"/>
        <v>33.365196426644573</v>
      </c>
      <c r="X859" s="288">
        <f t="shared" si="739"/>
        <v>1.5232936859605568</v>
      </c>
      <c r="Z859" s="182"/>
      <c r="AB859" s="182"/>
      <c r="AC859" s="182" t="s">
        <v>68</v>
      </c>
      <c r="AD859" s="182"/>
      <c r="AF859"/>
      <c r="AG859" s="138">
        <f t="shared" si="740"/>
        <v>1.5232936859605568</v>
      </c>
      <c r="AH859">
        <f t="shared" si="741"/>
        <v>2.13</v>
      </c>
      <c r="AI859">
        <f t="shared" si="741"/>
        <v>2.13</v>
      </c>
      <c r="AL859">
        <f t="shared" si="764"/>
        <v>2.13</v>
      </c>
      <c r="AM859"/>
      <c r="AN859"/>
      <c r="AO859">
        <f t="shared" si="765"/>
        <v>2.13</v>
      </c>
      <c r="BW859" s="138"/>
      <c r="BX859">
        <f t="shared" si="744"/>
        <v>3.2986126913917664</v>
      </c>
      <c r="BY859">
        <f t="shared" si="766"/>
        <v>3.2986126913917664</v>
      </c>
      <c r="CB859">
        <f t="shared" si="767"/>
        <v>3.2986126913917664</v>
      </c>
      <c r="CC859"/>
      <c r="CD859"/>
      <c r="CE859">
        <f t="shared" si="768"/>
        <v>3.2986126913917664</v>
      </c>
      <c r="DF859"/>
      <c r="DG859" s="138"/>
      <c r="DH859"/>
      <c r="DI859"/>
      <c r="DL859"/>
      <c r="DM859"/>
      <c r="DN859"/>
      <c r="DO859"/>
      <c r="DP859"/>
      <c r="EY859" s="479">
        <f>VLOOKUP(B859,Literatuur!$A:$B,2,FALSE)</f>
        <v>37</v>
      </c>
      <c r="EZ859" t="str">
        <f t="shared" si="692"/>
        <v>Benzeen</v>
      </c>
      <c r="FA859" t="str">
        <f t="shared" si="693"/>
        <v>MAK</v>
      </c>
      <c r="FB859" t="str">
        <f t="shared" si="694"/>
        <v>HDPE</v>
      </c>
      <c r="FC859" t="str">
        <f t="shared" si="695"/>
        <v>Immersion</v>
      </c>
      <c r="FD859">
        <f t="shared" si="696"/>
        <v>293</v>
      </c>
      <c r="FE859" t="str">
        <f t="shared" si="697"/>
        <v>water</v>
      </c>
      <c r="FF859" t="str">
        <f t="shared" si="698"/>
        <v xml:space="preserve">saturated </v>
      </c>
      <c r="FG859" s="408">
        <f t="shared" si="690"/>
        <v>1</v>
      </c>
      <c r="FH859" s="138">
        <f t="shared" si="699"/>
        <v>1.5232936859605568</v>
      </c>
      <c r="FI859" s="106">
        <f t="shared" si="691"/>
        <v>1.08007323929876</v>
      </c>
      <c r="FJ859" s="138" t="str">
        <f t="shared" si="700"/>
        <v/>
      </c>
      <c r="FK859" s="138" t="str">
        <f t="shared" si="687"/>
        <v>**</v>
      </c>
    </row>
    <row r="860" spans="1:167" s="9" customFormat="1" ht="12.75" hidden="1" customHeight="1" x14ac:dyDescent="0.2">
      <c r="A860">
        <v>825</v>
      </c>
      <c r="B860" s="9" t="s">
        <v>430</v>
      </c>
      <c r="D860" s="9" t="s">
        <v>3</v>
      </c>
      <c r="E860" s="9">
        <v>201</v>
      </c>
      <c r="F860" s="9" t="str">
        <f>VLOOKUP(E860,CompDbase!B:L,4,FALSE)</f>
        <v>Ethylbenzene</v>
      </c>
      <c r="G860" s="181" t="str">
        <f>VLOOKUP(E860,CompDbase!B:M,12,FALSE)</f>
        <v>MAK</v>
      </c>
      <c r="H860" s="181">
        <f>VLOOKUP(E860,CompDbase!B:L,8,FALSE)</f>
        <v>106.18666499232586</v>
      </c>
      <c r="I860" s="181" t="e">
        <f>VLOOKUP(E860,CompDbase!B:L,11,FALSE)</f>
        <v>#DIV/0!</v>
      </c>
      <c r="J860" s="181">
        <f>VLOOKUP(E860,CompDbase!B:L,9,FALSE)</f>
        <v>159.4494296665228</v>
      </c>
      <c r="K860" s="181">
        <f>VLOOKUP(E860,CompDbase!B:L,10,FALSE)</f>
        <v>3.15</v>
      </c>
      <c r="L860" s="10" t="s">
        <v>717</v>
      </c>
      <c r="M860" s="425"/>
      <c r="N860" s="423">
        <v>948000</v>
      </c>
      <c r="O860" s="4" t="s">
        <v>1044</v>
      </c>
      <c r="P860" s="9">
        <v>293</v>
      </c>
      <c r="Q860" s="10" t="s">
        <v>1049</v>
      </c>
      <c r="R860" s="393" t="s">
        <v>1988</v>
      </c>
      <c r="T860" s="95">
        <v>1</v>
      </c>
      <c r="V860" s="91">
        <v>6.8000000000000005E-2</v>
      </c>
      <c r="W860" s="181">
        <f t="shared" si="763"/>
        <v>404.29119210286234</v>
      </c>
      <c r="X860" s="316">
        <f t="shared" si="739"/>
        <v>2.6066942798872437</v>
      </c>
      <c r="Z860" s="189"/>
      <c r="AC860" s="9" t="s">
        <v>68</v>
      </c>
      <c r="AG860" s="138">
        <f t="shared" si="740"/>
        <v>2.6066942798872437</v>
      </c>
      <c r="AH860">
        <f t="shared" si="741"/>
        <v>3.15</v>
      </c>
      <c r="AI860">
        <f t="shared" si="741"/>
        <v>3.15</v>
      </c>
      <c r="AL860">
        <f t="shared" si="764"/>
        <v>3.15</v>
      </c>
      <c r="AM860"/>
      <c r="AN860"/>
      <c r="AO860">
        <f t="shared" si="765"/>
        <v>3.15</v>
      </c>
      <c r="BW860" s="138"/>
      <c r="BX860">
        <f t="shared" si="744"/>
        <v>2.202622970157059</v>
      </c>
      <c r="BY860">
        <f t="shared" si="766"/>
        <v>2.202622970157059</v>
      </c>
      <c r="CB860">
        <f t="shared" si="767"/>
        <v>2.202622970157059</v>
      </c>
      <c r="CC860"/>
      <c r="CD860"/>
      <c r="CE860">
        <f t="shared" si="768"/>
        <v>2.202622970157059</v>
      </c>
      <c r="DF860"/>
      <c r="DG860" s="138"/>
      <c r="DH860"/>
      <c r="DI860"/>
      <c r="DL860"/>
      <c r="DM860"/>
      <c r="DN860"/>
      <c r="DO860"/>
      <c r="DP860"/>
      <c r="EY860" s="479">
        <f>VLOOKUP(B860,Literatuur!$A:$B,2,FALSE)</f>
        <v>37</v>
      </c>
      <c r="EZ860" t="str">
        <f t="shared" si="692"/>
        <v>Ethylbenzeen</v>
      </c>
      <c r="FA860" t="str">
        <f t="shared" si="693"/>
        <v>MAK</v>
      </c>
      <c r="FB860" t="str">
        <f t="shared" si="694"/>
        <v>HDPE</v>
      </c>
      <c r="FC860" t="str">
        <f t="shared" si="695"/>
        <v>Immersion</v>
      </c>
      <c r="FD860">
        <f t="shared" si="696"/>
        <v>293</v>
      </c>
      <c r="FE860" t="str">
        <f t="shared" si="697"/>
        <v>water</v>
      </c>
      <c r="FF860" t="str">
        <f t="shared" si="698"/>
        <v xml:space="preserve">saturated </v>
      </c>
      <c r="FG860" s="408">
        <f t="shared" si="690"/>
        <v>1</v>
      </c>
      <c r="FH860" s="138">
        <f t="shared" si="699"/>
        <v>2.6066942798872437</v>
      </c>
      <c r="FI860" s="106">
        <f t="shared" si="691"/>
        <v>2.2755733491444419</v>
      </c>
      <c r="FJ860" s="138" t="str">
        <f t="shared" si="700"/>
        <v/>
      </c>
      <c r="FK860" s="138" t="str">
        <f t="shared" si="687"/>
        <v>**</v>
      </c>
    </row>
    <row r="861" spans="1:167" ht="12.75" hidden="1" customHeight="1" x14ac:dyDescent="0.2">
      <c r="A861">
        <v>826</v>
      </c>
      <c r="B861" t="s">
        <v>430</v>
      </c>
      <c r="D861" t="s">
        <v>91</v>
      </c>
      <c r="E861">
        <v>205</v>
      </c>
      <c r="F861" t="str">
        <f>VLOOKUP(E861,CompDbase!B:L,4,FALSE)</f>
        <v>m-Xylene</v>
      </c>
      <c r="G861" s="95" t="str">
        <f>VLOOKUP(E861,CompDbase!B:M,12,FALSE)</f>
        <v>MAK</v>
      </c>
      <c r="H861" s="95">
        <f>VLOOKUP(E861,CompDbase!B:L,8,FALSE)</f>
        <v>106.18999905823263</v>
      </c>
      <c r="I861" s="95" t="e">
        <f>VLOOKUP(E861,CompDbase!B:L,11,FALSE)</f>
        <v>#DIV/0!</v>
      </c>
      <c r="J861" s="95">
        <f>VLOOKUP(E861,CompDbase!B:L,9,FALSE)</f>
        <v>197.40652052455141</v>
      </c>
      <c r="K861" s="95">
        <f>VLOOKUP(E861,CompDbase!B:L,10,FALSE)</f>
        <v>3.2</v>
      </c>
      <c r="L861" s="4" t="s">
        <v>717</v>
      </c>
      <c r="M861" s="423"/>
      <c r="N861" s="423">
        <v>948000</v>
      </c>
      <c r="O861" s="4" t="s">
        <v>1044</v>
      </c>
      <c r="P861">
        <v>293</v>
      </c>
      <c r="Q861" s="4" t="s">
        <v>1049</v>
      </c>
      <c r="R861" s="289" t="s">
        <v>1988</v>
      </c>
      <c r="T861" s="95">
        <v>1</v>
      </c>
      <c r="V861" s="33">
        <v>7.9000000000000001E-2</v>
      </c>
      <c r="W861" s="95">
        <f t="shared" si="763"/>
        <v>379.37956558373003</v>
      </c>
      <c r="X861" s="288">
        <f t="shared" si="739"/>
        <v>2.5790739348994376</v>
      </c>
      <c r="Z861" s="190"/>
      <c r="AC861" t="s">
        <v>68</v>
      </c>
      <c r="AG861" s="138">
        <f t="shared" si="740"/>
        <v>2.5790739348994376</v>
      </c>
      <c r="AH861">
        <f t="shared" si="741"/>
        <v>3.2</v>
      </c>
      <c r="AI861">
        <f t="shared" si="741"/>
        <v>3.2</v>
      </c>
      <c r="AL861">
        <f t="shared" si="764"/>
        <v>3.2</v>
      </c>
      <c r="AO861">
        <f t="shared" si="765"/>
        <v>3.2</v>
      </c>
      <c r="BW861" s="138"/>
      <c r="BX861">
        <f t="shared" si="744"/>
        <v>2.2953614937290703</v>
      </c>
      <c r="BY861">
        <f t="shared" si="766"/>
        <v>2.2953614937290703</v>
      </c>
      <c r="CB861">
        <f t="shared" si="767"/>
        <v>2.2953614937290703</v>
      </c>
      <c r="CE861">
        <f t="shared" si="768"/>
        <v>2.2953614937290703</v>
      </c>
      <c r="DG861" s="138"/>
      <c r="EY861" s="479">
        <f>VLOOKUP(B861,Literatuur!$A:$B,2,FALSE)</f>
        <v>37</v>
      </c>
      <c r="EZ861" t="str">
        <f t="shared" si="692"/>
        <v>m-Xyleen</v>
      </c>
      <c r="FA861" t="str">
        <f t="shared" si="693"/>
        <v>MAK</v>
      </c>
      <c r="FB861" t="str">
        <f t="shared" si="694"/>
        <v>HDPE</v>
      </c>
      <c r="FC861" t="str">
        <f t="shared" si="695"/>
        <v>Immersion</v>
      </c>
      <c r="FD861">
        <f t="shared" si="696"/>
        <v>293</v>
      </c>
      <c r="FE861" t="str">
        <f t="shared" si="697"/>
        <v>water</v>
      </c>
      <c r="FF861" t="str">
        <f t="shared" si="698"/>
        <v xml:space="preserve">saturated </v>
      </c>
      <c r="FG861" s="408">
        <f t="shared" si="690"/>
        <v>1</v>
      </c>
      <c r="FH861" s="138">
        <f t="shared" si="699"/>
        <v>2.5790739348994376</v>
      </c>
      <c r="FI861" s="106">
        <f t="shared" si="691"/>
        <v>2.3341762957055052</v>
      </c>
      <c r="FJ861" s="138" t="str">
        <f t="shared" si="700"/>
        <v/>
      </c>
      <c r="FK861" s="138" t="str">
        <f t="shared" si="687"/>
        <v>**</v>
      </c>
    </row>
    <row r="862" spans="1:167" ht="12.75" hidden="1" customHeight="1" x14ac:dyDescent="0.2">
      <c r="A862">
        <v>827</v>
      </c>
      <c r="B862" t="s">
        <v>430</v>
      </c>
      <c r="D862" t="s">
        <v>98</v>
      </c>
      <c r="E862">
        <v>218</v>
      </c>
      <c r="F862" t="str">
        <f>VLOOKUP(E862,CompDbase!B:L,4,FALSE)</f>
        <v>o-Xylene</v>
      </c>
      <c r="G862" s="95" t="str">
        <f>VLOOKUP(E862,CompDbase!B:M,12,FALSE)</f>
        <v>MAK</v>
      </c>
      <c r="H862" s="95">
        <f>VLOOKUP(E862,CompDbase!B:L,8,FALSE)</f>
        <v>106.18666499232586</v>
      </c>
      <c r="I862" s="95" t="e">
        <f>VLOOKUP(E862,CompDbase!B:L,11,FALSE)</f>
        <v>#DIV/0!</v>
      </c>
      <c r="J862" s="95">
        <f>VLOOKUP(E862,CompDbase!B:L,9,FALSE)</f>
        <v>218.93359574593291</v>
      </c>
      <c r="K862" s="95">
        <f>VLOOKUP(E862,CompDbase!B:L,10,FALSE)</f>
        <v>3.12</v>
      </c>
      <c r="L862" s="4" t="s">
        <v>717</v>
      </c>
      <c r="M862" s="423"/>
      <c r="N862" s="423">
        <v>948000</v>
      </c>
      <c r="O862" s="4" t="s">
        <v>1044</v>
      </c>
      <c r="P862">
        <v>293</v>
      </c>
      <c r="Q862" s="4" t="s">
        <v>1049</v>
      </c>
      <c r="R862" s="289" t="s">
        <v>1988</v>
      </c>
      <c r="T862" s="95">
        <v>1</v>
      </c>
      <c r="V862" s="33">
        <v>0.08</v>
      </c>
      <c r="W862" s="95">
        <f t="shared" si="763"/>
        <v>346.40640574875709</v>
      </c>
      <c r="X862" s="288">
        <f t="shared" si="739"/>
        <v>2.5395859143950066</v>
      </c>
      <c r="Z862" s="190"/>
      <c r="AC862" t="s">
        <v>68</v>
      </c>
      <c r="AG862" s="138">
        <f t="shared" si="740"/>
        <v>2.5395859143950066</v>
      </c>
      <c r="AH862">
        <f t="shared" si="741"/>
        <v>3.12</v>
      </c>
      <c r="AI862">
        <f t="shared" si="741"/>
        <v>3.12</v>
      </c>
      <c r="AL862">
        <f t="shared" si="764"/>
        <v>3.12</v>
      </c>
      <c r="AO862">
        <f t="shared" si="765"/>
        <v>3.12</v>
      </c>
      <c r="BW862" s="138"/>
      <c r="BX862">
        <f t="shared" si="744"/>
        <v>2.3403124099350032</v>
      </c>
      <c r="BY862">
        <f t="shared" si="766"/>
        <v>2.3403124099350032</v>
      </c>
      <c r="CB862">
        <f t="shared" si="767"/>
        <v>2.3403124099350032</v>
      </c>
      <c r="CE862">
        <f t="shared" si="768"/>
        <v>2.3403124099350032</v>
      </c>
      <c r="DG862" s="138"/>
      <c r="EY862" s="479">
        <f>VLOOKUP(B862,Literatuur!$A:$B,2,FALSE)</f>
        <v>37</v>
      </c>
      <c r="EZ862" t="str">
        <f t="shared" si="692"/>
        <v>o-Xyleen</v>
      </c>
      <c r="FA862" t="str">
        <f t="shared" si="693"/>
        <v>MAK</v>
      </c>
      <c r="FB862" t="str">
        <f t="shared" si="694"/>
        <v>HDPE</v>
      </c>
      <c r="FC862" t="str">
        <f t="shared" si="695"/>
        <v>Immersion</v>
      </c>
      <c r="FD862">
        <f t="shared" si="696"/>
        <v>293</v>
      </c>
      <c r="FE862" t="str">
        <f t="shared" si="697"/>
        <v>water</v>
      </c>
      <c r="FF862" t="str">
        <f t="shared" si="698"/>
        <v xml:space="preserve">saturated </v>
      </c>
      <c r="FG862" s="408">
        <f t="shared" si="690"/>
        <v>1</v>
      </c>
      <c r="FH862" s="138">
        <f t="shared" si="699"/>
        <v>2.5395859143950066</v>
      </c>
      <c r="FI862" s="106">
        <f t="shared" si="691"/>
        <v>2.2404115812078045</v>
      </c>
      <c r="FJ862" s="138" t="str">
        <f t="shared" si="700"/>
        <v/>
      </c>
      <c r="FK862" s="138" t="str">
        <f t="shared" si="687"/>
        <v>**</v>
      </c>
    </row>
    <row r="863" spans="1:167" ht="12.75" hidden="1" customHeight="1" x14ac:dyDescent="0.2">
      <c r="A863">
        <v>828</v>
      </c>
      <c r="B863" t="s">
        <v>430</v>
      </c>
      <c r="D863" t="s">
        <v>273</v>
      </c>
      <c r="E863">
        <v>-203</v>
      </c>
      <c r="F863" t="str">
        <f>VLOOKUP(E863,CompDbase!B:L,4,FALSE)</f>
        <v>Penthylbenzene</v>
      </c>
      <c r="G863" s="95" t="str">
        <f>VLOOKUP(E863,CompDbase!B:M,12,FALSE)</f>
        <v>MAK</v>
      </c>
      <c r="H863" s="95">
        <f>VLOOKUP(E863,CompDbase!B:L,8,FALSE)</f>
        <v>148.25</v>
      </c>
      <c r="I863" s="95" t="e">
        <f>VLOOKUP(E863,CompDbase!B:L,11,FALSE)</f>
        <v>#DIV/0!</v>
      </c>
      <c r="J863" s="95">
        <f>VLOOKUP(E863,CompDbase!B:L,9,FALSE)</f>
        <v>3.37</v>
      </c>
      <c r="K863" s="95">
        <f>VLOOKUP(E863,CompDbase!B:L,10,FALSE)</f>
        <v>4.9000000000000004</v>
      </c>
      <c r="L863" s="4" t="s">
        <v>717</v>
      </c>
      <c r="M863" s="423"/>
      <c r="N863" s="423">
        <v>948000</v>
      </c>
      <c r="O863" s="4" t="s">
        <v>1044</v>
      </c>
      <c r="P863">
        <v>293</v>
      </c>
      <c r="Q863" s="4" t="s">
        <v>1049</v>
      </c>
      <c r="R863" s="289" t="s">
        <v>1988</v>
      </c>
      <c r="T863" s="95">
        <v>1</v>
      </c>
      <c r="V863" s="33">
        <v>0.06</v>
      </c>
      <c r="W863" s="95">
        <f t="shared" si="763"/>
        <v>16878.338278931751</v>
      </c>
      <c r="X863" s="288">
        <f t="shared" si="739"/>
        <v>4.2273296868503714</v>
      </c>
      <c r="Z863" s="190"/>
      <c r="AC863" t="s">
        <v>68</v>
      </c>
      <c r="AG863" s="138">
        <f t="shared" si="740"/>
        <v>4.2273296868503714</v>
      </c>
      <c r="AH863">
        <f t="shared" si="741"/>
        <v>4.9000000000000004</v>
      </c>
      <c r="AI863">
        <f t="shared" si="741"/>
        <v>4.9000000000000004</v>
      </c>
      <c r="AL863">
        <f t="shared" si="764"/>
        <v>4.9000000000000004</v>
      </c>
      <c r="AO863">
        <f t="shared" si="765"/>
        <v>4.9000000000000004</v>
      </c>
      <c r="BW863" s="138"/>
      <c r="BX863">
        <f t="shared" si="744"/>
        <v>0.52762990087133865</v>
      </c>
      <c r="BY863">
        <f t="shared" si="766"/>
        <v>0.52762990087133865</v>
      </c>
      <c r="CB863">
        <f t="shared" si="767"/>
        <v>0.52762990087133865</v>
      </c>
      <c r="CE863">
        <f t="shared" si="768"/>
        <v>0.52762990087133865</v>
      </c>
      <c r="DG863" s="138"/>
      <c r="EY863" s="479">
        <f>VLOOKUP(B863,Literatuur!$A:$B,2,FALSE)</f>
        <v>37</v>
      </c>
      <c r="EZ863" t="str">
        <f t="shared" si="692"/>
        <v>Pentylbenzeen</v>
      </c>
      <c r="FA863" t="str">
        <f t="shared" si="693"/>
        <v>MAK</v>
      </c>
      <c r="FB863" t="str">
        <f t="shared" si="694"/>
        <v>HDPE</v>
      </c>
      <c r="FC863" t="str">
        <f t="shared" si="695"/>
        <v>Immersion</v>
      </c>
      <c r="FD863">
        <f t="shared" si="696"/>
        <v>293</v>
      </c>
      <c r="FE863" t="str">
        <f t="shared" si="697"/>
        <v>water</v>
      </c>
      <c r="FF863" t="str">
        <f t="shared" si="698"/>
        <v xml:space="preserve">saturated </v>
      </c>
      <c r="FG863" s="408">
        <f t="shared" si="690"/>
        <v>1</v>
      </c>
      <c r="FH863" s="138">
        <f t="shared" si="699"/>
        <v>4.2273296868503714</v>
      </c>
      <c r="FI863" s="106">
        <f t="shared" si="691"/>
        <v>4.3266764787816419</v>
      </c>
      <c r="FJ863" s="138" t="str">
        <f t="shared" si="700"/>
        <v/>
      </c>
      <c r="FK863" s="138" t="str">
        <f t="shared" si="687"/>
        <v>**</v>
      </c>
    </row>
    <row r="864" spans="1:167" ht="12.75" hidden="1" customHeight="1" x14ac:dyDescent="0.2">
      <c r="A864">
        <v>829</v>
      </c>
      <c r="B864" t="s">
        <v>430</v>
      </c>
      <c r="D864" t="s">
        <v>271</v>
      </c>
      <c r="E864">
        <v>-202</v>
      </c>
      <c r="F864" t="str">
        <f>VLOOKUP(E864,CompDbase!B:L,4,FALSE)</f>
        <v>Propylbenzene</v>
      </c>
      <c r="G864" s="95" t="str">
        <f>VLOOKUP(E864,CompDbase!B:M,12,FALSE)</f>
        <v>MAK</v>
      </c>
      <c r="H864" s="95">
        <f>VLOOKUP(E864,CompDbase!B:L,8,FALSE)</f>
        <v>120.19</v>
      </c>
      <c r="I864" s="95" t="e">
        <f>VLOOKUP(E864,CompDbase!B:L,11,FALSE)</f>
        <v>#DIV/0!</v>
      </c>
      <c r="J864" s="95">
        <f>VLOOKUP(E864,CompDbase!B:L,9,FALSE)</f>
        <v>54.006333333333338</v>
      </c>
      <c r="K864" s="95">
        <f>VLOOKUP(E864,CompDbase!B:L,10,FALSE)</f>
        <v>3.71</v>
      </c>
      <c r="L864" s="4" t="s">
        <v>717</v>
      </c>
      <c r="M864" s="423"/>
      <c r="N864" s="423">
        <v>948000</v>
      </c>
      <c r="O864" s="4" t="s">
        <v>1044</v>
      </c>
      <c r="P864">
        <v>293</v>
      </c>
      <c r="Q864" s="4" t="s">
        <v>1049</v>
      </c>
      <c r="R864" s="289" t="s">
        <v>1988</v>
      </c>
      <c r="T864" s="95">
        <v>1</v>
      </c>
      <c r="V864" s="33">
        <v>6.6000000000000003E-2</v>
      </c>
      <c r="W864" s="95">
        <f t="shared" si="763"/>
        <v>1158.5307895987507</v>
      </c>
      <c r="X864" s="288">
        <f t="shared" si="739"/>
        <v>3.0639075802711382</v>
      </c>
      <c r="Z864" s="190"/>
      <c r="AC864" t="s">
        <v>68</v>
      </c>
      <c r="AG864" s="138">
        <f t="shared" si="740"/>
        <v>3.0639075802711382</v>
      </c>
      <c r="AH864">
        <f t="shared" si="741"/>
        <v>3.71</v>
      </c>
      <c r="AI864">
        <f t="shared" si="741"/>
        <v>3.71</v>
      </c>
      <c r="AL864">
        <f t="shared" si="764"/>
        <v>3.71</v>
      </c>
      <c r="AO864">
        <f t="shared" si="765"/>
        <v>3.71</v>
      </c>
      <c r="BW864" s="138"/>
      <c r="BX864">
        <f t="shared" si="744"/>
        <v>1.7324446926087966</v>
      </c>
      <c r="BY864">
        <f t="shared" si="766"/>
        <v>1.7324446926087966</v>
      </c>
      <c r="CB864">
        <f t="shared" si="767"/>
        <v>1.7324446926087966</v>
      </c>
      <c r="CE864">
        <f t="shared" si="768"/>
        <v>1.7324446926087966</v>
      </c>
      <c r="DG864" s="138"/>
      <c r="EY864" s="479">
        <f>VLOOKUP(B864,Literatuur!$A:$B,2,FALSE)</f>
        <v>37</v>
      </c>
      <c r="EZ864" t="str">
        <f t="shared" si="692"/>
        <v>Propylbenzeen</v>
      </c>
      <c r="FA864" t="str">
        <f t="shared" si="693"/>
        <v>MAK</v>
      </c>
      <c r="FB864" t="str">
        <f t="shared" si="694"/>
        <v>HDPE</v>
      </c>
      <c r="FC864" t="str">
        <f t="shared" si="695"/>
        <v>Immersion</v>
      </c>
      <c r="FD864">
        <f t="shared" si="696"/>
        <v>293</v>
      </c>
      <c r="FE864" t="str">
        <f t="shared" si="697"/>
        <v>water</v>
      </c>
      <c r="FF864" t="str">
        <f t="shared" si="698"/>
        <v xml:space="preserve">saturated </v>
      </c>
      <c r="FG864" s="408">
        <f t="shared" si="690"/>
        <v>1</v>
      </c>
      <c r="FH864" s="138">
        <f t="shared" si="699"/>
        <v>3.0639075802711382</v>
      </c>
      <c r="FI864" s="106">
        <f t="shared" si="691"/>
        <v>2.9319263506283457</v>
      </c>
      <c r="FJ864" s="138" t="str">
        <f t="shared" si="700"/>
        <v/>
      </c>
      <c r="FK864" s="138" t="str">
        <f t="shared" si="687"/>
        <v>**</v>
      </c>
    </row>
    <row r="865" spans="1:167" ht="12.75" hidden="1" customHeight="1" x14ac:dyDescent="0.2">
      <c r="A865">
        <v>830</v>
      </c>
      <c r="B865" t="s">
        <v>430</v>
      </c>
      <c r="D865" t="s">
        <v>99</v>
      </c>
      <c r="E865">
        <v>219</v>
      </c>
      <c r="F865" t="str">
        <f>VLOOKUP(E865,CompDbase!B:L,4,FALSE)</f>
        <v>p-Xylene</v>
      </c>
      <c r="G865" s="95" t="str">
        <f>VLOOKUP(E865,CompDbase!B:M,12,FALSE)</f>
        <v>MAK</v>
      </c>
      <c r="H865" s="95">
        <f>VLOOKUP(E865,CompDbase!B:L,8,FALSE)</f>
        <v>106.18666499232586</v>
      </c>
      <c r="I865" s="95">
        <f>VLOOKUP(E865,CompDbase!B:L,11,FALSE)</f>
        <v>123.9</v>
      </c>
      <c r="J865" s="95">
        <f>VLOOKUP(E865,CompDbase!B:L,9,FALSE)</f>
        <v>210.93846155625408</v>
      </c>
      <c r="K865" s="95">
        <f>VLOOKUP(E865,CompDbase!B:L,10,FALSE)</f>
        <v>3.15</v>
      </c>
      <c r="L865" s="4" t="s">
        <v>717</v>
      </c>
      <c r="M865" s="423"/>
      <c r="N865" s="423">
        <v>948000</v>
      </c>
      <c r="O865" s="4" t="s">
        <v>1044</v>
      </c>
      <c r="P865">
        <v>293</v>
      </c>
      <c r="Q865" s="4" t="s">
        <v>1049</v>
      </c>
      <c r="R865" s="289" t="s">
        <v>1988</v>
      </c>
      <c r="T865" s="95">
        <v>1</v>
      </c>
      <c r="V865" s="33">
        <v>8.1000000000000003E-2</v>
      </c>
      <c r="W865" s="95">
        <f t="shared" si="763"/>
        <v>364.03034057173022</v>
      </c>
      <c r="X865" s="288">
        <f t="shared" si="739"/>
        <v>2.5611375819835307</v>
      </c>
      <c r="Z865" s="190"/>
      <c r="AC865" t="s">
        <v>68</v>
      </c>
      <c r="AG865" s="138">
        <f t="shared" si="740"/>
        <v>2.5611375819835307</v>
      </c>
      <c r="AH865">
        <f t="shared" si="741"/>
        <v>3.15</v>
      </c>
      <c r="AI865">
        <f t="shared" si="741"/>
        <v>3.15</v>
      </c>
      <c r="AL865">
        <f t="shared" si="764"/>
        <v>3.15</v>
      </c>
      <c r="AO865">
        <f t="shared" si="765"/>
        <v>3.15</v>
      </c>
      <c r="BW865" s="138"/>
      <c r="BX865">
        <f t="shared" si="744"/>
        <v>2.3241557742331853</v>
      </c>
      <c r="BY865">
        <f t="shared" si="766"/>
        <v>2.3241557742331853</v>
      </c>
      <c r="CB865">
        <f t="shared" si="767"/>
        <v>2.3241557742331853</v>
      </c>
      <c r="CE865">
        <f t="shared" si="768"/>
        <v>2.3241557742331853</v>
      </c>
      <c r="DG865" s="138"/>
      <c r="EY865" s="479">
        <f>VLOOKUP(B865,Literatuur!$A:$B,2,FALSE)</f>
        <v>37</v>
      </c>
      <c r="EZ865" t="str">
        <f t="shared" si="692"/>
        <v>p-Xyleen</v>
      </c>
      <c r="FA865" t="str">
        <f t="shared" si="693"/>
        <v>MAK</v>
      </c>
      <c r="FB865" t="str">
        <f t="shared" si="694"/>
        <v>HDPE</v>
      </c>
      <c r="FC865" t="str">
        <f t="shared" si="695"/>
        <v>Immersion</v>
      </c>
      <c r="FD865">
        <f t="shared" si="696"/>
        <v>293</v>
      </c>
      <c r="FE865" t="str">
        <f t="shared" si="697"/>
        <v>water</v>
      </c>
      <c r="FF865" t="str">
        <f t="shared" si="698"/>
        <v xml:space="preserve">saturated </v>
      </c>
      <c r="FG865" s="408">
        <f t="shared" si="690"/>
        <v>1</v>
      </c>
      <c r="FH865" s="138">
        <f t="shared" si="699"/>
        <v>2.5611375819835307</v>
      </c>
      <c r="FI865" s="106">
        <f t="shared" si="691"/>
        <v>2.2755733491444419</v>
      </c>
      <c r="FJ865" s="138" t="str">
        <f t="shared" si="700"/>
        <v/>
      </c>
      <c r="FK865" s="138" t="str">
        <f t="shared" si="687"/>
        <v>**</v>
      </c>
    </row>
    <row r="866" spans="1:167" ht="12.75" hidden="1" customHeight="1" x14ac:dyDescent="0.2">
      <c r="A866">
        <v>831</v>
      </c>
      <c r="B866" t="s">
        <v>430</v>
      </c>
      <c r="D866" t="s">
        <v>20</v>
      </c>
      <c r="E866">
        <v>204</v>
      </c>
      <c r="F866" t="str">
        <f>VLOOKUP(E866,CompDbase!B:L,4,FALSE)</f>
        <v>Toluene</v>
      </c>
      <c r="G866" s="95" t="str">
        <f>VLOOKUP(E866,CompDbase!B:M,12,FALSE)</f>
        <v>MAK</v>
      </c>
      <c r="H866" s="95">
        <f>VLOOKUP(E866,CompDbase!B:L,8,FALSE)</f>
        <v>92.14249284505685</v>
      </c>
      <c r="I866" s="95">
        <f>VLOOKUP(E866,CompDbase!B:L,11,FALSE)</f>
        <v>106.9</v>
      </c>
      <c r="J866" s="95">
        <f>VLOOKUP(E866,CompDbase!B:L,9,FALSE)</f>
        <v>610.59105234897152</v>
      </c>
      <c r="K866" s="95">
        <f>VLOOKUP(E866,CompDbase!B:L,10,FALSE)</f>
        <v>2.73</v>
      </c>
      <c r="L866" s="4" t="s">
        <v>717</v>
      </c>
      <c r="M866" s="423"/>
      <c r="N866" s="423">
        <v>948000</v>
      </c>
      <c r="O866" s="4" t="s">
        <v>1044</v>
      </c>
      <c r="P866">
        <v>293</v>
      </c>
      <c r="Q866" s="4" t="s">
        <v>1049</v>
      </c>
      <c r="R866" s="289" t="s">
        <v>1988</v>
      </c>
      <c r="T866" s="95">
        <v>1</v>
      </c>
      <c r="V866" s="33">
        <v>7.5999999999999998E-2</v>
      </c>
      <c r="W866" s="95">
        <f t="shared" si="763"/>
        <v>117.99714346095979</v>
      </c>
      <c r="X866" s="288">
        <f t="shared" si="739"/>
        <v>2.0718714937963059</v>
      </c>
      <c r="Y866">
        <v>1.6203703703703706E-12</v>
      </c>
      <c r="Z866" s="95">
        <f>LOG(Y866)</f>
        <v>-11.790385706800656</v>
      </c>
      <c r="AA866" s="95">
        <f>W866*Y866</f>
        <v>1.9119907505248116E-10</v>
      </c>
      <c r="AB866" s="288">
        <f>LOG(AA866)</f>
        <v>-9.7185142130043491</v>
      </c>
      <c r="AC866" s="95" t="s">
        <v>68</v>
      </c>
      <c r="AD866" s="95"/>
      <c r="AG866" s="138">
        <f t="shared" si="740"/>
        <v>2.0718714937963059</v>
      </c>
      <c r="AH866">
        <f t="shared" si="741"/>
        <v>2.73</v>
      </c>
      <c r="AI866">
        <f t="shared" si="741"/>
        <v>2.73</v>
      </c>
      <c r="AL866">
        <f t="shared" si="764"/>
        <v>2.73</v>
      </c>
      <c r="AO866">
        <f t="shared" si="765"/>
        <v>2.73</v>
      </c>
      <c r="BW866" s="138"/>
      <c r="BX866">
        <f t="shared" si="744"/>
        <v>2.7857504358225516</v>
      </c>
      <c r="BY866">
        <f t="shared" si="766"/>
        <v>2.7857504358225516</v>
      </c>
      <c r="CB866">
        <f t="shared" si="767"/>
        <v>2.7857504358225516</v>
      </c>
      <c r="CE866">
        <f t="shared" si="768"/>
        <v>2.7857504358225516</v>
      </c>
      <c r="DG866">
        <f>Z866</f>
        <v>-11.790385706800656</v>
      </c>
      <c r="DH866">
        <f>$H866</f>
        <v>92.14249284505685</v>
      </c>
      <c r="DI866">
        <f t="shared" ref="DI866" si="769">$H866</f>
        <v>92.14249284505685</v>
      </c>
      <c r="EY866" s="479">
        <f>VLOOKUP(B866,Literatuur!$A:$B,2,FALSE)</f>
        <v>37</v>
      </c>
      <c r="EZ866" t="str">
        <f t="shared" si="692"/>
        <v>Tolueen</v>
      </c>
      <c r="FA866" t="str">
        <f t="shared" si="693"/>
        <v>MAK</v>
      </c>
      <c r="FB866" t="str">
        <f t="shared" si="694"/>
        <v>HDPE</v>
      </c>
      <c r="FC866" t="str">
        <f t="shared" si="695"/>
        <v>Immersion</v>
      </c>
      <c r="FD866">
        <f t="shared" si="696"/>
        <v>293</v>
      </c>
      <c r="FE866" t="str">
        <f t="shared" si="697"/>
        <v>water</v>
      </c>
      <c r="FF866" t="str">
        <f t="shared" si="698"/>
        <v xml:space="preserve">saturated </v>
      </c>
      <c r="FG866" s="408">
        <f t="shared" si="690"/>
        <v>1</v>
      </c>
      <c r="FH866" s="138">
        <f t="shared" si="699"/>
        <v>2.0718714937963059</v>
      </c>
      <c r="FI866" s="106">
        <f t="shared" si="691"/>
        <v>1.7833085980315144</v>
      </c>
      <c r="FJ866" s="138">
        <f t="shared" si="700"/>
        <v>-11.790385706800656</v>
      </c>
      <c r="FK866" s="138" t="str">
        <f t="shared" si="687"/>
        <v>**</v>
      </c>
    </row>
    <row r="867" spans="1:167" ht="12.75" hidden="1" customHeight="1" x14ac:dyDescent="0.2">
      <c r="A867">
        <v>832</v>
      </c>
      <c r="B867" t="s">
        <v>430</v>
      </c>
      <c r="D867" t="s">
        <v>14</v>
      </c>
      <c r="E867">
        <v>-200</v>
      </c>
      <c r="F867" t="str">
        <f>VLOOKUP(E867,CompDbase!B:L,4,FALSE)</f>
        <v>Xylene</v>
      </c>
      <c r="G867" s="95" t="str">
        <f>VLOOKUP(E867,CompDbase!B:M,12,FALSE)</f>
        <v>MAK</v>
      </c>
      <c r="H867" s="95">
        <f>VLOOKUP(E867,CompDbase!B:L,8,FALSE)</f>
        <v>120.20888801685282</v>
      </c>
      <c r="I867" s="95" t="e">
        <f>VLOOKUP(E867,CompDbase!B:L,11,FALSE)</f>
        <v>#DIV/0!</v>
      </c>
      <c r="J867" s="50">
        <f>AVERAGE(J860:J862)</f>
        <v>191.92984864566904</v>
      </c>
      <c r="K867" s="95">
        <f>VLOOKUP(E867,CompDbase!B:L,10,FALSE)</f>
        <v>3.74</v>
      </c>
      <c r="L867" s="4" t="s">
        <v>717</v>
      </c>
      <c r="M867" s="423"/>
      <c r="N867" s="423">
        <v>948000</v>
      </c>
      <c r="O867" s="4" t="s">
        <v>1044</v>
      </c>
      <c r="P867">
        <v>293</v>
      </c>
      <c r="Q867" s="4" t="s">
        <v>1049</v>
      </c>
      <c r="R867" s="289" t="s">
        <v>1988</v>
      </c>
      <c r="T867" s="95">
        <v>1</v>
      </c>
      <c r="V867" s="50">
        <f>AVERAGE(V860:V862)</f>
        <v>7.5666666666666674E-2</v>
      </c>
      <c r="W867" s="95">
        <f t="shared" si="763"/>
        <v>373.74072092573732</v>
      </c>
      <c r="X867" s="288">
        <f t="shared" si="739"/>
        <v>2.572570418989276</v>
      </c>
      <c r="Z867" s="190"/>
      <c r="AC867" t="s">
        <v>68</v>
      </c>
      <c r="AG867" s="138">
        <f t="shared" si="740"/>
        <v>2.572570418989276</v>
      </c>
      <c r="AH867">
        <f t="shared" si="741"/>
        <v>3.74</v>
      </c>
      <c r="AI867">
        <f t="shared" si="741"/>
        <v>3.74</v>
      </c>
      <c r="AL867">
        <f t="shared" si="764"/>
        <v>3.74</v>
      </c>
      <c r="AO867">
        <f t="shared" si="765"/>
        <v>3.74</v>
      </c>
      <c r="BW867" s="138"/>
      <c r="BX867">
        <f t="shared" si="744"/>
        <v>2.2831425208222504</v>
      </c>
      <c r="BY867">
        <f t="shared" si="766"/>
        <v>2.2831425208222504</v>
      </c>
      <c r="CB867">
        <f t="shared" si="767"/>
        <v>2.2831425208222504</v>
      </c>
      <c r="CE867">
        <f t="shared" si="768"/>
        <v>2.2831425208222504</v>
      </c>
      <c r="DG867" s="138"/>
      <c r="EY867" s="479">
        <f>VLOOKUP(B867,Literatuur!$A:$B,2,FALSE)</f>
        <v>37</v>
      </c>
      <c r="EZ867" t="str">
        <f t="shared" si="692"/>
        <v>Xyleen</v>
      </c>
      <c r="FA867" t="str">
        <f t="shared" si="693"/>
        <v>MAK</v>
      </c>
      <c r="FB867" t="str">
        <f t="shared" si="694"/>
        <v>HDPE</v>
      </c>
      <c r="FC867" t="str">
        <f t="shared" si="695"/>
        <v>Immersion</v>
      </c>
      <c r="FD867">
        <f t="shared" si="696"/>
        <v>293</v>
      </c>
      <c r="FE867" t="str">
        <f t="shared" si="697"/>
        <v>water</v>
      </c>
      <c r="FF867" t="str">
        <f t="shared" si="698"/>
        <v xml:space="preserve">saturated </v>
      </c>
      <c r="FG867" s="408">
        <f t="shared" si="690"/>
        <v>1</v>
      </c>
      <c r="FH867" s="138">
        <f t="shared" si="699"/>
        <v>2.572570418989276</v>
      </c>
      <c r="FI867" s="106">
        <f t="shared" si="691"/>
        <v>2.967088118564984</v>
      </c>
      <c r="FJ867" s="138" t="str">
        <f t="shared" si="700"/>
        <v/>
      </c>
      <c r="FK867" s="138" t="str">
        <f t="shared" si="687"/>
        <v>**</v>
      </c>
    </row>
    <row r="868" spans="1:167" ht="12.75" hidden="1" customHeight="1" x14ac:dyDescent="0.2">
      <c r="A868">
        <v>833</v>
      </c>
      <c r="B868" s="4" t="s">
        <v>1402</v>
      </c>
      <c r="C868" s="4"/>
      <c r="D868" t="s">
        <v>933</v>
      </c>
      <c r="E868" s="33">
        <v>205</v>
      </c>
      <c r="F868" t="str">
        <f>VLOOKUP(E868,CompDbase!B:L,4,FALSE)</f>
        <v>m-Xylene</v>
      </c>
      <c r="G868" s="95" t="str">
        <f>VLOOKUP(E868,CompDbase!B:M,12,FALSE)</f>
        <v>MAK</v>
      </c>
      <c r="H868" s="95">
        <f>VLOOKUP(E868,CompDbase!B:L,8,FALSE)</f>
        <v>106.18999905823263</v>
      </c>
      <c r="I868" s="95" t="e">
        <f>VLOOKUP(E868,CompDbase!B:L,11,FALSE)</f>
        <v>#DIV/0!</v>
      </c>
      <c r="J868" s="95">
        <f>VLOOKUP(E868,CompDbase!B:L,9,FALSE)</f>
        <v>197.40652052455141</v>
      </c>
      <c r="K868" s="95">
        <f>VLOOKUP(E868,CompDbase!B:L,10,FALSE)</f>
        <v>3.2</v>
      </c>
      <c r="L868" t="s">
        <v>717</v>
      </c>
      <c r="M868" s="423"/>
      <c r="N868" s="423"/>
      <c r="O868" t="s">
        <v>1741</v>
      </c>
      <c r="P868">
        <v>295</v>
      </c>
      <c r="Q868" t="s">
        <v>1049</v>
      </c>
      <c r="R868" s="289" t="s">
        <v>1983</v>
      </c>
      <c r="T868" s="289">
        <v>1</v>
      </c>
      <c r="Y868">
        <v>1.8990000000000003E-12</v>
      </c>
      <c r="Z868" s="95">
        <f t="shared" ref="Z868:Z896" si="770">LOG(Y868)</f>
        <v>-11.721475035262982</v>
      </c>
      <c r="AC868" t="s">
        <v>68</v>
      </c>
      <c r="DG868">
        <f t="shared" ref="DG868:DG896" si="771">Z868</f>
        <v>-11.721475035262982</v>
      </c>
      <c r="DH868">
        <f t="shared" ref="DH868:DI896" si="772">$H868</f>
        <v>106.18999905823263</v>
      </c>
      <c r="DJ868">
        <f t="shared" ref="DJ868:DJ870" si="773">$H868</f>
        <v>106.18999905823263</v>
      </c>
      <c r="EY868" s="479">
        <f>VLOOKUP(B868,Literatuur!$A:$B,2,FALSE)</f>
        <v>38</v>
      </c>
      <c r="EZ868" t="str">
        <f t="shared" si="692"/>
        <v>m-xylene</v>
      </c>
      <c r="FA868" t="str">
        <f t="shared" si="693"/>
        <v>MAK</v>
      </c>
      <c r="FB868" t="str">
        <f t="shared" si="694"/>
        <v>HDPE</v>
      </c>
      <c r="FC868" t="str">
        <f t="shared" si="695"/>
        <v>DeSorption</v>
      </c>
      <c r="FD868">
        <f t="shared" si="696"/>
        <v>295</v>
      </c>
      <c r="FE868" t="str">
        <f t="shared" si="697"/>
        <v>water</v>
      </c>
      <c r="FF868" t="str">
        <f t="shared" si="698"/>
        <v xml:space="preserve">saturated ?? </v>
      </c>
      <c r="FG868" s="408">
        <f t="shared" si="690"/>
        <v>1</v>
      </c>
      <c r="FH868" s="138" t="str">
        <f t="shared" si="699"/>
        <v/>
      </c>
      <c r="FI868" s="106" t="str">
        <f t="shared" si="691"/>
        <v>**</v>
      </c>
      <c r="FJ868" s="138">
        <f t="shared" si="700"/>
        <v>-11.721475035262982</v>
      </c>
      <c r="FK868" s="138" t="str">
        <f t="shared" si="687"/>
        <v>**</v>
      </c>
    </row>
    <row r="869" spans="1:167" ht="12.75" hidden="1" customHeight="1" x14ac:dyDescent="0.2">
      <c r="A869">
        <v>834</v>
      </c>
      <c r="B869" s="4" t="s">
        <v>1402</v>
      </c>
      <c r="C869" s="4"/>
      <c r="D869" t="s">
        <v>699</v>
      </c>
      <c r="E869">
        <v>219</v>
      </c>
      <c r="F869" t="str">
        <f>VLOOKUP(E869,CompDbase!B:L,4,FALSE)</f>
        <v>p-Xylene</v>
      </c>
      <c r="G869" s="95" t="str">
        <f>VLOOKUP(E869,CompDbase!B:M,12,FALSE)</f>
        <v>MAK</v>
      </c>
      <c r="H869" s="95">
        <f>VLOOKUP(E869,CompDbase!B:L,8,FALSE)</f>
        <v>106.18666499232586</v>
      </c>
      <c r="I869" s="95">
        <f>VLOOKUP(E869,CompDbase!B:L,11,FALSE)</f>
        <v>123.9</v>
      </c>
      <c r="J869" s="95">
        <f>VLOOKUP(E869,CompDbase!B:L,9,FALSE)</f>
        <v>210.93846155625408</v>
      </c>
      <c r="K869" s="95">
        <f>VLOOKUP(E869,CompDbase!B:L,10,FALSE)</f>
        <v>3.15</v>
      </c>
      <c r="L869" t="s">
        <v>717</v>
      </c>
      <c r="M869" s="423"/>
      <c r="N869" s="423"/>
      <c r="O869" t="s">
        <v>1741</v>
      </c>
      <c r="P869">
        <v>295</v>
      </c>
      <c r="Q869" t="s">
        <v>1049</v>
      </c>
      <c r="R869" s="289" t="s">
        <v>1983</v>
      </c>
      <c r="T869" s="289">
        <v>1</v>
      </c>
      <c r="Y869">
        <v>2.5780000000000005E-12</v>
      </c>
      <c r="Z869" s="95">
        <f t="shared" si="770"/>
        <v>-11.588717086982616</v>
      </c>
      <c r="AC869" t="s">
        <v>68</v>
      </c>
      <c r="DG869">
        <f t="shared" si="771"/>
        <v>-11.588717086982616</v>
      </c>
      <c r="DH869">
        <f t="shared" si="772"/>
        <v>106.18666499232586</v>
      </c>
      <c r="DJ869">
        <f t="shared" si="773"/>
        <v>106.18666499232586</v>
      </c>
      <c r="EY869" s="479">
        <f>VLOOKUP(B869,Literatuur!$A:$B,2,FALSE)</f>
        <v>38</v>
      </c>
      <c r="EZ869" t="str">
        <f t="shared" si="692"/>
        <v>p-xylene</v>
      </c>
      <c r="FA869" t="str">
        <f t="shared" si="693"/>
        <v>MAK</v>
      </c>
      <c r="FB869" t="str">
        <f t="shared" si="694"/>
        <v>HDPE</v>
      </c>
      <c r="FC869" t="str">
        <f t="shared" si="695"/>
        <v>DeSorption</v>
      </c>
      <c r="FD869">
        <f t="shared" si="696"/>
        <v>295</v>
      </c>
      <c r="FE869" t="str">
        <f t="shared" si="697"/>
        <v>water</v>
      </c>
      <c r="FF869" t="str">
        <f t="shared" si="698"/>
        <v xml:space="preserve">saturated ?? </v>
      </c>
      <c r="FG869" s="408">
        <f t="shared" si="690"/>
        <v>1</v>
      </c>
      <c r="FH869" s="138" t="str">
        <f t="shared" si="699"/>
        <v/>
      </c>
      <c r="FI869" s="106" t="str">
        <f t="shared" si="691"/>
        <v>**</v>
      </c>
      <c r="FJ869" s="138">
        <f t="shared" si="700"/>
        <v>-11.588717086982616</v>
      </c>
      <c r="FK869" s="138" t="str">
        <f t="shared" si="687"/>
        <v>**</v>
      </c>
    </row>
    <row r="870" spans="1:167" ht="12.75" hidden="1" customHeight="1" x14ac:dyDescent="0.2">
      <c r="A870">
        <v>835</v>
      </c>
      <c r="B870" s="4" t="s">
        <v>1402</v>
      </c>
      <c r="C870" s="4"/>
      <c r="D870" t="s">
        <v>492</v>
      </c>
      <c r="E870" s="33">
        <v>204</v>
      </c>
      <c r="F870" t="str">
        <f>VLOOKUP(E870,CompDbase!B:L,4,FALSE)</f>
        <v>Toluene</v>
      </c>
      <c r="G870" s="95" t="str">
        <f>VLOOKUP(E870,CompDbase!B:M,12,FALSE)</f>
        <v>MAK</v>
      </c>
      <c r="H870" s="95">
        <f>VLOOKUP(E870,CompDbase!B:L,8,FALSE)</f>
        <v>92.14249284505685</v>
      </c>
      <c r="I870" s="95">
        <f>VLOOKUP(E870,CompDbase!B:L,11,FALSE)</f>
        <v>106.9</v>
      </c>
      <c r="J870" s="95">
        <f>VLOOKUP(E870,CompDbase!B:L,9,FALSE)</f>
        <v>610.59105234897152</v>
      </c>
      <c r="K870" s="95">
        <f>VLOOKUP(E870,CompDbase!B:L,10,FALSE)</f>
        <v>2.73</v>
      </c>
      <c r="L870" t="s">
        <v>717</v>
      </c>
      <c r="M870" s="423"/>
      <c r="N870" s="423"/>
      <c r="O870" t="s">
        <v>1741</v>
      </c>
      <c r="P870">
        <v>295</v>
      </c>
      <c r="Q870" t="s">
        <v>1049</v>
      </c>
      <c r="R870" s="289" t="s">
        <v>1983</v>
      </c>
      <c r="T870" s="289">
        <v>1</v>
      </c>
      <c r="Y870">
        <v>2.9000000000000002E-12</v>
      </c>
      <c r="Z870" s="95">
        <f t="shared" si="770"/>
        <v>-11.537602002101044</v>
      </c>
      <c r="AC870" t="s">
        <v>68</v>
      </c>
      <c r="DG870">
        <f t="shared" si="771"/>
        <v>-11.537602002101044</v>
      </c>
      <c r="DH870">
        <f t="shared" si="772"/>
        <v>92.14249284505685</v>
      </c>
      <c r="DJ870">
        <f t="shared" si="773"/>
        <v>92.14249284505685</v>
      </c>
      <c r="EY870" s="479">
        <f>VLOOKUP(B870,Literatuur!$A:$B,2,FALSE)</f>
        <v>38</v>
      </c>
      <c r="EZ870" t="str">
        <f t="shared" si="692"/>
        <v>Toluene</v>
      </c>
      <c r="FA870" t="str">
        <f t="shared" si="693"/>
        <v>MAK</v>
      </c>
      <c r="FB870" t="str">
        <f t="shared" si="694"/>
        <v>HDPE</v>
      </c>
      <c r="FC870" t="str">
        <f t="shared" si="695"/>
        <v>DeSorption</v>
      </c>
      <c r="FD870">
        <f t="shared" si="696"/>
        <v>295</v>
      </c>
      <c r="FE870" t="str">
        <f t="shared" si="697"/>
        <v>water</v>
      </c>
      <c r="FF870" t="str">
        <f t="shared" si="698"/>
        <v xml:space="preserve">saturated ?? </v>
      </c>
      <c r="FG870" s="408">
        <f t="shared" si="690"/>
        <v>1</v>
      </c>
      <c r="FH870" s="138" t="str">
        <f t="shared" si="699"/>
        <v/>
      </c>
      <c r="FI870" s="106" t="str">
        <f t="shared" si="691"/>
        <v>**</v>
      </c>
      <c r="FJ870" s="138">
        <f t="shared" si="700"/>
        <v>-11.537602002101044</v>
      </c>
      <c r="FK870" s="138" t="str">
        <f t="shared" si="687"/>
        <v>**</v>
      </c>
    </row>
    <row r="871" spans="1:167" ht="12.75" hidden="1" customHeight="1" x14ac:dyDescent="0.2">
      <c r="A871">
        <v>836</v>
      </c>
      <c r="B871" s="4" t="s">
        <v>1875</v>
      </c>
      <c r="C871" s="4"/>
      <c r="D871" t="s">
        <v>933</v>
      </c>
      <c r="E871" s="33">
        <v>205</v>
      </c>
      <c r="F871" t="str">
        <f>VLOOKUP(E871,CompDbase!B:L,4,FALSE)</f>
        <v>m-Xylene</v>
      </c>
      <c r="G871" s="95" t="str">
        <f>VLOOKUP(E871,CompDbase!B:M,12,FALSE)</f>
        <v>MAK</v>
      </c>
      <c r="H871" s="95">
        <f>VLOOKUP(E871,CompDbase!B:L,8,FALSE)</f>
        <v>106.18999905823263</v>
      </c>
      <c r="I871" s="95" t="e">
        <f>VLOOKUP(E871,CompDbase!B:L,11,FALSE)</f>
        <v>#DIV/0!</v>
      </c>
      <c r="J871" s="95">
        <f>VLOOKUP(E871,CompDbase!B:L,9,FALSE)</f>
        <v>197.40652052455141</v>
      </c>
      <c r="K871" s="95">
        <f>VLOOKUP(E871,CompDbase!B:L,10,FALSE)</f>
        <v>3.2</v>
      </c>
      <c r="L871" t="s">
        <v>717</v>
      </c>
      <c r="M871" s="423"/>
      <c r="N871" s="423">
        <v>948000</v>
      </c>
      <c r="O871" t="s">
        <v>1044</v>
      </c>
      <c r="P871">
        <v>295</v>
      </c>
      <c r="Q871" t="s">
        <v>1049</v>
      </c>
      <c r="R871" s="289" t="s">
        <v>1983</v>
      </c>
      <c r="T871" s="289">
        <v>1</v>
      </c>
      <c r="U871">
        <v>87.5</v>
      </c>
      <c r="W871" s="183">
        <f>U871/J871</f>
        <v>0.44324776996977483</v>
      </c>
      <c r="X871" s="288">
        <f>LOG(W871)</f>
        <v>-0.35335344070675706</v>
      </c>
      <c r="Y871">
        <v>3.7100000000000001E-12</v>
      </c>
      <c r="Z871" s="95">
        <f t="shared" si="770"/>
        <v>-11.430626090384955</v>
      </c>
      <c r="AA871" s="95">
        <f>W871*Y871</f>
        <v>1.6444492265878648E-12</v>
      </c>
      <c r="AB871" s="288">
        <f>LOG(AA871)</f>
        <v>-11.783979531091711</v>
      </c>
      <c r="AC871" s="95" t="s">
        <v>68</v>
      </c>
      <c r="AD871" s="95"/>
      <c r="AG871" s="138">
        <f t="shared" ref="AG871:AG873" si="774">X871</f>
        <v>-0.35335344070675706</v>
      </c>
      <c r="AH871">
        <f t="shared" ref="AH871:AI873" si="775">$K871</f>
        <v>3.2</v>
      </c>
      <c r="AI871">
        <f t="shared" si="775"/>
        <v>3.2</v>
      </c>
      <c r="AL871">
        <f t="shared" ref="AL871:AL873" si="776">$K871</f>
        <v>3.2</v>
      </c>
      <c r="AO871">
        <f t="shared" ref="AO871:AO873" si="777">$K871</f>
        <v>3.2</v>
      </c>
      <c r="BW871" s="138"/>
      <c r="BX871">
        <f t="shared" ref="BX871:BY873" si="778">LOG(1*$J871)</f>
        <v>2.2953614937290703</v>
      </c>
      <c r="BY871">
        <f t="shared" si="778"/>
        <v>2.2953614937290703</v>
      </c>
      <c r="CB871">
        <f>LOG(1*$J871)</f>
        <v>2.2953614937290703</v>
      </c>
      <c r="CE871">
        <f>LOG(1*$J871)</f>
        <v>2.2953614937290703</v>
      </c>
      <c r="DG871">
        <f t="shared" si="771"/>
        <v>-11.430626090384955</v>
      </c>
      <c r="DH871">
        <f t="shared" si="772"/>
        <v>106.18999905823263</v>
      </c>
      <c r="DI871">
        <f t="shared" si="772"/>
        <v>106.18999905823263</v>
      </c>
      <c r="EY871" s="479">
        <f>VLOOKUP(B871,Literatuur!$A:$B,2,FALSE)</f>
        <v>39</v>
      </c>
      <c r="EZ871" t="str">
        <f t="shared" si="692"/>
        <v>m-xylene</v>
      </c>
      <c r="FA871" t="str">
        <f t="shared" si="693"/>
        <v>MAK</v>
      </c>
      <c r="FB871" t="str">
        <f t="shared" si="694"/>
        <v>HDPE</v>
      </c>
      <c r="FC871" t="str">
        <f t="shared" si="695"/>
        <v>Immersion</v>
      </c>
      <c r="FD871">
        <f t="shared" si="696"/>
        <v>295</v>
      </c>
      <c r="FE871" t="str">
        <f t="shared" si="697"/>
        <v>water</v>
      </c>
      <c r="FF871" t="str">
        <f t="shared" si="698"/>
        <v xml:space="preserve">saturated ?? </v>
      </c>
      <c r="FG871" s="408">
        <f t="shared" si="690"/>
        <v>1</v>
      </c>
      <c r="FH871" s="138">
        <f t="shared" si="699"/>
        <v>-0.35335344070675706</v>
      </c>
      <c r="FI871" s="106">
        <f t="shared" si="691"/>
        <v>2.3341762957055052</v>
      </c>
      <c r="FJ871" s="138">
        <f t="shared" si="700"/>
        <v>-11.430626090384955</v>
      </c>
      <c r="FK871" s="138" t="str">
        <f t="shared" si="687"/>
        <v>**</v>
      </c>
    </row>
    <row r="872" spans="1:167" s="13" customFormat="1" ht="12.75" hidden="1" customHeight="1" x14ac:dyDescent="0.2">
      <c r="A872">
        <v>837</v>
      </c>
      <c r="B872" s="4" t="s">
        <v>1875</v>
      </c>
      <c r="C872" s="4"/>
      <c r="D872" s="13" t="s">
        <v>699</v>
      </c>
      <c r="E872" s="13">
        <v>219</v>
      </c>
      <c r="F872" s="13" t="str">
        <f>VLOOKUP(E872,CompDbase!B:L,4,FALSE)</f>
        <v>p-Xylene</v>
      </c>
      <c r="G872" s="182" t="str">
        <f>VLOOKUP(E872,CompDbase!B:M,12,FALSE)</f>
        <v>MAK</v>
      </c>
      <c r="H872" s="182">
        <f>VLOOKUP(E872,CompDbase!B:L,8,FALSE)</f>
        <v>106.18666499232586</v>
      </c>
      <c r="I872" s="182">
        <f>VLOOKUP(E872,CompDbase!B:L,11,FALSE)</f>
        <v>123.9</v>
      </c>
      <c r="J872" s="182">
        <f>VLOOKUP(E872,CompDbase!B:L,9,FALSE)</f>
        <v>210.93846155625408</v>
      </c>
      <c r="K872" s="182">
        <f>VLOOKUP(E872,CompDbase!B:L,10,FALSE)</f>
        <v>3.15</v>
      </c>
      <c r="L872" t="s">
        <v>717</v>
      </c>
      <c r="M872" s="424"/>
      <c r="N872" s="423">
        <v>948000</v>
      </c>
      <c r="O872" t="s">
        <v>1044</v>
      </c>
      <c r="P872" s="13">
        <v>295</v>
      </c>
      <c r="Q872" s="13" t="s">
        <v>1049</v>
      </c>
      <c r="R872" s="405" t="s">
        <v>1983</v>
      </c>
      <c r="T872" s="289">
        <v>1</v>
      </c>
      <c r="U872" s="13">
        <v>88.8</v>
      </c>
      <c r="W872" s="261">
        <f>U872/J872</f>
        <v>0.42097585876399496</v>
      </c>
      <c r="X872" s="317">
        <f>LOG(W872)</f>
        <v>-0.37574280845458435</v>
      </c>
      <c r="Y872" s="13">
        <v>5.4900000000000002E-12</v>
      </c>
      <c r="Z872" s="182">
        <f t="shared" si="770"/>
        <v>-11.260427655549908</v>
      </c>
      <c r="AA872" s="182">
        <f>W872*Y872</f>
        <v>2.3111574646143324E-12</v>
      </c>
      <c r="AB872" s="317">
        <f>LOG(AA872)</f>
        <v>-11.636170464004492</v>
      </c>
      <c r="AC872" s="182" t="s">
        <v>68</v>
      </c>
      <c r="AD872" s="182"/>
      <c r="AG872" s="138">
        <f t="shared" si="774"/>
        <v>-0.37574280845458435</v>
      </c>
      <c r="AH872">
        <f t="shared" si="775"/>
        <v>3.15</v>
      </c>
      <c r="AI872">
        <f t="shared" si="775"/>
        <v>3.15</v>
      </c>
      <c r="AL872">
        <f t="shared" si="776"/>
        <v>3.15</v>
      </c>
      <c r="AM872"/>
      <c r="AN872"/>
      <c r="AO872">
        <f t="shared" si="777"/>
        <v>3.15</v>
      </c>
      <c r="BW872" s="138"/>
      <c r="BX872">
        <f t="shared" si="778"/>
        <v>2.3241557742331853</v>
      </c>
      <c r="BY872">
        <f t="shared" si="778"/>
        <v>2.3241557742331853</v>
      </c>
      <c r="CB872">
        <f>LOG(1*$J872)</f>
        <v>2.3241557742331853</v>
      </c>
      <c r="CC872"/>
      <c r="CD872"/>
      <c r="CE872">
        <f>LOG(1*$J872)</f>
        <v>2.3241557742331853</v>
      </c>
      <c r="DF872"/>
      <c r="DG872">
        <f t="shared" si="771"/>
        <v>-11.260427655549908</v>
      </c>
      <c r="DH872">
        <f t="shared" si="772"/>
        <v>106.18666499232586</v>
      </c>
      <c r="DI872">
        <f t="shared" si="772"/>
        <v>106.18666499232586</v>
      </c>
      <c r="DL872"/>
      <c r="DM872"/>
      <c r="DN872"/>
      <c r="DO872"/>
      <c r="DP872"/>
      <c r="EY872" s="479">
        <f>VLOOKUP(B872,Literatuur!$A:$B,2,FALSE)</f>
        <v>39</v>
      </c>
      <c r="EZ872" t="str">
        <f t="shared" si="692"/>
        <v>p-xylene</v>
      </c>
      <c r="FA872" t="str">
        <f t="shared" si="693"/>
        <v>MAK</v>
      </c>
      <c r="FB872" t="str">
        <f t="shared" si="694"/>
        <v>HDPE</v>
      </c>
      <c r="FC872" t="str">
        <f t="shared" si="695"/>
        <v>Immersion</v>
      </c>
      <c r="FD872">
        <f t="shared" si="696"/>
        <v>295</v>
      </c>
      <c r="FE872" t="str">
        <f t="shared" si="697"/>
        <v>water</v>
      </c>
      <c r="FF872" t="str">
        <f t="shared" si="698"/>
        <v xml:space="preserve">saturated ?? </v>
      </c>
      <c r="FG872" s="408">
        <f t="shared" si="690"/>
        <v>1</v>
      </c>
      <c r="FH872" s="138">
        <f t="shared" si="699"/>
        <v>-0.37574280845458435</v>
      </c>
      <c r="FI872" s="106">
        <f t="shared" si="691"/>
        <v>2.2755733491444419</v>
      </c>
      <c r="FJ872" s="138">
        <f t="shared" si="700"/>
        <v>-11.260427655549908</v>
      </c>
      <c r="FK872" s="138" t="str">
        <f t="shared" si="687"/>
        <v>**</v>
      </c>
    </row>
    <row r="873" spans="1:167" ht="12.75" hidden="1" customHeight="1" x14ac:dyDescent="0.2">
      <c r="A873">
        <v>838</v>
      </c>
      <c r="B873" s="4" t="s">
        <v>1875</v>
      </c>
      <c r="C873" s="4"/>
      <c r="D873" t="s">
        <v>492</v>
      </c>
      <c r="E873" s="33">
        <v>204</v>
      </c>
      <c r="F873" t="str">
        <f>VLOOKUP(E873,CompDbase!B:L,4,FALSE)</f>
        <v>Toluene</v>
      </c>
      <c r="G873" s="95" t="str">
        <f>VLOOKUP(E873,CompDbase!B:M,12,FALSE)</f>
        <v>MAK</v>
      </c>
      <c r="H873" s="95">
        <f>VLOOKUP(E873,CompDbase!B:L,8,FALSE)</f>
        <v>92.14249284505685</v>
      </c>
      <c r="I873" s="95">
        <f>VLOOKUP(E873,CompDbase!B:L,11,FALSE)</f>
        <v>106.9</v>
      </c>
      <c r="J873" s="95">
        <f>VLOOKUP(E873,CompDbase!B:L,9,FALSE)</f>
        <v>610.59105234897152</v>
      </c>
      <c r="K873" s="95">
        <f>VLOOKUP(E873,CompDbase!B:L,10,FALSE)</f>
        <v>2.73</v>
      </c>
      <c r="L873" t="s">
        <v>717</v>
      </c>
      <c r="M873" s="423"/>
      <c r="N873" s="423">
        <v>948000</v>
      </c>
      <c r="O873" t="s">
        <v>1044</v>
      </c>
      <c r="P873">
        <v>295</v>
      </c>
      <c r="Q873" t="s">
        <v>1049</v>
      </c>
      <c r="R873" s="289" t="s">
        <v>1983</v>
      </c>
      <c r="T873" s="289">
        <v>1</v>
      </c>
      <c r="U873">
        <v>85.3</v>
      </c>
      <c r="W873" s="183">
        <f>U873/J873</f>
        <v>0.13970070421413322</v>
      </c>
      <c r="X873" s="288">
        <f>LOG(W873)</f>
        <v>-0.85480140465502863</v>
      </c>
      <c r="Y873">
        <v>5.6900000000000002E-12</v>
      </c>
      <c r="Z873" s="95">
        <f t="shared" si="770"/>
        <v>-11.244887733604928</v>
      </c>
      <c r="AA873" s="95">
        <f>W873*Y873</f>
        <v>7.9489700697841802E-13</v>
      </c>
      <c r="AB873" s="288">
        <f>LOG(AA873)</f>
        <v>-12.099689138259958</v>
      </c>
      <c r="AC873" s="95" t="s">
        <v>68</v>
      </c>
      <c r="AD873" s="95"/>
      <c r="AG873" s="138">
        <f t="shared" si="774"/>
        <v>-0.85480140465502863</v>
      </c>
      <c r="AH873">
        <f t="shared" si="775"/>
        <v>2.73</v>
      </c>
      <c r="AI873">
        <f t="shared" si="775"/>
        <v>2.73</v>
      </c>
      <c r="AL873">
        <f t="shared" si="776"/>
        <v>2.73</v>
      </c>
      <c r="AO873">
        <f t="shared" si="777"/>
        <v>2.73</v>
      </c>
      <c r="BW873" s="138"/>
      <c r="BX873">
        <f t="shared" si="778"/>
        <v>2.7857504358225516</v>
      </c>
      <c r="BY873">
        <f t="shared" si="778"/>
        <v>2.7857504358225516</v>
      </c>
      <c r="CB873">
        <f>LOG(1*$J873)</f>
        <v>2.7857504358225516</v>
      </c>
      <c r="CE873">
        <f>LOG(1*$J873)</f>
        <v>2.7857504358225516</v>
      </c>
      <c r="DG873">
        <f t="shared" si="771"/>
        <v>-11.244887733604928</v>
      </c>
      <c r="DH873">
        <f t="shared" si="772"/>
        <v>92.14249284505685</v>
      </c>
      <c r="DI873">
        <f t="shared" si="772"/>
        <v>92.14249284505685</v>
      </c>
      <c r="EY873" s="479">
        <f>VLOOKUP(B873,Literatuur!$A:$B,2,FALSE)</f>
        <v>39</v>
      </c>
      <c r="EZ873" t="str">
        <f t="shared" si="692"/>
        <v>Toluene</v>
      </c>
      <c r="FA873" t="str">
        <f t="shared" si="693"/>
        <v>MAK</v>
      </c>
      <c r="FB873" t="str">
        <f t="shared" si="694"/>
        <v>HDPE</v>
      </c>
      <c r="FC873" t="str">
        <f t="shared" si="695"/>
        <v>Immersion</v>
      </c>
      <c r="FD873">
        <f t="shared" si="696"/>
        <v>295</v>
      </c>
      <c r="FE873" t="str">
        <f t="shared" si="697"/>
        <v>water</v>
      </c>
      <c r="FF873" t="str">
        <f t="shared" si="698"/>
        <v xml:space="preserve">saturated ?? </v>
      </c>
      <c r="FG873" s="408">
        <f t="shared" si="690"/>
        <v>1</v>
      </c>
      <c r="FH873" s="138">
        <f t="shared" si="699"/>
        <v>-0.85480140465502863</v>
      </c>
      <c r="FI873" s="106">
        <f t="shared" si="691"/>
        <v>1.7833085980315144</v>
      </c>
      <c r="FJ873" s="138">
        <f t="shared" si="700"/>
        <v>-11.244887733604928</v>
      </c>
      <c r="FK873" s="138" t="str">
        <f t="shared" si="687"/>
        <v>**</v>
      </c>
    </row>
    <row r="874" spans="1:167" ht="12.75" hidden="1" customHeight="1" x14ac:dyDescent="0.2">
      <c r="A874">
        <v>839</v>
      </c>
      <c r="B874" s="4" t="s">
        <v>1938</v>
      </c>
      <c r="C874" s="4"/>
      <c r="D874" s="4" t="s">
        <v>448</v>
      </c>
      <c r="E874" s="4">
        <v>-1507</v>
      </c>
      <c r="F874" t="str">
        <f>VLOOKUP(E874,CompDbase!B:L,4,FALSE)</f>
        <v>Acetone</v>
      </c>
      <c r="G874" s="95" t="str">
        <f>VLOOKUP(E874,CompDbase!B:M,12,FALSE)</f>
        <v>O2</v>
      </c>
      <c r="H874" s="95">
        <f>VLOOKUP(E874,CompDbase!B:L,8,FALSE)</f>
        <v>58.08</v>
      </c>
      <c r="I874" s="95">
        <f>VLOOKUP(E874,CompDbase!B:L,11,FALSE)</f>
        <v>74</v>
      </c>
      <c r="J874" s="95">
        <f>VLOOKUP(E874,CompDbase!B:L,9,FALSE)</f>
        <v>790000</v>
      </c>
      <c r="K874" s="95">
        <f>VLOOKUP(E874,CompDbase!B:L,10,FALSE)</f>
        <v>-0.24</v>
      </c>
      <c r="L874" s="4" t="s">
        <v>717</v>
      </c>
      <c r="M874" s="423"/>
      <c r="N874" s="416">
        <v>948000</v>
      </c>
      <c r="O874" s="4" t="s">
        <v>1941</v>
      </c>
      <c r="P874">
        <v>298</v>
      </c>
      <c r="Q874" s="4" t="s">
        <v>1049</v>
      </c>
      <c r="R874" s="289" t="s">
        <v>1988</v>
      </c>
      <c r="S874" s="4"/>
      <c r="T874" s="95">
        <v>1</v>
      </c>
      <c r="Y874">
        <v>9E-13</v>
      </c>
      <c r="Z874" s="95">
        <f t="shared" si="770"/>
        <v>-12.045757490560675</v>
      </c>
      <c r="AG874" s="138"/>
      <c r="BW874" s="138"/>
      <c r="DG874">
        <f t="shared" si="771"/>
        <v>-12.045757490560675</v>
      </c>
      <c r="DH874">
        <f t="shared" si="772"/>
        <v>58.08</v>
      </c>
      <c r="DJ874">
        <f t="shared" ref="DJ874" si="779">$H874</f>
        <v>58.08</v>
      </c>
      <c r="EY874" s="479">
        <f>VLOOKUP(B874,Literatuur!$A:$B,2,FALSE)</f>
        <v>3</v>
      </c>
      <c r="EZ874" t="str">
        <f t="shared" si="692"/>
        <v>Acetone</v>
      </c>
      <c r="FA874" t="str">
        <f t="shared" si="693"/>
        <v>O2</v>
      </c>
      <c r="FB874" t="str">
        <f t="shared" si="694"/>
        <v>HDPE</v>
      </c>
      <c r="FC874" t="str">
        <f t="shared" si="695"/>
        <v>DeSorption to air</v>
      </c>
      <c r="FD874">
        <f t="shared" si="696"/>
        <v>298</v>
      </c>
      <c r="FE874" t="str">
        <f t="shared" si="697"/>
        <v>water</v>
      </c>
      <c r="FF874" t="str">
        <f t="shared" si="698"/>
        <v xml:space="preserve">saturated </v>
      </c>
      <c r="FG874" s="408">
        <f t="shared" si="690"/>
        <v>1</v>
      </c>
      <c r="FH874" s="138" t="str">
        <f t="shared" si="699"/>
        <v/>
      </c>
      <c r="FI874" s="106" t="str">
        <f t="shared" si="691"/>
        <v>**</v>
      </c>
      <c r="FJ874" s="138">
        <f t="shared" si="700"/>
        <v>-12.045757490560675</v>
      </c>
      <c r="FK874" s="138" t="str">
        <f t="shared" si="687"/>
        <v>**</v>
      </c>
    </row>
    <row r="875" spans="1:167" ht="12.75" hidden="1" customHeight="1" x14ac:dyDescent="0.2">
      <c r="A875">
        <v>840</v>
      </c>
      <c r="B875" s="4" t="s">
        <v>1938</v>
      </c>
      <c r="C875" s="4"/>
      <c r="D875" s="4" t="s">
        <v>448</v>
      </c>
      <c r="E875" s="4">
        <v>-1507</v>
      </c>
      <c r="F875" t="str">
        <f>VLOOKUP(E875,CompDbase!B:L,4,FALSE)</f>
        <v>Acetone</v>
      </c>
      <c r="G875" s="95" t="str">
        <f>VLOOKUP(E875,CompDbase!B:M,12,FALSE)</f>
        <v>O2</v>
      </c>
      <c r="H875" s="95">
        <f>VLOOKUP(E875,CompDbase!B:L,8,FALSE)</f>
        <v>58.08</v>
      </c>
      <c r="I875" s="95">
        <f>VLOOKUP(E875,CompDbase!B:L,11,FALSE)</f>
        <v>74</v>
      </c>
      <c r="J875" s="95">
        <f>VLOOKUP(E875,CompDbase!B:L,9,FALSE)</f>
        <v>790000</v>
      </c>
      <c r="K875" s="95">
        <f>VLOOKUP(E875,CompDbase!B:L,10,FALSE)</f>
        <v>-0.24</v>
      </c>
      <c r="L875" s="4" t="s">
        <v>717</v>
      </c>
      <c r="M875" s="423">
        <v>948000</v>
      </c>
      <c r="N875" s="423"/>
      <c r="O875" s="4" t="s">
        <v>1044</v>
      </c>
      <c r="P875">
        <v>298</v>
      </c>
      <c r="Q875" s="4" t="s">
        <v>1049</v>
      </c>
      <c r="R875" s="289" t="s">
        <v>1988</v>
      </c>
      <c r="S875" s="4"/>
      <c r="T875" s="289">
        <v>1</v>
      </c>
      <c r="V875">
        <v>0.02</v>
      </c>
      <c r="W875" s="95">
        <f>V875*M875/J875</f>
        <v>2.4E-2</v>
      </c>
      <c r="X875" s="95">
        <f>LOG(W875)</f>
        <v>-1.6197887582883939</v>
      </c>
      <c r="Y875">
        <v>1.7E-12</v>
      </c>
      <c r="Z875" s="95">
        <f t="shared" si="770"/>
        <v>-11.769551078621726</v>
      </c>
      <c r="AA875" s="95">
        <f>W875*Y875</f>
        <v>4.08E-14</v>
      </c>
      <c r="AB875" s="95">
        <f>LOG(AA875)</f>
        <v>-13.38933983691012</v>
      </c>
      <c r="AC875" s="95"/>
      <c r="AD875" s="95"/>
      <c r="AG875" s="138">
        <f>X875</f>
        <v>-1.6197887582883939</v>
      </c>
      <c r="AH875">
        <f>$K875</f>
        <v>-0.24</v>
      </c>
      <c r="AI875">
        <f>$K875</f>
        <v>-0.24</v>
      </c>
      <c r="AN875">
        <f t="shared" ref="AN875" si="780">$K875</f>
        <v>-0.24</v>
      </c>
      <c r="AQ875">
        <f t="shared" ref="AQ875" si="781">$K875</f>
        <v>-0.24</v>
      </c>
      <c r="BW875" s="138"/>
      <c r="BX875">
        <f>LOG(1*$J875)</f>
        <v>5.8976270912904418</v>
      </c>
      <c r="BY875">
        <f>LOG(1*$J875)</f>
        <v>5.8976270912904418</v>
      </c>
      <c r="CD875">
        <f>LOG(1*$J875)</f>
        <v>5.8976270912904418</v>
      </c>
      <c r="CG875">
        <f>LOG(1*$J875)</f>
        <v>5.8976270912904418</v>
      </c>
      <c r="DG875">
        <f t="shared" si="771"/>
        <v>-11.769551078621726</v>
      </c>
      <c r="DH875">
        <f t="shared" si="772"/>
        <v>58.08</v>
      </c>
      <c r="DI875">
        <f t="shared" si="772"/>
        <v>58.08</v>
      </c>
      <c r="EY875" s="479">
        <f>VLOOKUP(B875,Literatuur!$A:$B,2,FALSE)</f>
        <v>3</v>
      </c>
      <c r="EZ875" t="str">
        <f t="shared" si="692"/>
        <v>Acetone</v>
      </c>
      <c r="FA875" t="str">
        <f t="shared" si="693"/>
        <v>O2</v>
      </c>
      <c r="FB875" t="str">
        <f t="shared" si="694"/>
        <v>HDPE</v>
      </c>
      <c r="FC875" t="str">
        <f t="shared" si="695"/>
        <v>Immersion</v>
      </c>
      <c r="FD875">
        <f t="shared" si="696"/>
        <v>298</v>
      </c>
      <c r="FE875" t="str">
        <f t="shared" si="697"/>
        <v>water</v>
      </c>
      <c r="FF875" t="str">
        <f t="shared" si="698"/>
        <v xml:space="preserve">saturated </v>
      </c>
      <c r="FG875" s="408">
        <f t="shared" si="690"/>
        <v>1</v>
      </c>
      <c r="FH875" s="138">
        <f t="shared" si="699"/>
        <v>-1.6197887582883939</v>
      </c>
      <c r="FI875" s="106">
        <f t="shared" si="691"/>
        <v>-2.9018203533488252</v>
      </c>
      <c r="FJ875" s="138">
        <f t="shared" si="700"/>
        <v>-11.769551078621726</v>
      </c>
      <c r="FK875" s="138" t="str">
        <f t="shared" si="687"/>
        <v>**</v>
      </c>
    </row>
    <row r="876" spans="1:167" ht="12.75" hidden="1" customHeight="1" x14ac:dyDescent="0.2">
      <c r="A876">
        <v>841</v>
      </c>
      <c r="B876" s="4" t="s">
        <v>1938</v>
      </c>
      <c r="C876" s="4"/>
      <c r="D876" s="4" t="s">
        <v>510</v>
      </c>
      <c r="E876" s="4">
        <v>-1533</v>
      </c>
      <c r="F876" t="str">
        <f>VLOOKUP(E876,CompDbase!B:L,4,FALSE)</f>
        <v>Butyraldehyde</v>
      </c>
      <c r="G876" s="95" t="str">
        <f>VLOOKUP(E876,CompDbase!B:M,12,FALSE)</f>
        <v>O2</v>
      </c>
      <c r="H876" s="95">
        <f>VLOOKUP(E876,CompDbase!B:L,8,FALSE)</f>
        <v>72.11</v>
      </c>
      <c r="I876" s="95">
        <f>VLOOKUP(E876,CompDbase!B:L,11,FALSE)</f>
        <v>89.6</v>
      </c>
      <c r="J876" s="95">
        <f>VLOOKUP(E876,CompDbase!B:L,9,FALSE)</f>
        <v>71000</v>
      </c>
      <c r="K876" s="95">
        <f>VLOOKUP(E876,CompDbase!B:L,10,FALSE)</f>
        <v>0.88</v>
      </c>
      <c r="L876" s="4" t="s">
        <v>717</v>
      </c>
      <c r="M876" s="423"/>
      <c r="N876" s="423">
        <v>948000</v>
      </c>
      <c r="O876" s="4" t="s">
        <v>1941</v>
      </c>
      <c r="P876">
        <v>298</v>
      </c>
      <c r="Q876" s="4" t="s">
        <v>1049</v>
      </c>
      <c r="R876" s="289" t="s">
        <v>1988</v>
      </c>
      <c r="S876" s="4"/>
      <c r="T876" s="95">
        <v>1</v>
      </c>
      <c r="Y876">
        <v>7.0000000000000005E-13</v>
      </c>
      <c r="Z876" s="95">
        <f t="shared" si="770"/>
        <v>-12.154901959985743</v>
      </c>
      <c r="AG876" s="138"/>
      <c r="BW876" s="138"/>
      <c r="DG876">
        <f t="shared" si="771"/>
        <v>-12.154901959985743</v>
      </c>
      <c r="DH876">
        <f t="shared" si="772"/>
        <v>72.11</v>
      </c>
      <c r="DJ876">
        <f t="shared" ref="DJ876" si="782">$H876</f>
        <v>72.11</v>
      </c>
      <c r="EY876" s="479">
        <f>VLOOKUP(B876,Literatuur!$A:$B,2,FALSE)</f>
        <v>3</v>
      </c>
      <c r="EZ876" t="str">
        <f t="shared" si="692"/>
        <v>Butyraldehyde</v>
      </c>
      <c r="FA876" t="str">
        <f t="shared" si="693"/>
        <v>O2</v>
      </c>
      <c r="FB876" t="str">
        <f t="shared" si="694"/>
        <v>HDPE</v>
      </c>
      <c r="FC876" t="str">
        <f t="shared" si="695"/>
        <v>DeSorption to air</v>
      </c>
      <c r="FD876">
        <f t="shared" si="696"/>
        <v>298</v>
      </c>
      <c r="FE876" t="str">
        <f t="shared" si="697"/>
        <v>water</v>
      </c>
      <c r="FF876" t="str">
        <f t="shared" si="698"/>
        <v xml:space="preserve">saturated </v>
      </c>
      <c r="FG876" s="408">
        <f t="shared" si="690"/>
        <v>1</v>
      </c>
      <c r="FH876" s="138" t="str">
        <f t="shared" si="699"/>
        <v/>
      </c>
      <c r="FI876" s="106" t="str">
        <f t="shared" si="691"/>
        <v>**</v>
      </c>
      <c r="FJ876" s="138">
        <f t="shared" si="700"/>
        <v>-12.154901959985743</v>
      </c>
      <c r="FK876" s="138" t="str">
        <f t="shared" ref="FK876:FK903" si="783">IF(ISNUMBER(DM876),DM876*DP$33+DP$35,IF(ISNUMBER(DN876),DN876*DP$33+DP$35,IF(ISNUMBER(DO876),DO876*DP$33+DP$35,"**")))</f>
        <v>**</v>
      </c>
    </row>
    <row r="877" spans="1:167" ht="12.75" hidden="1" customHeight="1" x14ac:dyDescent="0.2">
      <c r="A877">
        <v>842</v>
      </c>
      <c r="B877" s="4" t="s">
        <v>1938</v>
      </c>
      <c r="C877" s="4"/>
      <c r="D877" s="4" t="s">
        <v>510</v>
      </c>
      <c r="E877" s="4">
        <v>-1533</v>
      </c>
      <c r="F877" t="str">
        <f>VLOOKUP(E877,CompDbase!B:L,4,FALSE)</f>
        <v>Butyraldehyde</v>
      </c>
      <c r="G877" s="95" t="str">
        <f>VLOOKUP(E877,CompDbase!B:M,12,FALSE)</f>
        <v>O2</v>
      </c>
      <c r="H877" s="95">
        <f>VLOOKUP(E877,CompDbase!B:L,8,FALSE)</f>
        <v>72.11</v>
      </c>
      <c r="I877" s="95">
        <f>VLOOKUP(E877,CompDbase!B:L,11,FALSE)</f>
        <v>89.6</v>
      </c>
      <c r="J877" s="95">
        <f>VLOOKUP(E877,CompDbase!B:L,9,FALSE)</f>
        <v>71000</v>
      </c>
      <c r="K877" s="95">
        <f>VLOOKUP(E877,CompDbase!B:L,10,FALSE)</f>
        <v>0.88</v>
      </c>
      <c r="L877" s="4" t="s">
        <v>717</v>
      </c>
      <c r="M877" s="423">
        <v>948000</v>
      </c>
      <c r="N877" s="423"/>
      <c r="O877" s="4" t="s">
        <v>1044</v>
      </c>
      <c r="P877">
        <v>298</v>
      </c>
      <c r="Q877" s="4" t="s">
        <v>1049</v>
      </c>
      <c r="R877" s="289" t="s">
        <v>1988</v>
      </c>
      <c r="S877" s="4"/>
      <c r="T877" s="289">
        <v>1</v>
      </c>
      <c r="V877">
        <v>0.02</v>
      </c>
      <c r="W877" s="95">
        <f>V877*M877/J877</f>
        <v>0.26704225352112676</v>
      </c>
      <c r="X877" s="95">
        <f>LOG(W877)</f>
        <v>-0.57342001571702783</v>
      </c>
      <c r="Y877">
        <v>3.4000000000000001E-12</v>
      </c>
      <c r="Z877" s="95">
        <f t="shared" si="770"/>
        <v>-11.468521082957745</v>
      </c>
      <c r="AA877" s="95">
        <f>W877*Y877</f>
        <v>9.07943661971831E-13</v>
      </c>
      <c r="AB877" s="95">
        <f>LOG(AA877)</f>
        <v>-12.041941098674773</v>
      </c>
      <c r="AC877" s="95"/>
      <c r="AD877" s="95"/>
      <c r="AG877" s="138">
        <f>X877</f>
        <v>-0.57342001571702783</v>
      </c>
      <c r="AH877">
        <f>$K877</f>
        <v>0.88</v>
      </c>
      <c r="AI877">
        <f>$K877</f>
        <v>0.88</v>
      </c>
      <c r="AN877">
        <f t="shared" ref="AN877" si="784">$K877</f>
        <v>0.88</v>
      </c>
      <c r="AQ877">
        <f t="shared" ref="AQ877" si="785">$K877</f>
        <v>0.88</v>
      </c>
      <c r="BW877" s="138"/>
      <c r="BX877">
        <f>LOG(1*$J877)</f>
        <v>4.8512583487190755</v>
      </c>
      <c r="BY877">
        <f>LOG(1*$J877)</f>
        <v>4.8512583487190755</v>
      </c>
      <c r="CD877">
        <f>LOG(1*$J877)</f>
        <v>4.8512583487190755</v>
      </c>
      <c r="CG877">
        <f>LOG(1*$J877)</f>
        <v>4.8512583487190755</v>
      </c>
      <c r="DG877">
        <f t="shared" si="771"/>
        <v>-11.468521082957745</v>
      </c>
      <c r="DH877">
        <f t="shared" si="772"/>
        <v>72.11</v>
      </c>
      <c r="DI877">
        <f t="shared" si="772"/>
        <v>72.11</v>
      </c>
      <c r="EY877" s="479">
        <f>VLOOKUP(B877,Literatuur!$A:$B,2,FALSE)</f>
        <v>3</v>
      </c>
      <c r="EZ877" t="str">
        <f t="shared" si="692"/>
        <v>Butyraldehyde</v>
      </c>
      <c r="FA877" t="str">
        <f t="shared" si="693"/>
        <v>O2</v>
      </c>
      <c r="FB877" t="str">
        <f t="shared" si="694"/>
        <v>HDPE</v>
      </c>
      <c r="FC877" t="str">
        <f t="shared" si="695"/>
        <v>Immersion</v>
      </c>
      <c r="FD877">
        <f t="shared" si="696"/>
        <v>298</v>
      </c>
      <c r="FE877" t="str">
        <f t="shared" si="697"/>
        <v>water</v>
      </c>
      <c r="FF877" t="str">
        <f t="shared" si="698"/>
        <v xml:space="preserve">saturated </v>
      </c>
      <c r="FG877" s="408">
        <f t="shared" si="690"/>
        <v>1</v>
      </c>
      <c r="FH877" s="138">
        <f t="shared" si="699"/>
        <v>-0.57342001571702783</v>
      </c>
      <c r="FI877" s="106">
        <f t="shared" si="691"/>
        <v>-1.5233984823901203</v>
      </c>
      <c r="FJ877" s="138">
        <f t="shared" si="700"/>
        <v>-11.468521082957745</v>
      </c>
      <c r="FK877" s="138" t="str">
        <f t="shared" si="783"/>
        <v>**</v>
      </c>
    </row>
    <row r="878" spans="1:167" ht="12.75" hidden="1" customHeight="1" x14ac:dyDescent="0.2">
      <c r="A878">
        <v>843</v>
      </c>
      <c r="B878" s="4" t="s">
        <v>1938</v>
      </c>
      <c r="C878" s="4"/>
      <c r="D878" s="4" t="s">
        <v>502</v>
      </c>
      <c r="E878" s="4">
        <v>-1529</v>
      </c>
      <c r="F878" t="str">
        <f>VLOOKUP(E878,CompDbase!B:L,4,FALSE)</f>
        <v>Methoxybenzene</v>
      </c>
      <c r="G878" s="95" t="str">
        <f>VLOOKUP(E878,CompDbase!B:M,12,FALSE)</f>
        <v>O2</v>
      </c>
      <c r="H878" s="95">
        <f>VLOOKUP(E878,CompDbase!B:L,8,FALSE)</f>
        <v>108.14</v>
      </c>
      <c r="I878" s="95">
        <f>VLOOKUP(E878,CompDbase!B:L,11,FALSE)</f>
        <v>109.3</v>
      </c>
      <c r="J878" s="95">
        <f>VLOOKUP(E878,CompDbase!B:L,9,FALSE)</f>
        <v>1741</v>
      </c>
      <c r="K878" s="95">
        <f>VLOOKUP(E878,CompDbase!B:L,10,FALSE)</f>
        <v>2.11</v>
      </c>
      <c r="L878" s="4" t="s">
        <v>717</v>
      </c>
      <c r="M878" s="423"/>
      <c r="N878" s="423">
        <v>948000</v>
      </c>
      <c r="O878" s="4" t="s">
        <v>1941</v>
      </c>
      <c r="P878">
        <v>298</v>
      </c>
      <c r="Q878" s="4" t="s">
        <v>1049</v>
      </c>
      <c r="R878" s="289" t="s">
        <v>1988</v>
      </c>
      <c r="S878" s="4"/>
      <c r="T878" s="95">
        <v>1</v>
      </c>
      <c r="Y878">
        <v>1.6E-12</v>
      </c>
      <c r="Z878" s="95">
        <f t="shared" si="770"/>
        <v>-11.795880017344075</v>
      </c>
      <c r="AG878" s="138"/>
      <c r="BW878" s="138"/>
      <c r="DG878">
        <f t="shared" si="771"/>
        <v>-11.795880017344075</v>
      </c>
      <c r="DH878">
        <f t="shared" si="772"/>
        <v>108.14</v>
      </c>
      <c r="DJ878">
        <f t="shared" ref="DJ878" si="786">$H878</f>
        <v>108.14</v>
      </c>
      <c r="EY878" s="479">
        <f>VLOOKUP(B878,Literatuur!$A:$B,2,FALSE)</f>
        <v>3</v>
      </c>
      <c r="EZ878" t="str">
        <f t="shared" si="692"/>
        <v>Methoxybenzene</v>
      </c>
      <c r="FA878" t="str">
        <f t="shared" si="693"/>
        <v>O2</v>
      </c>
      <c r="FB878" t="str">
        <f t="shared" si="694"/>
        <v>HDPE</v>
      </c>
      <c r="FC878" t="str">
        <f t="shared" si="695"/>
        <v>DeSorption to air</v>
      </c>
      <c r="FD878">
        <f t="shared" si="696"/>
        <v>298</v>
      </c>
      <c r="FE878" t="str">
        <f t="shared" si="697"/>
        <v>water</v>
      </c>
      <c r="FF878" t="str">
        <f t="shared" si="698"/>
        <v xml:space="preserve">saturated </v>
      </c>
      <c r="FG878" s="408">
        <f t="shared" si="690"/>
        <v>1</v>
      </c>
      <c r="FH878" s="138" t="str">
        <f t="shared" si="699"/>
        <v/>
      </c>
      <c r="FI878" s="106" t="str">
        <f t="shared" si="691"/>
        <v>**</v>
      </c>
      <c r="FJ878" s="138">
        <f t="shared" si="700"/>
        <v>-11.795880017344075</v>
      </c>
      <c r="FK878" s="138" t="str">
        <f t="shared" si="783"/>
        <v>**</v>
      </c>
    </row>
    <row r="879" spans="1:167" ht="12.75" hidden="1" customHeight="1" x14ac:dyDescent="0.2">
      <c r="A879">
        <v>844</v>
      </c>
      <c r="B879" s="4" t="s">
        <v>1938</v>
      </c>
      <c r="C879" s="4"/>
      <c r="D879" s="4" t="s">
        <v>502</v>
      </c>
      <c r="E879" s="4">
        <v>-1529</v>
      </c>
      <c r="F879" t="str">
        <f>VLOOKUP(E879,CompDbase!B:L,4,FALSE)</f>
        <v>Methoxybenzene</v>
      </c>
      <c r="G879" s="95" t="str">
        <f>VLOOKUP(E879,CompDbase!B:M,12,FALSE)</f>
        <v>O2</v>
      </c>
      <c r="H879" s="95">
        <f>VLOOKUP(E879,CompDbase!B:L,8,FALSE)</f>
        <v>108.14</v>
      </c>
      <c r="I879" s="95">
        <f>VLOOKUP(E879,CompDbase!B:L,11,FALSE)</f>
        <v>109.3</v>
      </c>
      <c r="J879" s="95">
        <f>VLOOKUP(E879,CompDbase!B:L,9,FALSE)</f>
        <v>1741</v>
      </c>
      <c r="K879" s="95">
        <f>VLOOKUP(E879,CompDbase!B:L,10,FALSE)</f>
        <v>2.11</v>
      </c>
      <c r="L879" s="4" t="s">
        <v>717</v>
      </c>
      <c r="M879" s="423">
        <v>948000</v>
      </c>
      <c r="N879" s="423"/>
      <c r="O879" s="4" t="s">
        <v>1044</v>
      </c>
      <c r="P879">
        <v>298</v>
      </c>
      <c r="Q879" s="4" t="s">
        <v>1049</v>
      </c>
      <c r="R879" s="289" t="s">
        <v>1988</v>
      </c>
      <c r="S879" s="4"/>
      <c r="T879" s="289">
        <v>1</v>
      </c>
      <c r="V879">
        <v>0.06</v>
      </c>
      <c r="W879" s="95">
        <f>V879*M879/J879</f>
        <v>32.670878805284318</v>
      </c>
      <c r="X879" s="95">
        <f>LOG(W879)</f>
        <v>1.5141608166043787</v>
      </c>
      <c r="Y879">
        <v>2.0999999999999999E-12</v>
      </c>
      <c r="Z879" s="95">
        <f t="shared" si="770"/>
        <v>-11.67778070526608</v>
      </c>
      <c r="AA879" s="95">
        <f>W879*Y879</f>
        <v>6.860884549109706E-11</v>
      </c>
      <c r="AB879" s="95">
        <f>LOG(AA879)</f>
        <v>-10.163619888661701</v>
      </c>
      <c r="AC879" s="95"/>
      <c r="AD879" s="95"/>
      <c r="AG879" s="138">
        <f>X879</f>
        <v>1.5141608166043787</v>
      </c>
      <c r="AH879">
        <f>$K879</f>
        <v>2.11</v>
      </c>
      <c r="AI879">
        <f>$K879</f>
        <v>2.11</v>
      </c>
      <c r="AJ879" s="4"/>
      <c r="AN879">
        <f t="shared" ref="AN879" si="787">$K879</f>
        <v>2.11</v>
      </c>
      <c r="AQ879">
        <f t="shared" ref="AQ879" si="788">$K879</f>
        <v>2.11</v>
      </c>
      <c r="BW879" s="138"/>
      <c r="BX879">
        <f>LOG(1*$J879)</f>
        <v>3.2407987711173312</v>
      </c>
      <c r="BY879">
        <f>LOG(1*$J879)</f>
        <v>3.2407987711173312</v>
      </c>
      <c r="BZ879" s="4"/>
      <c r="CD879">
        <f>LOG(1*$J879)</f>
        <v>3.2407987711173312</v>
      </c>
      <c r="CG879">
        <f>LOG(1*$J879)</f>
        <v>3.2407987711173312</v>
      </c>
      <c r="DG879">
        <f t="shared" si="771"/>
        <v>-11.67778070526608</v>
      </c>
      <c r="DH879">
        <f t="shared" si="772"/>
        <v>108.14</v>
      </c>
      <c r="DI879">
        <f t="shared" si="772"/>
        <v>108.14</v>
      </c>
      <c r="DJ879" s="4"/>
      <c r="EY879" s="479">
        <f>VLOOKUP(B879,Literatuur!$A:$B,2,FALSE)</f>
        <v>3</v>
      </c>
      <c r="EZ879" t="str">
        <f t="shared" si="692"/>
        <v>Methoxybenzene</v>
      </c>
      <c r="FA879" t="str">
        <f t="shared" si="693"/>
        <v>O2</v>
      </c>
      <c r="FB879" t="str">
        <f t="shared" si="694"/>
        <v>HDPE</v>
      </c>
      <c r="FC879" t="str">
        <f t="shared" si="695"/>
        <v>Immersion</v>
      </c>
      <c r="FD879">
        <f t="shared" si="696"/>
        <v>298</v>
      </c>
      <c r="FE879" t="str">
        <f t="shared" si="697"/>
        <v>water</v>
      </c>
      <c r="FF879" t="str">
        <f t="shared" si="698"/>
        <v xml:space="preserve">saturated </v>
      </c>
      <c r="FG879" s="408">
        <f t="shared" ref="FG879:FG927" si="789">IF(ISNUMBER(T879),T879,"")</f>
        <v>1</v>
      </c>
      <c r="FH879" s="138">
        <f t="shared" si="699"/>
        <v>1.5141608166043787</v>
      </c>
      <c r="FI879" s="106">
        <f t="shared" ref="FI879:FI909" si="790">IF(ISNUMBER(AL879),AL879*AL$33+AL$35,IF(ISNUMBER(AM879),AM879*AM$33+AM$35,IF(ISNUMBER(AN879),AN879*AN$33+AN$35,"**")))</f>
        <v>-9.5958919622569638E-3</v>
      </c>
      <c r="FJ879" s="138">
        <f t="shared" si="700"/>
        <v>-11.67778070526608</v>
      </c>
      <c r="FK879" s="138" t="str">
        <f t="shared" si="783"/>
        <v>**</v>
      </c>
    </row>
    <row r="880" spans="1:167" ht="12.75" hidden="1" customHeight="1" x14ac:dyDescent="0.2">
      <c r="A880">
        <v>845</v>
      </c>
      <c r="B880" s="4" t="s">
        <v>1938</v>
      </c>
      <c r="C880" s="4"/>
      <c r="D880" s="4" t="s">
        <v>507</v>
      </c>
      <c r="E880" s="4">
        <v>1093</v>
      </c>
      <c r="F880" t="str">
        <f>VLOOKUP(E880,CompDbase!B:L,4,FALSE)</f>
        <v>2-Butanone</v>
      </c>
      <c r="G880" s="95" t="str">
        <f>VLOOKUP(E880,CompDbase!B:M,12,FALSE)</f>
        <v>O2</v>
      </c>
      <c r="H880" s="95">
        <f>VLOOKUP(E880,CompDbase!B:L,8,FALSE)</f>
        <v>72</v>
      </c>
      <c r="I880" s="95">
        <f>VLOOKUP(E880,CompDbase!B:L,11,FALSE)</f>
        <v>90.2</v>
      </c>
      <c r="J880" s="95">
        <f>VLOOKUP(E880,CompDbase!B:L,9,FALSE)</f>
        <v>352800</v>
      </c>
      <c r="K880" s="95">
        <f>VLOOKUP(E880,CompDbase!B:L,10,FALSE)</f>
        <v>0.27549999999999997</v>
      </c>
      <c r="L880" s="4" t="s">
        <v>717</v>
      </c>
      <c r="M880" s="423"/>
      <c r="N880" s="416">
        <v>948000</v>
      </c>
      <c r="O880" s="4" t="s">
        <v>1941</v>
      </c>
      <c r="P880">
        <v>298</v>
      </c>
      <c r="Q880" s="4" t="s">
        <v>1049</v>
      </c>
      <c r="R880" s="289" t="s">
        <v>1988</v>
      </c>
      <c r="S880" s="4"/>
      <c r="T880" s="95">
        <v>1</v>
      </c>
      <c r="Y880">
        <v>1.1E-12</v>
      </c>
      <c r="Z880" s="95">
        <f t="shared" si="770"/>
        <v>-11.958607314841775</v>
      </c>
      <c r="AG880" s="138"/>
      <c r="BW880" s="138"/>
      <c r="DG880">
        <f t="shared" si="771"/>
        <v>-11.958607314841775</v>
      </c>
      <c r="DH880">
        <f t="shared" si="772"/>
        <v>72</v>
      </c>
      <c r="DJ880">
        <f t="shared" ref="DJ880" si="791">$H880</f>
        <v>72</v>
      </c>
      <c r="EY880" s="479">
        <f>VLOOKUP(B880,Literatuur!$A:$B,2,FALSE)</f>
        <v>3</v>
      </c>
      <c r="EZ880" t="str">
        <f t="shared" ref="EZ880:EZ927" si="792">D880</f>
        <v>Methyl Ethyl Ketone</v>
      </c>
      <c r="FA880" t="str">
        <f t="shared" ref="FA880:FA927" si="793">G880</f>
        <v>O2</v>
      </c>
      <c r="FB880" t="str">
        <f t="shared" ref="FB880:FB927" si="794">L880</f>
        <v>HDPE</v>
      </c>
      <c r="FC880" t="str">
        <f t="shared" ref="FC880:FC927" si="795">CONCATENATE(O880)</f>
        <v>DeSorption to air</v>
      </c>
      <c r="FD880">
        <f t="shared" ref="FD880:FD927" si="796">P880</f>
        <v>298</v>
      </c>
      <c r="FE880" t="str">
        <f t="shared" ref="FE880:FE927" si="797">Q880</f>
        <v>water</v>
      </c>
      <c r="FF880" t="str">
        <f t="shared" ref="FF880:FF927" si="798">CONCATENATE(R880," ",S880)</f>
        <v xml:space="preserve">saturated </v>
      </c>
      <c r="FG880" s="408">
        <f t="shared" si="789"/>
        <v>1</v>
      </c>
      <c r="FH880" s="138" t="str">
        <f t="shared" ref="FH880:FH927" si="799">IF(ISNUMBER(X880),X880,"")</f>
        <v/>
      </c>
      <c r="FI880" s="106" t="str">
        <f t="shared" si="790"/>
        <v>**</v>
      </c>
      <c r="FJ880" s="138">
        <f t="shared" ref="FJ880:FJ927" si="800">IF(ISNUMBER(Z880),Z880,"")</f>
        <v>-11.958607314841775</v>
      </c>
      <c r="FK880" s="138" t="str">
        <f t="shared" si="783"/>
        <v>**</v>
      </c>
    </row>
    <row r="881" spans="1:167" ht="12.75" hidden="1" customHeight="1" x14ac:dyDescent="0.2">
      <c r="A881">
        <v>846</v>
      </c>
      <c r="B881" s="4" t="s">
        <v>1938</v>
      </c>
      <c r="C881" s="4"/>
      <c r="D881" s="4" t="s">
        <v>507</v>
      </c>
      <c r="E881" s="4">
        <v>1093</v>
      </c>
      <c r="F881" t="str">
        <f>VLOOKUP(E881,CompDbase!B:L,4,FALSE)</f>
        <v>2-Butanone</v>
      </c>
      <c r="G881" s="95" t="str">
        <f>VLOOKUP(E881,CompDbase!B:M,12,FALSE)</f>
        <v>O2</v>
      </c>
      <c r="H881" s="95">
        <f>VLOOKUP(E881,CompDbase!B:L,8,FALSE)</f>
        <v>72</v>
      </c>
      <c r="I881" s="95">
        <f>VLOOKUP(E881,CompDbase!B:L,11,FALSE)</f>
        <v>90.2</v>
      </c>
      <c r="J881" s="95">
        <f>VLOOKUP(E881,CompDbase!B:L,9,FALSE)</f>
        <v>352800</v>
      </c>
      <c r="K881" s="95">
        <f>VLOOKUP(E881,CompDbase!B:L,10,FALSE)</f>
        <v>0.27549999999999997</v>
      </c>
      <c r="L881" s="4" t="s">
        <v>717</v>
      </c>
      <c r="M881" s="423">
        <v>948000</v>
      </c>
      <c r="N881" s="423"/>
      <c r="O881" s="4" t="s">
        <v>1044</v>
      </c>
      <c r="P881">
        <v>298</v>
      </c>
      <c r="Q881" s="4" t="s">
        <v>1049</v>
      </c>
      <c r="R881" s="289" t="s">
        <v>1988</v>
      </c>
      <c r="S881" s="4"/>
      <c r="T881" s="289">
        <v>1</v>
      </c>
      <c r="V881">
        <v>0.03</v>
      </c>
      <c r="W881" s="95">
        <f>V881*M881/J881</f>
        <v>8.0612244897959179E-2</v>
      </c>
      <c r="X881" s="95">
        <f>LOG(W881)</f>
        <v>-1.0935989844020535</v>
      </c>
      <c r="Y881">
        <v>1.9E-12</v>
      </c>
      <c r="Z881" s="95">
        <f t="shared" si="770"/>
        <v>-11.721246399047171</v>
      </c>
      <c r="AA881" s="95">
        <f>W881*Y881</f>
        <v>1.5316326530612245E-13</v>
      </c>
      <c r="AB881" s="95">
        <f>LOG(AA881)</f>
        <v>-12.814845383449224</v>
      </c>
      <c r="AC881" s="95"/>
      <c r="AD881" s="95"/>
      <c r="AG881" s="138">
        <f>X881</f>
        <v>-1.0935989844020535</v>
      </c>
      <c r="AH881">
        <f>$K881</f>
        <v>0.27549999999999997</v>
      </c>
      <c r="AI881">
        <f>$K881</f>
        <v>0.27549999999999997</v>
      </c>
      <c r="AN881">
        <f t="shared" ref="AN881" si="801">$K881</f>
        <v>0.27549999999999997</v>
      </c>
      <c r="AQ881">
        <f t="shared" ref="AQ881" si="802">$K881</f>
        <v>0.27549999999999997</v>
      </c>
      <c r="BW881" s="138"/>
      <c r="BX881">
        <f>LOG(1*$J881)</f>
        <v>5.5475285764597819</v>
      </c>
      <c r="BY881">
        <f>LOG(1*$J881)</f>
        <v>5.5475285764597819</v>
      </c>
      <c r="CD881">
        <f>LOG(1*$J881)</f>
        <v>5.5475285764597819</v>
      </c>
      <c r="CG881">
        <f>LOG(1*$J881)</f>
        <v>5.5475285764597819</v>
      </c>
      <c r="DG881">
        <f t="shared" si="771"/>
        <v>-11.721246399047171</v>
      </c>
      <c r="DH881">
        <f t="shared" si="772"/>
        <v>72</v>
      </c>
      <c r="DI881">
        <f t="shared" si="772"/>
        <v>72</v>
      </c>
      <c r="EY881" s="479">
        <f>VLOOKUP(B881,Literatuur!$A:$B,2,FALSE)</f>
        <v>3</v>
      </c>
      <c r="EZ881" t="str">
        <f t="shared" si="792"/>
        <v>Methyl Ethyl Ketone</v>
      </c>
      <c r="FA881" t="str">
        <f t="shared" si="793"/>
        <v>O2</v>
      </c>
      <c r="FB881" t="str">
        <f t="shared" si="794"/>
        <v>HDPE</v>
      </c>
      <c r="FC881" t="str">
        <f t="shared" si="795"/>
        <v>Immersion</v>
      </c>
      <c r="FD881">
        <f t="shared" si="796"/>
        <v>298</v>
      </c>
      <c r="FE881" t="str">
        <f t="shared" si="797"/>
        <v>water</v>
      </c>
      <c r="FF881" t="str">
        <f t="shared" si="798"/>
        <v xml:space="preserve">saturated </v>
      </c>
      <c r="FG881" s="408">
        <f t="shared" si="789"/>
        <v>1</v>
      </c>
      <c r="FH881" s="138">
        <f t="shared" si="799"/>
        <v>-1.0935989844020535</v>
      </c>
      <c r="FI881" s="106">
        <f t="shared" si="790"/>
        <v>-2.2673770725638143</v>
      </c>
      <c r="FJ881" s="138">
        <f t="shared" si="800"/>
        <v>-11.721246399047171</v>
      </c>
      <c r="FK881" s="138" t="str">
        <f t="shared" si="783"/>
        <v>**</v>
      </c>
    </row>
    <row r="882" spans="1:167" ht="12.75" hidden="1" customHeight="1" x14ac:dyDescent="0.2">
      <c r="A882">
        <v>847</v>
      </c>
      <c r="B882" s="4" t="s">
        <v>1938</v>
      </c>
      <c r="C882" s="4"/>
      <c r="D882" s="4" t="s">
        <v>508</v>
      </c>
      <c r="E882" s="4">
        <v>-1532</v>
      </c>
      <c r="F882" t="str">
        <f>VLOOKUP(E882,CompDbase!B:L,4,FALSE)</f>
        <v>Methyl isobutyl ketone (MIBK)</v>
      </c>
      <c r="G882" s="95" t="str">
        <f>VLOOKUP(E882,CompDbase!B:M,12,FALSE)</f>
        <v>O2</v>
      </c>
      <c r="H882" s="95">
        <f>VLOOKUP(E882,CompDbase!B:L,8,FALSE)</f>
        <v>100.16</v>
      </c>
      <c r="I882" s="95">
        <f>VLOOKUP(E882,CompDbase!B:L,11,FALSE)</f>
        <v>125.8</v>
      </c>
      <c r="J882" s="95">
        <f>VLOOKUP(E882,CompDbase!B:L,9,FALSE)</f>
        <v>19000</v>
      </c>
      <c r="K882" s="95">
        <f>VLOOKUP(E882,CompDbase!B:L,10,FALSE)</f>
        <v>1.31</v>
      </c>
      <c r="L882" s="4" t="s">
        <v>717</v>
      </c>
      <c r="M882" s="423"/>
      <c r="N882" s="423">
        <v>948000</v>
      </c>
      <c r="O882" s="4" t="s">
        <v>1941</v>
      </c>
      <c r="P882">
        <v>298</v>
      </c>
      <c r="Q882" s="4" t="s">
        <v>1049</v>
      </c>
      <c r="R882" s="289" t="s">
        <v>1988</v>
      </c>
      <c r="S882" s="4"/>
      <c r="T882" s="95">
        <v>1</v>
      </c>
      <c r="Y882">
        <v>4.9999999999999999E-13</v>
      </c>
      <c r="Z882" s="95">
        <f t="shared" si="770"/>
        <v>-12.301029995663981</v>
      </c>
      <c r="AG882" s="138"/>
      <c r="BW882" s="138"/>
      <c r="DG882">
        <f t="shared" si="771"/>
        <v>-12.301029995663981</v>
      </c>
      <c r="DH882">
        <f t="shared" si="772"/>
        <v>100.16</v>
      </c>
      <c r="DJ882">
        <f t="shared" ref="DJ882" si="803">$H882</f>
        <v>100.16</v>
      </c>
      <c r="EY882" s="479">
        <f>VLOOKUP(B882,Literatuur!$A:$B,2,FALSE)</f>
        <v>3</v>
      </c>
      <c r="EZ882" t="str">
        <f t="shared" si="792"/>
        <v>Methyl iso-Buthyl Ketone</v>
      </c>
      <c r="FA882" t="str">
        <f t="shared" si="793"/>
        <v>O2</v>
      </c>
      <c r="FB882" t="str">
        <f t="shared" si="794"/>
        <v>HDPE</v>
      </c>
      <c r="FC882" t="str">
        <f t="shared" si="795"/>
        <v>DeSorption to air</v>
      </c>
      <c r="FD882">
        <f t="shared" si="796"/>
        <v>298</v>
      </c>
      <c r="FE882" t="str">
        <f t="shared" si="797"/>
        <v>water</v>
      </c>
      <c r="FF882" t="str">
        <f t="shared" si="798"/>
        <v xml:space="preserve">saturated </v>
      </c>
      <c r="FG882" s="408">
        <f t="shared" si="789"/>
        <v>1</v>
      </c>
      <c r="FH882" s="138" t="str">
        <f t="shared" si="799"/>
        <v/>
      </c>
      <c r="FI882" s="106" t="str">
        <f t="shared" si="790"/>
        <v>**</v>
      </c>
      <c r="FJ882" s="138">
        <f t="shared" si="800"/>
        <v>-12.301029995663981</v>
      </c>
      <c r="FK882" s="138" t="str">
        <f t="shared" si="783"/>
        <v>**</v>
      </c>
    </row>
    <row r="883" spans="1:167" ht="12.75" hidden="1" customHeight="1" x14ac:dyDescent="0.2">
      <c r="A883">
        <v>848</v>
      </c>
      <c r="B883" s="4" t="s">
        <v>1938</v>
      </c>
      <c r="C883" s="4"/>
      <c r="D883" s="4" t="s">
        <v>508</v>
      </c>
      <c r="E883" s="4">
        <v>-1532</v>
      </c>
      <c r="F883" t="str">
        <f>VLOOKUP(E883,CompDbase!B:L,4,FALSE)</f>
        <v>Methyl isobutyl ketone (MIBK)</v>
      </c>
      <c r="G883" s="95" t="str">
        <f>VLOOKUP(E883,CompDbase!B:M,12,FALSE)</f>
        <v>O2</v>
      </c>
      <c r="H883" s="95">
        <f>VLOOKUP(E883,CompDbase!B:L,8,FALSE)</f>
        <v>100.16</v>
      </c>
      <c r="I883" s="95">
        <f>VLOOKUP(E883,CompDbase!B:L,11,FALSE)</f>
        <v>125.8</v>
      </c>
      <c r="J883" s="95">
        <f>VLOOKUP(E883,CompDbase!B:L,9,FALSE)</f>
        <v>19000</v>
      </c>
      <c r="K883" s="95">
        <f>VLOOKUP(E883,CompDbase!B:L,10,FALSE)</f>
        <v>1.31</v>
      </c>
      <c r="L883" s="4" t="s">
        <v>717</v>
      </c>
      <c r="M883" s="423">
        <v>948000</v>
      </c>
      <c r="N883" s="423"/>
      <c r="O883" s="4" t="s">
        <v>1044</v>
      </c>
      <c r="P883">
        <v>298</v>
      </c>
      <c r="Q883" s="4" t="s">
        <v>1049</v>
      </c>
      <c r="R883" s="289" t="s">
        <v>1988</v>
      </c>
      <c r="S883" s="4"/>
      <c r="T883" s="289">
        <v>1</v>
      </c>
      <c r="V883">
        <v>0.03</v>
      </c>
      <c r="W883" s="95">
        <f>V883*M883/J883</f>
        <v>1.496842105263158</v>
      </c>
      <c r="X883" s="95">
        <f>LOG(W883)</f>
        <v>0.17517599110489976</v>
      </c>
      <c r="Y883">
        <v>7.0000000000000005E-13</v>
      </c>
      <c r="Z883" s="95">
        <f t="shared" si="770"/>
        <v>-12.154901959985743</v>
      </c>
      <c r="AA883" s="95">
        <f>W883*Y883</f>
        <v>1.0477894736842107E-12</v>
      </c>
      <c r="AB883" s="95">
        <f>LOG(AA883)</f>
        <v>-11.979725968880844</v>
      </c>
      <c r="AC883" s="95"/>
      <c r="AD883" s="95"/>
      <c r="AG883" s="138">
        <f>X883</f>
        <v>0.17517599110489976</v>
      </c>
      <c r="AH883">
        <f>$K883</f>
        <v>1.31</v>
      </c>
      <c r="AI883">
        <f>$K883</f>
        <v>1.31</v>
      </c>
      <c r="AJ883" s="4"/>
      <c r="AN883">
        <f t="shared" ref="AN883" si="804">$K883</f>
        <v>1.31</v>
      </c>
      <c r="AQ883">
        <f t="shared" ref="AQ883" si="805">$K883</f>
        <v>1.31</v>
      </c>
      <c r="BW883" s="138"/>
      <c r="BX883">
        <f>LOG(1*$J883)</f>
        <v>4.2787536009528289</v>
      </c>
      <c r="BY883">
        <f>LOG(1*$J883)</f>
        <v>4.2787536009528289</v>
      </c>
      <c r="BZ883" s="4"/>
      <c r="CD883">
        <f>LOG(1*$J883)</f>
        <v>4.2787536009528289</v>
      </c>
      <c r="CG883">
        <f>LOG(1*$J883)</f>
        <v>4.2787536009528289</v>
      </c>
      <c r="DG883">
        <f t="shared" si="771"/>
        <v>-12.154901959985743</v>
      </c>
      <c r="DH883">
        <f t="shared" si="772"/>
        <v>100.16</v>
      </c>
      <c r="DI883">
        <f t="shared" si="772"/>
        <v>100.16</v>
      </c>
      <c r="DJ883" s="4"/>
      <c r="EY883" s="479">
        <f>VLOOKUP(B883,Literatuur!$A:$B,2,FALSE)</f>
        <v>3</v>
      </c>
      <c r="EZ883" t="str">
        <f t="shared" si="792"/>
        <v>Methyl iso-Buthyl Ketone</v>
      </c>
      <c r="FA883" t="str">
        <f t="shared" si="793"/>
        <v>O2</v>
      </c>
      <c r="FB883" t="str">
        <f t="shared" si="794"/>
        <v>HDPE</v>
      </c>
      <c r="FC883" t="str">
        <f t="shared" si="795"/>
        <v>Immersion</v>
      </c>
      <c r="FD883">
        <f t="shared" si="796"/>
        <v>298</v>
      </c>
      <c r="FE883" t="str">
        <f t="shared" si="797"/>
        <v>water</v>
      </c>
      <c r="FF883" t="str">
        <f t="shared" si="798"/>
        <v xml:space="preserve">saturated </v>
      </c>
      <c r="FG883" s="408">
        <f t="shared" si="789"/>
        <v>1</v>
      </c>
      <c r="FH883" s="138">
        <f t="shared" si="799"/>
        <v>0.17517599110489976</v>
      </c>
      <c r="FI883" s="106">
        <f t="shared" si="790"/>
        <v>-0.9941829426470461</v>
      </c>
      <c r="FJ883" s="138">
        <f t="shared" si="800"/>
        <v>-12.154901959985743</v>
      </c>
      <c r="FK883" s="138" t="str">
        <f t="shared" si="783"/>
        <v>**</v>
      </c>
    </row>
    <row r="884" spans="1:167" ht="12.75" hidden="1" customHeight="1" x14ac:dyDescent="0.2">
      <c r="A884">
        <v>849</v>
      </c>
      <c r="B884" s="4" t="s">
        <v>1226</v>
      </c>
      <c r="C884" s="4"/>
      <c r="D884" s="4" t="s">
        <v>465</v>
      </c>
      <c r="E884">
        <v>-1519</v>
      </c>
      <c r="F884" t="str">
        <f>VLOOKUP(E884,CompDbase!B:L,4,FALSE)</f>
        <v>1-Pentanol</v>
      </c>
      <c r="G884" s="95" t="str">
        <f>VLOOKUP(E884,CompDbase!B:M,12,FALSE)</f>
        <v>O2</v>
      </c>
      <c r="H884" s="95">
        <f>VLOOKUP(E884,CompDbase!B:L,8,FALSE)</f>
        <v>88.15</v>
      </c>
      <c r="I884" s="95" t="e">
        <f>VLOOKUP(E884,CompDbase!B:L,11,FALSE)</f>
        <v>#DIV/0!</v>
      </c>
      <c r="J884" s="95">
        <f>VLOOKUP(E884,CompDbase!B:L,9,FALSE)</f>
        <v>22000</v>
      </c>
      <c r="K884" s="95">
        <f>VLOOKUP(E884,CompDbase!B:L,10,FALSE)</f>
        <v>1.51</v>
      </c>
      <c r="L884" s="4" t="s">
        <v>717</v>
      </c>
      <c r="M884" s="423"/>
      <c r="N884" s="423"/>
      <c r="O884" s="4"/>
      <c r="P884">
        <v>298</v>
      </c>
      <c r="Q884" s="4" t="s">
        <v>1049</v>
      </c>
      <c r="S884" s="4"/>
      <c r="Y884">
        <v>2.9300000000000001E-13</v>
      </c>
      <c r="Z884" s="95">
        <f t="shared" si="770"/>
        <v>-12.53313237964589</v>
      </c>
      <c r="AG884" s="138"/>
      <c r="BW884" s="138"/>
      <c r="DG884">
        <f t="shared" si="771"/>
        <v>-12.53313237964589</v>
      </c>
      <c r="DH884">
        <f t="shared" si="772"/>
        <v>88.15</v>
      </c>
      <c r="EY884" s="479">
        <f>VLOOKUP(B884,Literatuur!$A:$B,2,FALSE)</f>
        <v>12</v>
      </c>
      <c r="EZ884" t="str">
        <f t="shared" si="792"/>
        <v>1-Pentanol</v>
      </c>
      <c r="FA884" t="str">
        <f t="shared" si="793"/>
        <v>O2</v>
      </c>
      <c r="FB884" t="str">
        <f t="shared" si="794"/>
        <v>HDPE</v>
      </c>
      <c r="FC884" t="str">
        <f t="shared" si="795"/>
        <v/>
      </c>
      <c r="FD884">
        <f t="shared" si="796"/>
        <v>298</v>
      </c>
      <c r="FE884" t="str">
        <f t="shared" si="797"/>
        <v>water</v>
      </c>
      <c r="FF884" t="str">
        <f t="shared" si="798"/>
        <v xml:space="preserve"> </v>
      </c>
      <c r="FG884" s="408" t="str">
        <f t="shared" si="789"/>
        <v/>
      </c>
      <c r="FH884" s="138" t="str">
        <f t="shared" si="799"/>
        <v/>
      </c>
      <c r="FI884" s="106" t="str">
        <f t="shared" si="790"/>
        <v>**</v>
      </c>
      <c r="FJ884" s="138">
        <f t="shared" si="800"/>
        <v>-12.53313237964589</v>
      </c>
      <c r="FK884" s="138" t="str">
        <f t="shared" si="783"/>
        <v>**</v>
      </c>
    </row>
    <row r="885" spans="1:167" ht="12.75" hidden="1" customHeight="1" x14ac:dyDescent="0.2">
      <c r="A885">
        <v>850</v>
      </c>
      <c r="B885" s="4" t="s">
        <v>1226</v>
      </c>
      <c r="C885" s="4"/>
      <c r="D885" s="4" t="s">
        <v>467</v>
      </c>
      <c r="E885">
        <v>-1520</v>
      </c>
      <c r="F885" t="str">
        <f>VLOOKUP(E885,CompDbase!B:L,4,FALSE)</f>
        <v>2-Pentanol</v>
      </c>
      <c r="G885" s="95" t="str">
        <f>VLOOKUP(E885,CompDbase!B:M,12,FALSE)</f>
        <v>O2</v>
      </c>
      <c r="H885" s="95">
        <f>VLOOKUP(E885,CompDbase!B:L,8,FALSE)</f>
        <v>88.15</v>
      </c>
      <c r="I885" s="95" t="e">
        <f>VLOOKUP(E885,CompDbase!B:L,11,FALSE)</f>
        <v>#DIV/0!</v>
      </c>
      <c r="J885" s="95">
        <f>VLOOKUP(E885,CompDbase!B:L,9,FALSE)</f>
        <v>166000</v>
      </c>
      <c r="K885" s="95">
        <f>VLOOKUP(E885,CompDbase!B:L,10,FALSE)</f>
        <v>1.25</v>
      </c>
      <c r="L885" s="4" t="s">
        <v>717</v>
      </c>
      <c r="O885" s="4"/>
      <c r="P885">
        <v>298</v>
      </c>
      <c r="Q885" s="4" t="s">
        <v>1049</v>
      </c>
      <c r="S885" s="4"/>
      <c r="Y885">
        <v>2.5300000000000003E-13</v>
      </c>
      <c r="Z885" s="95">
        <f t="shared" si="770"/>
        <v>-12.596879478824182</v>
      </c>
      <c r="AG885" s="138"/>
      <c r="BW885" s="138"/>
      <c r="DG885">
        <f t="shared" si="771"/>
        <v>-12.596879478824182</v>
      </c>
      <c r="DH885">
        <f t="shared" si="772"/>
        <v>88.15</v>
      </c>
      <c r="EY885" s="479">
        <f>VLOOKUP(B885,Literatuur!$A:$B,2,FALSE)</f>
        <v>12</v>
      </c>
      <c r="EZ885" t="str">
        <f t="shared" si="792"/>
        <v>2-Pentanol</v>
      </c>
      <c r="FA885" t="str">
        <f t="shared" si="793"/>
        <v>O2</v>
      </c>
      <c r="FB885" t="str">
        <f t="shared" si="794"/>
        <v>HDPE</v>
      </c>
      <c r="FC885" t="str">
        <f t="shared" si="795"/>
        <v/>
      </c>
      <c r="FD885">
        <f t="shared" si="796"/>
        <v>298</v>
      </c>
      <c r="FE885" t="str">
        <f t="shared" si="797"/>
        <v>water</v>
      </c>
      <c r="FF885" t="str">
        <f t="shared" si="798"/>
        <v xml:space="preserve"> </v>
      </c>
      <c r="FG885" s="408" t="str">
        <f t="shared" si="789"/>
        <v/>
      </c>
      <c r="FH885" s="138" t="str">
        <f t="shared" si="799"/>
        <v/>
      </c>
      <c r="FI885" s="106" t="str">
        <f t="shared" si="790"/>
        <v>**</v>
      </c>
      <c r="FJ885" s="138">
        <f t="shared" si="800"/>
        <v>-12.596879478824182</v>
      </c>
      <c r="FK885" s="138" t="str">
        <f t="shared" si="783"/>
        <v>**</v>
      </c>
    </row>
    <row r="886" spans="1:167" ht="12.75" hidden="1" customHeight="1" x14ac:dyDescent="0.2">
      <c r="A886">
        <v>851</v>
      </c>
      <c r="B886" s="4" t="s">
        <v>1226</v>
      </c>
      <c r="C886" s="4"/>
      <c r="D886" s="4" t="s">
        <v>851</v>
      </c>
      <c r="E886">
        <v>-1512</v>
      </c>
      <c r="F886" t="str">
        <f>VLOOKUP(E886,CompDbase!B:L,4,FALSE)</f>
        <v xml:space="preserve">Butylalcohol </v>
      </c>
      <c r="G886" s="95" t="str">
        <f>VLOOKUP(E886,CompDbase!B:M,12,FALSE)</f>
        <v>O2</v>
      </c>
      <c r="H886" s="95">
        <f>VLOOKUP(E886,CompDbase!B:L,8,FALSE)</f>
        <v>74.12</v>
      </c>
      <c r="I886" s="95" t="e">
        <f>VLOOKUP(E886,CompDbase!B:L,11,FALSE)</f>
        <v>#DIV/0!</v>
      </c>
      <c r="J886" s="95">
        <f>VLOOKUP(E886,CompDbase!B:L,9,FALSE)</f>
        <v>77000</v>
      </c>
      <c r="K886" s="95">
        <f>VLOOKUP(E886,CompDbase!B:L,10,FALSE)</f>
        <v>0.84</v>
      </c>
      <c r="L886" s="4" t="s">
        <v>717</v>
      </c>
      <c r="O886" s="4"/>
      <c r="P886">
        <v>298</v>
      </c>
      <c r="Q886" s="4" t="s">
        <v>1049</v>
      </c>
      <c r="S886" s="4"/>
      <c r="Y886">
        <v>3.5899999999999998E-13</v>
      </c>
      <c r="Z886" s="95">
        <f t="shared" si="770"/>
        <v>-12.44490555142168</v>
      </c>
      <c r="AG886" s="138"/>
      <c r="BW886" s="138"/>
      <c r="DG886">
        <f t="shared" si="771"/>
        <v>-12.44490555142168</v>
      </c>
      <c r="DH886">
        <f t="shared" si="772"/>
        <v>74.12</v>
      </c>
      <c r="EY886" s="479">
        <f>VLOOKUP(B886,Literatuur!$A:$B,2,FALSE)</f>
        <v>12</v>
      </c>
      <c r="EZ886" t="str">
        <f t="shared" si="792"/>
        <v>Butanol</v>
      </c>
      <c r="FA886" t="str">
        <f t="shared" si="793"/>
        <v>O2</v>
      </c>
      <c r="FB886" t="str">
        <f t="shared" si="794"/>
        <v>HDPE</v>
      </c>
      <c r="FC886" t="str">
        <f t="shared" si="795"/>
        <v/>
      </c>
      <c r="FD886">
        <f t="shared" si="796"/>
        <v>298</v>
      </c>
      <c r="FE886" t="str">
        <f t="shared" si="797"/>
        <v>water</v>
      </c>
      <c r="FF886" t="str">
        <f t="shared" si="798"/>
        <v xml:space="preserve"> </v>
      </c>
      <c r="FG886" s="408" t="str">
        <f t="shared" si="789"/>
        <v/>
      </c>
      <c r="FH886" s="138" t="str">
        <f t="shared" si="799"/>
        <v/>
      </c>
      <c r="FI886" s="106" t="str">
        <f t="shared" si="790"/>
        <v>**</v>
      </c>
      <c r="FJ886" s="138">
        <f t="shared" si="800"/>
        <v>-12.44490555142168</v>
      </c>
      <c r="FK886" s="138" t="str">
        <f t="shared" si="783"/>
        <v>**</v>
      </c>
    </row>
    <row r="887" spans="1:167" ht="12.75" hidden="1" customHeight="1" x14ac:dyDescent="0.2">
      <c r="A887">
        <v>852</v>
      </c>
      <c r="B887" s="4" t="s">
        <v>1226</v>
      </c>
      <c r="C887" s="4"/>
      <c r="D887" s="4" t="s">
        <v>452</v>
      </c>
      <c r="E887">
        <v>-1512</v>
      </c>
      <c r="F887" t="str">
        <f>VLOOKUP(E887,CompDbase!B:L,4,FALSE)</f>
        <v xml:space="preserve">Butylalcohol </v>
      </c>
      <c r="G887" s="95" t="str">
        <f>VLOOKUP(E887,CompDbase!B:M,12,FALSE)</f>
        <v>O2</v>
      </c>
      <c r="H887" s="95">
        <f>VLOOKUP(E887,CompDbase!B:L,8,FALSE)</f>
        <v>74.12</v>
      </c>
      <c r="I887" s="95" t="e">
        <f>VLOOKUP(E887,CompDbase!B:L,11,FALSE)</f>
        <v>#DIV/0!</v>
      </c>
      <c r="J887" s="95">
        <f>VLOOKUP(E887,CompDbase!B:L,9,FALSE)</f>
        <v>77000</v>
      </c>
      <c r="K887" s="95">
        <f>VLOOKUP(E887,CompDbase!B:L,10,FALSE)</f>
        <v>0.84</v>
      </c>
      <c r="L887" s="4" t="s">
        <v>717</v>
      </c>
      <c r="O887" s="4"/>
      <c r="P887">
        <v>298</v>
      </c>
      <c r="Q887" s="4" t="s">
        <v>1049</v>
      </c>
      <c r="S887" s="4"/>
      <c r="Y887">
        <v>4.7999999999999997E-13</v>
      </c>
      <c r="Z887" s="95">
        <f t="shared" si="770"/>
        <v>-12.318758762624412</v>
      </c>
      <c r="AG887" s="138"/>
      <c r="BW887" s="138"/>
      <c r="DG887">
        <f t="shared" si="771"/>
        <v>-12.318758762624412</v>
      </c>
      <c r="DH887">
        <f t="shared" si="772"/>
        <v>74.12</v>
      </c>
      <c r="EY887" s="479">
        <f>VLOOKUP(B887,Literatuur!$A:$B,2,FALSE)</f>
        <v>12</v>
      </c>
      <c r="EZ887" t="str">
        <f t="shared" si="792"/>
        <v>Butylalcohol</v>
      </c>
      <c r="FA887" t="str">
        <f t="shared" si="793"/>
        <v>O2</v>
      </c>
      <c r="FB887" t="str">
        <f t="shared" si="794"/>
        <v>HDPE</v>
      </c>
      <c r="FC887" t="str">
        <f t="shared" si="795"/>
        <v/>
      </c>
      <c r="FD887">
        <f t="shared" si="796"/>
        <v>298</v>
      </c>
      <c r="FE887" t="str">
        <f t="shared" si="797"/>
        <v>water</v>
      </c>
      <c r="FF887" t="str">
        <f t="shared" si="798"/>
        <v xml:space="preserve"> </v>
      </c>
      <c r="FG887" s="408" t="str">
        <f t="shared" si="789"/>
        <v/>
      </c>
      <c r="FH887" s="138" t="str">
        <f t="shared" si="799"/>
        <v/>
      </c>
      <c r="FI887" s="106" t="str">
        <f t="shared" si="790"/>
        <v>**</v>
      </c>
      <c r="FJ887" s="138">
        <f t="shared" si="800"/>
        <v>-12.318758762624412</v>
      </c>
      <c r="FK887" s="138" t="str">
        <f t="shared" si="783"/>
        <v>**</v>
      </c>
    </row>
    <row r="888" spans="1:167" ht="12.75" hidden="1" customHeight="1" x14ac:dyDescent="0.2">
      <c r="A888">
        <v>853</v>
      </c>
      <c r="B888" s="4" t="s">
        <v>1226</v>
      </c>
      <c r="C888" s="4"/>
      <c r="D888" s="4" t="s">
        <v>452</v>
      </c>
      <c r="E888">
        <v>-1512</v>
      </c>
      <c r="F888" t="str">
        <f>VLOOKUP(E888,CompDbase!B:L,4,FALSE)</f>
        <v xml:space="preserve">Butylalcohol </v>
      </c>
      <c r="G888" s="95" t="str">
        <f>VLOOKUP(E888,CompDbase!B:M,12,FALSE)</f>
        <v>O2</v>
      </c>
      <c r="H888" s="95">
        <f>VLOOKUP(E888,CompDbase!B:L,8,FALSE)</f>
        <v>74.12</v>
      </c>
      <c r="I888" s="95" t="e">
        <f>VLOOKUP(E888,CompDbase!B:L,11,FALSE)</f>
        <v>#DIV/0!</v>
      </c>
      <c r="J888" s="95">
        <f>VLOOKUP(E888,CompDbase!B:L,9,FALSE)</f>
        <v>77000</v>
      </c>
      <c r="K888" s="95">
        <f>VLOOKUP(E888,CompDbase!B:L,10,FALSE)</f>
        <v>0.84</v>
      </c>
      <c r="L888" s="4" t="s">
        <v>717</v>
      </c>
      <c r="O888" s="4"/>
      <c r="P888">
        <v>298</v>
      </c>
      <c r="Q888" s="4" t="s">
        <v>1049</v>
      </c>
      <c r="S888" s="4"/>
      <c r="Y888">
        <v>2.4999999999999999E-13</v>
      </c>
      <c r="Z888" s="95">
        <f t="shared" si="770"/>
        <v>-12.602059991327963</v>
      </c>
      <c r="AG888" s="138"/>
      <c r="BW888" s="138"/>
      <c r="DG888">
        <f t="shared" si="771"/>
        <v>-12.602059991327963</v>
      </c>
      <c r="DH888">
        <f t="shared" si="772"/>
        <v>74.12</v>
      </c>
      <c r="EY888" s="479">
        <f>VLOOKUP(B888,Literatuur!$A:$B,2,FALSE)</f>
        <v>12</v>
      </c>
      <c r="EZ888" t="str">
        <f t="shared" si="792"/>
        <v>Butylalcohol</v>
      </c>
      <c r="FA888" t="str">
        <f t="shared" si="793"/>
        <v>O2</v>
      </c>
      <c r="FB888" t="str">
        <f t="shared" si="794"/>
        <v>HDPE</v>
      </c>
      <c r="FC888" t="str">
        <f t="shared" si="795"/>
        <v/>
      </c>
      <c r="FD888">
        <f t="shared" si="796"/>
        <v>298</v>
      </c>
      <c r="FE888" t="str">
        <f t="shared" si="797"/>
        <v>water</v>
      </c>
      <c r="FF888" t="str">
        <f t="shared" si="798"/>
        <v xml:space="preserve"> </v>
      </c>
      <c r="FG888" s="408" t="str">
        <f t="shared" si="789"/>
        <v/>
      </c>
      <c r="FH888" s="138" t="str">
        <f t="shared" si="799"/>
        <v/>
      </c>
      <c r="FI888" s="106" t="str">
        <f t="shared" si="790"/>
        <v>**</v>
      </c>
      <c r="FJ888" s="138">
        <f t="shared" si="800"/>
        <v>-12.602059991327963</v>
      </c>
      <c r="FK888" s="138" t="str">
        <f t="shared" si="783"/>
        <v>**</v>
      </c>
    </row>
    <row r="889" spans="1:167" ht="12.75" hidden="1" customHeight="1" x14ac:dyDescent="0.2">
      <c r="A889">
        <v>854</v>
      </c>
      <c r="B889" s="4" t="s">
        <v>1226</v>
      </c>
      <c r="C889" s="4"/>
      <c r="D889" s="4" t="s">
        <v>463</v>
      </c>
      <c r="E889">
        <v>11143</v>
      </c>
      <c r="F889" t="str">
        <f>VLOOKUP(E889,CompDbase!B:L,4,FALSE)</f>
        <v>Ethylacetaat</v>
      </c>
      <c r="G889" s="95" t="str">
        <f>VLOOKUP(E889,CompDbase!B:M,12,FALSE)</f>
        <v>O2</v>
      </c>
      <c r="H889" s="95">
        <f>VLOOKUP(E889,CompDbase!B:L,8,FALSE)</f>
        <v>88.100000000000009</v>
      </c>
      <c r="I889" s="95" t="e">
        <f>VLOOKUP(E889,CompDbase!B:L,11,FALSE)</f>
        <v>#DIV/0!</v>
      </c>
      <c r="J889" s="95">
        <f>VLOOKUP(E889,CompDbase!B:L,9,FALSE)</f>
        <v>62100</v>
      </c>
      <c r="K889" s="95">
        <f>VLOOKUP(E889,CompDbase!B:L,10,FALSE)</f>
        <v>0.73</v>
      </c>
      <c r="L889" s="4" t="s">
        <v>717</v>
      </c>
      <c r="O889" s="4"/>
      <c r="P889">
        <v>298</v>
      </c>
      <c r="Q889" s="4" t="s">
        <v>1049</v>
      </c>
      <c r="S889" s="4"/>
      <c r="Y889">
        <v>2.9000000000000003E-13</v>
      </c>
      <c r="Z889" s="95">
        <f t="shared" si="770"/>
        <v>-12.537602002101044</v>
      </c>
      <c r="AG889" s="138"/>
      <c r="BW889" s="138"/>
      <c r="DG889">
        <f t="shared" si="771"/>
        <v>-12.537602002101044</v>
      </c>
      <c r="DH889">
        <f t="shared" si="772"/>
        <v>88.100000000000009</v>
      </c>
      <c r="EY889" s="479">
        <f>VLOOKUP(B889,Literatuur!$A:$B,2,FALSE)</f>
        <v>12</v>
      </c>
      <c r="EZ889" t="str">
        <f t="shared" si="792"/>
        <v>Ethylacetaat</v>
      </c>
      <c r="FA889" t="str">
        <f t="shared" si="793"/>
        <v>O2</v>
      </c>
      <c r="FB889" t="str">
        <f t="shared" si="794"/>
        <v>HDPE</v>
      </c>
      <c r="FC889" t="str">
        <f t="shared" si="795"/>
        <v/>
      </c>
      <c r="FD889">
        <f t="shared" si="796"/>
        <v>298</v>
      </c>
      <c r="FE889" t="str">
        <f t="shared" si="797"/>
        <v>water</v>
      </c>
      <c r="FF889" t="str">
        <f t="shared" si="798"/>
        <v xml:space="preserve"> </v>
      </c>
      <c r="FG889" s="408" t="str">
        <f t="shared" si="789"/>
        <v/>
      </c>
      <c r="FH889" s="138" t="str">
        <f t="shared" si="799"/>
        <v/>
      </c>
      <c r="FI889" s="106" t="str">
        <f t="shared" si="790"/>
        <v>**</v>
      </c>
      <c r="FJ889" s="138">
        <f t="shared" si="800"/>
        <v>-12.537602002101044</v>
      </c>
      <c r="FK889" s="138" t="str">
        <f t="shared" si="783"/>
        <v>**</v>
      </c>
    </row>
    <row r="890" spans="1:167" ht="12.75" hidden="1" customHeight="1" x14ac:dyDescent="0.2">
      <c r="A890">
        <v>855</v>
      </c>
      <c r="B890" s="4" t="s">
        <v>1226</v>
      </c>
      <c r="C890" s="4"/>
      <c r="D890" s="4" t="s">
        <v>463</v>
      </c>
      <c r="E890">
        <v>11143</v>
      </c>
      <c r="F890" t="str">
        <f>VLOOKUP(E890,CompDbase!B:L,4,FALSE)</f>
        <v>Ethylacetaat</v>
      </c>
      <c r="G890" s="95" t="str">
        <f>VLOOKUP(E890,CompDbase!B:M,12,FALSE)</f>
        <v>O2</v>
      </c>
      <c r="H890" s="95">
        <f>VLOOKUP(E890,CompDbase!B:L,8,FALSE)</f>
        <v>88.100000000000009</v>
      </c>
      <c r="I890" s="95" t="e">
        <f>VLOOKUP(E890,CompDbase!B:L,11,FALSE)</f>
        <v>#DIV/0!</v>
      </c>
      <c r="J890" s="95">
        <f>VLOOKUP(E890,CompDbase!B:L,9,FALSE)</f>
        <v>62100</v>
      </c>
      <c r="K890" s="95">
        <f>VLOOKUP(E890,CompDbase!B:L,10,FALSE)</f>
        <v>0.73</v>
      </c>
      <c r="L890" s="4" t="s">
        <v>717</v>
      </c>
      <c r="O890" s="4"/>
      <c r="P890">
        <v>298</v>
      </c>
      <c r="Q890" s="4" t="s">
        <v>1049</v>
      </c>
      <c r="S890" s="4"/>
      <c r="Y890">
        <v>2.0000000000000003E-13</v>
      </c>
      <c r="Z890" s="95">
        <f t="shared" si="770"/>
        <v>-12.698970004336019</v>
      </c>
      <c r="AG890" s="138"/>
      <c r="BW890" s="138"/>
      <c r="DG890">
        <f t="shared" si="771"/>
        <v>-12.698970004336019</v>
      </c>
      <c r="DH890">
        <f t="shared" si="772"/>
        <v>88.100000000000009</v>
      </c>
      <c r="EY890" s="479">
        <f>VLOOKUP(B890,Literatuur!$A:$B,2,FALSE)</f>
        <v>12</v>
      </c>
      <c r="EZ890" t="str">
        <f t="shared" si="792"/>
        <v>Ethylacetaat</v>
      </c>
      <c r="FA890" t="str">
        <f t="shared" si="793"/>
        <v>O2</v>
      </c>
      <c r="FB890" t="str">
        <f t="shared" si="794"/>
        <v>HDPE</v>
      </c>
      <c r="FC890" t="str">
        <f t="shared" si="795"/>
        <v/>
      </c>
      <c r="FD890">
        <f t="shared" si="796"/>
        <v>298</v>
      </c>
      <c r="FE890" t="str">
        <f t="shared" si="797"/>
        <v>water</v>
      </c>
      <c r="FF890" t="str">
        <f t="shared" si="798"/>
        <v xml:space="preserve"> </v>
      </c>
      <c r="FG890" s="408" t="str">
        <f t="shared" si="789"/>
        <v/>
      </c>
      <c r="FH890" s="138" t="str">
        <f t="shared" si="799"/>
        <v/>
      </c>
      <c r="FI890" s="106" t="str">
        <f t="shared" si="790"/>
        <v>**</v>
      </c>
      <c r="FJ890" s="138">
        <f t="shared" si="800"/>
        <v>-12.698970004336019</v>
      </c>
      <c r="FK890" s="138" t="str">
        <f t="shared" si="783"/>
        <v>**</v>
      </c>
    </row>
    <row r="891" spans="1:167" ht="12.75" hidden="1" customHeight="1" x14ac:dyDescent="0.2">
      <c r="A891">
        <v>856</v>
      </c>
      <c r="B891" s="4" t="s">
        <v>1226</v>
      </c>
      <c r="C891" s="4"/>
      <c r="D891" s="4" t="s">
        <v>903</v>
      </c>
      <c r="E891">
        <v>-1511</v>
      </c>
      <c r="F891" t="str">
        <f>VLOOKUP(E891,CompDbase!B:L,4,FALSE)</f>
        <v>Butyraldehyde</v>
      </c>
      <c r="G891" s="95" t="str">
        <f>VLOOKUP(E891,CompDbase!B:M,12,FALSE)</f>
        <v>O2</v>
      </c>
      <c r="H891" s="95">
        <f>VLOOKUP(E891,CompDbase!B:L,8,FALSE)</f>
        <v>72.11</v>
      </c>
      <c r="I891" s="95" t="e">
        <f>VLOOKUP(E891,CompDbase!B:L,11,FALSE)</f>
        <v>#DIV/0!</v>
      </c>
      <c r="J891" s="95">
        <f>VLOOKUP(E891,CompDbase!B:L,9,FALSE)</f>
        <v>37000</v>
      </c>
      <c r="K891" s="95">
        <f>VLOOKUP(E891,CompDbase!B:L,10,FALSE)</f>
        <v>0.88</v>
      </c>
      <c r="L891" s="4" t="s">
        <v>717</v>
      </c>
      <c r="O891" s="4"/>
      <c r="P891">
        <v>298</v>
      </c>
      <c r="Q891" s="4" t="s">
        <v>1049</v>
      </c>
      <c r="S891" s="4"/>
      <c r="Y891">
        <v>6.400000000000001E-13</v>
      </c>
      <c r="Z891" s="95">
        <f t="shared" si="770"/>
        <v>-12.193820026016112</v>
      </c>
      <c r="AG891" s="138"/>
      <c r="BW891" s="138"/>
      <c r="DG891">
        <f t="shared" si="771"/>
        <v>-12.193820026016112</v>
      </c>
      <c r="DH891">
        <f t="shared" si="772"/>
        <v>72.11</v>
      </c>
      <c r="EY891" s="479">
        <f>VLOOKUP(B891,Literatuur!$A:$B,2,FALSE)</f>
        <v>12</v>
      </c>
      <c r="EZ891" t="str">
        <f t="shared" si="792"/>
        <v>n-Butylaldehyde</v>
      </c>
      <c r="FA891" t="str">
        <f t="shared" si="793"/>
        <v>O2</v>
      </c>
      <c r="FB891" t="str">
        <f t="shared" si="794"/>
        <v>HDPE</v>
      </c>
      <c r="FC891" t="str">
        <f t="shared" si="795"/>
        <v/>
      </c>
      <c r="FD891">
        <f t="shared" si="796"/>
        <v>298</v>
      </c>
      <c r="FE891" t="str">
        <f t="shared" si="797"/>
        <v>water</v>
      </c>
      <c r="FF891" t="str">
        <f t="shared" si="798"/>
        <v xml:space="preserve"> </v>
      </c>
      <c r="FG891" s="408" t="str">
        <f t="shared" si="789"/>
        <v/>
      </c>
      <c r="FH891" s="138" t="str">
        <f t="shared" si="799"/>
        <v/>
      </c>
      <c r="FI891" s="106" t="str">
        <f t="shared" si="790"/>
        <v>**</v>
      </c>
      <c r="FJ891" s="138">
        <f t="shared" si="800"/>
        <v>-12.193820026016112</v>
      </c>
      <c r="FK891" s="138" t="str">
        <f t="shared" si="783"/>
        <v>**</v>
      </c>
    </row>
    <row r="892" spans="1:167" ht="12.75" hidden="1" customHeight="1" x14ac:dyDescent="0.2">
      <c r="A892">
        <v>857</v>
      </c>
      <c r="B892" s="4" t="s">
        <v>1226</v>
      </c>
      <c r="C892" s="4"/>
      <c r="D892" s="4" t="s">
        <v>903</v>
      </c>
      <c r="E892">
        <v>-1511</v>
      </c>
      <c r="F892" t="str">
        <f>VLOOKUP(E892,CompDbase!B:L,4,FALSE)</f>
        <v>Butyraldehyde</v>
      </c>
      <c r="G892" s="95" t="str">
        <f>VLOOKUP(E892,CompDbase!B:M,12,FALSE)</f>
        <v>O2</v>
      </c>
      <c r="H892" s="95">
        <f>VLOOKUP(E892,CompDbase!B:L,8,FALSE)</f>
        <v>72.11</v>
      </c>
      <c r="I892" s="95" t="e">
        <f>VLOOKUP(E892,CompDbase!B:L,11,FALSE)</f>
        <v>#DIV/0!</v>
      </c>
      <c r="J892" s="95">
        <f>VLOOKUP(E892,CompDbase!B:L,9,FALSE)</f>
        <v>37000</v>
      </c>
      <c r="K892" s="95">
        <f>VLOOKUP(E892,CompDbase!B:L,10,FALSE)</f>
        <v>0.88</v>
      </c>
      <c r="L892" s="4" t="s">
        <v>717</v>
      </c>
      <c r="M892" s="423"/>
      <c r="N892" s="423"/>
      <c r="O892" s="4"/>
      <c r="P892">
        <v>298</v>
      </c>
      <c r="Q892" s="4" t="s">
        <v>1049</v>
      </c>
      <c r="S892" s="4"/>
      <c r="Y892">
        <v>4.4000000000000009E-13</v>
      </c>
      <c r="Z892" s="95">
        <f t="shared" si="770"/>
        <v>-12.356547323513812</v>
      </c>
      <c r="AC892" t="s">
        <v>68</v>
      </c>
      <c r="AG892" s="138"/>
      <c r="BW892" s="138"/>
      <c r="DG892">
        <f t="shared" si="771"/>
        <v>-12.356547323513812</v>
      </c>
      <c r="DH892">
        <f t="shared" si="772"/>
        <v>72.11</v>
      </c>
      <c r="EY892" s="479">
        <f>VLOOKUP(B892,Literatuur!$A:$B,2,FALSE)</f>
        <v>12</v>
      </c>
      <c r="EZ892" t="str">
        <f t="shared" si="792"/>
        <v>n-Butylaldehyde</v>
      </c>
      <c r="FA892" t="str">
        <f t="shared" si="793"/>
        <v>O2</v>
      </c>
      <c r="FB892" t="str">
        <f t="shared" si="794"/>
        <v>HDPE</v>
      </c>
      <c r="FC892" t="str">
        <f t="shared" si="795"/>
        <v/>
      </c>
      <c r="FD892">
        <f t="shared" si="796"/>
        <v>298</v>
      </c>
      <c r="FE892" t="str">
        <f t="shared" si="797"/>
        <v>water</v>
      </c>
      <c r="FF892" t="str">
        <f t="shared" si="798"/>
        <v xml:space="preserve"> </v>
      </c>
      <c r="FG892" s="408" t="str">
        <f t="shared" si="789"/>
        <v/>
      </c>
      <c r="FH892" s="138" t="str">
        <f t="shared" si="799"/>
        <v/>
      </c>
      <c r="FI892" s="106" t="str">
        <f t="shared" si="790"/>
        <v>**</v>
      </c>
      <c r="FJ892" s="138">
        <f t="shared" si="800"/>
        <v>-12.356547323513812</v>
      </c>
      <c r="FK892" s="138" t="str">
        <f t="shared" si="783"/>
        <v>**</v>
      </c>
    </row>
    <row r="893" spans="1:167" ht="12.75" hidden="1" customHeight="1" x14ac:dyDescent="0.2">
      <c r="A893">
        <v>858</v>
      </c>
      <c r="B893" s="4" t="s">
        <v>1226</v>
      </c>
      <c r="C893" s="4"/>
      <c r="D893" s="4" t="s">
        <v>867</v>
      </c>
      <c r="E893">
        <v>-1522</v>
      </c>
      <c r="F893" t="str">
        <f>VLOOKUP(E893,CompDbase!B:L,4,FALSE)</f>
        <v>Hexaldehyde</v>
      </c>
      <c r="G893" s="95" t="str">
        <f>VLOOKUP(E893,CompDbase!B:M,12,FALSE)</f>
        <v>O2</v>
      </c>
      <c r="H893" s="95">
        <f>VLOOKUP(E893,CompDbase!B:L,8,FALSE)</f>
        <v>100.16</v>
      </c>
      <c r="I893" s="95" t="e">
        <f>VLOOKUP(E893,CompDbase!B:L,11,FALSE)</f>
        <v>#DIV/0!</v>
      </c>
      <c r="J893" s="95">
        <f>VLOOKUP(E893,CompDbase!B:L,9,FALSE)</f>
        <v>6000</v>
      </c>
      <c r="K893" s="95">
        <f>VLOOKUP(E893,CompDbase!B:L,10,FALSE)</f>
        <v>1.78</v>
      </c>
      <c r="L893" s="4" t="s">
        <v>717</v>
      </c>
      <c r="O893" s="4"/>
      <c r="P893">
        <v>298</v>
      </c>
      <c r="Q893" s="4" t="s">
        <v>1049</v>
      </c>
      <c r="S893" s="4"/>
      <c r="Y893">
        <v>2.85E-13</v>
      </c>
      <c r="Z893" s="95">
        <f t="shared" si="770"/>
        <v>-12.54515513999149</v>
      </c>
      <c r="AC893" t="s">
        <v>68</v>
      </c>
      <c r="AG893" s="138"/>
      <c r="BW893" s="138"/>
      <c r="DG893">
        <f t="shared" si="771"/>
        <v>-12.54515513999149</v>
      </c>
      <c r="DH893">
        <f t="shared" si="772"/>
        <v>100.16</v>
      </c>
      <c r="EY893" s="479">
        <f>VLOOKUP(B893,Literatuur!$A:$B,2,FALSE)</f>
        <v>12</v>
      </c>
      <c r="EZ893" t="str">
        <f t="shared" si="792"/>
        <v>n-Hexylaldehyde</v>
      </c>
      <c r="FA893" t="str">
        <f t="shared" si="793"/>
        <v>O2</v>
      </c>
      <c r="FB893" t="str">
        <f t="shared" si="794"/>
        <v>HDPE</v>
      </c>
      <c r="FC893" t="str">
        <f t="shared" si="795"/>
        <v/>
      </c>
      <c r="FD893">
        <f t="shared" si="796"/>
        <v>298</v>
      </c>
      <c r="FE893" t="str">
        <f t="shared" si="797"/>
        <v>water</v>
      </c>
      <c r="FF893" t="str">
        <f t="shared" si="798"/>
        <v xml:space="preserve"> </v>
      </c>
      <c r="FG893" s="408" t="str">
        <f t="shared" si="789"/>
        <v/>
      </c>
      <c r="FH893" s="138" t="str">
        <f t="shared" si="799"/>
        <v/>
      </c>
      <c r="FI893" s="106" t="str">
        <f t="shared" si="790"/>
        <v>**</v>
      </c>
      <c r="FJ893" s="138">
        <f t="shared" si="800"/>
        <v>-12.54515513999149</v>
      </c>
      <c r="FK893" s="138" t="str">
        <f t="shared" si="783"/>
        <v>**</v>
      </c>
    </row>
    <row r="894" spans="1:167" ht="12.75" hidden="1" customHeight="1" x14ac:dyDescent="0.2">
      <c r="A894">
        <v>859</v>
      </c>
      <c r="B894" s="4" t="s">
        <v>1226</v>
      </c>
      <c r="C894" s="4"/>
      <c r="D894" s="4" t="s">
        <v>456</v>
      </c>
      <c r="E894">
        <v>-1515</v>
      </c>
      <c r="F894" t="str">
        <f>VLOOKUP(E894,CompDbase!B:L,4,FALSE)</f>
        <v>Pentanal</v>
      </c>
      <c r="G894" s="95" t="str">
        <f>VLOOKUP(E894,CompDbase!B:M,12,FALSE)</f>
        <v>O2</v>
      </c>
      <c r="H894" s="95">
        <f>VLOOKUP(E894,CompDbase!B:L,8,FALSE)</f>
        <v>86.13</v>
      </c>
      <c r="I894" s="95" t="e">
        <f>VLOOKUP(E894,CompDbase!B:L,11,FALSE)</f>
        <v>#DIV/0!</v>
      </c>
      <c r="J894" s="95">
        <f>VLOOKUP(E894,CompDbase!B:L,9,FALSE)</f>
        <v>14000</v>
      </c>
      <c r="K894" s="95">
        <f>VLOOKUP(E894,CompDbase!B:L,10,FALSE)</f>
        <v>1.31</v>
      </c>
      <c r="L894" s="4" t="s">
        <v>717</v>
      </c>
      <c r="M894" s="423"/>
      <c r="N894" s="423"/>
      <c r="O894" s="4"/>
      <c r="P894">
        <v>298</v>
      </c>
      <c r="Q894" s="4" t="s">
        <v>1049</v>
      </c>
      <c r="S894" s="4"/>
      <c r="Y894">
        <v>2.8000000000000002E-13</v>
      </c>
      <c r="Z894" s="95">
        <f t="shared" si="770"/>
        <v>-12.552841968657781</v>
      </c>
      <c r="AC894" t="s">
        <v>68</v>
      </c>
      <c r="AG894" s="138"/>
      <c r="BW894" s="138"/>
      <c r="DG894">
        <f t="shared" si="771"/>
        <v>-12.552841968657781</v>
      </c>
      <c r="DH894">
        <f t="shared" si="772"/>
        <v>86.13</v>
      </c>
      <c r="EY894" s="479">
        <f>VLOOKUP(B894,Literatuur!$A:$B,2,FALSE)</f>
        <v>12</v>
      </c>
      <c r="EZ894" t="str">
        <f t="shared" si="792"/>
        <v>Pentanal</v>
      </c>
      <c r="FA894" t="str">
        <f t="shared" si="793"/>
        <v>O2</v>
      </c>
      <c r="FB894" t="str">
        <f t="shared" si="794"/>
        <v>HDPE</v>
      </c>
      <c r="FC894" t="str">
        <f t="shared" si="795"/>
        <v/>
      </c>
      <c r="FD894">
        <f t="shared" si="796"/>
        <v>298</v>
      </c>
      <c r="FE894" t="str">
        <f t="shared" si="797"/>
        <v>water</v>
      </c>
      <c r="FF894" t="str">
        <f t="shared" si="798"/>
        <v xml:space="preserve"> </v>
      </c>
      <c r="FG894" s="408" t="str">
        <f t="shared" si="789"/>
        <v/>
      </c>
      <c r="FH894" s="138" t="str">
        <f t="shared" si="799"/>
        <v/>
      </c>
      <c r="FI894" s="106" t="str">
        <f t="shared" si="790"/>
        <v>**</v>
      </c>
      <c r="FJ894" s="138">
        <f t="shared" si="800"/>
        <v>-12.552841968657781</v>
      </c>
      <c r="FK894" s="138" t="str">
        <f t="shared" si="783"/>
        <v>**</v>
      </c>
    </row>
    <row r="895" spans="1:167" ht="12.75" hidden="1" customHeight="1" x14ac:dyDescent="0.2">
      <c r="A895">
        <v>860</v>
      </c>
      <c r="B895" t="s">
        <v>1231</v>
      </c>
      <c r="D895" s="4" t="s">
        <v>755</v>
      </c>
      <c r="E895">
        <v>-1507</v>
      </c>
      <c r="F895" t="str">
        <f>VLOOKUP(E895,CompDbase!B:L,4,FALSE)</f>
        <v>Acetone</v>
      </c>
      <c r="G895" s="95" t="str">
        <f>VLOOKUP(E895,CompDbase!B:M,12,FALSE)</f>
        <v>O2</v>
      </c>
      <c r="H895" s="95">
        <f>VLOOKUP(E895,CompDbase!B:L,8,FALSE)</f>
        <v>58.08</v>
      </c>
      <c r="I895" s="95">
        <f>VLOOKUP(E895,CompDbase!B:L,11,FALSE)</f>
        <v>74</v>
      </c>
      <c r="J895" s="95">
        <f>VLOOKUP(E895,CompDbase!B:L,9,FALSE)</f>
        <v>790000</v>
      </c>
      <c r="K895" s="95">
        <f>VLOOKUP(E895,CompDbase!B:L,10,FALSE)</f>
        <v>-0.24</v>
      </c>
      <c r="L895" s="4" t="s">
        <v>717</v>
      </c>
      <c r="M895" s="420">
        <v>940000</v>
      </c>
      <c r="N895" s="420"/>
      <c r="O895" s="4" t="s">
        <v>1044</v>
      </c>
      <c r="P895">
        <v>293</v>
      </c>
      <c r="Q895" s="4" t="s">
        <v>1049</v>
      </c>
      <c r="T895" s="95">
        <v>1</v>
      </c>
      <c r="V895">
        <v>0.01</v>
      </c>
      <c r="W895" s="95">
        <f>V895*M895/J895</f>
        <v>1.189873417721519E-2</v>
      </c>
      <c r="X895" s="288">
        <f t="shared" ref="X895:X904" si="806">LOG(W895)</f>
        <v>-1.9244992376907428</v>
      </c>
      <c r="Y895">
        <v>5.1000000000000005E-13</v>
      </c>
      <c r="Z895" s="95">
        <f t="shared" si="770"/>
        <v>-12.292429823902063</v>
      </c>
      <c r="AA895" s="95">
        <f>W895*Y895</f>
        <v>6.0683544303797475E-15</v>
      </c>
      <c r="AB895" s="288">
        <f>LOG(AA895)</f>
        <v>-14.216929061592806</v>
      </c>
      <c r="AC895" s="95" t="s">
        <v>68</v>
      </c>
      <c r="AD895" s="95"/>
      <c r="AG895" s="138">
        <f t="shared" ref="AG895:AG904" si="807">X895</f>
        <v>-1.9244992376907428</v>
      </c>
      <c r="AH895">
        <f t="shared" ref="AH895:AI904" si="808">$K895</f>
        <v>-0.24</v>
      </c>
      <c r="AI895">
        <f t="shared" si="808"/>
        <v>-0.24</v>
      </c>
      <c r="AN895">
        <f t="shared" ref="AN895:AN903" si="809">$K895</f>
        <v>-0.24</v>
      </c>
      <c r="AQ895">
        <f t="shared" ref="AQ895:AQ903" si="810">$K895</f>
        <v>-0.24</v>
      </c>
      <c r="BW895" s="138"/>
      <c r="BX895">
        <f t="shared" ref="BX895:BY903" si="811">LOG(1*$J895)</f>
        <v>5.8976270912904418</v>
      </c>
      <c r="BY895">
        <f t="shared" si="811"/>
        <v>5.8976270912904418</v>
      </c>
      <c r="CD895">
        <f t="shared" ref="CD895:CD903" si="812">LOG(1*$J895)</f>
        <v>5.8976270912904418</v>
      </c>
      <c r="CG895">
        <f t="shared" ref="CG895:CG903" si="813">LOG(1*$J895)</f>
        <v>5.8976270912904418</v>
      </c>
      <c r="DG895">
        <f t="shared" si="771"/>
        <v>-12.292429823902063</v>
      </c>
      <c r="DH895">
        <f t="shared" si="772"/>
        <v>58.08</v>
      </c>
      <c r="DI895">
        <f t="shared" si="772"/>
        <v>58.08</v>
      </c>
      <c r="EY895" s="479">
        <f>VLOOKUP(B895,Literatuur!$A:$B,2,FALSE)</f>
        <v>19</v>
      </c>
      <c r="EZ895" t="str">
        <f t="shared" si="792"/>
        <v>Aceton</v>
      </c>
      <c r="FA895" t="str">
        <f t="shared" si="793"/>
        <v>O2</v>
      </c>
      <c r="FB895" t="str">
        <f t="shared" si="794"/>
        <v>HDPE</v>
      </c>
      <c r="FC895" t="str">
        <f t="shared" si="795"/>
        <v>Immersion</v>
      </c>
      <c r="FD895">
        <f t="shared" si="796"/>
        <v>293</v>
      </c>
      <c r="FE895" t="str">
        <f t="shared" si="797"/>
        <v>water</v>
      </c>
      <c r="FF895" t="str">
        <f t="shared" si="798"/>
        <v xml:space="preserve"> </v>
      </c>
      <c r="FG895" s="408">
        <f t="shared" si="789"/>
        <v>1</v>
      </c>
      <c r="FH895" s="138">
        <f t="shared" si="799"/>
        <v>-1.9244992376907428</v>
      </c>
      <c r="FI895" s="106">
        <f t="shared" si="790"/>
        <v>-2.9018203533488252</v>
      </c>
      <c r="FJ895" s="138">
        <f t="shared" si="800"/>
        <v>-12.292429823902063</v>
      </c>
      <c r="FK895" s="138" t="str">
        <f t="shared" si="783"/>
        <v>**</v>
      </c>
    </row>
    <row r="896" spans="1:167" ht="12.75" hidden="1" customHeight="1" x14ac:dyDescent="0.2">
      <c r="A896">
        <v>861</v>
      </c>
      <c r="B896" t="s">
        <v>1231</v>
      </c>
      <c r="D896" s="4" t="s">
        <v>758</v>
      </c>
      <c r="E896">
        <v>11143</v>
      </c>
      <c r="F896" t="str">
        <f>VLOOKUP(E896,CompDbase!B:L,4,FALSE)</f>
        <v>Ethylacetaat</v>
      </c>
      <c r="G896" s="95" t="str">
        <f>VLOOKUP(E896,CompDbase!B:M,12,FALSE)</f>
        <v>O2</v>
      </c>
      <c r="H896" s="95">
        <f>VLOOKUP(E896,CompDbase!B:L,8,FALSE)</f>
        <v>88.100000000000009</v>
      </c>
      <c r="I896" s="95" t="e">
        <f>VLOOKUP(E896,CompDbase!B:L,11,FALSE)</f>
        <v>#DIV/0!</v>
      </c>
      <c r="J896" s="95">
        <f>VLOOKUP(E896,CompDbase!B:L,9,FALSE)</f>
        <v>62100</v>
      </c>
      <c r="K896" s="95">
        <f>VLOOKUP(E896,CompDbase!B:L,10,FALSE)</f>
        <v>0.73</v>
      </c>
      <c r="L896" s="4" t="s">
        <v>717</v>
      </c>
      <c r="M896" s="420">
        <v>940000</v>
      </c>
      <c r="N896" s="420"/>
      <c r="O896" s="4" t="s">
        <v>1044</v>
      </c>
      <c r="P896">
        <v>293</v>
      </c>
      <c r="Q896" s="4" t="s">
        <v>1049</v>
      </c>
      <c r="T896" s="95">
        <v>1</v>
      </c>
      <c r="V896">
        <v>2.35E-2</v>
      </c>
      <c r="W896" s="95">
        <f>V896*M896/J896</f>
        <v>0.35571658615136875</v>
      </c>
      <c r="X896" s="288">
        <f t="shared" si="806"/>
        <v>-0.44889588430514527</v>
      </c>
      <c r="Y896">
        <v>7.9000000000000017E-13</v>
      </c>
      <c r="Z896" s="95">
        <f t="shared" si="770"/>
        <v>-12.102372908709558</v>
      </c>
      <c r="AA896" s="95">
        <f>W896*Y896</f>
        <v>2.8101610305958136E-13</v>
      </c>
      <c r="AB896" s="288">
        <f>LOG(AA896)</f>
        <v>-12.551268793014703</v>
      </c>
      <c r="AC896" s="95" t="s">
        <v>68</v>
      </c>
      <c r="AD896" s="95"/>
      <c r="AG896" s="138">
        <f t="shared" si="807"/>
        <v>-0.44889588430514527</v>
      </c>
      <c r="AH896">
        <f t="shared" si="808"/>
        <v>0.73</v>
      </c>
      <c r="AI896">
        <f t="shared" si="808"/>
        <v>0.73</v>
      </c>
      <c r="AN896">
        <f t="shared" si="809"/>
        <v>0.73</v>
      </c>
      <c r="AQ896">
        <f t="shared" si="810"/>
        <v>0.73</v>
      </c>
      <c r="BW896" s="138"/>
      <c r="BX896">
        <f t="shared" si="811"/>
        <v>4.79309160017658</v>
      </c>
      <c r="BY896">
        <f t="shared" si="811"/>
        <v>4.79309160017658</v>
      </c>
      <c r="CD896">
        <f t="shared" si="812"/>
        <v>4.79309160017658</v>
      </c>
      <c r="CG896">
        <f t="shared" si="813"/>
        <v>4.79309160017658</v>
      </c>
      <c r="DG896">
        <f t="shared" si="771"/>
        <v>-12.102372908709558</v>
      </c>
      <c r="DH896">
        <f t="shared" si="772"/>
        <v>88.100000000000009</v>
      </c>
      <c r="DI896">
        <f t="shared" si="772"/>
        <v>88.100000000000009</v>
      </c>
      <c r="EY896" s="479">
        <f>VLOOKUP(B896,Literatuur!$A:$B,2,FALSE)</f>
        <v>19</v>
      </c>
      <c r="EZ896" t="str">
        <f t="shared" si="792"/>
        <v>Ethyl acetate</v>
      </c>
      <c r="FA896" t="str">
        <f t="shared" si="793"/>
        <v>O2</v>
      </c>
      <c r="FB896" t="str">
        <f t="shared" si="794"/>
        <v>HDPE</v>
      </c>
      <c r="FC896" t="str">
        <f t="shared" si="795"/>
        <v>Immersion</v>
      </c>
      <c r="FD896">
        <f t="shared" si="796"/>
        <v>293</v>
      </c>
      <c r="FE896" t="str">
        <f t="shared" si="797"/>
        <v>water</v>
      </c>
      <c r="FF896" t="str">
        <f t="shared" si="798"/>
        <v xml:space="preserve"> </v>
      </c>
      <c r="FG896" s="408">
        <f t="shared" si="789"/>
        <v>1</v>
      </c>
      <c r="FH896" s="138">
        <f t="shared" si="799"/>
        <v>-0.44889588430514527</v>
      </c>
      <c r="FI896" s="106">
        <f t="shared" si="790"/>
        <v>-1.7080085543935182</v>
      </c>
      <c r="FJ896" s="138">
        <f t="shared" si="800"/>
        <v>-12.102372908709558</v>
      </c>
      <c r="FK896" s="138" t="str">
        <f t="shared" si="783"/>
        <v>**</v>
      </c>
    </row>
    <row r="897" spans="1:167" ht="12.75" hidden="1" customHeight="1" x14ac:dyDescent="0.2">
      <c r="A897">
        <v>862</v>
      </c>
      <c r="B897" t="s">
        <v>430</v>
      </c>
      <c r="D897" t="s">
        <v>336</v>
      </c>
      <c r="E897">
        <v>-1411</v>
      </c>
      <c r="F897" t="str">
        <f>VLOOKUP(E897,CompDbase!B:L,4,FALSE)</f>
        <v>1-Hexanol</v>
      </c>
      <c r="G897" s="95" t="str">
        <f>VLOOKUP(E897,CompDbase!B:M,12,FALSE)</f>
        <v>O2</v>
      </c>
      <c r="H897" s="95">
        <f>VLOOKUP(E897,CompDbase!B:L,8,FALSE)</f>
        <v>102.18</v>
      </c>
      <c r="I897" s="95" t="e">
        <f>VLOOKUP(E897,CompDbase!B:L,11,FALSE)</f>
        <v>#DIV/0!</v>
      </c>
      <c r="J897" s="95">
        <f>VLOOKUP(E897,CompDbase!B:L,9,FALSE)</f>
        <v>5900</v>
      </c>
      <c r="K897" s="95">
        <f>VLOOKUP(E897,CompDbase!B:L,10,FALSE)</f>
        <v>2.0299999999999998</v>
      </c>
      <c r="L897" s="4" t="s">
        <v>717</v>
      </c>
      <c r="M897" s="423"/>
      <c r="N897" s="423">
        <v>948000</v>
      </c>
      <c r="O897" s="4" t="s">
        <v>1044</v>
      </c>
      <c r="P897">
        <v>293</v>
      </c>
      <c r="Q897" s="4" t="s">
        <v>1049</v>
      </c>
      <c r="R897" s="289" t="s">
        <v>1988</v>
      </c>
      <c r="T897" s="95">
        <v>1</v>
      </c>
      <c r="V897" s="33">
        <v>4.0000000000000001E-3</v>
      </c>
      <c r="W897" s="95">
        <f t="shared" ref="W897:W903" si="814">V897*N897/J897</f>
        <v>0.64271186440677963</v>
      </c>
      <c r="X897" s="288">
        <f t="shared" si="806"/>
        <v>-0.19198368297611557</v>
      </c>
      <c r="Z897" s="190"/>
      <c r="AC897" t="s">
        <v>68</v>
      </c>
      <c r="AG897" s="138">
        <f t="shared" si="807"/>
        <v>-0.19198368297611557</v>
      </c>
      <c r="AH897">
        <f t="shared" si="808"/>
        <v>2.0299999999999998</v>
      </c>
      <c r="AI897">
        <f t="shared" si="808"/>
        <v>2.0299999999999998</v>
      </c>
      <c r="AN897">
        <f t="shared" si="809"/>
        <v>2.0299999999999998</v>
      </c>
      <c r="AQ897">
        <f t="shared" si="810"/>
        <v>2.0299999999999998</v>
      </c>
      <c r="BW897" s="138"/>
      <c r="BX897">
        <f t="shared" si="811"/>
        <v>3.7708520116421442</v>
      </c>
      <c r="BY897">
        <f t="shared" si="811"/>
        <v>3.7708520116421442</v>
      </c>
      <c r="CD897">
        <f t="shared" si="812"/>
        <v>3.7708520116421442</v>
      </c>
      <c r="CG897">
        <f t="shared" si="813"/>
        <v>3.7708520116421442</v>
      </c>
      <c r="DG897" s="138"/>
      <c r="EY897" s="479">
        <f>VLOOKUP(B897,Literatuur!$A:$B,2,FALSE)</f>
        <v>37</v>
      </c>
      <c r="EZ897" t="str">
        <f t="shared" si="792"/>
        <v>1-Hexanol</v>
      </c>
      <c r="FA897" t="str">
        <f t="shared" si="793"/>
        <v>O2</v>
      </c>
      <c r="FB897" t="str">
        <f t="shared" si="794"/>
        <v>HDPE</v>
      </c>
      <c r="FC897" t="str">
        <f t="shared" si="795"/>
        <v>Immersion</v>
      </c>
      <c r="FD897">
        <f t="shared" si="796"/>
        <v>293</v>
      </c>
      <c r="FE897" t="str">
        <f t="shared" si="797"/>
        <v>water</v>
      </c>
      <c r="FF897" t="str">
        <f t="shared" si="798"/>
        <v xml:space="preserve">saturated </v>
      </c>
      <c r="FG897" s="408">
        <f t="shared" si="789"/>
        <v>1</v>
      </c>
      <c r="FH897" s="138">
        <f t="shared" si="799"/>
        <v>-0.19198368297611557</v>
      </c>
      <c r="FI897" s="106">
        <f t="shared" si="790"/>
        <v>-0.10805459703073605</v>
      </c>
      <c r="FJ897" s="138" t="str">
        <f t="shared" si="800"/>
        <v/>
      </c>
      <c r="FK897" s="138" t="str">
        <f t="shared" si="783"/>
        <v>**</v>
      </c>
    </row>
    <row r="898" spans="1:167" ht="12.75" hidden="1" customHeight="1" x14ac:dyDescent="0.2">
      <c r="A898">
        <v>863</v>
      </c>
      <c r="B898" t="s">
        <v>430</v>
      </c>
      <c r="D898" t="s">
        <v>340</v>
      </c>
      <c r="E898">
        <v>-1415</v>
      </c>
      <c r="F898" t="str">
        <f>VLOOKUP(E898,CompDbase!B:L,4,FALSE)</f>
        <v>Diisopropyl ether</v>
      </c>
      <c r="G898" s="95" t="str">
        <f>VLOOKUP(E898,CompDbase!B:M,12,FALSE)</f>
        <v>O2</v>
      </c>
      <c r="H898" s="95">
        <f>VLOOKUP(E898,CompDbase!B:L,8,FALSE)</f>
        <v>102.18</v>
      </c>
      <c r="I898" s="95" t="e">
        <f>VLOOKUP(E898,CompDbase!B:L,11,FALSE)</f>
        <v>#DIV/0!</v>
      </c>
      <c r="J898" s="95">
        <f>VLOOKUP(E898,CompDbase!B:L,9,FALSE)</f>
        <v>8900</v>
      </c>
      <c r="K898" s="95">
        <f>VLOOKUP(E898,CompDbase!B:L,10,FALSE)</f>
        <v>1.52</v>
      </c>
      <c r="L898" s="4" t="s">
        <v>717</v>
      </c>
      <c r="N898" s="423">
        <v>948000</v>
      </c>
      <c r="O898" s="4" t="s">
        <v>1044</v>
      </c>
      <c r="P898">
        <v>293</v>
      </c>
      <c r="Q898" s="4" t="s">
        <v>1049</v>
      </c>
      <c r="R898" s="289" t="s">
        <v>1988</v>
      </c>
      <c r="T898" s="95">
        <v>1</v>
      </c>
      <c r="V898" s="33">
        <v>3.9E-2</v>
      </c>
      <c r="W898" s="95">
        <f t="shared" si="814"/>
        <v>4.1541573033707868</v>
      </c>
      <c r="X898" s="288">
        <f t="shared" si="806"/>
        <v>0.61848293771965268</v>
      </c>
      <c r="Z898" s="190"/>
      <c r="AC898" t="s">
        <v>68</v>
      </c>
      <c r="AG898" s="138">
        <f t="shared" si="807"/>
        <v>0.61848293771965268</v>
      </c>
      <c r="AH898">
        <f t="shared" si="808"/>
        <v>1.52</v>
      </c>
      <c r="AI898">
        <f t="shared" si="808"/>
        <v>1.52</v>
      </c>
      <c r="AN898">
        <f t="shared" si="809"/>
        <v>1.52</v>
      </c>
      <c r="AQ898">
        <f t="shared" si="810"/>
        <v>1.52</v>
      </c>
      <c r="BW898" s="138"/>
      <c r="BX898">
        <f t="shared" si="811"/>
        <v>3.9493900066449128</v>
      </c>
      <c r="BY898">
        <f t="shared" si="811"/>
        <v>3.9493900066449128</v>
      </c>
      <c r="CD898">
        <f t="shared" si="812"/>
        <v>3.9493900066449128</v>
      </c>
      <c r="CG898">
        <f t="shared" si="813"/>
        <v>3.9493900066449128</v>
      </c>
      <c r="DG898" s="138"/>
      <c r="EY898" s="479">
        <f>VLOOKUP(B898,Literatuur!$A:$B,2,FALSE)</f>
        <v>37</v>
      </c>
      <c r="EZ898" t="str">
        <f t="shared" si="792"/>
        <v>Di-isopropylether</v>
      </c>
      <c r="FA898" t="str">
        <f t="shared" si="793"/>
        <v>O2</v>
      </c>
      <c r="FB898" t="str">
        <f t="shared" si="794"/>
        <v>HDPE</v>
      </c>
      <c r="FC898" t="str">
        <f t="shared" si="795"/>
        <v>Immersion</v>
      </c>
      <c r="FD898">
        <f t="shared" si="796"/>
        <v>293</v>
      </c>
      <c r="FE898" t="str">
        <f t="shared" si="797"/>
        <v>water</v>
      </c>
      <c r="FF898" t="str">
        <f t="shared" si="798"/>
        <v xml:space="preserve">saturated </v>
      </c>
      <c r="FG898" s="408">
        <f t="shared" si="789"/>
        <v>1</v>
      </c>
      <c r="FH898" s="138">
        <f t="shared" si="799"/>
        <v>0.61848293771965268</v>
      </c>
      <c r="FI898" s="106">
        <f t="shared" si="790"/>
        <v>-0.73572884184228893</v>
      </c>
      <c r="FJ898" s="138" t="str">
        <f t="shared" si="800"/>
        <v/>
      </c>
      <c r="FK898" s="138" t="str">
        <f t="shared" si="783"/>
        <v>**</v>
      </c>
    </row>
    <row r="899" spans="1:167" ht="12.75" hidden="1" customHeight="1" x14ac:dyDescent="0.2">
      <c r="A899">
        <v>864</v>
      </c>
      <c r="B899" t="s">
        <v>430</v>
      </c>
      <c r="D899" t="s">
        <v>338</v>
      </c>
      <c r="E899">
        <v>-1413</v>
      </c>
      <c r="F899" t="str">
        <f>VLOOKUP(E899,CompDbase!B:L,4,FALSE)</f>
        <v>Di-isopropylketon</v>
      </c>
      <c r="G899" s="95" t="str">
        <f>VLOOKUP(E899,CompDbase!B:M,12,FALSE)</f>
        <v>O2</v>
      </c>
      <c r="H899" s="95">
        <f>VLOOKUP(E899,CompDbase!B:L,8,FALSE)</f>
        <v>114.18</v>
      </c>
      <c r="I899" s="95" t="e">
        <f>VLOOKUP(E899,CompDbase!B:L,11,FALSE)</f>
        <v>#DIV/0!</v>
      </c>
      <c r="J899" s="95">
        <f>VLOOKUP(E899,CompDbase!B:L,9,FALSE)</f>
        <v>5700</v>
      </c>
      <c r="K899" s="95">
        <f>VLOOKUP(E899,CompDbase!B:L,10,FALSE)</f>
        <v>1.86</v>
      </c>
      <c r="L899" s="4" t="s">
        <v>717</v>
      </c>
      <c r="M899" s="423"/>
      <c r="N899" s="423">
        <v>948000</v>
      </c>
      <c r="O899" s="4" t="s">
        <v>1044</v>
      </c>
      <c r="P899">
        <v>293</v>
      </c>
      <c r="Q899" s="4" t="s">
        <v>1049</v>
      </c>
      <c r="R899" s="289" t="s">
        <v>1988</v>
      </c>
      <c r="T899" s="95">
        <v>1</v>
      </c>
      <c r="V899" s="33">
        <v>2.5999999999999999E-2</v>
      </c>
      <c r="W899" s="95">
        <f t="shared" si="814"/>
        <v>4.3242105263157891</v>
      </c>
      <c r="X899" s="288">
        <f t="shared" si="806"/>
        <v>0.63590682963639278</v>
      </c>
      <c r="Z899" s="190"/>
      <c r="AC899" t="s">
        <v>68</v>
      </c>
      <c r="AG899" s="138">
        <f t="shared" si="807"/>
        <v>0.63590682963639278</v>
      </c>
      <c r="AH899">
        <f t="shared" si="808"/>
        <v>1.86</v>
      </c>
      <c r="AI899">
        <f t="shared" si="808"/>
        <v>1.86</v>
      </c>
      <c r="AN899">
        <f t="shared" si="809"/>
        <v>1.86</v>
      </c>
      <c r="AQ899">
        <f t="shared" si="810"/>
        <v>1.86</v>
      </c>
      <c r="BW899" s="138"/>
      <c r="BX899">
        <f t="shared" si="811"/>
        <v>3.7558748556724915</v>
      </c>
      <c r="BY899">
        <f t="shared" si="811"/>
        <v>3.7558748556724915</v>
      </c>
      <c r="CD899">
        <f t="shared" si="812"/>
        <v>3.7558748556724915</v>
      </c>
      <c r="CG899">
        <f t="shared" si="813"/>
        <v>3.7558748556724915</v>
      </c>
      <c r="DG899" s="138"/>
      <c r="EY899" s="479">
        <f>VLOOKUP(B899,Literatuur!$A:$B,2,FALSE)</f>
        <v>37</v>
      </c>
      <c r="EZ899" t="str">
        <f t="shared" si="792"/>
        <v>Di-isopropylketon</v>
      </c>
      <c r="FA899" t="str">
        <f t="shared" si="793"/>
        <v>O2</v>
      </c>
      <c r="FB899" t="str">
        <f t="shared" si="794"/>
        <v>HDPE</v>
      </c>
      <c r="FC899" t="str">
        <f t="shared" si="795"/>
        <v>Immersion</v>
      </c>
      <c r="FD899">
        <f t="shared" si="796"/>
        <v>293</v>
      </c>
      <c r="FE899" t="str">
        <f t="shared" si="797"/>
        <v>water</v>
      </c>
      <c r="FF899" t="str">
        <f t="shared" si="798"/>
        <v xml:space="preserve">saturated </v>
      </c>
      <c r="FG899" s="408">
        <f t="shared" si="789"/>
        <v>1</v>
      </c>
      <c r="FH899" s="138">
        <f t="shared" si="799"/>
        <v>0.63590682963639278</v>
      </c>
      <c r="FI899" s="106">
        <f t="shared" si="790"/>
        <v>-0.31727934530125346</v>
      </c>
      <c r="FJ899" s="138" t="str">
        <f t="shared" si="800"/>
        <v/>
      </c>
      <c r="FK899" s="138" t="str">
        <f t="shared" si="783"/>
        <v>**</v>
      </c>
    </row>
    <row r="900" spans="1:167" ht="12.75" hidden="1" customHeight="1" x14ac:dyDescent="0.2">
      <c r="A900">
        <v>865</v>
      </c>
      <c r="B900" t="s">
        <v>430</v>
      </c>
      <c r="D900" t="s">
        <v>334</v>
      </c>
      <c r="E900">
        <v>-1410</v>
      </c>
      <c r="F900" t="str">
        <f>VLOOKUP(E900,CompDbase!B:L,4,FALSE)</f>
        <v>Ethanol</v>
      </c>
      <c r="G900" s="95" t="str">
        <f>VLOOKUP(E900,CompDbase!B:M,12,FALSE)</f>
        <v>O2</v>
      </c>
      <c r="H900" s="95">
        <f>VLOOKUP(E900,CompDbase!B:L,8,FALSE)</f>
        <v>46.07</v>
      </c>
      <c r="I900" s="95" t="e">
        <f>VLOOKUP(E900,CompDbase!B:L,11,FALSE)</f>
        <v>#DIV/0!</v>
      </c>
      <c r="J900" s="95">
        <f>VLOOKUP(E900,CompDbase!B:L,9,FALSE)</f>
        <v>1000000</v>
      </c>
      <c r="K900" s="95">
        <f>VLOOKUP(E900,CompDbase!B:L,10,FALSE)</f>
        <v>-0.30499999999999999</v>
      </c>
      <c r="L900" s="4" t="s">
        <v>717</v>
      </c>
      <c r="M900" s="423"/>
      <c r="N900" s="423">
        <v>948000</v>
      </c>
      <c r="O900" s="4" t="s">
        <v>1044</v>
      </c>
      <c r="P900">
        <v>293</v>
      </c>
      <c r="Q900" s="4" t="s">
        <v>1049</v>
      </c>
      <c r="R900" s="289" t="s">
        <v>1988</v>
      </c>
      <c r="T900" s="95">
        <v>1</v>
      </c>
      <c r="V900" s="33">
        <v>2E-3</v>
      </c>
      <c r="W900" s="95">
        <f t="shared" si="814"/>
        <v>1.8959999999999999E-3</v>
      </c>
      <c r="X900" s="288">
        <f t="shared" si="806"/>
        <v>-2.7221616669979527</v>
      </c>
      <c r="Z900" s="190"/>
      <c r="AC900" t="s">
        <v>68</v>
      </c>
      <c r="AG900" s="138">
        <f t="shared" si="807"/>
        <v>-2.7221616669979527</v>
      </c>
      <c r="AH900">
        <f t="shared" si="808"/>
        <v>-0.30499999999999999</v>
      </c>
      <c r="AI900">
        <f t="shared" si="808"/>
        <v>-0.30499999999999999</v>
      </c>
      <c r="AN900">
        <f t="shared" si="809"/>
        <v>-0.30499999999999999</v>
      </c>
      <c r="AQ900">
        <f t="shared" si="810"/>
        <v>-0.30499999999999999</v>
      </c>
      <c r="BW900" s="138"/>
      <c r="BX900">
        <f t="shared" si="811"/>
        <v>6</v>
      </c>
      <c r="BY900">
        <f t="shared" si="811"/>
        <v>6</v>
      </c>
      <c r="CD900">
        <f t="shared" si="812"/>
        <v>6</v>
      </c>
      <c r="CG900">
        <f t="shared" si="813"/>
        <v>6</v>
      </c>
      <c r="DG900" s="138"/>
      <c r="EY900" s="479">
        <f>VLOOKUP(B900,Literatuur!$A:$B,2,FALSE)</f>
        <v>37</v>
      </c>
      <c r="EZ900" t="str">
        <f t="shared" si="792"/>
        <v>Ethanol</v>
      </c>
      <c r="FA900" t="str">
        <f t="shared" si="793"/>
        <v>O2</v>
      </c>
      <c r="FB900" t="str">
        <f t="shared" si="794"/>
        <v>HDPE</v>
      </c>
      <c r="FC900" t="str">
        <f t="shared" si="795"/>
        <v>Immersion</v>
      </c>
      <c r="FD900">
        <f t="shared" si="796"/>
        <v>293</v>
      </c>
      <c r="FE900" t="str">
        <f t="shared" si="797"/>
        <v>water</v>
      </c>
      <c r="FF900" t="str">
        <f t="shared" si="798"/>
        <v xml:space="preserve">saturated </v>
      </c>
      <c r="FG900" s="408">
        <f t="shared" si="789"/>
        <v>1</v>
      </c>
      <c r="FH900" s="138">
        <f t="shared" si="799"/>
        <v>-2.7221616669979527</v>
      </c>
      <c r="FI900" s="106">
        <f t="shared" si="790"/>
        <v>-2.9818180512169641</v>
      </c>
      <c r="FJ900" s="138" t="str">
        <f t="shared" si="800"/>
        <v/>
      </c>
      <c r="FK900" s="138" t="str">
        <f t="shared" si="783"/>
        <v>**</v>
      </c>
    </row>
    <row r="901" spans="1:167" ht="12.75" hidden="1" customHeight="1" x14ac:dyDescent="0.2">
      <c r="A901">
        <v>866</v>
      </c>
      <c r="B901" t="s">
        <v>430</v>
      </c>
      <c r="D901" t="s">
        <v>89</v>
      </c>
      <c r="E901">
        <v>202</v>
      </c>
      <c r="F901" t="str">
        <f>VLOOKUP(E901,CompDbase!B:L,4,FALSE)</f>
        <v>Phenol</v>
      </c>
      <c r="G901" s="95" t="str">
        <f>VLOOKUP(E901,CompDbase!B:M,12,FALSE)</f>
        <v>O2</v>
      </c>
      <c r="H901" s="95">
        <f>VLOOKUP(E901,CompDbase!B:L,8,FALSE)</f>
        <v>94.104999867169639</v>
      </c>
      <c r="I901" s="95" t="e">
        <f>VLOOKUP(E901,CompDbase!B:L,11,FALSE)</f>
        <v>#DIV/0!</v>
      </c>
      <c r="J901" s="95">
        <f>VLOOKUP(E901,CompDbase!B:L,9,FALSE)</f>
        <v>65559.556704569273</v>
      </c>
      <c r="K901" s="95">
        <f>VLOOKUP(E901,CompDbase!B:L,10,FALSE)</f>
        <v>1.48</v>
      </c>
      <c r="L901" s="4" t="s">
        <v>717</v>
      </c>
      <c r="M901" s="423"/>
      <c r="N901" s="423">
        <v>948000</v>
      </c>
      <c r="O901" s="4" t="s">
        <v>1044</v>
      </c>
      <c r="P901">
        <v>293</v>
      </c>
      <c r="Q901" s="4" t="s">
        <v>1049</v>
      </c>
      <c r="R901" s="289" t="s">
        <v>1988</v>
      </c>
      <c r="T901" s="95">
        <v>1</v>
      </c>
      <c r="V901" s="33">
        <v>1E-3</v>
      </c>
      <c r="W901" s="95">
        <f t="shared" si="814"/>
        <v>1.4460134382420674E-2</v>
      </c>
      <c r="X901" s="288">
        <f t="shared" si="806"/>
        <v>-1.8398276709922088</v>
      </c>
      <c r="Z901" s="190"/>
      <c r="AC901" t="s">
        <v>68</v>
      </c>
      <c r="AG901" s="138">
        <f t="shared" si="807"/>
        <v>-1.8398276709922088</v>
      </c>
      <c r="AH901">
        <f t="shared" si="808"/>
        <v>1.48</v>
      </c>
      <c r="AI901">
        <f t="shared" si="808"/>
        <v>1.48</v>
      </c>
      <c r="AN901">
        <f t="shared" si="809"/>
        <v>1.48</v>
      </c>
      <c r="AQ901">
        <f t="shared" si="810"/>
        <v>1.48</v>
      </c>
      <c r="BW901" s="138"/>
      <c r="BX901">
        <f t="shared" si="811"/>
        <v>4.8166360083302751</v>
      </c>
      <c r="BY901">
        <f t="shared" si="811"/>
        <v>4.8166360083302751</v>
      </c>
      <c r="CD901">
        <f t="shared" si="812"/>
        <v>4.8166360083302751</v>
      </c>
      <c r="CG901">
        <f t="shared" si="813"/>
        <v>4.8166360083302751</v>
      </c>
      <c r="DG901" s="138"/>
      <c r="EY901" s="479">
        <f>VLOOKUP(B901,Literatuur!$A:$B,2,FALSE)</f>
        <v>37</v>
      </c>
      <c r="EZ901" t="str">
        <f t="shared" si="792"/>
        <v>Fenol</v>
      </c>
      <c r="FA901" t="str">
        <f t="shared" si="793"/>
        <v>O2</v>
      </c>
      <c r="FB901" t="str">
        <f t="shared" si="794"/>
        <v>HDPE</v>
      </c>
      <c r="FC901" t="str">
        <f t="shared" si="795"/>
        <v>Immersion</v>
      </c>
      <c r="FD901">
        <f t="shared" si="796"/>
        <v>293</v>
      </c>
      <c r="FE901" t="str">
        <f t="shared" si="797"/>
        <v>water</v>
      </c>
      <c r="FF901" t="str">
        <f t="shared" si="798"/>
        <v xml:space="preserve">saturated </v>
      </c>
      <c r="FG901" s="408">
        <f t="shared" si="789"/>
        <v>1</v>
      </c>
      <c r="FH901" s="138">
        <f t="shared" si="799"/>
        <v>-1.8398276709922088</v>
      </c>
      <c r="FI901" s="106">
        <f t="shared" si="790"/>
        <v>-0.78495819437652847</v>
      </c>
      <c r="FJ901" s="138" t="str">
        <f t="shared" si="800"/>
        <v/>
      </c>
      <c r="FK901" s="138" t="str">
        <f t="shared" si="783"/>
        <v>**</v>
      </c>
    </row>
    <row r="902" spans="1:167" ht="12.75" hidden="1" customHeight="1" x14ac:dyDescent="0.2">
      <c r="A902">
        <v>867</v>
      </c>
      <c r="B902" t="s">
        <v>430</v>
      </c>
      <c r="D902" t="s">
        <v>339</v>
      </c>
      <c r="E902">
        <v>-1414</v>
      </c>
      <c r="F902" t="str">
        <f>VLOOKUP(E902,CompDbase!B:L,4,FALSE)</f>
        <v>methoxybenzene</v>
      </c>
      <c r="G902" s="95" t="str">
        <f>VLOOKUP(E902,CompDbase!B:M,12,FALSE)</f>
        <v>O2</v>
      </c>
      <c r="H902" s="95">
        <f>VLOOKUP(E902,CompDbase!B:L,8,FALSE)</f>
        <v>108.14</v>
      </c>
      <c r="I902" s="95" t="e">
        <f>VLOOKUP(E902,CompDbase!B:L,11,FALSE)</f>
        <v>#DIV/0!</v>
      </c>
      <c r="J902" s="95">
        <f>VLOOKUP(E902,CompDbase!B:L,9,FALSE)</f>
        <v>1040</v>
      </c>
      <c r="K902" s="95">
        <f>VLOOKUP(E902,CompDbase!B:L,10,FALSE)</f>
        <v>2.11</v>
      </c>
      <c r="L902" s="4" t="s">
        <v>717</v>
      </c>
      <c r="N902" s="423">
        <v>948000</v>
      </c>
      <c r="O902" s="4" t="s">
        <v>1044</v>
      </c>
      <c r="P902">
        <v>293</v>
      </c>
      <c r="Q902" s="4" t="s">
        <v>1049</v>
      </c>
      <c r="R902" s="289" t="s">
        <v>1988</v>
      </c>
      <c r="T902" s="95">
        <v>1</v>
      </c>
      <c r="V902" s="33">
        <v>3.9E-2</v>
      </c>
      <c r="W902" s="95">
        <f t="shared" si="814"/>
        <v>35.549999999999997</v>
      </c>
      <c r="X902" s="288">
        <f t="shared" si="806"/>
        <v>1.5508396050657851</v>
      </c>
      <c r="Z902" s="190"/>
      <c r="AC902" t="s">
        <v>68</v>
      </c>
      <c r="AG902" s="138">
        <f t="shared" si="807"/>
        <v>1.5508396050657851</v>
      </c>
      <c r="AH902">
        <f t="shared" si="808"/>
        <v>2.11</v>
      </c>
      <c r="AI902">
        <f t="shared" si="808"/>
        <v>2.11</v>
      </c>
      <c r="AN902">
        <f t="shared" si="809"/>
        <v>2.11</v>
      </c>
      <c r="AQ902">
        <f t="shared" si="810"/>
        <v>2.11</v>
      </c>
      <c r="BW902" s="138"/>
      <c r="BX902">
        <f t="shared" si="811"/>
        <v>3.0170333392987803</v>
      </c>
      <c r="BY902">
        <f t="shared" si="811"/>
        <v>3.0170333392987803</v>
      </c>
      <c r="CD902">
        <f t="shared" si="812"/>
        <v>3.0170333392987803</v>
      </c>
      <c r="CG902">
        <f t="shared" si="813"/>
        <v>3.0170333392987803</v>
      </c>
      <c r="DG902" s="138"/>
      <c r="EY902" s="479">
        <f>VLOOKUP(B902,Literatuur!$A:$B,2,FALSE)</f>
        <v>37</v>
      </c>
      <c r="EZ902" t="str">
        <f t="shared" si="792"/>
        <v>Methoxybenzeen</v>
      </c>
      <c r="FA902" t="str">
        <f t="shared" si="793"/>
        <v>O2</v>
      </c>
      <c r="FB902" t="str">
        <f t="shared" si="794"/>
        <v>HDPE</v>
      </c>
      <c r="FC902" t="str">
        <f t="shared" si="795"/>
        <v>Immersion</v>
      </c>
      <c r="FD902">
        <f t="shared" si="796"/>
        <v>293</v>
      </c>
      <c r="FE902" t="str">
        <f t="shared" si="797"/>
        <v>water</v>
      </c>
      <c r="FF902" t="str">
        <f t="shared" si="798"/>
        <v xml:space="preserve">saturated </v>
      </c>
      <c r="FG902" s="408">
        <f t="shared" si="789"/>
        <v>1</v>
      </c>
      <c r="FH902" s="138">
        <f t="shared" si="799"/>
        <v>1.5508396050657851</v>
      </c>
      <c r="FI902" s="106">
        <f t="shared" si="790"/>
        <v>-9.5958919622569638E-3</v>
      </c>
      <c r="FJ902" s="138" t="str">
        <f t="shared" si="800"/>
        <v/>
      </c>
      <c r="FK902" s="138" t="str">
        <f t="shared" si="783"/>
        <v>**</v>
      </c>
    </row>
    <row r="903" spans="1:167" ht="12.75" hidden="1" customHeight="1" x14ac:dyDescent="0.2">
      <c r="A903">
        <v>868</v>
      </c>
      <c r="B903" t="s">
        <v>430</v>
      </c>
      <c r="D903" t="s">
        <v>337</v>
      </c>
      <c r="E903">
        <v>1093</v>
      </c>
      <c r="F903" t="str">
        <f>VLOOKUP(E903,CompDbase!B:L,4,FALSE)</f>
        <v>2-Butanone</v>
      </c>
      <c r="G903" s="95" t="str">
        <f>VLOOKUP(E903,CompDbase!B:M,12,FALSE)</f>
        <v>O2</v>
      </c>
      <c r="H903" s="95">
        <f>VLOOKUP(E903,CompDbase!B:L,8,FALSE)</f>
        <v>72</v>
      </c>
      <c r="I903" s="95">
        <f>VLOOKUP(E903,CompDbase!B:L,11,FALSE)</f>
        <v>90.2</v>
      </c>
      <c r="J903" s="95">
        <f>VLOOKUP(E903,CompDbase!B:L,9,FALSE)</f>
        <v>352800</v>
      </c>
      <c r="K903" s="95">
        <f>VLOOKUP(E903,CompDbase!B:L,10,FALSE)</f>
        <v>0.27549999999999997</v>
      </c>
      <c r="L903" s="4" t="s">
        <v>717</v>
      </c>
      <c r="N903" s="423">
        <v>948000</v>
      </c>
      <c r="O903" s="4" t="s">
        <v>1044</v>
      </c>
      <c r="P903">
        <v>293</v>
      </c>
      <c r="Q903" s="4" t="s">
        <v>1049</v>
      </c>
      <c r="R903" s="289" t="s">
        <v>1988</v>
      </c>
      <c r="T903" s="95">
        <v>1</v>
      </c>
      <c r="V903" s="33">
        <v>1.7999999999999999E-2</v>
      </c>
      <c r="W903" s="95">
        <f t="shared" si="814"/>
        <v>4.8367346938775507E-2</v>
      </c>
      <c r="X903" s="288">
        <f t="shared" si="806"/>
        <v>-1.3154477340184099</v>
      </c>
      <c r="Y903">
        <v>1.388888888888889E-13</v>
      </c>
      <c r="Z903" s="95">
        <f t="shared" ref="Z903:Z921" si="815">LOG(Y903)</f>
        <v>-12.857332496431269</v>
      </c>
      <c r="AA903" s="95">
        <f>W903*Y903</f>
        <v>6.7176870748299321E-15</v>
      </c>
      <c r="AB903" s="288">
        <f>LOG(AA903)</f>
        <v>-14.172780230449678</v>
      </c>
      <c r="AC903" s="95"/>
      <c r="AD903" s="95"/>
      <c r="AG903" s="138">
        <f t="shared" si="807"/>
        <v>-1.3154477340184099</v>
      </c>
      <c r="AH903">
        <f t="shared" si="808"/>
        <v>0.27549999999999997</v>
      </c>
      <c r="AI903">
        <f t="shared" si="808"/>
        <v>0.27549999999999997</v>
      </c>
      <c r="AN903">
        <f t="shared" si="809"/>
        <v>0.27549999999999997</v>
      </c>
      <c r="AQ903">
        <f t="shared" si="810"/>
        <v>0.27549999999999997</v>
      </c>
      <c r="BW903" s="138"/>
      <c r="BX903">
        <f t="shared" si="811"/>
        <v>5.5475285764597819</v>
      </c>
      <c r="BY903">
        <f t="shared" si="811"/>
        <v>5.5475285764597819</v>
      </c>
      <c r="CD903">
        <f t="shared" si="812"/>
        <v>5.5475285764597819</v>
      </c>
      <c r="CG903">
        <f t="shared" si="813"/>
        <v>5.5475285764597819</v>
      </c>
      <c r="DG903">
        <f t="shared" ref="DG903:DG921" si="816">Z903</f>
        <v>-12.857332496431269</v>
      </c>
      <c r="DH903">
        <f t="shared" ref="DH903:DI921" si="817">$H903</f>
        <v>72</v>
      </c>
      <c r="DI903">
        <f t="shared" si="817"/>
        <v>72</v>
      </c>
      <c r="EY903" s="479">
        <f>VLOOKUP(B903,Literatuur!$A:$B,2,FALSE)</f>
        <v>37</v>
      </c>
      <c r="EZ903" t="str">
        <f t="shared" si="792"/>
        <v>Methylethylketon</v>
      </c>
      <c r="FA903" t="str">
        <f t="shared" si="793"/>
        <v>O2</v>
      </c>
      <c r="FB903" t="str">
        <f t="shared" si="794"/>
        <v>HDPE</v>
      </c>
      <c r="FC903" t="str">
        <f t="shared" si="795"/>
        <v>Immersion</v>
      </c>
      <c r="FD903">
        <f t="shared" si="796"/>
        <v>293</v>
      </c>
      <c r="FE903" t="str">
        <f t="shared" si="797"/>
        <v>water</v>
      </c>
      <c r="FF903" t="str">
        <f t="shared" si="798"/>
        <v xml:space="preserve">saturated </v>
      </c>
      <c r="FG903" s="408">
        <f t="shared" si="789"/>
        <v>1</v>
      </c>
      <c r="FH903" s="138">
        <f t="shared" si="799"/>
        <v>-1.3154477340184099</v>
      </c>
      <c r="FI903" s="106">
        <f t="shared" si="790"/>
        <v>-2.2673770725638143</v>
      </c>
      <c r="FJ903" s="138">
        <f t="shared" si="800"/>
        <v>-12.857332496431269</v>
      </c>
      <c r="FK903" s="138" t="str">
        <f t="shared" si="783"/>
        <v>**</v>
      </c>
    </row>
    <row r="904" spans="1:167" ht="12.75" hidden="1" customHeight="1" x14ac:dyDescent="0.2">
      <c r="A904">
        <v>869</v>
      </c>
      <c r="B904" s="4" t="s">
        <v>430</v>
      </c>
      <c r="C904" s="4"/>
      <c r="D904" t="s">
        <v>337</v>
      </c>
      <c r="E904">
        <v>1093</v>
      </c>
      <c r="F904" t="str">
        <f>VLOOKUP(E904,CompDbase!B:L,4,FALSE)</f>
        <v>2-Butanone</v>
      </c>
      <c r="G904" s="95" t="str">
        <f>VLOOKUP(E904,CompDbase!B:M,12,FALSE)</f>
        <v>O2</v>
      </c>
      <c r="H904" s="95">
        <f>VLOOKUP(E904,CompDbase!B:L,8,FALSE)</f>
        <v>72</v>
      </c>
      <c r="I904" s="95">
        <f>VLOOKUP(E904,CompDbase!B:L,11,FALSE)</f>
        <v>90.2</v>
      </c>
      <c r="J904" s="95">
        <f>VLOOKUP(E904,CompDbase!B:L,9,FALSE)</f>
        <v>352800</v>
      </c>
      <c r="K904" s="95">
        <f>VLOOKUP(E904,CompDbase!B:L,10,FALSE)</f>
        <v>0.27549999999999997</v>
      </c>
      <c r="L904" s="4" t="s">
        <v>717</v>
      </c>
      <c r="M904" s="423"/>
      <c r="N904" s="423"/>
      <c r="O904" s="4" t="s">
        <v>1082</v>
      </c>
      <c r="P904">
        <v>293</v>
      </c>
      <c r="Q904" s="4" t="s">
        <v>1049</v>
      </c>
      <c r="R904" s="289" t="s">
        <v>1982</v>
      </c>
      <c r="S904" s="33">
        <v>13.1</v>
      </c>
      <c r="T904" s="95">
        <f>S904/J904</f>
        <v>3.7131519274376415E-5</v>
      </c>
      <c r="W904">
        <v>0.36</v>
      </c>
      <c r="X904" s="288">
        <f t="shared" si="806"/>
        <v>-0.44369749923271273</v>
      </c>
      <c r="Y904">
        <v>9.2592592592592602E-14</v>
      </c>
      <c r="Z904" s="95">
        <f t="shared" si="815"/>
        <v>-13.03342375548695</v>
      </c>
      <c r="AA904" s="95">
        <f>W904*Y904</f>
        <v>3.3333333333333334E-14</v>
      </c>
      <c r="AB904" s="288">
        <f>LOG(AA904)</f>
        <v>-13.477121254719663</v>
      </c>
      <c r="AC904" s="95" t="s">
        <v>68</v>
      </c>
      <c r="AD904" s="95"/>
      <c r="AG904" s="138">
        <f t="shared" si="807"/>
        <v>-0.44369749923271273</v>
      </c>
      <c r="AH904">
        <f t="shared" si="808"/>
        <v>0.27549999999999997</v>
      </c>
      <c r="AK904">
        <f t="shared" ref="AK904" si="818">$K904</f>
        <v>0.27549999999999997</v>
      </c>
      <c r="BW904" s="138"/>
      <c r="BX904">
        <f>LOG(1*$J904)</f>
        <v>5.5475285764597819</v>
      </c>
      <c r="CA904">
        <f>LOG(1*$J904)</f>
        <v>5.5475285764597819</v>
      </c>
      <c r="DG904">
        <f t="shared" si="816"/>
        <v>-13.03342375548695</v>
      </c>
      <c r="DH904">
        <f t="shared" si="817"/>
        <v>72</v>
      </c>
      <c r="DK904">
        <f t="shared" ref="DK904" si="819">$H904</f>
        <v>72</v>
      </c>
      <c r="DO904">
        <f t="shared" ref="DO904" si="820">$H904</f>
        <v>72</v>
      </c>
      <c r="EY904" s="479">
        <f>VLOOKUP(B904,Literatuur!$A:$B,2,FALSE)</f>
        <v>37</v>
      </c>
      <c r="EZ904" t="str">
        <f t="shared" si="792"/>
        <v>Methylethylketon</v>
      </c>
      <c r="FA904" t="str">
        <f t="shared" si="793"/>
        <v>O2</v>
      </c>
      <c r="FB904" t="str">
        <f t="shared" si="794"/>
        <v>HDPE</v>
      </c>
      <c r="FC904" t="str">
        <f t="shared" si="795"/>
        <v>Permeation</v>
      </c>
      <c r="FD904">
        <f t="shared" si="796"/>
        <v>293</v>
      </c>
      <c r="FE904" t="str">
        <f t="shared" si="797"/>
        <v>water</v>
      </c>
      <c r="FF904" t="str">
        <f t="shared" si="798"/>
        <v>measured 13.1</v>
      </c>
      <c r="FG904" s="408">
        <f t="shared" si="789"/>
        <v>3.7131519274376415E-5</v>
      </c>
      <c r="FH904" s="138">
        <f t="shared" si="799"/>
        <v>-0.44369749923271273</v>
      </c>
      <c r="FI904" s="106" t="str">
        <f t="shared" si="790"/>
        <v>**</v>
      </c>
      <c r="FJ904" s="138">
        <f t="shared" si="800"/>
        <v>-13.03342375548695</v>
      </c>
      <c r="FK904" s="138">
        <f>IF(ISNUMBER(DM904),DM904*DP$33+DP$35,IF(ISNUMBER(DN904),DN904*DP$33+DP$35,IF(ISNUMBER(DO904),DO904*DP$33+DP$35,"**")))</f>
        <v>-11.997211625450962</v>
      </c>
    </row>
    <row r="905" spans="1:167" ht="12.75" hidden="1" customHeight="1" x14ac:dyDescent="0.2">
      <c r="A905">
        <v>870</v>
      </c>
      <c r="B905" s="4" t="s">
        <v>1402</v>
      </c>
      <c r="C905" s="4"/>
      <c r="D905" t="s">
        <v>929</v>
      </c>
      <c r="E905" s="33">
        <v>-1693</v>
      </c>
      <c r="F905" t="str">
        <f>VLOOKUP(E905,CompDbase!B:L,4,FALSE)</f>
        <v>1-Butanol</v>
      </c>
      <c r="G905" s="95" t="str">
        <f>VLOOKUP(E905,CompDbase!B:M,12,FALSE)</f>
        <v>O2</v>
      </c>
      <c r="H905" s="95">
        <f>VLOOKUP(E905,CompDbase!B:L,8,FALSE)</f>
        <v>74.12</v>
      </c>
      <c r="I905" s="95" t="e">
        <f>VLOOKUP(E905,CompDbase!B:L,11,FALSE)</f>
        <v>#DIV/0!</v>
      </c>
      <c r="J905" s="95">
        <f>VLOOKUP(E905,CompDbase!B:L,9,FALSE)</f>
        <v>63200</v>
      </c>
      <c r="K905" s="95">
        <f>VLOOKUP(E905,CompDbase!B:L,10,FALSE)</f>
        <v>0.88</v>
      </c>
      <c r="L905" t="s">
        <v>717</v>
      </c>
      <c r="M905" s="423"/>
      <c r="N905" s="423"/>
      <c r="O905" t="s">
        <v>1741</v>
      </c>
      <c r="P905">
        <v>295</v>
      </c>
      <c r="Q905" t="s">
        <v>1049</v>
      </c>
      <c r="R905" s="289" t="s">
        <v>1983</v>
      </c>
      <c r="T905" s="289">
        <v>1</v>
      </c>
      <c r="Y905">
        <v>1.8700000000000004E-13</v>
      </c>
      <c r="Z905" s="95">
        <f t="shared" si="815"/>
        <v>-12.728158393463501</v>
      </c>
      <c r="AC905" t="s">
        <v>68</v>
      </c>
      <c r="DG905">
        <f t="shared" si="816"/>
        <v>-12.728158393463501</v>
      </c>
      <c r="DH905">
        <f t="shared" si="817"/>
        <v>74.12</v>
      </c>
      <c r="DJ905">
        <f t="shared" ref="DJ905:DJ909" si="821">$H905</f>
        <v>74.12</v>
      </c>
      <c r="EY905" s="479">
        <f>VLOOKUP(B905,Literatuur!$A:$B,2,FALSE)</f>
        <v>38</v>
      </c>
      <c r="EZ905" t="str">
        <f t="shared" si="792"/>
        <v>1-butanol</v>
      </c>
      <c r="FA905" t="str">
        <f t="shared" si="793"/>
        <v>O2</v>
      </c>
      <c r="FB905" t="str">
        <f t="shared" si="794"/>
        <v>HDPE</v>
      </c>
      <c r="FC905" t="str">
        <f t="shared" si="795"/>
        <v>DeSorption</v>
      </c>
      <c r="FD905">
        <f t="shared" si="796"/>
        <v>295</v>
      </c>
      <c r="FE905" t="str">
        <f t="shared" si="797"/>
        <v>water</v>
      </c>
      <c r="FF905" t="str">
        <f t="shared" si="798"/>
        <v xml:space="preserve">saturated ?? </v>
      </c>
      <c r="FG905" s="408">
        <f t="shared" si="789"/>
        <v>1</v>
      </c>
      <c r="FH905" s="138" t="str">
        <f t="shared" si="799"/>
        <v/>
      </c>
      <c r="FI905" s="106" t="str">
        <f t="shared" si="790"/>
        <v>**</v>
      </c>
      <c r="FJ905" s="138">
        <f t="shared" si="800"/>
        <v>-12.728158393463501</v>
      </c>
      <c r="FK905" s="138" t="str">
        <f t="shared" ref="FK905:FK927" si="822">IF(ISNUMBER(DM905),DM905*DP$33+DP$35,IF(ISNUMBER(DN905),DN905*DP$33+DP$35,IF(ISNUMBER(DO905),DO905*DP$33+DP$35,"**")))</f>
        <v>**</v>
      </c>
    </row>
    <row r="906" spans="1:167" ht="12.75" hidden="1" customHeight="1" x14ac:dyDescent="0.2">
      <c r="A906">
        <v>871</v>
      </c>
      <c r="B906" s="4" t="s">
        <v>1402</v>
      </c>
      <c r="C906" s="4"/>
      <c r="D906" t="s">
        <v>930</v>
      </c>
      <c r="E906" s="33">
        <v>-1694</v>
      </c>
      <c r="F906" t="str">
        <f>VLOOKUP(E906,CompDbase!B:L,4,FALSE)</f>
        <v>2-Propanol</v>
      </c>
      <c r="G906" s="95" t="str">
        <f>VLOOKUP(E906,CompDbase!B:M,12,FALSE)</f>
        <v>O2</v>
      </c>
      <c r="H906" s="95">
        <f>VLOOKUP(E906,CompDbase!B:L,8,FALSE)</f>
        <v>60.1</v>
      </c>
      <c r="I906" s="95" t="e">
        <f>VLOOKUP(E906,CompDbase!B:L,11,FALSE)</f>
        <v>#DIV/0!</v>
      </c>
      <c r="J906" s="95">
        <f>VLOOKUP(E906,CompDbase!B:L,9,FALSE)</f>
        <v>1000000</v>
      </c>
      <c r="K906" s="95">
        <f>VLOOKUP(E906,CompDbase!B:L,10,FALSE)</f>
        <v>0.05</v>
      </c>
      <c r="L906" t="s">
        <v>717</v>
      </c>
      <c r="M906" s="423"/>
      <c r="N906" s="423"/>
      <c r="O906" t="s">
        <v>1741</v>
      </c>
      <c r="P906">
        <v>295</v>
      </c>
      <c r="Q906" t="s">
        <v>1049</v>
      </c>
      <c r="R906" s="289" t="s">
        <v>1983</v>
      </c>
      <c r="T906" s="289">
        <v>1</v>
      </c>
      <c r="Y906">
        <v>8.5000000000000016E-14</v>
      </c>
      <c r="Z906" s="95">
        <f t="shared" si="815"/>
        <v>-13.070581074285707</v>
      </c>
      <c r="AC906" t="s">
        <v>68</v>
      </c>
      <c r="DG906">
        <f t="shared" si="816"/>
        <v>-13.070581074285707</v>
      </c>
      <c r="DH906">
        <f t="shared" si="817"/>
        <v>60.1</v>
      </c>
      <c r="DJ906">
        <f t="shared" si="821"/>
        <v>60.1</v>
      </c>
      <c r="EY906" s="479">
        <f>VLOOKUP(B906,Literatuur!$A:$B,2,FALSE)</f>
        <v>38</v>
      </c>
      <c r="EZ906" t="str">
        <f t="shared" si="792"/>
        <v>2-propanol</v>
      </c>
      <c r="FA906" t="str">
        <f t="shared" si="793"/>
        <v>O2</v>
      </c>
      <c r="FB906" t="str">
        <f t="shared" si="794"/>
        <v>HDPE</v>
      </c>
      <c r="FC906" t="str">
        <f t="shared" si="795"/>
        <v>DeSorption</v>
      </c>
      <c r="FD906">
        <f t="shared" si="796"/>
        <v>295</v>
      </c>
      <c r="FE906" t="str">
        <f t="shared" si="797"/>
        <v>water</v>
      </c>
      <c r="FF906" t="str">
        <f t="shared" si="798"/>
        <v xml:space="preserve">saturated ?? </v>
      </c>
      <c r="FG906" s="408">
        <f t="shared" si="789"/>
        <v>1</v>
      </c>
      <c r="FH906" s="138" t="str">
        <f t="shared" si="799"/>
        <v/>
      </c>
      <c r="FI906" s="106" t="str">
        <f t="shared" si="790"/>
        <v>**</v>
      </c>
      <c r="FJ906" s="138">
        <f t="shared" si="800"/>
        <v>-13.070581074285707</v>
      </c>
      <c r="FK906" s="138" t="str">
        <f t="shared" si="822"/>
        <v>**</v>
      </c>
    </row>
    <row r="907" spans="1:167" ht="12.75" hidden="1" customHeight="1" x14ac:dyDescent="0.2">
      <c r="A907">
        <v>872</v>
      </c>
      <c r="B907" s="4" t="s">
        <v>1402</v>
      </c>
      <c r="C907" s="4"/>
      <c r="D907" t="s">
        <v>928</v>
      </c>
      <c r="E907" s="33">
        <v>1093</v>
      </c>
      <c r="F907" t="str">
        <f>VLOOKUP(E907,CompDbase!B:L,4,FALSE)</f>
        <v>2-Butanone</v>
      </c>
      <c r="G907" s="95" t="str">
        <f>VLOOKUP(E907,CompDbase!B:M,12,FALSE)</f>
        <v>O2</v>
      </c>
      <c r="H907" s="95">
        <f>VLOOKUP(E907,CompDbase!B:L,8,FALSE)</f>
        <v>72</v>
      </c>
      <c r="I907" s="95">
        <f>VLOOKUP(E907,CompDbase!B:L,11,FALSE)</f>
        <v>90.2</v>
      </c>
      <c r="J907" s="95">
        <f>VLOOKUP(E907,CompDbase!B:L,9,FALSE)</f>
        <v>352800</v>
      </c>
      <c r="K907" s="95">
        <f>VLOOKUP(E907,CompDbase!B:L,10,FALSE)</f>
        <v>0.27549999999999997</v>
      </c>
      <c r="L907" t="s">
        <v>717</v>
      </c>
      <c r="M907" s="423"/>
      <c r="N907" s="423"/>
      <c r="O907" t="s">
        <v>1741</v>
      </c>
      <c r="P907">
        <v>295</v>
      </c>
      <c r="Q907" t="s">
        <v>1049</v>
      </c>
      <c r="R907" s="289" t="s">
        <v>1983</v>
      </c>
      <c r="T907" s="289">
        <v>1</v>
      </c>
      <c r="Y907">
        <v>6.0700000000000014E-13</v>
      </c>
      <c r="Z907" s="95">
        <f t="shared" si="815"/>
        <v>-12.216811308924742</v>
      </c>
      <c r="AC907" t="s">
        <v>68</v>
      </c>
      <c r="DG907">
        <f t="shared" si="816"/>
        <v>-12.216811308924742</v>
      </c>
      <c r="DH907">
        <f t="shared" si="817"/>
        <v>72</v>
      </c>
      <c r="DJ907">
        <f t="shared" si="821"/>
        <v>72</v>
      </c>
      <c r="EY907" s="479">
        <f>VLOOKUP(B907,Literatuur!$A:$B,2,FALSE)</f>
        <v>38</v>
      </c>
      <c r="EZ907" t="str">
        <f t="shared" si="792"/>
        <v>Butanone</v>
      </c>
      <c r="FA907" t="str">
        <f t="shared" si="793"/>
        <v>O2</v>
      </c>
      <c r="FB907" t="str">
        <f t="shared" si="794"/>
        <v>HDPE</v>
      </c>
      <c r="FC907" t="str">
        <f t="shared" si="795"/>
        <v>DeSorption</v>
      </c>
      <c r="FD907">
        <f t="shared" si="796"/>
        <v>295</v>
      </c>
      <c r="FE907" t="str">
        <f t="shared" si="797"/>
        <v>water</v>
      </c>
      <c r="FF907" t="str">
        <f t="shared" si="798"/>
        <v xml:space="preserve">saturated ?? </v>
      </c>
      <c r="FG907" s="408">
        <f t="shared" si="789"/>
        <v>1</v>
      </c>
      <c r="FH907" s="138" t="str">
        <f t="shared" si="799"/>
        <v/>
      </c>
      <c r="FI907" s="106" t="str">
        <f t="shared" si="790"/>
        <v>**</v>
      </c>
      <c r="FJ907" s="138">
        <f t="shared" si="800"/>
        <v>-12.216811308924742</v>
      </c>
      <c r="FK907" s="138" t="str">
        <f t="shared" si="822"/>
        <v>**</v>
      </c>
    </row>
    <row r="908" spans="1:167" ht="12.75" hidden="1" customHeight="1" x14ac:dyDescent="0.2">
      <c r="A908">
        <v>873</v>
      </c>
      <c r="B908" s="4" t="s">
        <v>1402</v>
      </c>
      <c r="C908" s="4"/>
      <c r="D908" t="s">
        <v>931</v>
      </c>
      <c r="E908" s="33">
        <v>-1695</v>
      </c>
      <c r="F908" t="str">
        <f>VLOOKUP(E908,CompDbase!B:L,4,FALSE)</f>
        <v>Methyl tert-butyl ether</v>
      </c>
      <c r="G908" s="95" t="str">
        <f>VLOOKUP(E908,CompDbase!B:M,12,FALSE)</f>
        <v>O2</v>
      </c>
      <c r="H908" s="95">
        <f>VLOOKUP(E908,CompDbase!B:L,8,FALSE)</f>
        <v>88.15</v>
      </c>
      <c r="I908" s="95" t="e">
        <f>VLOOKUP(E908,CompDbase!B:L,11,FALSE)</f>
        <v>#DIV/0!</v>
      </c>
      <c r="J908" s="95">
        <f>VLOOKUP(E908,CompDbase!B:L,9,FALSE)</f>
        <v>51000</v>
      </c>
      <c r="K908" s="95">
        <f>VLOOKUP(E908,CompDbase!B:L,10,FALSE)</f>
        <v>0.94</v>
      </c>
      <c r="L908" t="s">
        <v>717</v>
      </c>
      <c r="M908" s="423"/>
      <c r="N908" s="423"/>
      <c r="O908" t="s">
        <v>1741</v>
      </c>
      <c r="P908">
        <v>295</v>
      </c>
      <c r="Q908" t="s">
        <v>1049</v>
      </c>
      <c r="R908" s="289" t="s">
        <v>1983</v>
      </c>
      <c r="T908" s="289">
        <v>1</v>
      </c>
      <c r="Y908">
        <v>2.0400000000000001E-13</v>
      </c>
      <c r="Z908" s="95">
        <f t="shared" si="815"/>
        <v>-12.690369832574101</v>
      </c>
      <c r="AC908" t="s">
        <v>68</v>
      </c>
      <c r="DG908">
        <f t="shared" si="816"/>
        <v>-12.690369832574101</v>
      </c>
      <c r="DH908">
        <f t="shared" si="817"/>
        <v>88.15</v>
      </c>
      <c r="DJ908">
        <f t="shared" si="821"/>
        <v>88.15</v>
      </c>
      <c r="EY908" s="479">
        <f>VLOOKUP(B908,Literatuur!$A:$B,2,FALSE)</f>
        <v>38</v>
      </c>
      <c r="EZ908" t="str">
        <f t="shared" si="792"/>
        <v>MTBE</v>
      </c>
      <c r="FA908" t="str">
        <f t="shared" si="793"/>
        <v>O2</v>
      </c>
      <c r="FB908" t="str">
        <f t="shared" si="794"/>
        <v>HDPE</v>
      </c>
      <c r="FC908" t="str">
        <f t="shared" si="795"/>
        <v>DeSorption</v>
      </c>
      <c r="FD908">
        <f t="shared" si="796"/>
        <v>295</v>
      </c>
      <c r="FE908" t="str">
        <f t="shared" si="797"/>
        <v>water</v>
      </c>
      <c r="FF908" t="str">
        <f t="shared" si="798"/>
        <v xml:space="preserve">saturated ?? </v>
      </c>
      <c r="FG908" s="408">
        <f t="shared" si="789"/>
        <v>1</v>
      </c>
      <c r="FH908" s="138" t="str">
        <f t="shared" si="799"/>
        <v/>
      </c>
      <c r="FI908" s="106" t="str">
        <f t="shared" si="790"/>
        <v>**</v>
      </c>
      <c r="FJ908" s="138">
        <f t="shared" si="800"/>
        <v>-12.690369832574101</v>
      </c>
      <c r="FK908" s="138" t="str">
        <f t="shared" si="822"/>
        <v>**</v>
      </c>
    </row>
    <row r="909" spans="1:167" ht="12.75" hidden="1" customHeight="1" x14ac:dyDescent="0.2">
      <c r="A909">
        <v>874</v>
      </c>
      <c r="B909" s="4" t="s">
        <v>1402</v>
      </c>
      <c r="C909" s="4"/>
      <c r="D909" t="s">
        <v>926</v>
      </c>
      <c r="E909" s="33">
        <v>-1507</v>
      </c>
      <c r="F909" t="str">
        <f>VLOOKUP(E909,CompDbase!B:L,4,FALSE)</f>
        <v>Acetone</v>
      </c>
      <c r="G909" s="95" t="str">
        <f>VLOOKUP(E909,CompDbase!B:M,12,FALSE)</f>
        <v>O2</v>
      </c>
      <c r="H909" s="95">
        <f>VLOOKUP(E909,CompDbase!B:L,8,FALSE)</f>
        <v>58.08</v>
      </c>
      <c r="I909" s="95">
        <f>VLOOKUP(E909,CompDbase!B:L,11,FALSE)</f>
        <v>74</v>
      </c>
      <c r="J909" s="95">
        <f>VLOOKUP(E909,CompDbase!B:L,9,FALSE)</f>
        <v>790000</v>
      </c>
      <c r="K909" s="95">
        <f>VLOOKUP(E909,CompDbase!B:L,10,FALSE)</f>
        <v>-0.24</v>
      </c>
      <c r="L909" t="s">
        <v>717</v>
      </c>
      <c r="M909" s="423"/>
      <c r="N909" s="423"/>
      <c r="O909" t="s">
        <v>1741</v>
      </c>
      <c r="P909">
        <v>295</v>
      </c>
      <c r="Q909" t="s">
        <v>1049</v>
      </c>
      <c r="R909" s="289" t="s">
        <v>1983</v>
      </c>
      <c r="T909" s="289">
        <v>1</v>
      </c>
      <c r="Y909">
        <v>8.0999999999999998E-13</v>
      </c>
      <c r="Z909" s="95">
        <f t="shared" si="815"/>
        <v>-12.09151498112135</v>
      </c>
      <c r="AC909" t="s">
        <v>68</v>
      </c>
      <c r="DG909">
        <f t="shared" si="816"/>
        <v>-12.09151498112135</v>
      </c>
      <c r="DH909">
        <f t="shared" si="817"/>
        <v>58.08</v>
      </c>
      <c r="DJ909">
        <f t="shared" si="821"/>
        <v>58.08</v>
      </c>
      <c r="EY909" s="479">
        <f>VLOOKUP(B909,Literatuur!$A:$B,2,FALSE)</f>
        <v>38</v>
      </c>
      <c r="EZ909" t="str">
        <f t="shared" si="792"/>
        <v>Propanone</v>
      </c>
      <c r="FA909" t="str">
        <f t="shared" si="793"/>
        <v>O2</v>
      </c>
      <c r="FB909" t="str">
        <f t="shared" si="794"/>
        <v>HDPE</v>
      </c>
      <c r="FC909" t="str">
        <f t="shared" si="795"/>
        <v>DeSorption</v>
      </c>
      <c r="FD909">
        <f t="shared" si="796"/>
        <v>295</v>
      </c>
      <c r="FE909" t="str">
        <f t="shared" si="797"/>
        <v>water</v>
      </c>
      <c r="FF909" t="str">
        <f t="shared" si="798"/>
        <v xml:space="preserve">saturated ?? </v>
      </c>
      <c r="FG909" s="408">
        <f t="shared" si="789"/>
        <v>1</v>
      </c>
      <c r="FH909" s="138" t="str">
        <f t="shared" si="799"/>
        <v/>
      </c>
      <c r="FI909" s="106" t="str">
        <f t="shared" si="790"/>
        <v>**</v>
      </c>
      <c r="FJ909" s="138">
        <f t="shared" si="800"/>
        <v>-12.09151498112135</v>
      </c>
      <c r="FK909" s="138" t="str">
        <f t="shared" si="822"/>
        <v>**</v>
      </c>
    </row>
    <row r="910" spans="1:167" ht="12.75" hidden="1" customHeight="1" x14ac:dyDescent="0.2">
      <c r="A910">
        <v>875</v>
      </c>
      <c r="B910" s="4" t="s">
        <v>1875</v>
      </c>
      <c r="C910" s="4"/>
      <c r="D910" t="s">
        <v>929</v>
      </c>
      <c r="E910" s="33">
        <v>-1693</v>
      </c>
      <c r="F910" t="str">
        <f>VLOOKUP(E910,CompDbase!B:L,4,FALSE)</f>
        <v>1-Butanol</v>
      </c>
      <c r="G910" s="95" t="str">
        <f>VLOOKUP(E910,CompDbase!B:M,12,FALSE)</f>
        <v>O2</v>
      </c>
      <c r="H910" s="95">
        <f>VLOOKUP(E910,CompDbase!B:L,8,FALSE)</f>
        <v>74.12</v>
      </c>
      <c r="I910" s="95" t="e">
        <f>VLOOKUP(E910,CompDbase!B:L,11,FALSE)</f>
        <v>#DIV/0!</v>
      </c>
      <c r="J910" s="95">
        <f>VLOOKUP(E910,CompDbase!B:L,9,FALSE)</f>
        <v>63200</v>
      </c>
      <c r="K910" s="95">
        <f>VLOOKUP(E910,CompDbase!B:L,10,FALSE)</f>
        <v>0.88</v>
      </c>
      <c r="L910" t="s">
        <v>717</v>
      </c>
      <c r="M910" s="423"/>
      <c r="N910" s="423">
        <v>948000</v>
      </c>
      <c r="O910" t="s">
        <v>1044</v>
      </c>
      <c r="P910">
        <v>295</v>
      </c>
      <c r="Q910" t="s">
        <v>1049</v>
      </c>
      <c r="R910" s="289" t="s">
        <v>1983</v>
      </c>
      <c r="T910" s="289">
        <v>1</v>
      </c>
      <c r="U910">
        <v>5.3</v>
      </c>
      <c r="W910" s="183">
        <f>U910/J910</f>
        <v>8.386075949367089E-5</v>
      </c>
      <c r="X910" s="288">
        <f>LOG(W910)</f>
        <v>-4.0764412086815955</v>
      </c>
      <c r="Y910">
        <v>9.900000000000002E-14</v>
      </c>
      <c r="Z910" s="95">
        <f t="shared" si="815"/>
        <v>-13.004364805402449</v>
      </c>
      <c r="AA910" s="95">
        <f>W910*Y910</f>
        <v>8.3022151898734204E-18</v>
      </c>
      <c r="AB910" s="288">
        <f>LOG(AA910)</f>
        <v>-17.080806014084047</v>
      </c>
      <c r="AC910" s="95" t="s">
        <v>68</v>
      </c>
      <c r="AD910" s="95"/>
      <c r="AG910" s="138">
        <f t="shared" ref="AG910:AG914" si="823">X910</f>
        <v>-4.0764412086815955</v>
      </c>
      <c r="AH910">
        <f t="shared" ref="AH910:AI914" si="824">$K910</f>
        <v>0.88</v>
      </c>
      <c r="AI910">
        <f t="shared" si="824"/>
        <v>0.88</v>
      </c>
      <c r="AN910">
        <f t="shared" ref="AN910:AN914" si="825">$K910</f>
        <v>0.88</v>
      </c>
      <c r="AQ910">
        <f t="shared" ref="AQ910:AQ914" si="826">$K910</f>
        <v>0.88</v>
      </c>
      <c r="BW910" s="138"/>
      <c r="BX910">
        <f t="shared" ref="BX910:BY914" si="827">LOG(1*$J910)</f>
        <v>4.8007170782823847</v>
      </c>
      <c r="BY910">
        <f t="shared" si="827"/>
        <v>4.8007170782823847</v>
      </c>
      <c r="CD910">
        <f>LOG(1*$J910)</f>
        <v>4.8007170782823847</v>
      </c>
      <c r="CG910">
        <f>LOG(1*$J910)</f>
        <v>4.8007170782823847</v>
      </c>
      <c r="DG910">
        <f t="shared" si="816"/>
        <v>-13.004364805402449</v>
      </c>
      <c r="DH910">
        <f t="shared" si="817"/>
        <v>74.12</v>
      </c>
      <c r="DI910">
        <f t="shared" si="817"/>
        <v>74.12</v>
      </c>
      <c r="EY910" s="479">
        <f>VLOOKUP(B910,Literatuur!$A:$B,2,FALSE)</f>
        <v>39</v>
      </c>
      <c r="EZ910" t="str">
        <f t="shared" si="792"/>
        <v>1-butanol</v>
      </c>
      <c r="FA910" t="str">
        <f t="shared" si="793"/>
        <v>O2</v>
      </c>
      <c r="FB910" t="str">
        <f t="shared" si="794"/>
        <v>HDPE</v>
      </c>
      <c r="FC910" t="str">
        <f t="shared" si="795"/>
        <v>Immersion</v>
      </c>
      <c r="FD910">
        <f t="shared" si="796"/>
        <v>295</v>
      </c>
      <c r="FE910" t="str">
        <f t="shared" si="797"/>
        <v>water</v>
      </c>
      <c r="FF910" t="str">
        <f t="shared" si="798"/>
        <v xml:space="preserve">saturated ?? </v>
      </c>
      <c r="FG910" s="408">
        <f t="shared" si="789"/>
        <v>1</v>
      </c>
      <c r="FH910" s="138">
        <f t="shared" si="799"/>
        <v>-4.0764412086815955</v>
      </c>
      <c r="FI910" s="106">
        <f>IF(ISNUMBER(AL910),AL910*AL$33+AL$35,IF(ISNUMBER(AM910),AM910*AM$33+AM$35,IF(ISNUMBER(AN910),AN910*AN$33+AN$35,"**")))</f>
        <v>-1.5233984823901203</v>
      </c>
      <c r="FJ910" s="138">
        <f t="shared" si="800"/>
        <v>-13.004364805402449</v>
      </c>
      <c r="FK910" s="138" t="str">
        <f t="shared" si="822"/>
        <v>**</v>
      </c>
    </row>
    <row r="911" spans="1:167" ht="12.75" hidden="1" customHeight="1" x14ac:dyDescent="0.2">
      <c r="A911">
        <v>876</v>
      </c>
      <c r="B911" s="4" t="s">
        <v>1875</v>
      </c>
      <c r="C911" s="4"/>
      <c r="D911" t="s">
        <v>930</v>
      </c>
      <c r="E911" s="33">
        <v>-1694</v>
      </c>
      <c r="F911" t="str">
        <f>VLOOKUP(E911,CompDbase!B:L,4,FALSE)</f>
        <v>2-Propanol</v>
      </c>
      <c r="G911" s="95" t="str">
        <f>VLOOKUP(E911,CompDbase!B:M,12,FALSE)</f>
        <v>O2</v>
      </c>
      <c r="H911" s="95">
        <f>VLOOKUP(E911,CompDbase!B:L,8,FALSE)</f>
        <v>60.1</v>
      </c>
      <c r="I911" s="95" t="e">
        <f>VLOOKUP(E911,CompDbase!B:L,11,FALSE)</f>
        <v>#DIV/0!</v>
      </c>
      <c r="J911" s="95">
        <f>VLOOKUP(E911,CompDbase!B:L,9,FALSE)</f>
        <v>1000000</v>
      </c>
      <c r="K911" s="95">
        <f>VLOOKUP(E911,CompDbase!B:L,10,FALSE)</f>
        <v>0.05</v>
      </c>
      <c r="L911" t="s">
        <v>717</v>
      </c>
      <c r="M911" s="423"/>
      <c r="N911" s="423">
        <v>948000</v>
      </c>
      <c r="O911" t="s">
        <v>1044</v>
      </c>
      <c r="P911">
        <v>295</v>
      </c>
      <c r="Q911" t="s">
        <v>1049</v>
      </c>
      <c r="R911" s="289" t="s">
        <v>1983</v>
      </c>
      <c r="T911" s="289">
        <v>1</v>
      </c>
      <c r="U911">
        <v>3.5</v>
      </c>
      <c r="W911" s="183">
        <f>U911/J911</f>
        <v>3.4999999999999999E-6</v>
      </c>
      <c r="X911" s="288">
        <f>LOG(W911)</f>
        <v>-5.4559319556497243</v>
      </c>
      <c r="Y911">
        <v>4.97E-13</v>
      </c>
      <c r="Z911" s="95">
        <f t="shared" si="815"/>
        <v>-12.303643611266669</v>
      </c>
      <c r="AA911" s="95">
        <f>W911*Y911</f>
        <v>1.7394999999999999E-18</v>
      </c>
      <c r="AB911" s="288">
        <f>LOG(AA911)</f>
        <v>-17.759575566916393</v>
      </c>
      <c r="AC911" s="95" t="s">
        <v>68</v>
      </c>
      <c r="AD911" s="95"/>
      <c r="AG911" s="138">
        <f t="shared" si="823"/>
        <v>-5.4559319556497243</v>
      </c>
      <c r="AH911">
        <f t="shared" si="824"/>
        <v>0.05</v>
      </c>
      <c r="AI911">
        <f t="shared" si="824"/>
        <v>0.05</v>
      </c>
      <c r="AN911">
        <f t="shared" si="825"/>
        <v>0.05</v>
      </c>
      <c r="AQ911">
        <f t="shared" si="826"/>
        <v>0.05</v>
      </c>
      <c r="BW911" s="138"/>
      <c r="BX911">
        <f t="shared" si="827"/>
        <v>6</v>
      </c>
      <c r="BY911">
        <f t="shared" si="827"/>
        <v>6</v>
      </c>
      <c r="CD911">
        <f>LOG(1*$J911)</f>
        <v>6</v>
      </c>
      <c r="CG911">
        <f>LOG(1*$J911)</f>
        <v>6</v>
      </c>
      <c r="DG911">
        <f t="shared" si="816"/>
        <v>-12.303643611266669</v>
      </c>
      <c r="DH911">
        <f t="shared" si="817"/>
        <v>60.1</v>
      </c>
      <c r="DI911">
        <f t="shared" si="817"/>
        <v>60.1</v>
      </c>
      <c r="EY911" s="479">
        <f>VLOOKUP(B911,Literatuur!$A:$B,2,FALSE)</f>
        <v>39</v>
      </c>
      <c r="EZ911" t="str">
        <f t="shared" si="792"/>
        <v>2-propanol</v>
      </c>
      <c r="FA911" t="str">
        <f t="shared" si="793"/>
        <v>O2</v>
      </c>
      <c r="FB911" t="str">
        <f t="shared" si="794"/>
        <v>HDPE</v>
      </c>
      <c r="FC911" t="str">
        <f t="shared" si="795"/>
        <v>Immersion</v>
      </c>
      <c r="FD911">
        <f t="shared" si="796"/>
        <v>295</v>
      </c>
      <c r="FE911" t="str">
        <f t="shared" si="797"/>
        <v>water</v>
      </c>
      <c r="FF911" t="str">
        <f t="shared" si="798"/>
        <v xml:space="preserve">saturated ?? </v>
      </c>
      <c r="FG911" s="408">
        <f t="shared" si="789"/>
        <v>1</v>
      </c>
      <c r="FH911" s="138">
        <f t="shared" si="799"/>
        <v>-5.4559319556497243</v>
      </c>
      <c r="FI911" s="106">
        <f t="shared" ref="FI911:FI927" si="828">IF(ISNUMBER(AL911),AL911*AL$33+AL$35,IF(ISNUMBER(AM911),AM911*AM$33+AM$35,IF(ISNUMBER(AN911),AN911*AN$33+AN$35,"**")))</f>
        <v>-2.5449075474755891</v>
      </c>
      <c r="FJ911" s="138">
        <f t="shared" si="800"/>
        <v>-12.303643611266669</v>
      </c>
      <c r="FK911" s="138" t="str">
        <f t="shared" si="822"/>
        <v>**</v>
      </c>
    </row>
    <row r="912" spans="1:167" ht="12.75" hidden="1" customHeight="1" x14ac:dyDescent="0.2">
      <c r="A912">
        <v>877</v>
      </c>
      <c r="B912" s="4" t="s">
        <v>1875</v>
      </c>
      <c r="C912" s="4"/>
      <c r="D912" s="4" t="s">
        <v>928</v>
      </c>
      <c r="E912" s="33">
        <v>1093</v>
      </c>
      <c r="F912" t="str">
        <f>VLOOKUP(E912,CompDbase!B:L,4,FALSE)</f>
        <v>2-Butanone</v>
      </c>
      <c r="G912" s="95" t="str">
        <f>VLOOKUP(E912,CompDbase!B:M,12,FALSE)</f>
        <v>O2</v>
      </c>
      <c r="H912" s="95">
        <f>VLOOKUP(E912,CompDbase!B:L,8,FALSE)</f>
        <v>72</v>
      </c>
      <c r="I912" s="95">
        <f>VLOOKUP(E912,CompDbase!B:L,11,FALSE)</f>
        <v>90.2</v>
      </c>
      <c r="J912" s="95">
        <f>VLOOKUP(E912,CompDbase!B:L,9,FALSE)</f>
        <v>352800</v>
      </c>
      <c r="K912" s="95">
        <f>VLOOKUP(E912,CompDbase!B:L,10,FALSE)</f>
        <v>0.27549999999999997</v>
      </c>
      <c r="L912" t="s">
        <v>717</v>
      </c>
      <c r="M912" s="423"/>
      <c r="N912" s="423">
        <v>948000</v>
      </c>
      <c r="O912" t="s">
        <v>1044</v>
      </c>
      <c r="P912">
        <v>295</v>
      </c>
      <c r="Q912" t="s">
        <v>1049</v>
      </c>
      <c r="R912" s="289" t="s">
        <v>1983</v>
      </c>
      <c r="T912" s="289">
        <v>1</v>
      </c>
      <c r="U912">
        <v>19</v>
      </c>
      <c r="W912" s="183">
        <f>U912/J912</f>
        <v>5.3854875283446711E-5</v>
      </c>
      <c r="X912" s="288">
        <f>LOG(W912)</f>
        <v>-4.2687749755069531</v>
      </c>
      <c r="Y912">
        <v>7.9000000000000017E-13</v>
      </c>
      <c r="Z912" s="95">
        <f t="shared" si="815"/>
        <v>-12.102372908709558</v>
      </c>
      <c r="AA912" s="95">
        <f>W912*Y912</f>
        <v>4.2545351473922908E-17</v>
      </c>
      <c r="AB912" s="288">
        <f>LOG(AA912)</f>
        <v>-16.371147884216512</v>
      </c>
      <c r="AC912" s="95" t="s">
        <v>68</v>
      </c>
      <c r="AD912" s="95"/>
      <c r="AG912" s="138">
        <f t="shared" si="823"/>
        <v>-4.2687749755069531</v>
      </c>
      <c r="AH912">
        <f t="shared" si="824"/>
        <v>0.27549999999999997</v>
      </c>
      <c r="AI912">
        <f t="shared" si="824"/>
        <v>0.27549999999999997</v>
      </c>
      <c r="AN912">
        <f t="shared" si="825"/>
        <v>0.27549999999999997</v>
      </c>
      <c r="AQ912">
        <f t="shared" si="826"/>
        <v>0.27549999999999997</v>
      </c>
      <c r="BW912" s="138"/>
      <c r="BX912">
        <f t="shared" si="827"/>
        <v>5.5475285764597819</v>
      </c>
      <c r="BY912">
        <f t="shared" si="827"/>
        <v>5.5475285764597819</v>
      </c>
      <c r="CD912">
        <f>LOG(1*$J912)</f>
        <v>5.5475285764597819</v>
      </c>
      <c r="CG912">
        <f>LOG(1*$J912)</f>
        <v>5.5475285764597819</v>
      </c>
      <c r="DG912">
        <f t="shared" si="816"/>
        <v>-12.102372908709558</v>
      </c>
      <c r="DH912">
        <f t="shared" si="817"/>
        <v>72</v>
      </c>
      <c r="DI912">
        <f t="shared" si="817"/>
        <v>72</v>
      </c>
      <c r="EY912" s="479">
        <f>VLOOKUP(B912,Literatuur!$A:$B,2,FALSE)</f>
        <v>39</v>
      </c>
      <c r="EZ912" t="str">
        <f t="shared" si="792"/>
        <v>Butanone</v>
      </c>
      <c r="FA912" t="str">
        <f t="shared" si="793"/>
        <v>O2</v>
      </c>
      <c r="FB912" t="str">
        <f t="shared" si="794"/>
        <v>HDPE</v>
      </c>
      <c r="FC912" t="str">
        <f t="shared" si="795"/>
        <v>Immersion</v>
      </c>
      <c r="FD912">
        <f t="shared" si="796"/>
        <v>295</v>
      </c>
      <c r="FE912" t="str">
        <f t="shared" si="797"/>
        <v>water</v>
      </c>
      <c r="FF912" t="str">
        <f t="shared" si="798"/>
        <v xml:space="preserve">saturated ?? </v>
      </c>
      <c r="FG912" s="408">
        <f t="shared" si="789"/>
        <v>1</v>
      </c>
      <c r="FH912" s="138">
        <f t="shared" si="799"/>
        <v>-4.2687749755069531</v>
      </c>
      <c r="FI912" s="106">
        <f t="shared" si="828"/>
        <v>-2.2673770725638143</v>
      </c>
      <c r="FJ912" s="138">
        <f t="shared" si="800"/>
        <v>-12.102372908709558</v>
      </c>
      <c r="FK912" s="138" t="str">
        <f t="shared" si="822"/>
        <v>**</v>
      </c>
    </row>
    <row r="913" spans="1:167" ht="12.75" hidden="1" customHeight="1" x14ac:dyDescent="0.2">
      <c r="A913">
        <v>878</v>
      </c>
      <c r="B913" s="4" t="s">
        <v>1875</v>
      </c>
      <c r="C913" s="4"/>
      <c r="D913" t="s">
        <v>931</v>
      </c>
      <c r="E913" s="33">
        <v>-1695</v>
      </c>
      <c r="F913" t="str">
        <f>VLOOKUP(E913,CompDbase!B:L,4,FALSE)</f>
        <v>Methyl tert-butyl ether</v>
      </c>
      <c r="G913" s="95" t="str">
        <f>VLOOKUP(E913,CompDbase!B:M,12,FALSE)</f>
        <v>O2</v>
      </c>
      <c r="H913" s="95">
        <f>VLOOKUP(E913,CompDbase!B:L,8,FALSE)</f>
        <v>88.15</v>
      </c>
      <c r="I913" s="95" t="e">
        <f>VLOOKUP(E913,CompDbase!B:L,11,FALSE)</f>
        <v>#DIV/0!</v>
      </c>
      <c r="J913" s="95">
        <f>VLOOKUP(E913,CompDbase!B:L,9,FALSE)</f>
        <v>51000</v>
      </c>
      <c r="K913" s="95">
        <f>VLOOKUP(E913,CompDbase!B:L,10,FALSE)</f>
        <v>0.94</v>
      </c>
      <c r="L913" t="s">
        <v>717</v>
      </c>
      <c r="M913" s="423"/>
      <c r="N913" s="423">
        <v>948000</v>
      </c>
      <c r="O913" t="s">
        <v>1044</v>
      </c>
      <c r="P913">
        <v>295</v>
      </c>
      <c r="Q913" t="s">
        <v>1049</v>
      </c>
      <c r="R913" s="289" t="s">
        <v>1983</v>
      </c>
      <c r="T913" s="289">
        <v>1</v>
      </c>
      <c r="U913">
        <v>54.6</v>
      </c>
      <c r="W913" s="183">
        <f>U913/J913</f>
        <v>1.0705882352941177E-3</v>
      </c>
      <c r="X913" s="288">
        <f>LOG(W913)</f>
        <v>-2.970377533393199</v>
      </c>
      <c r="Y913">
        <v>6.6500000000000009E-13</v>
      </c>
      <c r="Z913" s="95">
        <f t="shared" si="815"/>
        <v>-12.177178354696895</v>
      </c>
      <c r="AA913" s="95">
        <f>W913*Y913</f>
        <v>7.1194117647058836E-16</v>
      </c>
      <c r="AB913" s="288">
        <f>LOG(AA913)</f>
        <v>-15.147555888090094</v>
      </c>
      <c r="AC913" s="95" t="s">
        <v>68</v>
      </c>
      <c r="AD913" s="95"/>
      <c r="AG913" s="138">
        <f t="shared" si="823"/>
        <v>-2.970377533393199</v>
      </c>
      <c r="AH913">
        <f t="shared" si="824"/>
        <v>0.94</v>
      </c>
      <c r="AI913">
        <f t="shared" si="824"/>
        <v>0.94</v>
      </c>
      <c r="AN913">
        <f t="shared" si="825"/>
        <v>0.94</v>
      </c>
      <c r="AQ913">
        <f t="shared" si="826"/>
        <v>0.94</v>
      </c>
      <c r="BW913" s="138"/>
      <c r="BX913">
        <f t="shared" si="827"/>
        <v>4.7075701760979367</v>
      </c>
      <c r="BY913">
        <f t="shared" si="827"/>
        <v>4.7075701760979367</v>
      </c>
      <c r="CD913">
        <f>LOG(1*$J913)</f>
        <v>4.7075701760979367</v>
      </c>
      <c r="CG913">
        <f>LOG(1*$J913)</f>
        <v>4.7075701760979367</v>
      </c>
      <c r="DG913">
        <f t="shared" si="816"/>
        <v>-12.177178354696895</v>
      </c>
      <c r="DH913">
        <f t="shared" si="817"/>
        <v>88.15</v>
      </c>
      <c r="DI913">
        <f t="shared" si="817"/>
        <v>88.15</v>
      </c>
      <c r="EY913" s="479">
        <f>VLOOKUP(B913,Literatuur!$A:$B,2,FALSE)</f>
        <v>39</v>
      </c>
      <c r="EZ913" t="str">
        <f t="shared" si="792"/>
        <v>MTBE</v>
      </c>
      <c r="FA913" t="str">
        <f t="shared" si="793"/>
        <v>O2</v>
      </c>
      <c r="FB913" t="str">
        <f t="shared" si="794"/>
        <v>HDPE</v>
      </c>
      <c r="FC913" t="str">
        <f t="shared" si="795"/>
        <v>Immersion</v>
      </c>
      <c r="FD913">
        <f t="shared" si="796"/>
        <v>295</v>
      </c>
      <c r="FE913" t="str">
        <f t="shared" si="797"/>
        <v>water</v>
      </c>
      <c r="FF913" t="str">
        <f t="shared" si="798"/>
        <v xml:space="preserve">saturated ?? </v>
      </c>
      <c r="FG913" s="408">
        <f t="shared" si="789"/>
        <v>1</v>
      </c>
      <c r="FH913" s="138">
        <f t="shared" si="799"/>
        <v>-2.970377533393199</v>
      </c>
      <c r="FI913" s="106">
        <f t="shared" si="828"/>
        <v>-1.4495544535887612</v>
      </c>
      <c r="FJ913" s="138">
        <f t="shared" si="800"/>
        <v>-12.177178354696895</v>
      </c>
      <c r="FK913" s="138" t="str">
        <f t="shared" si="822"/>
        <v>**</v>
      </c>
    </row>
    <row r="914" spans="1:167" ht="12.75" hidden="1" customHeight="1" x14ac:dyDescent="0.2">
      <c r="A914">
        <v>879</v>
      </c>
      <c r="B914" s="4" t="s">
        <v>1875</v>
      </c>
      <c r="C914" s="4"/>
      <c r="D914" s="4" t="s">
        <v>926</v>
      </c>
      <c r="E914" s="33">
        <v>-1507</v>
      </c>
      <c r="F914" t="str">
        <f>VLOOKUP(E914,CompDbase!B:L,4,FALSE)</f>
        <v>Acetone</v>
      </c>
      <c r="G914" s="95" t="str">
        <f>VLOOKUP(E914,CompDbase!B:M,12,FALSE)</f>
        <v>O2</v>
      </c>
      <c r="H914" s="95">
        <f>VLOOKUP(E914,CompDbase!B:L,8,FALSE)</f>
        <v>58.08</v>
      </c>
      <c r="I914" s="95">
        <f>VLOOKUP(E914,CompDbase!B:L,11,FALSE)</f>
        <v>74</v>
      </c>
      <c r="J914" s="95">
        <f>VLOOKUP(E914,CompDbase!B:L,9,FALSE)</f>
        <v>790000</v>
      </c>
      <c r="K914" s="95">
        <f>VLOOKUP(E914,CompDbase!B:L,10,FALSE)</f>
        <v>-0.24</v>
      </c>
      <c r="L914" t="s">
        <v>717</v>
      </c>
      <c r="M914" s="423"/>
      <c r="N914" s="423">
        <v>948000</v>
      </c>
      <c r="O914" t="s">
        <v>1044</v>
      </c>
      <c r="P914">
        <v>295</v>
      </c>
      <c r="Q914" t="s">
        <v>1049</v>
      </c>
      <c r="R914" s="289" t="s">
        <v>1983</v>
      </c>
      <c r="T914" s="289">
        <v>1</v>
      </c>
      <c r="U914">
        <v>10.1</v>
      </c>
      <c r="W914" s="183">
        <f>U914/J914</f>
        <v>1.2784810126582278E-5</v>
      </c>
      <c r="X914" s="288">
        <f>LOG(W914)</f>
        <v>-4.8933057175077987</v>
      </c>
      <c r="Y914">
        <v>1.0500000000000002E-12</v>
      </c>
      <c r="Z914" s="95">
        <f t="shared" si="815"/>
        <v>-11.978810700930062</v>
      </c>
      <c r="AA914" s="95">
        <f>W914*Y914</f>
        <v>1.3424050632911394E-17</v>
      </c>
      <c r="AB914" s="288">
        <f>LOG(AA914)</f>
        <v>-16.872116418437862</v>
      </c>
      <c r="AC914" s="95" t="s">
        <v>68</v>
      </c>
      <c r="AD914" s="95"/>
      <c r="AG914" s="138">
        <f t="shared" si="823"/>
        <v>-4.8933057175077987</v>
      </c>
      <c r="AH914">
        <f t="shared" si="824"/>
        <v>-0.24</v>
      </c>
      <c r="AI914">
        <f t="shared" si="824"/>
        <v>-0.24</v>
      </c>
      <c r="AN914">
        <f t="shared" si="825"/>
        <v>-0.24</v>
      </c>
      <c r="AQ914">
        <f t="shared" si="826"/>
        <v>-0.24</v>
      </c>
      <c r="BW914" s="138"/>
      <c r="BX914">
        <f t="shared" si="827"/>
        <v>5.8976270912904418</v>
      </c>
      <c r="BY914">
        <f t="shared" si="827"/>
        <v>5.8976270912904418</v>
      </c>
      <c r="CD914">
        <f>LOG(1*$J914)</f>
        <v>5.8976270912904418</v>
      </c>
      <c r="CG914">
        <f>LOG(1*$J914)</f>
        <v>5.8976270912904418</v>
      </c>
      <c r="DG914">
        <f t="shared" si="816"/>
        <v>-11.978810700930062</v>
      </c>
      <c r="DH914">
        <f t="shared" si="817"/>
        <v>58.08</v>
      </c>
      <c r="DI914">
        <f t="shared" si="817"/>
        <v>58.08</v>
      </c>
      <c r="EY914" s="479">
        <f>VLOOKUP(B914,Literatuur!$A:$B,2,FALSE)</f>
        <v>39</v>
      </c>
      <c r="EZ914" t="str">
        <f t="shared" si="792"/>
        <v>Propanone</v>
      </c>
      <c r="FA914" t="str">
        <f t="shared" si="793"/>
        <v>O2</v>
      </c>
      <c r="FB914" t="str">
        <f t="shared" si="794"/>
        <v>HDPE</v>
      </c>
      <c r="FC914" t="str">
        <f t="shared" si="795"/>
        <v>Immersion</v>
      </c>
      <c r="FD914">
        <f t="shared" si="796"/>
        <v>295</v>
      </c>
      <c r="FE914" t="str">
        <f t="shared" si="797"/>
        <v>water</v>
      </c>
      <c r="FF914" t="str">
        <f t="shared" si="798"/>
        <v xml:space="preserve">saturated ?? </v>
      </c>
      <c r="FG914" s="408">
        <f t="shared" si="789"/>
        <v>1</v>
      </c>
      <c r="FH914" s="138">
        <f t="shared" si="799"/>
        <v>-4.8933057175077987</v>
      </c>
      <c r="FI914" s="106">
        <f>IF(ISNUMBER(AL914),AL914*AL$33+AL$35,IF(ISNUMBER(AM914),AM914*AM$33+AM$35,IF(ISNUMBER(AN914),AN914*AN$33+AN$35,"**")))</f>
        <v>-2.9018203533488252</v>
      </c>
      <c r="FJ914" s="138">
        <f t="shared" si="800"/>
        <v>-11.978810700930062</v>
      </c>
      <c r="FK914" s="138" t="str">
        <f t="shared" si="822"/>
        <v>**</v>
      </c>
    </row>
    <row r="915" spans="1:167" ht="12.75" hidden="1" customHeight="1" x14ac:dyDescent="0.2">
      <c r="A915">
        <v>880</v>
      </c>
      <c r="B915" s="4" t="s">
        <v>1402</v>
      </c>
      <c r="C915" s="4"/>
      <c r="D915" t="s">
        <v>925</v>
      </c>
      <c r="E915" s="33">
        <v>-1690</v>
      </c>
      <c r="F915" t="str">
        <f>VLOOKUP(E915,CompDbase!B:L,4,FALSE)</f>
        <v>Acetonitrile</v>
      </c>
      <c r="G915" s="95" t="str">
        <f>VLOOKUP(E915,CompDbase!B:M,12,FALSE)</f>
        <v>overige</v>
      </c>
      <c r="H915" s="95">
        <f>VLOOKUP(E915,CompDbase!B:L,8,FALSE)</f>
        <v>41.05</v>
      </c>
      <c r="I915" s="95" t="e">
        <f>VLOOKUP(E915,CompDbase!B:L,11,FALSE)</f>
        <v>#DIV/0!</v>
      </c>
      <c r="J915" s="95">
        <f>VLOOKUP(E915,CompDbase!B:L,9,FALSE)</f>
        <v>1000000</v>
      </c>
      <c r="K915" s="95">
        <f>VLOOKUP(E915,CompDbase!B:L,10,FALSE)</f>
        <v>-0.34</v>
      </c>
      <c r="L915" s="4" t="s">
        <v>717</v>
      </c>
      <c r="M915" s="423"/>
      <c r="N915" s="423"/>
      <c r="O915" t="s">
        <v>1741</v>
      </c>
      <c r="P915">
        <v>295</v>
      </c>
      <c r="Q915" t="s">
        <v>1049</v>
      </c>
      <c r="R915" s="289" t="s">
        <v>1983</v>
      </c>
      <c r="T915" s="289">
        <v>1</v>
      </c>
      <c r="Y915">
        <v>6.1460000000000015E-12</v>
      </c>
      <c r="Z915" s="95">
        <f t="shared" si="815"/>
        <v>-11.21140744407964</v>
      </c>
      <c r="AC915" t="s">
        <v>68</v>
      </c>
      <c r="AG915" s="138"/>
      <c r="BW915" s="138"/>
      <c r="DG915">
        <f t="shared" si="816"/>
        <v>-11.21140744407964</v>
      </c>
      <c r="DH915">
        <f t="shared" si="817"/>
        <v>41.05</v>
      </c>
      <c r="DJ915">
        <f t="shared" ref="DJ915:DJ917" si="829">$H915</f>
        <v>41.05</v>
      </c>
      <c r="EY915" s="479">
        <f>VLOOKUP(B915,Literatuur!$A:$B,2,FALSE)</f>
        <v>38</v>
      </c>
      <c r="EZ915" t="str">
        <f t="shared" si="792"/>
        <v>Acetonitrile</v>
      </c>
      <c r="FA915" t="str">
        <f t="shared" si="793"/>
        <v>overige</v>
      </c>
      <c r="FB915" t="str">
        <f t="shared" si="794"/>
        <v>HDPE</v>
      </c>
      <c r="FC915" t="str">
        <f t="shared" si="795"/>
        <v>DeSorption</v>
      </c>
      <c r="FD915">
        <f t="shared" si="796"/>
        <v>295</v>
      </c>
      <c r="FE915" t="str">
        <f t="shared" si="797"/>
        <v>water</v>
      </c>
      <c r="FF915" t="str">
        <f t="shared" si="798"/>
        <v xml:space="preserve">saturated ?? </v>
      </c>
      <c r="FG915" s="408">
        <f t="shared" si="789"/>
        <v>1</v>
      </c>
      <c r="FH915" s="138" t="str">
        <f t="shared" si="799"/>
        <v/>
      </c>
      <c r="FI915" s="106" t="str">
        <f t="shared" si="828"/>
        <v>**</v>
      </c>
      <c r="FJ915" s="138">
        <f t="shared" si="800"/>
        <v>-11.21140744407964</v>
      </c>
      <c r="FK915" s="138" t="str">
        <f t="shared" si="822"/>
        <v>**</v>
      </c>
    </row>
    <row r="916" spans="1:167" ht="12.75" hidden="1" customHeight="1" x14ac:dyDescent="0.2">
      <c r="A916">
        <v>881</v>
      </c>
      <c r="B916" s="4" t="s">
        <v>1402</v>
      </c>
      <c r="C916" s="4"/>
      <c r="D916" t="s">
        <v>927</v>
      </c>
      <c r="E916" s="33">
        <v>-1691</v>
      </c>
      <c r="F916" t="str">
        <f>VLOOKUP(E916,CompDbase!B:L,4,FALSE)</f>
        <v>Benzaldehyde</v>
      </c>
      <c r="G916" s="95" t="str">
        <f>VLOOKUP(E916,CompDbase!B:M,12,FALSE)</f>
        <v>overige</v>
      </c>
      <c r="H916" s="95">
        <f>VLOOKUP(E916,CompDbase!B:L,8,FALSE)</f>
        <v>106.13</v>
      </c>
      <c r="I916" s="95" t="e">
        <f>VLOOKUP(E916,CompDbase!B:L,11,FALSE)</f>
        <v>#DIV/0!</v>
      </c>
      <c r="J916" s="95">
        <f>VLOOKUP(E916,CompDbase!B:L,9,FALSE)</f>
        <v>6950</v>
      </c>
      <c r="K916" s="95">
        <f>VLOOKUP(E916,CompDbase!B:L,10,FALSE)</f>
        <v>1.48</v>
      </c>
      <c r="L916" t="s">
        <v>717</v>
      </c>
      <c r="M916" s="423"/>
      <c r="N916" s="423"/>
      <c r="O916" t="s">
        <v>1741</v>
      </c>
      <c r="P916">
        <v>295</v>
      </c>
      <c r="Q916" t="s">
        <v>1049</v>
      </c>
      <c r="R916" s="289" t="s">
        <v>1983</v>
      </c>
      <c r="T916" s="289">
        <v>1</v>
      </c>
      <c r="Y916">
        <v>4.0300000000000005E-13</v>
      </c>
      <c r="Z916" s="95">
        <f t="shared" si="815"/>
        <v>-12.39469495385889</v>
      </c>
      <c r="AC916" t="s">
        <v>68</v>
      </c>
      <c r="AG916" s="138"/>
      <c r="BW916" s="138"/>
      <c r="DG916">
        <f t="shared" si="816"/>
        <v>-12.39469495385889</v>
      </c>
      <c r="DH916">
        <f t="shared" si="817"/>
        <v>106.13</v>
      </c>
      <c r="DJ916">
        <f t="shared" si="829"/>
        <v>106.13</v>
      </c>
      <c r="EY916" s="479">
        <f>VLOOKUP(B916,Literatuur!$A:$B,2,FALSE)</f>
        <v>38</v>
      </c>
      <c r="EZ916" t="str">
        <f t="shared" si="792"/>
        <v>Benzaldehyde</v>
      </c>
      <c r="FA916" t="str">
        <f t="shared" si="793"/>
        <v>overige</v>
      </c>
      <c r="FB916" t="str">
        <f t="shared" si="794"/>
        <v>HDPE</v>
      </c>
      <c r="FC916" t="str">
        <f t="shared" si="795"/>
        <v>DeSorption</v>
      </c>
      <c r="FD916">
        <f t="shared" si="796"/>
        <v>295</v>
      </c>
      <c r="FE916" t="str">
        <f t="shared" si="797"/>
        <v>water</v>
      </c>
      <c r="FF916" t="str">
        <f t="shared" si="798"/>
        <v xml:space="preserve">saturated ?? </v>
      </c>
      <c r="FG916" s="408">
        <f t="shared" si="789"/>
        <v>1</v>
      </c>
      <c r="FH916" s="138" t="str">
        <f t="shared" si="799"/>
        <v/>
      </c>
      <c r="FI916" s="106" t="str">
        <f t="shared" si="828"/>
        <v>**</v>
      </c>
      <c r="FJ916" s="138">
        <f t="shared" si="800"/>
        <v>-12.39469495385889</v>
      </c>
      <c r="FK916" s="138" t="str">
        <f t="shared" si="822"/>
        <v>**</v>
      </c>
    </row>
    <row r="917" spans="1:167" ht="12.75" hidden="1" customHeight="1" x14ac:dyDescent="0.2">
      <c r="A917">
        <v>882</v>
      </c>
      <c r="B917" s="4" t="s">
        <v>1402</v>
      </c>
      <c r="C917" s="4"/>
      <c r="D917" s="4" t="s">
        <v>936</v>
      </c>
      <c r="E917" s="33">
        <v>-1692</v>
      </c>
      <c r="F917" t="str">
        <f>VLOOKUP(E917,CompDbase!B:L,4,FALSE)</f>
        <v>Benzyl alcohol</v>
      </c>
      <c r="G917" s="95" t="str">
        <f>VLOOKUP(E917,CompDbase!B:M,12,FALSE)</f>
        <v>overige</v>
      </c>
      <c r="H917" s="95">
        <f>VLOOKUP(E917,CompDbase!B:L,8,FALSE)</f>
        <v>108.14</v>
      </c>
      <c r="I917" s="95" t="e">
        <f>VLOOKUP(E917,CompDbase!B:L,11,FALSE)</f>
        <v>#DIV/0!</v>
      </c>
      <c r="J917" s="95">
        <f>VLOOKUP(E917,CompDbase!B:L,9,FALSE)</f>
        <v>42900</v>
      </c>
      <c r="K917" s="95">
        <f>VLOOKUP(E917,CompDbase!B:L,10,FALSE)</f>
        <v>1.1000000000000001</v>
      </c>
      <c r="L917" t="s">
        <v>717</v>
      </c>
      <c r="M917" s="423"/>
      <c r="N917" s="423"/>
      <c r="O917" t="s">
        <v>1741</v>
      </c>
      <c r="P917">
        <v>295</v>
      </c>
      <c r="Q917" t="s">
        <v>1049</v>
      </c>
      <c r="R917" s="289" t="s">
        <v>1983</v>
      </c>
      <c r="T917" s="289">
        <v>1</v>
      </c>
      <c r="Y917">
        <v>4.9600000000000007E-12</v>
      </c>
      <c r="Z917" s="95">
        <f t="shared" si="815"/>
        <v>-11.304518323509802</v>
      </c>
      <c r="AC917" t="s">
        <v>68</v>
      </c>
      <c r="AG917" s="138"/>
      <c r="BW917" s="138"/>
      <c r="DG917">
        <f t="shared" si="816"/>
        <v>-11.304518323509802</v>
      </c>
      <c r="DH917">
        <f t="shared" si="817"/>
        <v>108.14</v>
      </c>
      <c r="DJ917">
        <f t="shared" si="829"/>
        <v>108.14</v>
      </c>
      <c r="EY917" s="479">
        <f>VLOOKUP(B917,Literatuur!$A:$B,2,FALSE)</f>
        <v>38</v>
      </c>
      <c r="EZ917" t="str">
        <f t="shared" si="792"/>
        <v>Benzyl alcohol</v>
      </c>
      <c r="FA917" t="str">
        <f t="shared" si="793"/>
        <v>overige</v>
      </c>
      <c r="FB917" t="str">
        <f t="shared" si="794"/>
        <v>HDPE</v>
      </c>
      <c r="FC917" t="str">
        <f t="shared" si="795"/>
        <v>DeSorption</v>
      </c>
      <c r="FD917">
        <f t="shared" si="796"/>
        <v>295</v>
      </c>
      <c r="FE917" t="str">
        <f t="shared" si="797"/>
        <v>water</v>
      </c>
      <c r="FF917" t="str">
        <f t="shared" si="798"/>
        <v xml:space="preserve">saturated ?? </v>
      </c>
      <c r="FG917" s="408">
        <f t="shared" si="789"/>
        <v>1</v>
      </c>
      <c r="FH917" s="138" t="str">
        <f t="shared" si="799"/>
        <v/>
      </c>
      <c r="FI917" s="106" t="str">
        <f t="shared" si="828"/>
        <v>**</v>
      </c>
      <c r="FJ917" s="138">
        <f t="shared" si="800"/>
        <v>-11.304518323509802</v>
      </c>
      <c r="FK917" s="138" t="str">
        <f t="shared" si="822"/>
        <v>**</v>
      </c>
    </row>
    <row r="918" spans="1:167" ht="12.75" hidden="1" customHeight="1" x14ac:dyDescent="0.2">
      <c r="A918">
        <v>883</v>
      </c>
      <c r="B918" s="4" t="s">
        <v>1875</v>
      </c>
      <c r="C918" s="4"/>
      <c r="D918" s="4" t="s">
        <v>925</v>
      </c>
      <c r="E918" s="33">
        <v>-1690</v>
      </c>
      <c r="F918" t="str">
        <f>VLOOKUP(E918,CompDbase!B:L,4,FALSE)</f>
        <v>Acetonitrile</v>
      </c>
      <c r="G918" s="95" t="str">
        <f>VLOOKUP(E918,CompDbase!B:M,12,FALSE)</f>
        <v>overige</v>
      </c>
      <c r="H918" s="95">
        <f>VLOOKUP(E918,CompDbase!B:L,8,FALSE)</f>
        <v>41.05</v>
      </c>
      <c r="I918" s="95" t="e">
        <f>VLOOKUP(E918,CompDbase!B:L,11,FALSE)</f>
        <v>#DIV/0!</v>
      </c>
      <c r="J918" s="95">
        <f>VLOOKUP(E918,CompDbase!B:L,9,FALSE)</f>
        <v>1000000</v>
      </c>
      <c r="K918" s="95">
        <f>VLOOKUP(E918,CompDbase!B:L,10,FALSE)</f>
        <v>-0.34</v>
      </c>
      <c r="L918" s="4" t="s">
        <v>717</v>
      </c>
      <c r="M918" s="423"/>
      <c r="N918" s="423">
        <v>948000</v>
      </c>
      <c r="O918" s="4" t="s">
        <v>1044</v>
      </c>
      <c r="P918">
        <v>295</v>
      </c>
      <c r="Q918" s="4" t="s">
        <v>1049</v>
      </c>
      <c r="R918" s="289" t="s">
        <v>1983</v>
      </c>
      <c r="T918" s="289">
        <v>1</v>
      </c>
      <c r="U918">
        <v>1.4</v>
      </c>
      <c r="W918" s="183">
        <f>U918/J918</f>
        <v>1.3999999999999999E-6</v>
      </c>
      <c r="X918" s="288">
        <f>LOG(W918)</f>
        <v>-5.8538719643217618</v>
      </c>
      <c r="Y918">
        <v>1.1500000000000001E-12</v>
      </c>
      <c r="Z918" s="95">
        <f t="shared" si="815"/>
        <v>-11.939302159646388</v>
      </c>
      <c r="AA918" s="95">
        <f>W918*Y918</f>
        <v>1.6100000000000001E-18</v>
      </c>
      <c r="AB918" s="288">
        <f>LOG(AA918)</f>
        <v>-17.79317412396815</v>
      </c>
      <c r="AC918" s="95" t="s">
        <v>68</v>
      </c>
      <c r="AD918" s="95"/>
      <c r="AG918" s="138">
        <f t="shared" ref="AG918:AG920" si="830">X918</f>
        <v>-5.8538719643217618</v>
      </c>
      <c r="AH918">
        <f t="shared" ref="AH918:AI920" si="831">$K918</f>
        <v>-0.34</v>
      </c>
      <c r="AI918">
        <f t="shared" si="831"/>
        <v>-0.34</v>
      </c>
      <c r="BW918" s="138"/>
      <c r="BX918">
        <f t="shared" ref="BX918:BY920" si="832">LOG(1*$J918)</f>
        <v>6</v>
      </c>
      <c r="BY918">
        <f t="shared" si="832"/>
        <v>6</v>
      </c>
      <c r="DG918">
        <f t="shared" si="816"/>
        <v>-11.939302159646388</v>
      </c>
      <c r="DH918">
        <f t="shared" si="817"/>
        <v>41.05</v>
      </c>
      <c r="DI918">
        <f t="shared" si="817"/>
        <v>41.05</v>
      </c>
      <c r="EY918" s="479">
        <f>VLOOKUP(B918,Literatuur!$A:$B,2,FALSE)</f>
        <v>39</v>
      </c>
      <c r="EZ918" t="str">
        <f t="shared" si="792"/>
        <v>Acetonitrile</v>
      </c>
      <c r="FA918" t="str">
        <f t="shared" si="793"/>
        <v>overige</v>
      </c>
      <c r="FB918" t="str">
        <f t="shared" si="794"/>
        <v>HDPE</v>
      </c>
      <c r="FC918" t="str">
        <f t="shared" si="795"/>
        <v>Immersion</v>
      </c>
      <c r="FD918">
        <f t="shared" si="796"/>
        <v>295</v>
      </c>
      <c r="FE918" t="str">
        <f t="shared" si="797"/>
        <v>water</v>
      </c>
      <c r="FF918" t="str">
        <f t="shared" si="798"/>
        <v xml:space="preserve">saturated ?? </v>
      </c>
      <c r="FG918" s="408">
        <f t="shared" si="789"/>
        <v>1</v>
      </c>
      <c r="FH918" s="138">
        <f t="shared" si="799"/>
        <v>-5.8538719643217618</v>
      </c>
      <c r="FI918" s="106" t="str">
        <f t="shared" si="828"/>
        <v>**</v>
      </c>
      <c r="FJ918" s="138">
        <f t="shared" si="800"/>
        <v>-11.939302159646388</v>
      </c>
      <c r="FK918" s="138" t="str">
        <f t="shared" si="822"/>
        <v>**</v>
      </c>
    </row>
    <row r="919" spans="1:167" ht="12.75" hidden="1" customHeight="1" x14ac:dyDescent="0.2">
      <c r="A919">
        <v>884</v>
      </c>
      <c r="B919" s="4" t="s">
        <v>1875</v>
      </c>
      <c r="C919" s="4"/>
      <c r="D919" t="s">
        <v>927</v>
      </c>
      <c r="E919" s="33">
        <v>-1691</v>
      </c>
      <c r="F919" t="str">
        <f>VLOOKUP(E919,CompDbase!B:L,4,FALSE)</f>
        <v>Benzaldehyde</v>
      </c>
      <c r="G919" s="95" t="str">
        <f>VLOOKUP(E919,CompDbase!B:M,12,FALSE)</f>
        <v>overige</v>
      </c>
      <c r="H919" s="95">
        <f>VLOOKUP(E919,CompDbase!B:L,8,FALSE)</f>
        <v>106.13</v>
      </c>
      <c r="I919" s="95" t="e">
        <f>VLOOKUP(E919,CompDbase!B:L,11,FALSE)</f>
        <v>#DIV/0!</v>
      </c>
      <c r="J919" s="95">
        <f>VLOOKUP(E919,CompDbase!B:L,9,FALSE)</f>
        <v>6950</v>
      </c>
      <c r="K919" s="95">
        <f>VLOOKUP(E919,CompDbase!B:L,10,FALSE)</f>
        <v>1.48</v>
      </c>
      <c r="L919" t="s">
        <v>717</v>
      </c>
      <c r="M919" s="423"/>
      <c r="N919" s="423">
        <v>948000</v>
      </c>
      <c r="O919" t="s">
        <v>1044</v>
      </c>
      <c r="P919">
        <v>295</v>
      </c>
      <c r="Q919" t="s">
        <v>1049</v>
      </c>
      <c r="R919" s="289" t="s">
        <v>1983</v>
      </c>
      <c r="T919" s="289">
        <v>1</v>
      </c>
      <c r="U919">
        <v>21.6</v>
      </c>
      <c r="W919" s="183">
        <f>U919/J919</f>
        <v>3.1079136690647484E-3</v>
      </c>
      <c r="X919" s="288">
        <f>LOG(W919)</f>
        <v>-2.507531053439183</v>
      </c>
      <c r="Y919">
        <v>4.7699999999999999E-13</v>
      </c>
      <c r="Z919" s="95">
        <f t="shared" si="815"/>
        <v>-12.321481620959887</v>
      </c>
      <c r="AA919" s="95">
        <f>W919*Y919</f>
        <v>1.482474820143885E-15</v>
      </c>
      <c r="AB919" s="288">
        <f>LOG(AA919)</f>
        <v>-14.829012674399069</v>
      </c>
      <c r="AC919" s="95" t="s">
        <v>68</v>
      </c>
      <c r="AD919" s="95"/>
      <c r="AG919" s="138">
        <f t="shared" si="830"/>
        <v>-2.507531053439183</v>
      </c>
      <c r="AH919">
        <f t="shared" si="831"/>
        <v>1.48</v>
      </c>
      <c r="AI919">
        <f t="shared" si="831"/>
        <v>1.48</v>
      </c>
      <c r="BW919" s="138"/>
      <c r="BX919">
        <f t="shared" si="832"/>
        <v>3.8419848045901137</v>
      </c>
      <c r="BY919">
        <f t="shared" si="832"/>
        <v>3.8419848045901137</v>
      </c>
      <c r="DG919">
        <f t="shared" si="816"/>
        <v>-12.321481620959887</v>
      </c>
      <c r="DH919">
        <f t="shared" si="817"/>
        <v>106.13</v>
      </c>
      <c r="DI919">
        <f t="shared" si="817"/>
        <v>106.13</v>
      </c>
      <c r="EY919" s="479">
        <f>VLOOKUP(B919,Literatuur!$A:$B,2,FALSE)</f>
        <v>39</v>
      </c>
      <c r="EZ919" t="str">
        <f t="shared" si="792"/>
        <v>Benzaldehyde</v>
      </c>
      <c r="FA919" t="str">
        <f t="shared" si="793"/>
        <v>overige</v>
      </c>
      <c r="FB919" t="str">
        <f t="shared" si="794"/>
        <v>HDPE</v>
      </c>
      <c r="FC919" t="str">
        <f t="shared" si="795"/>
        <v>Immersion</v>
      </c>
      <c r="FD919">
        <f t="shared" si="796"/>
        <v>295</v>
      </c>
      <c r="FE919" t="str">
        <f t="shared" si="797"/>
        <v>water</v>
      </c>
      <c r="FF919" t="str">
        <f t="shared" si="798"/>
        <v xml:space="preserve">saturated ?? </v>
      </c>
      <c r="FG919" s="408">
        <f t="shared" si="789"/>
        <v>1</v>
      </c>
      <c r="FH919" s="138">
        <f t="shared" si="799"/>
        <v>-2.507531053439183</v>
      </c>
      <c r="FI919" s="106" t="str">
        <f t="shared" si="828"/>
        <v>**</v>
      </c>
      <c r="FJ919" s="138">
        <f t="shared" si="800"/>
        <v>-12.321481620959887</v>
      </c>
      <c r="FK919" s="138" t="str">
        <f t="shared" si="822"/>
        <v>**</v>
      </c>
    </row>
    <row r="920" spans="1:167" ht="12.75" hidden="1" customHeight="1" x14ac:dyDescent="0.2">
      <c r="A920">
        <v>885</v>
      </c>
      <c r="B920" s="4" t="s">
        <v>1875</v>
      </c>
      <c r="C920" s="4"/>
      <c r="D920" s="4" t="s">
        <v>936</v>
      </c>
      <c r="E920" s="33">
        <v>-1692</v>
      </c>
      <c r="F920" t="str">
        <f>VLOOKUP(E920,CompDbase!B:L,4,FALSE)</f>
        <v>Benzyl alcohol</v>
      </c>
      <c r="G920" s="95" t="str">
        <f>VLOOKUP(E920,CompDbase!B:M,12,FALSE)</f>
        <v>overige</v>
      </c>
      <c r="H920" s="95">
        <f>VLOOKUP(E920,CompDbase!B:L,8,FALSE)</f>
        <v>108.14</v>
      </c>
      <c r="I920" s="95" t="e">
        <f>VLOOKUP(E920,CompDbase!B:L,11,FALSE)</f>
        <v>#DIV/0!</v>
      </c>
      <c r="J920" s="95">
        <f>VLOOKUP(E920,CompDbase!B:L,9,FALSE)</f>
        <v>42900</v>
      </c>
      <c r="K920" s="95">
        <f>VLOOKUP(E920,CompDbase!B:L,10,FALSE)</f>
        <v>1.1000000000000001</v>
      </c>
      <c r="L920" t="s">
        <v>717</v>
      </c>
      <c r="M920" s="423"/>
      <c r="N920" s="423">
        <v>948000</v>
      </c>
      <c r="O920" t="s">
        <v>1044</v>
      </c>
      <c r="P920">
        <v>295</v>
      </c>
      <c r="Q920" t="s">
        <v>1049</v>
      </c>
      <c r="R920" s="289" t="s">
        <v>1983</v>
      </c>
      <c r="T920" s="289">
        <v>1</v>
      </c>
      <c r="U920">
        <v>4.8</v>
      </c>
      <c r="W920" s="183">
        <f>U920/J920</f>
        <v>1.1188811188811189E-4</v>
      </c>
      <c r="X920" s="288">
        <f>LOG(W920)</f>
        <v>-3.9512160548091368</v>
      </c>
      <c r="Y920">
        <v>5.5200000000000007E-13</v>
      </c>
      <c r="Z920" s="95">
        <f t="shared" si="815"/>
        <v>-12.258060922270801</v>
      </c>
      <c r="AA920" s="95">
        <f>W920*Y920</f>
        <v>6.1762237762237772E-17</v>
      </c>
      <c r="AB920" s="288">
        <f>LOG(AA920)</f>
        <v>-16.209276977079938</v>
      </c>
      <c r="AC920" s="95" t="s">
        <v>68</v>
      </c>
      <c r="AD920" s="95"/>
      <c r="AG920" s="138">
        <f t="shared" si="830"/>
        <v>-3.9512160548091368</v>
      </c>
      <c r="AH920">
        <f t="shared" si="831"/>
        <v>1.1000000000000001</v>
      </c>
      <c r="AI920">
        <f t="shared" si="831"/>
        <v>1.1000000000000001</v>
      </c>
      <c r="BW920" s="138"/>
      <c r="BX920">
        <f t="shared" si="832"/>
        <v>4.632457292184724</v>
      </c>
      <c r="BY920">
        <f t="shared" si="832"/>
        <v>4.632457292184724</v>
      </c>
      <c r="DG920">
        <f t="shared" si="816"/>
        <v>-12.258060922270801</v>
      </c>
      <c r="DH920">
        <f t="shared" si="817"/>
        <v>108.14</v>
      </c>
      <c r="DI920">
        <f t="shared" si="817"/>
        <v>108.14</v>
      </c>
      <c r="EY920" s="479">
        <f>VLOOKUP(B920,Literatuur!$A:$B,2,FALSE)</f>
        <v>39</v>
      </c>
      <c r="EZ920" t="str">
        <f t="shared" si="792"/>
        <v>Benzyl alcohol</v>
      </c>
      <c r="FA920" t="str">
        <f t="shared" si="793"/>
        <v>overige</v>
      </c>
      <c r="FB920" t="str">
        <f t="shared" si="794"/>
        <v>HDPE</v>
      </c>
      <c r="FC920" t="str">
        <f t="shared" si="795"/>
        <v>Immersion</v>
      </c>
      <c r="FD920">
        <f t="shared" si="796"/>
        <v>295</v>
      </c>
      <c r="FE920" t="str">
        <f t="shared" si="797"/>
        <v>water</v>
      </c>
      <c r="FF920" t="str">
        <f t="shared" si="798"/>
        <v xml:space="preserve">saturated ?? </v>
      </c>
      <c r="FG920" s="408">
        <f t="shared" si="789"/>
        <v>1</v>
      </c>
      <c r="FH920" s="138">
        <f t="shared" si="799"/>
        <v>-3.9512160548091368</v>
      </c>
      <c r="FI920" s="106" t="str">
        <f t="shared" si="828"/>
        <v>**</v>
      </c>
      <c r="FJ920" s="138">
        <f t="shared" si="800"/>
        <v>-12.258060922270801</v>
      </c>
      <c r="FK920" s="138" t="str">
        <f t="shared" si="822"/>
        <v>**</v>
      </c>
    </row>
    <row r="921" spans="1:167" ht="12.75" hidden="1" customHeight="1" x14ac:dyDescent="0.2">
      <c r="A921">
        <v>886</v>
      </c>
      <c r="B921" s="4" t="s">
        <v>1226</v>
      </c>
      <c r="C921" s="4"/>
      <c r="D921" s="4" t="s">
        <v>899</v>
      </c>
      <c r="E921">
        <v>-1514</v>
      </c>
      <c r="F921" t="str">
        <f>VLOOKUP(E921,CompDbase!B:L,4,FALSE)</f>
        <v>Cyclopopane</v>
      </c>
      <c r="G921" s="95" t="str">
        <f>VLOOKUP(E921,CompDbase!B:M,12,FALSE)</f>
        <v xml:space="preserve">overige </v>
      </c>
      <c r="H921" s="95">
        <f>VLOOKUP(E921,CompDbase!B:L,8,FALSE)</f>
        <v>42.08</v>
      </c>
      <c r="I921" s="95" t="e">
        <f>VLOOKUP(E921,CompDbase!B:L,11,FALSE)</f>
        <v>#DIV/0!</v>
      </c>
      <c r="J921" s="95">
        <f>VLOOKUP(E921,CompDbase!B:L,9,FALSE)</f>
        <v>502000</v>
      </c>
      <c r="K921" s="95">
        <f>VLOOKUP(E921,CompDbase!B:L,10,FALSE)</f>
        <v>1.72</v>
      </c>
      <c r="L921" s="4" t="s">
        <v>717</v>
      </c>
      <c r="O921" s="4"/>
      <c r="P921">
        <v>296</v>
      </c>
      <c r="Q921" s="4" t="s">
        <v>1049</v>
      </c>
      <c r="S921" s="4"/>
      <c r="Y921">
        <v>1.1499999999999999E-12</v>
      </c>
      <c r="Z921" s="95">
        <f t="shared" si="815"/>
        <v>-11.939302159646388</v>
      </c>
      <c r="AC921" t="s">
        <v>68</v>
      </c>
      <c r="AG921" s="138"/>
      <c r="BW921" s="138"/>
      <c r="DG921">
        <f t="shared" si="816"/>
        <v>-11.939302159646388</v>
      </c>
      <c r="DH921">
        <f t="shared" si="817"/>
        <v>42.08</v>
      </c>
      <c r="EY921" s="479">
        <f>VLOOKUP(B921,Literatuur!$A:$B,2,FALSE)</f>
        <v>12</v>
      </c>
      <c r="EZ921" t="str">
        <f t="shared" si="792"/>
        <v>Cyclopropane</v>
      </c>
      <c r="FA921" t="str">
        <f t="shared" si="793"/>
        <v xml:space="preserve">overige </v>
      </c>
      <c r="FB921" t="str">
        <f t="shared" si="794"/>
        <v>HDPE</v>
      </c>
      <c r="FC921" t="str">
        <f t="shared" si="795"/>
        <v/>
      </c>
      <c r="FD921">
        <f t="shared" si="796"/>
        <v>296</v>
      </c>
      <c r="FE921" t="str">
        <f t="shared" si="797"/>
        <v>water</v>
      </c>
      <c r="FF921" t="str">
        <f t="shared" si="798"/>
        <v xml:space="preserve"> </v>
      </c>
      <c r="FG921" s="408" t="str">
        <f t="shared" si="789"/>
        <v/>
      </c>
      <c r="FH921" s="138" t="str">
        <f t="shared" si="799"/>
        <v/>
      </c>
      <c r="FI921" s="106" t="str">
        <f t="shared" si="828"/>
        <v>**</v>
      </c>
      <c r="FJ921" s="138">
        <f t="shared" si="800"/>
        <v>-11.939302159646388</v>
      </c>
      <c r="FK921" s="138" t="str">
        <f t="shared" si="822"/>
        <v>**</v>
      </c>
    </row>
    <row r="922" spans="1:167" ht="12.75" hidden="1" customHeight="1" x14ac:dyDescent="0.2">
      <c r="A922">
        <v>887</v>
      </c>
      <c r="B922" t="s">
        <v>430</v>
      </c>
      <c r="D922" t="s">
        <v>324</v>
      </c>
      <c r="E922">
        <v>-1400</v>
      </c>
      <c r="F922" t="str">
        <f>VLOOKUP(E922,CompDbase!B:L,4,FALSE)</f>
        <v>Anilin</v>
      </c>
      <c r="G922" s="95" t="str">
        <f>VLOOKUP(E922,CompDbase!B:M,12,FALSE)</f>
        <v xml:space="preserve">overige </v>
      </c>
      <c r="H922" s="95">
        <f>VLOOKUP(E922,CompDbase!B:L,8,FALSE)</f>
        <v>93.13</v>
      </c>
      <c r="I922" s="95" t="e">
        <f>VLOOKUP(E922,CompDbase!B:L,11,FALSE)</f>
        <v>#DIV/0!</v>
      </c>
      <c r="J922" s="95">
        <f>VLOOKUP(E922,CompDbase!B:L,9,FALSE)</f>
        <v>35333.333333333336</v>
      </c>
      <c r="K922" s="95">
        <f>VLOOKUP(E922,CompDbase!B:L,10,FALSE)</f>
        <v>0.98799999999999999</v>
      </c>
      <c r="L922" s="4" t="s">
        <v>717</v>
      </c>
      <c r="M922" s="423"/>
      <c r="N922" s="423">
        <v>948000</v>
      </c>
      <c r="O922" s="4" t="s">
        <v>1044</v>
      </c>
      <c r="P922">
        <v>293</v>
      </c>
      <c r="Q922" s="4" t="s">
        <v>1049</v>
      </c>
      <c r="R922" s="289" t="s">
        <v>1988</v>
      </c>
      <c r="T922" s="95">
        <v>1</v>
      </c>
      <c r="V922" s="33">
        <v>5.0000000000000001E-3</v>
      </c>
      <c r="W922" s="95">
        <f>V922*N922/J922</f>
        <v>0.13415094339622641</v>
      </c>
      <c r="X922" s="288">
        <f>LOG(W922)</f>
        <v>-0.87240626887102279</v>
      </c>
      <c r="Z922" s="190"/>
      <c r="AC922" t="s">
        <v>68</v>
      </c>
      <c r="AG922" s="138">
        <f t="shared" ref="AG922:AG925" si="833">X922</f>
        <v>-0.87240626887102279</v>
      </c>
      <c r="AH922">
        <f t="shared" ref="AH922:AI925" si="834">$K922</f>
        <v>0.98799999999999999</v>
      </c>
      <c r="AI922">
        <f t="shared" si="834"/>
        <v>0.98799999999999999</v>
      </c>
      <c r="BW922" s="138"/>
      <c r="BX922">
        <f t="shared" ref="BX922:BY925" si="835">LOG(1*$J922)</f>
        <v>4.5481846105451078</v>
      </c>
      <c r="BY922">
        <f t="shared" si="835"/>
        <v>4.5481846105451078</v>
      </c>
      <c r="DG922" s="138"/>
      <c r="EY922" s="479">
        <f>VLOOKUP(B922,Literatuur!$A:$B,2,FALSE)</f>
        <v>37</v>
      </c>
      <c r="EZ922" t="str">
        <f t="shared" si="792"/>
        <v>Aniline</v>
      </c>
      <c r="FA922" t="str">
        <f t="shared" si="793"/>
        <v xml:space="preserve">overige </v>
      </c>
      <c r="FB922" t="str">
        <f t="shared" si="794"/>
        <v>HDPE</v>
      </c>
      <c r="FC922" t="str">
        <f t="shared" si="795"/>
        <v>Immersion</v>
      </c>
      <c r="FD922">
        <f t="shared" si="796"/>
        <v>293</v>
      </c>
      <c r="FE922" t="str">
        <f t="shared" si="797"/>
        <v>water</v>
      </c>
      <c r="FF922" t="str">
        <f t="shared" si="798"/>
        <v xml:space="preserve">saturated </v>
      </c>
      <c r="FG922" s="408">
        <f t="shared" si="789"/>
        <v>1</v>
      </c>
      <c r="FH922" s="138">
        <f t="shared" si="799"/>
        <v>-0.87240626887102279</v>
      </c>
      <c r="FI922" s="106" t="str">
        <f t="shared" si="828"/>
        <v>**</v>
      </c>
      <c r="FJ922" s="138" t="str">
        <f t="shared" si="800"/>
        <v/>
      </c>
      <c r="FK922" s="138" t="str">
        <f t="shared" si="822"/>
        <v>**</v>
      </c>
    </row>
    <row r="923" spans="1:167" ht="12.75" hidden="1" customHeight="1" x14ac:dyDescent="0.2">
      <c r="A923">
        <v>888</v>
      </c>
      <c r="B923" t="s">
        <v>430</v>
      </c>
      <c r="D923" t="s">
        <v>329</v>
      </c>
      <c r="E923">
        <v>-1405</v>
      </c>
      <c r="F923" t="str">
        <f>VLOOKUP(E923,CompDbase!B:L,4,FALSE)</f>
        <v>3-Nitroaniline</v>
      </c>
      <c r="G923" s="95" t="str">
        <f>VLOOKUP(E923,CompDbase!B:M,12,FALSE)</f>
        <v xml:space="preserve">overige </v>
      </c>
      <c r="H923" s="95">
        <f>VLOOKUP(E923,CompDbase!B:L,8,FALSE)</f>
        <v>138.13</v>
      </c>
      <c r="I923" s="95" t="e">
        <f>VLOOKUP(E923,CompDbase!B:L,11,FALSE)</f>
        <v>#DIV/0!</v>
      </c>
      <c r="J923" s="95">
        <f>VLOOKUP(E923,CompDbase!B:L,9,FALSE)</f>
        <v>1200</v>
      </c>
      <c r="K923" s="95">
        <f>VLOOKUP(E923,CompDbase!B:L,10,FALSE)</f>
        <v>1.37</v>
      </c>
      <c r="L923" s="4" t="s">
        <v>717</v>
      </c>
      <c r="M923" s="423"/>
      <c r="N923" s="423">
        <v>948000</v>
      </c>
      <c r="O923" s="4" t="s">
        <v>1044</v>
      </c>
      <c r="P923">
        <v>293</v>
      </c>
      <c r="Q923" s="4" t="s">
        <v>1049</v>
      </c>
      <c r="R923" s="289" t="s">
        <v>1988</v>
      </c>
      <c r="T923" s="95">
        <v>1</v>
      </c>
      <c r="V923" s="33">
        <v>2E-3</v>
      </c>
      <c r="W923" s="95">
        <f>V923*N923/J923</f>
        <v>1.58</v>
      </c>
      <c r="X923" s="288">
        <f>LOG(W923)</f>
        <v>0.19865708695442263</v>
      </c>
      <c r="Z923" s="190"/>
      <c r="AC923" t="s">
        <v>68</v>
      </c>
      <c r="AG923" s="138">
        <f t="shared" si="833"/>
        <v>0.19865708695442263</v>
      </c>
      <c r="AH923">
        <f t="shared" si="834"/>
        <v>1.37</v>
      </c>
      <c r="AI923">
        <f t="shared" si="834"/>
        <v>1.37</v>
      </c>
      <c r="BW923" s="138"/>
      <c r="BX923">
        <f t="shared" si="835"/>
        <v>3.0791812460476247</v>
      </c>
      <c r="BY923">
        <f t="shared" si="835"/>
        <v>3.0791812460476247</v>
      </c>
      <c r="DG923" s="138"/>
      <c r="EY923" s="479">
        <f>VLOOKUP(B923,Literatuur!$A:$B,2,FALSE)</f>
        <v>37</v>
      </c>
      <c r="EZ923" t="str">
        <f t="shared" si="792"/>
        <v>m-Nitroaniline</v>
      </c>
      <c r="FA923" t="str">
        <f t="shared" si="793"/>
        <v xml:space="preserve">overige </v>
      </c>
      <c r="FB923" t="str">
        <f t="shared" si="794"/>
        <v>HDPE</v>
      </c>
      <c r="FC923" t="str">
        <f t="shared" si="795"/>
        <v>Immersion</v>
      </c>
      <c r="FD923">
        <f t="shared" si="796"/>
        <v>293</v>
      </c>
      <c r="FE923" t="str">
        <f t="shared" si="797"/>
        <v>water</v>
      </c>
      <c r="FF923" t="str">
        <f t="shared" si="798"/>
        <v xml:space="preserve">saturated </v>
      </c>
      <c r="FG923" s="408">
        <f t="shared" si="789"/>
        <v>1</v>
      </c>
      <c r="FH923" s="138">
        <f t="shared" si="799"/>
        <v>0.19865708695442263</v>
      </c>
      <c r="FI923" s="106" t="str">
        <f t="shared" si="828"/>
        <v>**</v>
      </c>
      <c r="FJ923" s="138" t="str">
        <f t="shared" si="800"/>
        <v/>
      </c>
      <c r="FK923" s="138" t="str">
        <f t="shared" si="822"/>
        <v>**</v>
      </c>
    </row>
    <row r="924" spans="1:167" ht="12.75" hidden="1" customHeight="1" x14ac:dyDescent="0.2">
      <c r="A924">
        <v>889</v>
      </c>
      <c r="B924" t="s">
        <v>430</v>
      </c>
      <c r="D924" t="s">
        <v>332</v>
      </c>
      <c r="E924">
        <v>-1408</v>
      </c>
      <c r="F924" t="str">
        <f>VLOOKUP(E924,CompDbase!B:L,4,FALSE)</f>
        <v>Nitrobenzene</v>
      </c>
      <c r="G924" s="95" t="str">
        <f>VLOOKUP(E924,CompDbase!B:M,12,FALSE)</f>
        <v xml:space="preserve">overige </v>
      </c>
      <c r="H924" s="95">
        <f>VLOOKUP(E924,CompDbase!B:L,8,FALSE)</f>
        <v>123.11</v>
      </c>
      <c r="I924" s="95" t="e">
        <f>VLOOKUP(E924,CompDbase!B:L,11,FALSE)</f>
        <v>#DIV/0!</v>
      </c>
      <c r="J924" s="95">
        <f>VLOOKUP(E924,CompDbase!B:L,9,FALSE)</f>
        <v>2026.6666666666667</v>
      </c>
      <c r="K924" s="95">
        <f>VLOOKUP(E924,CompDbase!B:L,10,FALSE)</f>
        <v>1.8450000000000002</v>
      </c>
      <c r="L924" s="4" t="s">
        <v>717</v>
      </c>
      <c r="M924" s="423"/>
      <c r="N924" s="423">
        <v>948000</v>
      </c>
      <c r="O924" s="4" t="s">
        <v>1044</v>
      </c>
      <c r="P924">
        <v>293</v>
      </c>
      <c r="Q924" s="4" t="s">
        <v>1049</v>
      </c>
      <c r="R924" s="289" t="s">
        <v>1988</v>
      </c>
      <c r="T924" s="95">
        <v>1</v>
      </c>
      <c r="V924" s="33">
        <v>1.7000000000000001E-2</v>
      </c>
      <c r="W924" s="95">
        <f>V924*N924/J924</f>
        <v>7.9519736842105271</v>
      </c>
      <c r="X924" s="288">
        <f>LOG(W924)</f>
        <v>0.90047493416326774</v>
      </c>
      <c r="Z924" s="190"/>
      <c r="AC924" t="s">
        <v>68</v>
      </c>
      <c r="AG924" s="138">
        <f t="shared" si="833"/>
        <v>0.90047493416326774</v>
      </c>
      <c r="AH924">
        <f t="shared" si="834"/>
        <v>1.8450000000000002</v>
      </c>
      <c r="AI924">
        <f t="shared" si="834"/>
        <v>1.8450000000000002</v>
      </c>
      <c r="BW924" s="138"/>
      <c r="BX924">
        <f t="shared" si="835"/>
        <v>3.3067823245530725</v>
      </c>
      <c r="BY924">
        <f t="shared" si="835"/>
        <v>3.3067823245530725</v>
      </c>
      <c r="DG924" s="138"/>
      <c r="EY924" s="479">
        <f>VLOOKUP(B924,Literatuur!$A:$B,2,FALSE)</f>
        <v>37</v>
      </c>
      <c r="EZ924" t="str">
        <f t="shared" si="792"/>
        <v>Nitrobenzeen</v>
      </c>
      <c r="FA924" t="str">
        <f t="shared" si="793"/>
        <v xml:space="preserve">overige </v>
      </c>
      <c r="FB924" t="str">
        <f t="shared" si="794"/>
        <v>HDPE</v>
      </c>
      <c r="FC924" t="str">
        <f t="shared" si="795"/>
        <v>Immersion</v>
      </c>
      <c r="FD924">
        <f t="shared" si="796"/>
        <v>293</v>
      </c>
      <c r="FE924" t="str">
        <f t="shared" si="797"/>
        <v>water</v>
      </c>
      <c r="FF924" t="str">
        <f t="shared" si="798"/>
        <v xml:space="preserve">saturated </v>
      </c>
      <c r="FG924" s="408">
        <f t="shared" si="789"/>
        <v>1</v>
      </c>
      <c r="FH924" s="138">
        <f t="shared" si="799"/>
        <v>0.90047493416326774</v>
      </c>
      <c r="FI924" s="106" t="str">
        <f t="shared" si="828"/>
        <v>**</v>
      </c>
      <c r="FJ924" s="138" t="str">
        <f t="shared" si="800"/>
        <v/>
      </c>
      <c r="FK924" s="138" t="str">
        <f t="shared" si="822"/>
        <v>**</v>
      </c>
    </row>
    <row r="925" spans="1:167" ht="12.75" hidden="1" customHeight="1" x14ac:dyDescent="0.2">
      <c r="A925">
        <v>890</v>
      </c>
      <c r="B925" t="s">
        <v>430</v>
      </c>
      <c r="D925" t="s">
        <v>328</v>
      </c>
      <c r="E925">
        <v>-1404</v>
      </c>
      <c r="F925" t="str">
        <f>VLOOKUP(E925,CompDbase!B:L,4,FALSE)</f>
        <v>N-Methylaniline</v>
      </c>
      <c r="G925" s="95" t="str">
        <f>VLOOKUP(E925,CompDbase!B:M,12,FALSE)</f>
        <v xml:space="preserve">overige </v>
      </c>
      <c r="H925" s="95">
        <f>VLOOKUP(E925,CompDbase!B:L,8,FALSE)</f>
        <v>107.16</v>
      </c>
      <c r="I925" s="95" t="e">
        <f>VLOOKUP(E925,CompDbase!B:L,11,FALSE)</f>
        <v>#DIV/0!</v>
      </c>
      <c r="J925" s="95">
        <f>VLOOKUP(E925,CompDbase!B:L,9,FALSE)</f>
        <v>5620</v>
      </c>
      <c r="K925" s="95">
        <f>VLOOKUP(E925,CompDbase!B:L,10,FALSE)</f>
        <v>1.66</v>
      </c>
      <c r="L925" s="4" t="s">
        <v>717</v>
      </c>
      <c r="M925" s="423"/>
      <c r="N925" s="423">
        <v>948000</v>
      </c>
      <c r="O925" s="4" t="s">
        <v>1044</v>
      </c>
      <c r="P925">
        <v>293</v>
      </c>
      <c r="Q925" s="4" t="s">
        <v>1049</v>
      </c>
      <c r="R925" s="289" t="s">
        <v>1988</v>
      </c>
      <c r="T925" s="95">
        <v>1</v>
      </c>
      <c r="V925" s="33">
        <v>0.02</v>
      </c>
      <c r="W925" s="95">
        <f>V925*N925/J925</f>
        <v>3.3736654804270461</v>
      </c>
      <c r="X925" s="288">
        <f>LOG(W925)</f>
        <v>0.52810201743298635</v>
      </c>
      <c r="Z925" s="190"/>
      <c r="AC925" t="s">
        <v>68</v>
      </c>
      <c r="AG925" s="138">
        <f t="shared" si="833"/>
        <v>0.52810201743298635</v>
      </c>
      <c r="AH925">
        <f t="shared" si="834"/>
        <v>1.66</v>
      </c>
      <c r="AI925">
        <f t="shared" si="834"/>
        <v>1.66</v>
      </c>
      <c r="BW925" s="138"/>
      <c r="BX925">
        <f t="shared" si="835"/>
        <v>3.7497363155690611</v>
      </c>
      <c r="BY925">
        <f t="shared" si="835"/>
        <v>3.7497363155690611</v>
      </c>
      <c r="DG925" s="138"/>
      <c r="EY925" s="479">
        <f>VLOOKUP(B925,Literatuur!$A:$B,2,FALSE)</f>
        <v>37</v>
      </c>
      <c r="EZ925" t="str">
        <f t="shared" si="792"/>
        <v>n-Methylaniline</v>
      </c>
      <c r="FA925" t="str">
        <f t="shared" si="793"/>
        <v xml:space="preserve">overige </v>
      </c>
      <c r="FB925" t="str">
        <f t="shared" si="794"/>
        <v>HDPE</v>
      </c>
      <c r="FC925" t="str">
        <f t="shared" si="795"/>
        <v>Immersion</v>
      </c>
      <c r="FD925">
        <f t="shared" si="796"/>
        <v>293</v>
      </c>
      <c r="FE925" t="str">
        <f t="shared" si="797"/>
        <v>water</v>
      </c>
      <c r="FF925" t="str">
        <f t="shared" si="798"/>
        <v xml:space="preserve">saturated </v>
      </c>
      <c r="FG925" s="408">
        <f t="shared" si="789"/>
        <v>1</v>
      </c>
      <c r="FH925" s="138">
        <f t="shared" si="799"/>
        <v>0.52810201743298635</v>
      </c>
      <c r="FI925" s="106" t="str">
        <f t="shared" si="828"/>
        <v>**</v>
      </c>
      <c r="FJ925" s="138" t="str">
        <f t="shared" si="800"/>
        <v/>
      </c>
      <c r="FK925" s="138" t="str">
        <f t="shared" si="822"/>
        <v>**</v>
      </c>
    </row>
    <row r="926" spans="1:167" ht="12.75" hidden="1" customHeight="1" x14ac:dyDescent="0.2">
      <c r="A926">
        <v>891</v>
      </c>
      <c r="B926" t="s">
        <v>1231</v>
      </c>
      <c r="D926" s="4" t="s">
        <v>1925</v>
      </c>
      <c r="E926">
        <v>-1811</v>
      </c>
      <c r="F926" t="str">
        <f>VLOOKUP(E926,CompDbase!B:L,4,FALSE)</f>
        <v>gasoline</v>
      </c>
      <c r="G926" s="95" t="s">
        <v>1550</v>
      </c>
      <c r="H926" s="95" t="e">
        <f>VLOOKUP(E926,CompDbase!B:L,8,FALSE)</f>
        <v>#DIV/0!</v>
      </c>
      <c r="I926" s="95">
        <f>VLOOKUP(E926,CompDbase!B:L,11,FALSE)</f>
        <v>0</v>
      </c>
      <c r="J926" s="95" t="e">
        <f>VLOOKUP(E926,CompDbase!B:L,9,FALSE)</f>
        <v>#DIV/0!</v>
      </c>
      <c r="K926" s="95" t="e">
        <f>VLOOKUP(E926,CompDbase!B:L,10,FALSE)</f>
        <v>#DIV/0!</v>
      </c>
      <c r="L926" s="4" t="s">
        <v>717</v>
      </c>
      <c r="M926" s="423"/>
      <c r="N926" s="423"/>
      <c r="O926" s="4" t="s">
        <v>1044</v>
      </c>
      <c r="P926">
        <f>273+20</f>
        <v>293</v>
      </c>
      <c r="Q926" s="4" t="s">
        <v>1049</v>
      </c>
      <c r="Z926">
        <f>LOG(0.0000000000042)</f>
        <v>-11.376750709602099</v>
      </c>
      <c r="AG926" s="138"/>
      <c r="BW926" s="138"/>
      <c r="EY926" s="479">
        <f>VLOOKUP(B926,Literatuur!$A:$B,2,FALSE)</f>
        <v>19</v>
      </c>
      <c r="EZ926" t="str">
        <f t="shared" si="792"/>
        <v>Gasoline</v>
      </c>
      <c r="FA926" t="str">
        <f t="shared" si="793"/>
        <v>PAK</v>
      </c>
      <c r="FB926" t="str">
        <f t="shared" si="794"/>
        <v>HDPE</v>
      </c>
      <c r="FC926" t="str">
        <f t="shared" si="795"/>
        <v>Immersion</v>
      </c>
      <c r="FD926">
        <f t="shared" si="796"/>
        <v>293</v>
      </c>
      <c r="FE926" t="str">
        <f t="shared" si="797"/>
        <v>water</v>
      </c>
      <c r="FF926" t="str">
        <f t="shared" si="798"/>
        <v xml:space="preserve"> </v>
      </c>
      <c r="FG926" s="408" t="str">
        <f t="shared" si="789"/>
        <v/>
      </c>
      <c r="FH926" s="138" t="str">
        <f t="shared" si="799"/>
        <v/>
      </c>
      <c r="FI926" s="106" t="str">
        <f t="shared" si="828"/>
        <v>**</v>
      </c>
      <c r="FJ926" s="138">
        <f t="shared" si="800"/>
        <v>-11.376750709602099</v>
      </c>
      <c r="FK926" s="138" t="str">
        <f t="shared" si="822"/>
        <v>**</v>
      </c>
    </row>
    <row r="927" spans="1:167" ht="12.75" hidden="1" customHeight="1" x14ac:dyDescent="0.2">
      <c r="A927">
        <v>892</v>
      </c>
      <c r="B927" t="s">
        <v>1231</v>
      </c>
      <c r="D927" s="4" t="s">
        <v>1925</v>
      </c>
      <c r="E927">
        <v>-1811</v>
      </c>
      <c r="F927" t="str">
        <f>VLOOKUP(E927,CompDbase!B:L,4,FALSE)</f>
        <v>gasoline</v>
      </c>
      <c r="G927" s="95" t="s">
        <v>1550</v>
      </c>
      <c r="H927" s="95" t="e">
        <f>VLOOKUP(E927,CompDbase!B:L,8,FALSE)</f>
        <v>#DIV/0!</v>
      </c>
      <c r="I927" s="95">
        <f>VLOOKUP(E927,CompDbase!B:L,11,FALSE)</f>
        <v>0</v>
      </c>
      <c r="J927" s="95" t="e">
        <f>VLOOKUP(E927,CompDbase!B:L,9,FALSE)</f>
        <v>#DIV/0!</v>
      </c>
      <c r="K927" s="95" t="e">
        <f>VLOOKUP(E927,CompDbase!B:L,10,FALSE)</f>
        <v>#DIV/0!</v>
      </c>
      <c r="L927" s="4" t="s">
        <v>717</v>
      </c>
      <c r="M927" s="423"/>
      <c r="N927" s="423"/>
      <c r="O927" s="4" t="s">
        <v>1044</v>
      </c>
      <c r="P927">
        <f>273+20</f>
        <v>293</v>
      </c>
      <c r="Q927" s="4" t="s">
        <v>1049</v>
      </c>
      <c r="Z927">
        <f>LOG(0.0000000000083)</f>
        <v>-11.080921907623926</v>
      </c>
      <c r="AC927" t="s">
        <v>68</v>
      </c>
      <c r="AG927" s="138"/>
      <c r="BW927" s="138"/>
      <c r="EY927" s="479">
        <f>VLOOKUP(B927,Literatuur!$A:$B,2,FALSE)</f>
        <v>19</v>
      </c>
      <c r="EZ927" t="str">
        <f t="shared" si="792"/>
        <v>Gasoline</v>
      </c>
      <c r="FA927" t="str">
        <f t="shared" si="793"/>
        <v>PAK</v>
      </c>
      <c r="FB927" t="str">
        <f t="shared" si="794"/>
        <v>HDPE</v>
      </c>
      <c r="FC927" t="str">
        <f t="shared" si="795"/>
        <v>Immersion</v>
      </c>
      <c r="FD927">
        <f t="shared" si="796"/>
        <v>293</v>
      </c>
      <c r="FE927" t="str">
        <f t="shared" si="797"/>
        <v>water</v>
      </c>
      <c r="FF927" t="str">
        <f t="shared" si="798"/>
        <v xml:space="preserve"> </v>
      </c>
      <c r="FG927" s="408" t="str">
        <f t="shared" si="789"/>
        <v/>
      </c>
      <c r="FH927" s="138" t="str">
        <f t="shared" si="799"/>
        <v/>
      </c>
      <c r="FI927" s="106" t="str">
        <f t="shared" si="828"/>
        <v>**</v>
      </c>
      <c r="FJ927" s="138">
        <f t="shared" si="800"/>
        <v>-11.080921907623926</v>
      </c>
      <c r="FK927" s="138" t="str">
        <f t="shared" si="822"/>
        <v>**</v>
      </c>
    </row>
    <row r="928" spans="1:167" ht="12.75" customHeight="1" x14ac:dyDescent="0.2">
      <c r="AG928" s="138"/>
      <c r="BW928" s="138"/>
      <c r="DG928" s="138"/>
    </row>
    <row r="929" spans="1:155" ht="12.75" customHeight="1" x14ac:dyDescent="0.2">
      <c r="AG929" s="138"/>
      <c r="BW929" s="138"/>
      <c r="DG929" s="138"/>
      <c r="EY929" s="350" t="s">
        <v>2130</v>
      </c>
    </row>
    <row r="930" spans="1:155" ht="12.75" customHeight="1" x14ac:dyDescent="0.2">
      <c r="AG930" s="138"/>
      <c r="BW930" s="138"/>
      <c r="DG930" s="138"/>
    </row>
    <row r="931" spans="1:155" ht="12.75" customHeight="1" x14ac:dyDescent="0.2">
      <c r="AG931" s="138"/>
      <c r="BW931" s="138"/>
      <c r="DG931" s="138"/>
    </row>
    <row r="932" spans="1:155" ht="12.75" customHeight="1" x14ac:dyDescent="0.2">
      <c r="AG932" s="138"/>
      <c r="BW932" s="138"/>
      <c r="DG932" s="138"/>
    </row>
    <row r="933" spans="1:155" ht="12.75" customHeight="1" x14ac:dyDescent="0.2">
      <c r="AG933" s="138"/>
      <c r="BW933" s="138"/>
      <c r="DG933" s="138"/>
    </row>
    <row r="934" spans="1:155" ht="12.75" customHeight="1" x14ac:dyDescent="0.2">
      <c r="AG934" s="138"/>
      <c r="BW934" s="138"/>
      <c r="DG934" s="138"/>
    </row>
    <row r="935" spans="1:155" ht="12.75" customHeight="1" x14ac:dyDescent="0.2">
      <c r="AG935" s="138"/>
      <c r="BW935" s="138"/>
      <c r="DG935" s="138"/>
    </row>
    <row r="936" spans="1:155" ht="12.75" customHeight="1" x14ac:dyDescent="0.2">
      <c r="AG936" s="138"/>
      <c r="BW936" s="138"/>
      <c r="DG936" s="138"/>
    </row>
    <row r="937" spans="1:155" ht="12.75" customHeight="1" x14ac:dyDescent="0.2">
      <c r="B937" s="1" t="s">
        <v>2001</v>
      </c>
      <c r="D937" s="4"/>
      <c r="E937" s="33"/>
      <c r="L937" s="4"/>
      <c r="O937" s="4"/>
      <c r="Q937" s="4"/>
      <c r="T937" s="95"/>
      <c r="X937" s="95"/>
      <c r="Z937" s="95"/>
      <c r="AB937" s="95"/>
      <c r="AC937" s="95"/>
      <c r="AD937" s="95"/>
      <c r="AG937" s="138"/>
      <c r="BW937" s="138"/>
      <c r="DG937" s="138"/>
    </row>
    <row r="938" spans="1:155" x14ac:dyDescent="0.2">
      <c r="B938" s="1"/>
      <c r="C938" s="4"/>
      <c r="E938" s="138"/>
    </row>
    <row r="939" spans="1:155" ht="12.75" customHeight="1" x14ac:dyDescent="0.2">
      <c r="A939">
        <v>893</v>
      </c>
      <c r="B939" s="10" t="s">
        <v>1875</v>
      </c>
      <c r="D939" s="10" t="s">
        <v>925</v>
      </c>
      <c r="E939" s="91">
        <v>-1690</v>
      </c>
      <c r="F939" s="9" t="str">
        <f>VLOOKUP(E939,CompDbase!B:L,4,FALSE)</f>
        <v>Acetonitrile</v>
      </c>
      <c r="G939" s="181" t="str">
        <f>VLOOKUP(E939,CompDbase!B:M,12,FALSE)</f>
        <v>overige</v>
      </c>
      <c r="H939" s="181">
        <f>VLOOKUP(E939,CompDbase!B:L,8,FALSE)</f>
        <v>41.05</v>
      </c>
      <c r="I939" s="181" t="e">
        <f>VLOOKUP(E939,CompDbase!B:L,11,FALSE)</f>
        <v>#DIV/0!</v>
      </c>
      <c r="J939" s="181">
        <f>VLOOKUP(E939,CompDbase!B:L,9,FALSE)</f>
        <v>1000000</v>
      </c>
      <c r="K939" s="181">
        <f>VLOOKUP(E939,CompDbase!B:L,10,FALSE)</f>
        <v>-0.34</v>
      </c>
      <c r="L939" s="412" t="s">
        <v>1923</v>
      </c>
      <c r="M939" s="425"/>
      <c r="N939" s="425"/>
      <c r="O939" s="10" t="s">
        <v>1044</v>
      </c>
      <c r="P939" s="9">
        <v>295</v>
      </c>
      <c r="Q939" s="10" t="s">
        <v>1049</v>
      </c>
      <c r="R939" s="393" t="s">
        <v>1983</v>
      </c>
      <c r="S939" s="9"/>
      <c r="T939" s="289">
        <v>1</v>
      </c>
      <c r="Z939">
        <v>-11.522878745280337</v>
      </c>
    </row>
    <row r="940" spans="1:155" ht="12.75" customHeight="1" x14ac:dyDescent="0.2">
      <c r="A940">
        <v>894</v>
      </c>
      <c r="B940" s="4" t="s">
        <v>1875</v>
      </c>
      <c r="D940" s="4" t="s">
        <v>926</v>
      </c>
      <c r="E940" s="33">
        <v>-1507</v>
      </c>
      <c r="F940" t="str">
        <f>VLOOKUP(E940,CompDbase!B:L,4,FALSE)</f>
        <v>Acetone</v>
      </c>
      <c r="G940" s="95" t="str">
        <f>VLOOKUP(E940,CompDbase!B:M,12,FALSE)</f>
        <v>O2</v>
      </c>
      <c r="H940" s="95">
        <f>VLOOKUP(E940,CompDbase!B:L,8,FALSE)</f>
        <v>58.08</v>
      </c>
      <c r="I940" s="95">
        <f>VLOOKUP(E940,CompDbase!B:L,11,FALSE)</f>
        <v>74</v>
      </c>
      <c r="J940" s="95">
        <f>VLOOKUP(E940,CompDbase!B:L,9,FALSE)</f>
        <v>790000</v>
      </c>
      <c r="K940" s="95">
        <f>VLOOKUP(E940,CompDbase!B:L,10,FALSE)</f>
        <v>-0.24</v>
      </c>
      <c r="L940" s="1" t="s">
        <v>1923</v>
      </c>
      <c r="M940" s="423"/>
      <c r="N940" s="423"/>
      <c r="O940" t="s">
        <v>1044</v>
      </c>
      <c r="P940">
        <v>295</v>
      </c>
      <c r="Q940" t="s">
        <v>1049</v>
      </c>
      <c r="R940" s="289" t="s">
        <v>1983</v>
      </c>
      <c r="T940" s="289">
        <v>1</v>
      </c>
      <c r="Z940">
        <v>-11.75448733218585</v>
      </c>
    </row>
    <row r="941" spans="1:155" ht="12.75" customHeight="1" x14ac:dyDescent="0.2">
      <c r="A941">
        <v>895</v>
      </c>
      <c r="B941" s="4" t="s">
        <v>1875</v>
      </c>
      <c r="D941" t="s">
        <v>927</v>
      </c>
      <c r="E941" s="33">
        <v>-1691</v>
      </c>
      <c r="F941" t="str">
        <f>VLOOKUP(E941,CompDbase!B:L,4,FALSE)</f>
        <v>Benzaldehyde</v>
      </c>
      <c r="G941" s="95" t="str">
        <f>VLOOKUP(E941,CompDbase!B:M,12,FALSE)</f>
        <v>overige</v>
      </c>
      <c r="H941" s="95">
        <f>VLOOKUP(E941,CompDbase!B:L,8,FALSE)</f>
        <v>106.13</v>
      </c>
      <c r="I941" s="95" t="e">
        <f>VLOOKUP(E941,CompDbase!B:L,11,FALSE)</f>
        <v>#DIV/0!</v>
      </c>
      <c r="J941" s="95">
        <f>VLOOKUP(E941,CompDbase!B:L,9,FALSE)</f>
        <v>6950</v>
      </c>
      <c r="K941" s="95">
        <f>VLOOKUP(E941,CompDbase!B:L,10,FALSE)</f>
        <v>1.48</v>
      </c>
      <c r="L941" s="1" t="s">
        <v>1923</v>
      </c>
      <c r="M941" s="423"/>
      <c r="N941" s="423"/>
      <c r="O941" t="s">
        <v>1044</v>
      </c>
      <c r="P941">
        <v>295</v>
      </c>
      <c r="Q941" t="s">
        <v>1049</v>
      </c>
      <c r="R941" s="289" t="s">
        <v>1983</v>
      </c>
      <c r="T941" s="289">
        <v>1</v>
      </c>
      <c r="Z941">
        <v>-12.090979145788843</v>
      </c>
    </row>
    <row r="942" spans="1:155" ht="12.75" customHeight="1" x14ac:dyDescent="0.2">
      <c r="A942">
        <v>896</v>
      </c>
      <c r="B942" s="4" t="s">
        <v>1875</v>
      </c>
      <c r="D942" s="4" t="s">
        <v>928</v>
      </c>
      <c r="E942" s="33">
        <v>1093</v>
      </c>
      <c r="F942" t="str">
        <f>VLOOKUP(E942,CompDbase!B:L,4,FALSE)</f>
        <v>2-Butanone</v>
      </c>
      <c r="G942" s="95" t="str">
        <f>VLOOKUP(E942,CompDbase!B:M,12,FALSE)</f>
        <v>O2</v>
      </c>
      <c r="H942" s="95">
        <f>VLOOKUP(E942,CompDbase!B:L,8,FALSE)</f>
        <v>72</v>
      </c>
      <c r="I942" s="95">
        <f>VLOOKUP(E942,CompDbase!B:L,11,FALSE)</f>
        <v>90.2</v>
      </c>
      <c r="J942" s="95">
        <f>VLOOKUP(E942,CompDbase!B:L,9,FALSE)</f>
        <v>352800</v>
      </c>
      <c r="K942" s="95">
        <f>VLOOKUP(E942,CompDbase!B:L,10,FALSE)</f>
        <v>0.27549999999999997</v>
      </c>
      <c r="L942" s="1" t="s">
        <v>1923</v>
      </c>
      <c r="M942" s="423"/>
      <c r="N942" s="423"/>
      <c r="O942" t="s">
        <v>1044</v>
      </c>
      <c r="P942">
        <v>295</v>
      </c>
      <c r="Q942" t="s">
        <v>1049</v>
      </c>
      <c r="R942" s="289" t="s">
        <v>1983</v>
      </c>
      <c r="T942" s="289">
        <v>1</v>
      </c>
      <c r="Z942">
        <v>-11.759450751717401</v>
      </c>
    </row>
    <row r="943" spans="1:155" ht="12.75" customHeight="1" x14ac:dyDescent="0.2">
      <c r="A943">
        <v>897</v>
      </c>
      <c r="B943" s="4" t="s">
        <v>1875</v>
      </c>
      <c r="D943" s="4" t="s">
        <v>936</v>
      </c>
      <c r="E943" s="33">
        <v>-1692</v>
      </c>
      <c r="F943" t="str">
        <f>VLOOKUP(E943,CompDbase!B:L,4,FALSE)</f>
        <v>Benzyl alcohol</v>
      </c>
      <c r="G943" s="95" t="str">
        <f>VLOOKUP(E943,CompDbase!B:M,12,FALSE)</f>
        <v>overige</v>
      </c>
      <c r="H943" s="95">
        <f>VLOOKUP(E943,CompDbase!B:L,8,FALSE)</f>
        <v>108.14</v>
      </c>
      <c r="I943" s="95" t="e">
        <f>VLOOKUP(E943,CompDbase!B:L,11,FALSE)</f>
        <v>#DIV/0!</v>
      </c>
      <c r="J943" s="95">
        <f>VLOOKUP(E943,CompDbase!B:L,9,FALSE)</f>
        <v>42900</v>
      </c>
      <c r="K943" s="95">
        <f>VLOOKUP(E943,CompDbase!B:L,10,FALSE)</f>
        <v>1.1000000000000001</v>
      </c>
      <c r="L943" s="1" t="s">
        <v>1923</v>
      </c>
      <c r="M943" s="423"/>
      <c r="N943" s="423"/>
      <c r="O943" t="s">
        <v>1044</v>
      </c>
      <c r="P943">
        <v>295</v>
      </c>
      <c r="Q943" t="s">
        <v>1049</v>
      </c>
      <c r="R943" s="289" t="s">
        <v>1983</v>
      </c>
      <c r="T943" s="289">
        <v>1</v>
      </c>
      <c r="Z943">
        <v>-12.39469495385889</v>
      </c>
    </row>
    <row r="944" spans="1:155" ht="12.75" customHeight="1" x14ac:dyDescent="0.2">
      <c r="A944">
        <v>898</v>
      </c>
      <c r="B944" s="4" t="s">
        <v>1875</v>
      </c>
      <c r="D944" t="s">
        <v>929</v>
      </c>
      <c r="E944" s="33">
        <v>-1693</v>
      </c>
      <c r="F944" t="str">
        <f>VLOOKUP(E944,CompDbase!B:L,4,FALSE)</f>
        <v>1-Butanol</v>
      </c>
      <c r="G944" s="95" t="str">
        <f>VLOOKUP(E944,CompDbase!B:M,12,FALSE)</f>
        <v>O2</v>
      </c>
      <c r="H944" s="95">
        <f>VLOOKUP(E944,CompDbase!B:L,8,FALSE)</f>
        <v>74.12</v>
      </c>
      <c r="I944" s="95" t="e">
        <f>VLOOKUP(E944,CompDbase!B:L,11,FALSE)</f>
        <v>#DIV/0!</v>
      </c>
      <c r="J944" s="95">
        <f>VLOOKUP(E944,CompDbase!B:L,9,FALSE)</f>
        <v>63200</v>
      </c>
      <c r="K944" s="95">
        <f>VLOOKUP(E944,CompDbase!B:L,10,FALSE)</f>
        <v>0.88</v>
      </c>
      <c r="L944" s="1" t="s">
        <v>1923</v>
      </c>
      <c r="M944" s="423"/>
      <c r="N944" s="423"/>
      <c r="O944" t="s">
        <v>1044</v>
      </c>
      <c r="P944">
        <v>295</v>
      </c>
      <c r="Q944" t="s">
        <v>1049</v>
      </c>
      <c r="R944" s="289" t="s">
        <v>1983</v>
      </c>
      <c r="T944" s="289">
        <v>1</v>
      </c>
      <c r="Z944">
        <v>-12.570247719997592</v>
      </c>
    </row>
    <row r="945" spans="1:167" ht="12.75" customHeight="1" x14ac:dyDescent="0.2">
      <c r="A945">
        <v>899</v>
      </c>
      <c r="B945" s="4" t="s">
        <v>1875</v>
      </c>
      <c r="D945" t="s">
        <v>930</v>
      </c>
      <c r="E945" s="33">
        <v>-1694</v>
      </c>
      <c r="F945" t="str">
        <f>VLOOKUP(E945,CompDbase!B:L,4,FALSE)</f>
        <v>2-Propanol</v>
      </c>
      <c r="G945" s="95" t="str">
        <f>VLOOKUP(E945,CompDbase!B:M,12,FALSE)</f>
        <v>O2</v>
      </c>
      <c r="H945" s="95">
        <f>VLOOKUP(E945,CompDbase!B:L,8,FALSE)</f>
        <v>60.1</v>
      </c>
      <c r="I945" s="95" t="e">
        <f>VLOOKUP(E945,CompDbase!B:L,11,FALSE)</f>
        <v>#DIV/0!</v>
      </c>
      <c r="J945" s="95">
        <f>VLOOKUP(E945,CompDbase!B:L,9,FALSE)</f>
        <v>1000000</v>
      </c>
      <c r="K945" s="95">
        <f>VLOOKUP(E945,CompDbase!B:L,10,FALSE)</f>
        <v>0.05</v>
      </c>
      <c r="L945" s="1" t="s">
        <v>1923</v>
      </c>
      <c r="M945" s="423"/>
      <c r="N945" s="423"/>
      <c r="O945" t="s">
        <v>1044</v>
      </c>
      <c r="P945">
        <v>295</v>
      </c>
      <c r="Q945" t="s">
        <v>1049</v>
      </c>
      <c r="R945" s="289" t="s">
        <v>1983</v>
      </c>
      <c r="T945" s="289">
        <v>1</v>
      </c>
      <c r="Z945">
        <v>-12.570247719997592</v>
      </c>
    </row>
    <row r="946" spans="1:167" ht="12.75" customHeight="1" x14ac:dyDescent="0.2">
      <c r="A946">
        <v>900</v>
      </c>
      <c r="B946" s="4" t="s">
        <v>1875</v>
      </c>
      <c r="D946" t="s">
        <v>537</v>
      </c>
      <c r="E946" s="33">
        <v>-402</v>
      </c>
      <c r="F946" t="str">
        <f>VLOOKUP(E946,CompDbase!B:L,4,FALSE)</f>
        <v>Dichloromethane</v>
      </c>
      <c r="G946" s="95" t="str">
        <f>VLOOKUP(E946,CompDbase!B:M,12,FALSE)</f>
        <v>ClAlk</v>
      </c>
      <c r="H946" s="95">
        <f>VLOOKUP(E946,CompDbase!B:L,8,FALSE)</f>
        <v>84.93</v>
      </c>
      <c r="I946" s="95">
        <f>VLOOKUP(E946,CompDbase!B:L,11,FALSE)</f>
        <v>64.5</v>
      </c>
      <c r="J946" s="95">
        <f>VLOOKUP(E946,CompDbase!B:L,9,FALSE)</f>
        <v>20000</v>
      </c>
      <c r="K946" s="95">
        <f>VLOOKUP(E946,CompDbase!B:L,10,FALSE)</f>
        <v>1.25</v>
      </c>
      <c r="L946" s="1" t="s">
        <v>1923</v>
      </c>
      <c r="M946" s="423"/>
      <c r="N946" s="423"/>
      <c r="O946" t="s">
        <v>1044</v>
      </c>
      <c r="P946">
        <v>295</v>
      </c>
      <c r="Q946" t="s">
        <v>1049</v>
      </c>
      <c r="R946" s="289" t="s">
        <v>1983</v>
      </c>
      <c r="T946" s="289">
        <v>1</v>
      </c>
      <c r="Z946">
        <v>-10.87942606879415</v>
      </c>
    </row>
    <row r="947" spans="1:167" ht="12.75" customHeight="1" x14ac:dyDescent="0.2">
      <c r="A947">
        <v>901</v>
      </c>
      <c r="B947" s="4" t="s">
        <v>1875</v>
      </c>
      <c r="D947" t="s">
        <v>931</v>
      </c>
      <c r="E947" s="33">
        <v>-1695</v>
      </c>
      <c r="F947" t="str">
        <f>VLOOKUP(E947,CompDbase!B:L,4,FALSE)</f>
        <v>Methyl tert-butyl ether</v>
      </c>
      <c r="G947" s="95" t="str">
        <f>VLOOKUP(E947,CompDbase!B:M,12,FALSE)</f>
        <v>O2</v>
      </c>
      <c r="H947" s="95">
        <f>VLOOKUP(E947,CompDbase!B:L,8,FALSE)</f>
        <v>88.15</v>
      </c>
      <c r="I947" s="95" t="e">
        <f>VLOOKUP(E947,CompDbase!B:L,11,FALSE)</f>
        <v>#DIV/0!</v>
      </c>
      <c r="J947" s="95">
        <f>VLOOKUP(E947,CompDbase!B:L,9,FALSE)</f>
        <v>51000</v>
      </c>
      <c r="K947" s="95">
        <f>VLOOKUP(E947,CompDbase!B:L,10,FALSE)</f>
        <v>0.94</v>
      </c>
      <c r="L947" s="1" t="s">
        <v>1923</v>
      </c>
      <c r="M947" s="423"/>
      <c r="N947" s="423"/>
      <c r="O947" t="s">
        <v>1044</v>
      </c>
      <c r="P947">
        <v>295</v>
      </c>
      <c r="Q947" t="s">
        <v>1049</v>
      </c>
      <c r="R947" s="289" t="s">
        <v>1983</v>
      </c>
      <c r="T947" s="289">
        <v>1</v>
      </c>
      <c r="Z947">
        <v>-11.899629454882437</v>
      </c>
    </row>
    <row r="948" spans="1:167" ht="12.75" customHeight="1" x14ac:dyDescent="0.2">
      <c r="A948">
        <v>902</v>
      </c>
      <c r="B948" s="4" t="s">
        <v>1875</v>
      </c>
      <c r="D948" s="4" t="s">
        <v>932</v>
      </c>
      <c r="E948" s="33">
        <v>-1534</v>
      </c>
      <c r="F948" t="str">
        <f>VLOOKUP(E948,CompDbase!B:L,4,FALSE)</f>
        <v>Chloroform</v>
      </c>
      <c r="G948" s="95" t="str">
        <f>VLOOKUP(E948,CompDbase!B:M,12,FALSE)</f>
        <v>ClAlk</v>
      </c>
      <c r="H948" s="95">
        <f>VLOOKUP(E948,CompDbase!B:L,8,FALSE)</f>
        <v>119.38</v>
      </c>
      <c r="I948" s="95" t="e">
        <f>VLOOKUP(E948,CompDbase!B:L,11,FALSE)</f>
        <v>#DIV/0!</v>
      </c>
      <c r="J948" s="95">
        <f>VLOOKUP(E948,CompDbase!B:L,9,FALSE)</f>
        <v>7950</v>
      </c>
      <c r="K948" s="95">
        <f>VLOOKUP(E948,CompDbase!B:L,10,FALSE)</f>
        <v>1.97</v>
      </c>
      <c r="L948" s="1" t="s">
        <v>1923</v>
      </c>
      <c r="M948" s="423"/>
      <c r="N948" s="423"/>
      <c r="O948" t="s">
        <v>1044</v>
      </c>
      <c r="P948">
        <v>295</v>
      </c>
      <c r="Q948" t="s">
        <v>1049</v>
      </c>
      <c r="R948" s="289" t="s">
        <v>1983</v>
      </c>
      <c r="T948" s="289">
        <v>1</v>
      </c>
      <c r="Z948">
        <v>-11.036684488613888</v>
      </c>
    </row>
    <row r="949" spans="1:167" ht="12.75" customHeight="1" x14ac:dyDescent="0.2">
      <c r="A949">
        <v>903</v>
      </c>
      <c r="B949" s="4" t="s">
        <v>1875</v>
      </c>
      <c r="D949" t="s">
        <v>492</v>
      </c>
      <c r="E949" s="33">
        <v>204</v>
      </c>
      <c r="F949" t="str">
        <f>VLOOKUP(E949,CompDbase!B:L,4,FALSE)</f>
        <v>Toluene</v>
      </c>
      <c r="G949" s="95" t="str">
        <f>VLOOKUP(E949,CompDbase!B:M,12,FALSE)</f>
        <v>MAK</v>
      </c>
      <c r="H949" s="95">
        <f>VLOOKUP(E949,CompDbase!B:L,8,FALSE)</f>
        <v>92.14249284505685</v>
      </c>
      <c r="I949" s="95">
        <f>VLOOKUP(E949,CompDbase!B:L,11,FALSE)</f>
        <v>106.9</v>
      </c>
      <c r="J949" s="95">
        <f>VLOOKUP(E949,CompDbase!B:L,9,FALSE)</f>
        <v>610.59105234897152</v>
      </c>
      <c r="K949" s="95">
        <f>VLOOKUP(E949,CompDbase!B:L,10,FALSE)</f>
        <v>2.73</v>
      </c>
      <c r="L949" s="1" t="s">
        <v>1923</v>
      </c>
      <c r="M949" s="423"/>
      <c r="N949" s="423"/>
      <c r="O949" t="s">
        <v>1044</v>
      </c>
      <c r="P949">
        <v>295</v>
      </c>
      <c r="Q949" t="s">
        <v>1049</v>
      </c>
      <c r="R949" s="289" t="s">
        <v>1983</v>
      </c>
      <c r="T949" s="289">
        <v>1</v>
      </c>
      <c r="Z949">
        <v>-11.014573525916997</v>
      </c>
    </row>
    <row r="950" spans="1:167" ht="12.75" customHeight="1" x14ac:dyDescent="0.2">
      <c r="A950">
        <v>904</v>
      </c>
      <c r="B950" s="4" t="s">
        <v>1875</v>
      </c>
      <c r="D950" t="s">
        <v>933</v>
      </c>
      <c r="E950" s="33">
        <v>205</v>
      </c>
      <c r="F950" t="str">
        <f>VLOOKUP(E950,CompDbase!B:L,4,FALSE)</f>
        <v>m-Xylene</v>
      </c>
      <c r="G950" s="95" t="str">
        <f>VLOOKUP(E950,CompDbase!B:M,12,FALSE)</f>
        <v>MAK</v>
      </c>
      <c r="H950" s="95">
        <f>VLOOKUP(E950,CompDbase!B:L,8,FALSE)</f>
        <v>106.18999905823263</v>
      </c>
      <c r="I950" s="95" t="e">
        <f>VLOOKUP(E950,CompDbase!B:L,11,FALSE)</f>
        <v>#DIV/0!</v>
      </c>
      <c r="J950" s="95">
        <f>VLOOKUP(E950,CompDbase!B:L,9,FALSE)</f>
        <v>197.40652052455141</v>
      </c>
      <c r="K950" s="95">
        <f>VLOOKUP(E950,CompDbase!B:L,10,FALSE)</f>
        <v>3.2</v>
      </c>
      <c r="L950" s="1" t="s">
        <v>1923</v>
      </c>
      <c r="M950" s="423"/>
      <c r="N950" s="423"/>
      <c r="O950" t="s">
        <v>1044</v>
      </c>
      <c r="P950">
        <v>295</v>
      </c>
      <c r="Q950" t="s">
        <v>1049</v>
      </c>
      <c r="R950" s="289" t="s">
        <v>1983</v>
      </c>
      <c r="T950" s="289">
        <v>1</v>
      </c>
      <c r="Z950">
        <v>-11.202732459169283</v>
      </c>
    </row>
    <row r="951" spans="1:167" ht="12.75" customHeight="1" x14ac:dyDescent="0.2">
      <c r="A951">
        <v>905</v>
      </c>
      <c r="B951" s="14" t="s">
        <v>1875</v>
      </c>
      <c r="D951" s="13" t="s">
        <v>699</v>
      </c>
      <c r="E951" s="13">
        <v>219</v>
      </c>
      <c r="F951" s="13" t="str">
        <f>VLOOKUP(E951,CompDbase!B:L,4,FALSE)</f>
        <v>p-Xylene</v>
      </c>
      <c r="G951" s="182" t="str">
        <f>VLOOKUP(E951,CompDbase!B:M,12,FALSE)</f>
        <v>MAK</v>
      </c>
      <c r="H951" s="182">
        <f>VLOOKUP(E951,CompDbase!B:L,8,FALSE)</f>
        <v>106.18666499232586</v>
      </c>
      <c r="I951" s="182">
        <f>VLOOKUP(E951,CompDbase!B:L,11,FALSE)</f>
        <v>123.9</v>
      </c>
      <c r="J951" s="182">
        <f>VLOOKUP(E951,CompDbase!B:L,9,FALSE)</f>
        <v>210.93846155625408</v>
      </c>
      <c r="K951" s="182">
        <f>VLOOKUP(E951,CompDbase!B:L,10,FALSE)</f>
        <v>3.15</v>
      </c>
      <c r="L951" s="413" t="s">
        <v>1923</v>
      </c>
      <c r="M951" s="424"/>
      <c r="N951" s="424"/>
      <c r="O951" s="13" t="s">
        <v>1044</v>
      </c>
      <c r="P951" s="13">
        <v>295</v>
      </c>
      <c r="Q951" s="13" t="s">
        <v>1049</v>
      </c>
      <c r="R951" s="405" t="s">
        <v>1983</v>
      </c>
      <c r="S951" s="13"/>
      <c r="T951" s="289">
        <v>1</v>
      </c>
      <c r="Z951">
        <v>-11.021819483062586</v>
      </c>
    </row>
    <row r="952" spans="1:167" s="9" customFormat="1" ht="12.75" customHeight="1" x14ac:dyDescent="0.2">
      <c r="A952">
        <v>906</v>
      </c>
      <c r="B952" s="9" t="s">
        <v>1817</v>
      </c>
      <c r="D952" s="10" t="s">
        <v>703</v>
      </c>
      <c r="E952" s="9">
        <v>-402</v>
      </c>
      <c r="F952" s="9" t="str">
        <f>VLOOKUP(E952,CompDbase!B:L,4,FALSE)</f>
        <v>Dichloromethane</v>
      </c>
      <c r="G952" s="181" t="str">
        <f>VLOOKUP(E952,CompDbase!B:M,12,FALSE)</f>
        <v>ClAlk</v>
      </c>
      <c r="H952" s="181">
        <f>VLOOKUP(E952,CompDbase!B:L,8,FALSE)</f>
        <v>84.93</v>
      </c>
      <c r="I952" s="181">
        <f>VLOOKUP(E952,CompDbase!B:L,11,FALSE)</f>
        <v>64.5</v>
      </c>
      <c r="J952" s="181">
        <f>VLOOKUP(E952,CompDbase!B:L,9,FALSE)</f>
        <v>20000</v>
      </c>
      <c r="K952" s="181">
        <f>VLOOKUP(E952,CompDbase!B:L,10,FALSE)</f>
        <v>1.25</v>
      </c>
      <c r="L952" s="412" t="s">
        <v>1924</v>
      </c>
      <c r="M952" s="425"/>
      <c r="N952" s="425"/>
      <c r="O952" s="10" t="s">
        <v>1082</v>
      </c>
      <c r="P952" s="9">
        <v>293</v>
      </c>
      <c r="Q952" s="10" t="s">
        <v>1049</v>
      </c>
      <c r="R952" s="289" t="s">
        <v>1982</v>
      </c>
      <c r="S952" s="9">
        <v>0.1</v>
      </c>
      <c r="T952" s="181">
        <f>S952/J952</f>
        <v>5.0000000000000004E-6</v>
      </c>
      <c r="X952" s="316"/>
      <c r="Z952" s="393">
        <f>LOG(0.00000000000087)</f>
        <v>-12.060480747381382</v>
      </c>
      <c r="AA952" s="181"/>
      <c r="AB952" s="316"/>
      <c r="AC952" s="181"/>
      <c r="AD952" s="181"/>
      <c r="DP952"/>
      <c r="FG952" s="476"/>
      <c r="FH952" s="478"/>
      <c r="FI952" s="478"/>
      <c r="FJ952" s="478"/>
      <c r="FK952" s="478"/>
    </row>
    <row r="953" spans="1:167" ht="12.75" customHeight="1" x14ac:dyDescent="0.2">
      <c r="A953">
        <v>907</v>
      </c>
      <c r="B953" t="s">
        <v>1817</v>
      </c>
      <c r="D953" s="4" t="s">
        <v>492</v>
      </c>
      <c r="E953">
        <v>204</v>
      </c>
      <c r="F953" t="str">
        <f>VLOOKUP(E953,CompDbase!B:L,4,FALSE)</f>
        <v>Toluene</v>
      </c>
      <c r="G953" s="95" t="str">
        <f>VLOOKUP(E953,CompDbase!B:M,12,FALSE)</f>
        <v>MAK</v>
      </c>
      <c r="H953" s="95">
        <f>VLOOKUP(E953,CompDbase!B:L,8,FALSE)</f>
        <v>92.14249284505685</v>
      </c>
      <c r="I953" s="95">
        <f>VLOOKUP(E953,CompDbase!B:L,11,FALSE)</f>
        <v>106.9</v>
      </c>
      <c r="J953" s="95">
        <f>VLOOKUP(E953,CompDbase!B:L,9,FALSE)</f>
        <v>610.59105234897152</v>
      </c>
      <c r="K953" s="95">
        <f>VLOOKUP(E953,CompDbase!B:L,10,FALSE)</f>
        <v>2.73</v>
      </c>
      <c r="L953" s="1" t="s">
        <v>1924</v>
      </c>
      <c r="O953" s="4" t="s">
        <v>1082</v>
      </c>
      <c r="P953">
        <v>293</v>
      </c>
      <c r="Q953" s="4" t="s">
        <v>1049</v>
      </c>
      <c r="R953" s="289" t="s">
        <v>1982</v>
      </c>
      <c r="S953">
        <v>0.1</v>
      </c>
      <c r="T953" s="95">
        <f>S953/J953</f>
        <v>1.637757376484563E-4</v>
      </c>
      <c r="X953" s="288"/>
      <c r="Z953" s="289">
        <f>LOG(0.00000000000146)</f>
        <v>-11.835647144215564</v>
      </c>
      <c r="AA953" s="95"/>
      <c r="AB953" s="288"/>
      <c r="AC953" s="95"/>
      <c r="AD953" s="95"/>
    </row>
    <row r="954" spans="1:167" ht="12.75" customHeight="1" x14ac:dyDescent="0.2">
      <c r="A954">
        <v>908</v>
      </c>
      <c r="B954" t="s">
        <v>1817</v>
      </c>
      <c r="D954" s="4" t="s">
        <v>788</v>
      </c>
      <c r="E954">
        <v>405</v>
      </c>
      <c r="F954" t="str">
        <f>VLOOKUP(E954,CompDbase!B:L,4,FALSE)</f>
        <v>Trichloroethylene</v>
      </c>
      <c r="G954" s="95" t="str">
        <f>VLOOKUP(E954,CompDbase!B:M,12,FALSE)</f>
        <v>ClAlk</v>
      </c>
      <c r="H954" s="95">
        <f>VLOOKUP(E954,CompDbase!B:L,8,FALSE)</f>
        <v>131.4</v>
      </c>
      <c r="I954" s="95" t="e">
        <f>VLOOKUP(E954,CompDbase!B:L,11,FALSE)</f>
        <v>#DIV/0!</v>
      </c>
      <c r="J954" s="95">
        <f>VLOOKUP(E954,CompDbase!B:L,9,FALSE)</f>
        <v>1164.8441611748488</v>
      </c>
      <c r="K954" s="95">
        <f>VLOOKUP(E954,CompDbase!B:L,10,FALSE)</f>
        <v>2.61</v>
      </c>
      <c r="L954" s="1" t="s">
        <v>1924</v>
      </c>
      <c r="M954" s="423"/>
      <c r="N954" s="423"/>
      <c r="O954" s="4" t="s">
        <v>1082</v>
      </c>
      <c r="P954">
        <v>293</v>
      </c>
      <c r="Q954" s="4" t="s">
        <v>1049</v>
      </c>
      <c r="R954" s="289" t="s">
        <v>1982</v>
      </c>
      <c r="S954">
        <v>0.1</v>
      </c>
      <c r="T954" s="95">
        <f>S954/J954</f>
        <v>8.5848393573215084E-5</v>
      </c>
      <c r="X954" s="288"/>
      <c r="Z954" s="289">
        <f>LOG(0.00000000000154)</f>
        <v>-11.812479279163536</v>
      </c>
      <c r="AA954" s="95"/>
      <c r="AB954" s="288"/>
      <c r="AC954" s="95"/>
      <c r="AD954" s="95"/>
    </row>
    <row r="955" spans="1:167" ht="12.75" customHeight="1" x14ac:dyDescent="0.2">
      <c r="A955">
        <v>909</v>
      </c>
      <c r="B955" t="s">
        <v>1817</v>
      </c>
      <c r="D955" s="4" t="s">
        <v>762</v>
      </c>
      <c r="E955">
        <v>205</v>
      </c>
      <c r="F955" t="str">
        <f>VLOOKUP(E955,CompDbase!B:L,4,FALSE)</f>
        <v>m-Xylene</v>
      </c>
      <c r="G955" s="95" t="str">
        <f>VLOOKUP(E955,CompDbase!B:M,12,FALSE)</f>
        <v>MAK</v>
      </c>
      <c r="H955" s="95">
        <f>VLOOKUP(E955,CompDbase!B:L,8,FALSE)</f>
        <v>106.18999905823263</v>
      </c>
      <c r="I955" s="95" t="e">
        <f>VLOOKUP(E955,CompDbase!B:L,11,FALSE)</f>
        <v>#DIV/0!</v>
      </c>
      <c r="J955" s="95">
        <f>VLOOKUP(E955,CompDbase!B:L,9,FALSE)</f>
        <v>197.40652052455141</v>
      </c>
      <c r="K955" s="95">
        <f>VLOOKUP(E955,CompDbase!B:L,10,FALSE)</f>
        <v>3.2</v>
      </c>
      <c r="L955" s="1" t="s">
        <v>1924</v>
      </c>
      <c r="M955" s="423"/>
      <c r="N955" s="423"/>
      <c r="O955" s="4" t="s">
        <v>1082</v>
      </c>
      <c r="P955">
        <v>293</v>
      </c>
      <c r="Q955" s="4" t="s">
        <v>1049</v>
      </c>
      <c r="R955" s="289" t="s">
        <v>1982</v>
      </c>
      <c r="S955">
        <v>0.1</v>
      </c>
      <c r="T955" s="95">
        <f>S955/J955</f>
        <v>5.0656887996545694E-4</v>
      </c>
      <c r="X955" s="288"/>
      <c r="Z955" s="289">
        <f>LOG(0.00000000000153)</f>
        <v>-11.815308569182401</v>
      </c>
      <c r="AA955" s="95"/>
      <c r="AB955" s="288"/>
      <c r="AC955" s="95"/>
      <c r="AD955" s="95"/>
    </row>
    <row r="956" spans="1:167" ht="12.75" customHeight="1" x14ac:dyDescent="0.2">
      <c r="A956">
        <v>910</v>
      </c>
      <c r="B956" s="4" t="s">
        <v>1875</v>
      </c>
      <c r="C956" s="4"/>
      <c r="D956" s="4" t="s">
        <v>932</v>
      </c>
      <c r="E956" s="33">
        <v>-1534</v>
      </c>
      <c r="F956" t="str">
        <f>VLOOKUP(E956,CompDbase!B:L,4,FALSE)</f>
        <v>Chloroform</v>
      </c>
      <c r="G956" s="95" t="str">
        <f>VLOOKUP(E956,CompDbase!B:M,12,FALSE)</f>
        <v>ClAlk</v>
      </c>
      <c r="H956" s="95">
        <f>VLOOKUP(E956,CompDbase!B:L,8,FALSE)</f>
        <v>119.38</v>
      </c>
      <c r="I956" s="95" t="e">
        <f>VLOOKUP(E956,CompDbase!B:L,11,FALSE)</f>
        <v>#DIV/0!</v>
      </c>
      <c r="J956" s="95">
        <f>VLOOKUP(E956,CompDbase!B:L,9,FALSE)</f>
        <v>7950</v>
      </c>
      <c r="K956" s="95">
        <f>VLOOKUP(E956,CompDbase!B:L,10,FALSE)</f>
        <v>1.97</v>
      </c>
      <c r="L956" s="1" t="s">
        <v>1932</v>
      </c>
      <c r="M956" s="423"/>
      <c r="N956" s="423"/>
      <c r="O956" t="s">
        <v>1044</v>
      </c>
      <c r="P956">
        <v>295</v>
      </c>
      <c r="Q956" t="s">
        <v>1049</v>
      </c>
      <c r="R956" s="289" t="s">
        <v>1983</v>
      </c>
      <c r="T956" s="95">
        <v>1</v>
      </c>
      <c r="U956">
        <f>Age!H34*1000</f>
        <v>142.5</v>
      </c>
      <c r="W956" s="183">
        <f t="shared" ref="W956:W965" si="836">U956/J956</f>
        <v>1.7924528301886792E-2</v>
      </c>
      <c r="X956" s="288">
        <f t="shared" ref="X956:X967" si="837">LOG(W956)</f>
        <v>-1.7465522643119413</v>
      </c>
      <c r="Y956">
        <v>6.1420000000000003E-12</v>
      </c>
      <c r="Z956" s="95">
        <f t="shared" ref="Z956:Z965" si="838">LOG(Y956)</f>
        <v>-11.21169018789295</v>
      </c>
      <c r="AA956" s="95">
        <f t="shared" ref="AA956:AA965" si="839">W956*Y956</f>
        <v>1.1009245283018869E-13</v>
      </c>
      <c r="AB956" s="288">
        <f t="shared" ref="AB956:AB965" si="840">LOG(AA956)</f>
        <v>-12.958242452204891</v>
      </c>
      <c r="AC956" s="95"/>
      <c r="AD956" s="95"/>
      <c r="AG956" s="138">
        <f t="shared" ref="AG956:AG967" si="841">X956</f>
        <v>-1.7465522643119413</v>
      </c>
      <c r="AH956">
        <f t="shared" ref="AH956:AH967" si="842">$K956</f>
        <v>1.97</v>
      </c>
      <c r="BW956" s="138"/>
      <c r="DG956" s="138"/>
    </row>
    <row r="957" spans="1:167" ht="12.75" customHeight="1" x14ac:dyDescent="0.2">
      <c r="A957">
        <v>911</v>
      </c>
      <c r="B957" s="4" t="s">
        <v>1875</v>
      </c>
      <c r="C957" s="4"/>
      <c r="D957" t="s">
        <v>933</v>
      </c>
      <c r="E957" s="33">
        <v>205</v>
      </c>
      <c r="F957" t="str">
        <f>VLOOKUP(E957,CompDbase!B:L,4,FALSE)</f>
        <v>m-Xylene</v>
      </c>
      <c r="G957" s="95" t="str">
        <f>VLOOKUP(E957,CompDbase!B:M,12,FALSE)</f>
        <v>MAK</v>
      </c>
      <c r="H957" s="95">
        <f>VLOOKUP(E957,CompDbase!B:L,8,FALSE)</f>
        <v>106.18999905823263</v>
      </c>
      <c r="I957" s="95" t="e">
        <f>VLOOKUP(E957,CompDbase!B:L,11,FALSE)</f>
        <v>#DIV/0!</v>
      </c>
      <c r="J957" s="95">
        <f>VLOOKUP(E957,CompDbase!B:L,9,FALSE)</f>
        <v>197.40652052455141</v>
      </c>
      <c r="K957" s="95">
        <f>VLOOKUP(E957,CompDbase!B:L,10,FALSE)</f>
        <v>3.2</v>
      </c>
      <c r="L957" s="1" t="s">
        <v>1932</v>
      </c>
      <c r="M957" s="423"/>
      <c r="N957" s="423"/>
      <c r="O957" t="s">
        <v>1044</v>
      </c>
      <c r="P957">
        <v>295</v>
      </c>
      <c r="Q957" t="s">
        <v>1049</v>
      </c>
      <c r="R957" s="289" t="s">
        <v>1983</v>
      </c>
      <c r="T957" s="95">
        <v>1</v>
      </c>
      <c r="U957">
        <f>Age!H36*1000</f>
        <v>87.4</v>
      </c>
      <c r="W957" s="183">
        <f t="shared" si="836"/>
        <v>0.44274120108980941</v>
      </c>
      <c r="X957" s="288">
        <f t="shared" si="837"/>
        <v>-0.35385006109466721</v>
      </c>
      <c r="Y957">
        <v>4.4040000000000002E-12</v>
      </c>
      <c r="Z957" s="95">
        <f t="shared" si="838"/>
        <v>-11.356152689700286</v>
      </c>
      <c r="AA957" s="95">
        <f t="shared" si="839"/>
        <v>1.9498322495995207E-12</v>
      </c>
      <c r="AB957" s="288">
        <f t="shared" si="840"/>
        <v>-11.710002750794953</v>
      </c>
      <c r="AC957" s="95"/>
      <c r="AD957" s="95"/>
      <c r="AG957" s="138">
        <f t="shared" si="841"/>
        <v>-0.35385006109466721</v>
      </c>
      <c r="AH957">
        <f t="shared" si="842"/>
        <v>3.2</v>
      </c>
      <c r="BW957" s="138"/>
      <c r="DG957" s="138"/>
    </row>
    <row r="958" spans="1:167" ht="12.75" customHeight="1" x14ac:dyDescent="0.2">
      <c r="A958">
        <v>912</v>
      </c>
      <c r="B958" s="4" t="s">
        <v>1875</v>
      </c>
      <c r="C958" s="4"/>
      <c r="D958" t="s">
        <v>492</v>
      </c>
      <c r="E958" s="33">
        <v>204</v>
      </c>
      <c r="F958" t="str">
        <f>VLOOKUP(E958,CompDbase!B:L,4,FALSE)</f>
        <v>Toluene</v>
      </c>
      <c r="G958" s="95" t="str">
        <f>VLOOKUP(E958,CompDbase!B:M,12,FALSE)</f>
        <v>MAK</v>
      </c>
      <c r="H958" s="95">
        <f>VLOOKUP(E958,CompDbase!B:L,8,FALSE)</f>
        <v>92.14249284505685</v>
      </c>
      <c r="I958" s="95">
        <f>VLOOKUP(E958,CompDbase!B:L,11,FALSE)</f>
        <v>106.9</v>
      </c>
      <c r="J958" s="95">
        <f>VLOOKUP(E958,CompDbase!B:L,9,FALSE)</f>
        <v>610.59105234897152</v>
      </c>
      <c r="K958" s="95">
        <f>VLOOKUP(E958,CompDbase!B:L,10,FALSE)</f>
        <v>2.73</v>
      </c>
      <c r="L958" s="1" t="s">
        <v>1932</v>
      </c>
      <c r="M958" s="423"/>
      <c r="N958" s="423"/>
      <c r="O958" t="s">
        <v>1044</v>
      </c>
      <c r="P958">
        <v>295</v>
      </c>
      <c r="Q958" t="s">
        <v>1049</v>
      </c>
      <c r="R958" s="289" t="s">
        <v>1983</v>
      </c>
      <c r="T958" s="95">
        <v>1</v>
      </c>
      <c r="U958">
        <f>Age!H35*1000</f>
        <v>85.3</v>
      </c>
      <c r="W958" s="183">
        <f t="shared" si="836"/>
        <v>0.13970070421413322</v>
      </c>
      <c r="X958" s="288">
        <f t="shared" si="837"/>
        <v>-0.85480140465502863</v>
      </c>
      <c r="Y958">
        <v>6.8820000000000008E-12</v>
      </c>
      <c r="Z958" s="95">
        <f t="shared" si="838"/>
        <v>-11.162285331715088</v>
      </c>
      <c r="AA958" s="95">
        <f t="shared" si="839"/>
        <v>9.6142024640166488E-13</v>
      </c>
      <c r="AB958" s="288">
        <f t="shared" si="840"/>
        <v>-12.017086736370118</v>
      </c>
      <c r="AC958" s="95"/>
      <c r="AD958" s="95"/>
      <c r="AG958" s="138">
        <f t="shared" si="841"/>
        <v>-0.85480140465502863</v>
      </c>
      <c r="AH958">
        <f t="shared" si="842"/>
        <v>2.73</v>
      </c>
      <c r="BW958" s="138"/>
      <c r="DG958" s="138"/>
    </row>
    <row r="959" spans="1:167" ht="12.75" customHeight="1" x14ac:dyDescent="0.2">
      <c r="A959">
        <v>913</v>
      </c>
      <c r="B959" s="4" t="s">
        <v>1875</v>
      </c>
      <c r="C959" s="4"/>
      <c r="D959" t="s">
        <v>929</v>
      </c>
      <c r="E959" s="33">
        <v>-1693</v>
      </c>
      <c r="F959" t="str">
        <f>VLOOKUP(E959,CompDbase!B:L,4,FALSE)</f>
        <v>1-Butanol</v>
      </c>
      <c r="G959" s="95" t="str">
        <f>VLOOKUP(E959,CompDbase!B:M,12,FALSE)</f>
        <v>O2</v>
      </c>
      <c r="H959" s="95">
        <f>VLOOKUP(E959,CompDbase!B:L,8,FALSE)</f>
        <v>74.12</v>
      </c>
      <c r="I959" s="95" t="e">
        <f>VLOOKUP(E959,CompDbase!B:L,11,FALSE)</f>
        <v>#DIV/0!</v>
      </c>
      <c r="J959" s="95">
        <f>VLOOKUP(E959,CompDbase!B:L,9,FALSE)</f>
        <v>63200</v>
      </c>
      <c r="K959" s="95">
        <f>VLOOKUP(E959,CompDbase!B:L,10,FALSE)</f>
        <v>0.88</v>
      </c>
      <c r="L959" s="1" t="s">
        <v>1932</v>
      </c>
      <c r="M959" s="423"/>
      <c r="N959" s="423"/>
      <c r="O959" t="s">
        <v>1044</v>
      </c>
      <c r="P959">
        <v>295</v>
      </c>
      <c r="Q959" t="s">
        <v>1049</v>
      </c>
      <c r="R959" s="289" t="s">
        <v>1983</v>
      </c>
      <c r="T959" s="95">
        <v>1</v>
      </c>
      <c r="U959">
        <f>Age!H29*1000</f>
        <v>6.2</v>
      </c>
      <c r="W959" s="183">
        <f t="shared" si="836"/>
        <v>9.810126582278482E-5</v>
      </c>
      <c r="X959" s="288">
        <f t="shared" si="837"/>
        <v>-4.0083253887841312</v>
      </c>
      <c r="Y959">
        <v>2.61E-13</v>
      </c>
      <c r="Z959" s="95">
        <f t="shared" si="838"/>
        <v>-12.583359492661719</v>
      </c>
      <c r="AA959" s="95">
        <f t="shared" si="839"/>
        <v>2.5604430379746839E-17</v>
      </c>
      <c r="AB959" s="288">
        <f t="shared" si="840"/>
        <v>-16.59168488144585</v>
      </c>
      <c r="AC959" s="95"/>
      <c r="AD959" s="95"/>
      <c r="AG959" s="138">
        <f t="shared" si="841"/>
        <v>-4.0083253887841312</v>
      </c>
      <c r="AH959">
        <f t="shared" si="842"/>
        <v>0.88</v>
      </c>
      <c r="BW959" s="138"/>
      <c r="DG959" s="138"/>
    </row>
    <row r="960" spans="1:167" ht="12.75" customHeight="1" x14ac:dyDescent="0.2">
      <c r="A960">
        <v>914</v>
      </c>
      <c r="B960" s="4" t="s">
        <v>1875</v>
      </c>
      <c r="C960" s="4"/>
      <c r="D960" t="s">
        <v>930</v>
      </c>
      <c r="E960" s="33">
        <v>-1694</v>
      </c>
      <c r="F960" t="str">
        <f>VLOOKUP(E960,CompDbase!B:L,4,FALSE)</f>
        <v>2-Propanol</v>
      </c>
      <c r="G960" s="95" t="str">
        <f>VLOOKUP(E960,CompDbase!B:M,12,FALSE)</f>
        <v>O2</v>
      </c>
      <c r="H960" s="95">
        <f>VLOOKUP(E960,CompDbase!B:L,8,FALSE)</f>
        <v>60.1</v>
      </c>
      <c r="I960" s="95" t="e">
        <f>VLOOKUP(E960,CompDbase!B:L,11,FALSE)</f>
        <v>#DIV/0!</v>
      </c>
      <c r="J960" s="95">
        <f>VLOOKUP(E960,CompDbase!B:L,9,FALSE)</f>
        <v>1000000</v>
      </c>
      <c r="K960" s="95">
        <f>VLOOKUP(E960,CompDbase!B:L,10,FALSE)</f>
        <v>0.05</v>
      </c>
      <c r="L960" s="1" t="s">
        <v>1932</v>
      </c>
      <c r="M960" s="423"/>
      <c r="N960" s="423"/>
      <c r="O960" t="s">
        <v>1044</v>
      </c>
      <c r="P960">
        <v>295</v>
      </c>
      <c r="Q960" t="s">
        <v>1049</v>
      </c>
      <c r="R960" s="289" t="s">
        <v>1983</v>
      </c>
      <c r="T960" s="95">
        <v>1</v>
      </c>
      <c r="U960">
        <f>Age!H30*1000</f>
        <v>3</v>
      </c>
      <c r="W960" s="183">
        <f t="shared" si="836"/>
        <v>3.0000000000000001E-6</v>
      </c>
      <c r="X960" s="288">
        <f t="shared" si="837"/>
        <v>-5.5228787452803374</v>
      </c>
      <c r="Y960">
        <v>4.0300000000000005E-13</v>
      </c>
      <c r="Z960" s="95">
        <f t="shared" si="838"/>
        <v>-12.39469495385889</v>
      </c>
      <c r="AA960" s="95">
        <f t="shared" si="839"/>
        <v>1.2090000000000003E-18</v>
      </c>
      <c r="AB960" s="288">
        <f t="shared" si="840"/>
        <v>-17.917573699139229</v>
      </c>
      <c r="AC960" s="95"/>
      <c r="AD960" s="95"/>
      <c r="AG960" s="138">
        <f t="shared" si="841"/>
        <v>-5.5228787452803374</v>
      </c>
      <c r="AH960">
        <f t="shared" si="842"/>
        <v>0.05</v>
      </c>
      <c r="BW960" s="138"/>
      <c r="DG960" s="138"/>
    </row>
    <row r="961" spans="1:111" ht="12.75" customHeight="1" x14ac:dyDescent="0.2">
      <c r="A961">
        <v>915</v>
      </c>
      <c r="B961" s="4" t="s">
        <v>1875</v>
      </c>
      <c r="C961" s="4"/>
      <c r="D961" s="4" t="s">
        <v>928</v>
      </c>
      <c r="E961" s="33">
        <v>1093</v>
      </c>
      <c r="F961" t="str">
        <f>VLOOKUP(E961,CompDbase!B:L,4,FALSE)</f>
        <v>2-Butanone</v>
      </c>
      <c r="G961" s="95" t="str">
        <f>VLOOKUP(E961,CompDbase!B:M,12,FALSE)</f>
        <v>O2</v>
      </c>
      <c r="H961" s="95">
        <f>VLOOKUP(E961,CompDbase!B:L,8,FALSE)</f>
        <v>72</v>
      </c>
      <c r="I961" s="95">
        <f>VLOOKUP(E961,CompDbase!B:L,11,FALSE)</f>
        <v>90.2</v>
      </c>
      <c r="J961" s="95">
        <f>VLOOKUP(E961,CompDbase!B:L,9,FALSE)</f>
        <v>352800</v>
      </c>
      <c r="K961" s="95">
        <f>VLOOKUP(E961,CompDbase!B:L,10,FALSE)</f>
        <v>0.27549999999999997</v>
      </c>
      <c r="L961" s="1" t="s">
        <v>1932</v>
      </c>
      <c r="M961" s="423"/>
      <c r="N961" s="423"/>
      <c r="O961" t="s">
        <v>1044</v>
      </c>
      <c r="P961">
        <v>295</v>
      </c>
      <c r="Q961" t="s">
        <v>1049</v>
      </c>
      <c r="R961" s="289" t="s">
        <v>1983</v>
      </c>
      <c r="T961" s="95">
        <v>1</v>
      </c>
      <c r="U961">
        <f>Age!H27*1000</f>
        <v>19.900000000000002</v>
      </c>
      <c r="W961" s="183">
        <f t="shared" si="836"/>
        <v>5.6405895691609985E-5</v>
      </c>
      <c r="X961" s="288">
        <f t="shared" si="837"/>
        <v>-4.2486755000500755</v>
      </c>
      <c r="Y961">
        <v>1.2320000000000002E-12</v>
      </c>
      <c r="Z961" s="95">
        <f t="shared" si="838"/>
        <v>-11.909389292171593</v>
      </c>
      <c r="AA961" s="95">
        <f t="shared" si="839"/>
        <v>6.9492063492063519E-17</v>
      </c>
      <c r="AB961" s="288">
        <f t="shared" si="840"/>
        <v>-16.158064792221669</v>
      </c>
      <c r="AC961" s="95"/>
      <c r="AD961" s="95"/>
      <c r="AG961" s="138">
        <f t="shared" si="841"/>
        <v>-4.2486755000500755</v>
      </c>
      <c r="AH961">
        <f t="shared" si="842"/>
        <v>0.27549999999999997</v>
      </c>
      <c r="BW961" s="138"/>
      <c r="DG961" s="138"/>
    </row>
    <row r="962" spans="1:111" ht="12.75" customHeight="1" x14ac:dyDescent="0.2">
      <c r="A962">
        <v>916</v>
      </c>
      <c r="B962" s="4" t="s">
        <v>1875</v>
      </c>
      <c r="C962" s="4"/>
      <c r="D962" t="s">
        <v>931</v>
      </c>
      <c r="E962" s="33">
        <v>-1695</v>
      </c>
      <c r="F962" t="str">
        <f>VLOOKUP(E962,CompDbase!B:L,4,FALSE)</f>
        <v>Methyl tert-butyl ether</v>
      </c>
      <c r="G962" s="95" t="str">
        <f>VLOOKUP(E962,CompDbase!B:M,12,FALSE)</f>
        <v>O2</v>
      </c>
      <c r="H962" s="95">
        <f>VLOOKUP(E962,CompDbase!B:L,8,FALSE)</f>
        <v>88.15</v>
      </c>
      <c r="I962" s="95" t="e">
        <f>VLOOKUP(E962,CompDbase!B:L,11,FALSE)</f>
        <v>#DIV/0!</v>
      </c>
      <c r="J962" s="95">
        <f>VLOOKUP(E962,CompDbase!B:L,9,FALSE)</f>
        <v>51000</v>
      </c>
      <c r="K962" s="95">
        <f>VLOOKUP(E962,CompDbase!B:L,10,FALSE)</f>
        <v>0.94</v>
      </c>
      <c r="L962" s="1" t="s">
        <v>1932</v>
      </c>
      <c r="M962" s="423"/>
      <c r="N962" s="423"/>
      <c r="O962" t="s">
        <v>1044</v>
      </c>
      <c r="P962">
        <v>295</v>
      </c>
      <c r="Q962" t="s">
        <v>1049</v>
      </c>
      <c r="R962" s="289" t="s">
        <v>1983</v>
      </c>
      <c r="T962" s="95">
        <v>1</v>
      </c>
      <c r="U962">
        <f>Age!H33*1000</f>
        <v>57.5</v>
      </c>
      <c r="W962" s="183">
        <f t="shared" si="836"/>
        <v>1.1274509803921569E-3</v>
      </c>
      <c r="X962" s="288">
        <f t="shared" si="837"/>
        <v>-2.9479023314083057</v>
      </c>
      <c r="Y962">
        <v>7.5100000000000013E-13</v>
      </c>
      <c r="Z962" s="95">
        <f t="shared" si="838"/>
        <v>-12.124360062995832</v>
      </c>
      <c r="AA962" s="95">
        <f t="shared" si="839"/>
        <v>8.4671568627450998E-16</v>
      </c>
      <c r="AB962" s="288">
        <f t="shared" si="840"/>
        <v>-15.072262394404138</v>
      </c>
      <c r="AC962" s="95"/>
      <c r="AD962" s="95"/>
      <c r="AG962" s="138">
        <f t="shared" si="841"/>
        <v>-2.9479023314083057</v>
      </c>
      <c r="AH962">
        <f t="shared" si="842"/>
        <v>0.94</v>
      </c>
      <c r="BW962" s="138"/>
      <c r="DG962" s="138"/>
    </row>
    <row r="963" spans="1:111" ht="12.75" customHeight="1" x14ac:dyDescent="0.2">
      <c r="A963">
        <v>917</v>
      </c>
      <c r="B963" s="4" t="s">
        <v>1875</v>
      </c>
      <c r="C963" s="4"/>
      <c r="D963" s="4" t="s">
        <v>926</v>
      </c>
      <c r="E963" s="33">
        <v>-1507</v>
      </c>
      <c r="F963" t="str">
        <f>VLOOKUP(E963,CompDbase!B:L,4,FALSE)</f>
        <v>Acetone</v>
      </c>
      <c r="G963" s="95" t="str">
        <f>VLOOKUP(E963,CompDbase!B:M,12,FALSE)</f>
        <v>O2</v>
      </c>
      <c r="H963" s="95">
        <f>VLOOKUP(E963,CompDbase!B:L,8,FALSE)</f>
        <v>58.08</v>
      </c>
      <c r="I963" s="95">
        <f>VLOOKUP(E963,CompDbase!B:L,11,FALSE)</f>
        <v>74</v>
      </c>
      <c r="J963" s="95">
        <f>VLOOKUP(E963,CompDbase!B:L,9,FALSE)</f>
        <v>790000</v>
      </c>
      <c r="K963" s="95">
        <f>VLOOKUP(E963,CompDbase!B:L,10,FALSE)</f>
        <v>-0.24</v>
      </c>
      <c r="L963" s="1" t="s">
        <v>1932</v>
      </c>
      <c r="M963" s="423"/>
      <c r="N963" s="423"/>
      <c r="O963" t="s">
        <v>1044</v>
      </c>
      <c r="P963">
        <v>295</v>
      </c>
      <c r="Q963" t="s">
        <v>1049</v>
      </c>
      <c r="R963" s="289" t="s">
        <v>1983</v>
      </c>
      <c r="T963" s="95">
        <v>1</v>
      </c>
      <c r="U963">
        <f>Age!H25*1000</f>
        <v>10.7</v>
      </c>
      <c r="W963" s="183">
        <f t="shared" si="836"/>
        <v>1.3544303797468354E-5</v>
      </c>
      <c r="X963" s="288">
        <f t="shared" si="837"/>
        <v>-4.8682433136052321</v>
      </c>
      <c r="Y963">
        <v>1.9720000000000001E-12</v>
      </c>
      <c r="Z963" s="95">
        <f t="shared" si="838"/>
        <v>-11.705093089394808</v>
      </c>
      <c r="AA963" s="95">
        <f t="shared" si="839"/>
        <v>2.6709367088607593E-17</v>
      </c>
      <c r="AB963" s="288">
        <f t="shared" si="840"/>
        <v>-16.573336403000038</v>
      </c>
      <c r="AC963" s="95"/>
      <c r="AD963" s="95"/>
      <c r="AG963" s="138">
        <f t="shared" si="841"/>
        <v>-4.8682433136052321</v>
      </c>
      <c r="AH963">
        <f t="shared" si="842"/>
        <v>-0.24</v>
      </c>
      <c r="BW963" s="138"/>
      <c r="DG963" s="138"/>
    </row>
    <row r="964" spans="1:111" ht="12.75" customHeight="1" x14ac:dyDescent="0.2">
      <c r="A964">
        <v>918</v>
      </c>
      <c r="B964" s="4" t="s">
        <v>1875</v>
      </c>
      <c r="C964" s="4"/>
      <c r="D964" t="s">
        <v>927</v>
      </c>
      <c r="E964" s="33">
        <v>-1691</v>
      </c>
      <c r="F964" t="str">
        <f>VLOOKUP(E964,CompDbase!B:L,4,FALSE)</f>
        <v>Benzaldehyde</v>
      </c>
      <c r="G964" s="95" t="str">
        <f>VLOOKUP(E964,CompDbase!B:M,12,FALSE)</f>
        <v>overige</v>
      </c>
      <c r="H964" s="95">
        <f>VLOOKUP(E964,CompDbase!B:L,8,FALSE)</f>
        <v>106.13</v>
      </c>
      <c r="I964" s="95" t="e">
        <f>VLOOKUP(E964,CompDbase!B:L,11,FALSE)</f>
        <v>#DIV/0!</v>
      </c>
      <c r="J964" s="95">
        <f>VLOOKUP(E964,CompDbase!B:L,9,FALSE)</f>
        <v>6950</v>
      </c>
      <c r="K964" s="95">
        <f>VLOOKUP(E964,CompDbase!B:L,10,FALSE)</f>
        <v>1.48</v>
      </c>
      <c r="L964" s="1" t="s">
        <v>1932</v>
      </c>
      <c r="M964" s="423"/>
      <c r="N964" s="423"/>
      <c r="O964" t="s">
        <v>1044</v>
      </c>
      <c r="P964">
        <v>295</v>
      </c>
      <c r="Q964" t="s">
        <v>1049</v>
      </c>
      <c r="R964" s="289" t="s">
        <v>1983</v>
      </c>
      <c r="T964" s="95">
        <v>1</v>
      </c>
      <c r="U964">
        <f>Age!H26*1000</f>
        <v>21.6</v>
      </c>
      <c r="W964" s="183">
        <f t="shared" si="836"/>
        <v>3.1079136690647484E-3</v>
      </c>
      <c r="X964" s="288">
        <f t="shared" si="837"/>
        <v>-2.507531053439183</v>
      </c>
      <c r="Y964">
        <v>6.0400000000000005E-13</v>
      </c>
      <c r="Z964" s="95">
        <f t="shared" si="838"/>
        <v>-12.218963061378869</v>
      </c>
      <c r="AA964" s="95">
        <f t="shared" si="839"/>
        <v>1.877179856115108E-15</v>
      </c>
      <c r="AB964" s="288">
        <f t="shared" si="840"/>
        <v>-14.726494114818051</v>
      </c>
      <c r="AC964" s="95"/>
      <c r="AD964" s="95"/>
      <c r="AG964" s="138">
        <f t="shared" si="841"/>
        <v>-2.507531053439183</v>
      </c>
      <c r="AH964">
        <f t="shared" si="842"/>
        <v>1.48</v>
      </c>
      <c r="BW964" s="138"/>
      <c r="DG964" s="138"/>
    </row>
    <row r="965" spans="1:111" ht="12.75" customHeight="1" x14ac:dyDescent="0.2">
      <c r="A965">
        <v>919</v>
      </c>
      <c r="B965" s="4" t="s">
        <v>1875</v>
      </c>
      <c r="C965" s="4"/>
      <c r="D965" s="4" t="s">
        <v>936</v>
      </c>
      <c r="E965" s="33">
        <v>-1692</v>
      </c>
      <c r="F965" t="str">
        <f>VLOOKUP(E965,CompDbase!B:L,4,FALSE)</f>
        <v>Benzyl alcohol</v>
      </c>
      <c r="G965" s="95" t="str">
        <f>VLOOKUP(E965,CompDbase!B:M,12,FALSE)</f>
        <v>overige</v>
      </c>
      <c r="H965" s="95">
        <f>VLOOKUP(E965,CompDbase!B:L,8,FALSE)</f>
        <v>108.14</v>
      </c>
      <c r="I965" s="95" t="e">
        <f>VLOOKUP(E965,CompDbase!B:L,11,FALSE)</f>
        <v>#DIV/0!</v>
      </c>
      <c r="J965" s="95">
        <f>VLOOKUP(E965,CompDbase!B:L,9,FALSE)</f>
        <v>42900</v>
      </c>
      <c r="K965" s="95">
        <f>VLOOKUP(E965,CompDbase!B:L,10,FALSE)</f>
        <v>1.1000000000000001</v>
      </c>
      <c r="L965" s="1" t="s">
        <v>1932</v>
      </c>
      <c r="M965" s="423"/>
      <c r="N965" s="423"/>
      <c r="O965" t="s">
        <v>1044</v>
      </c>
      <c r="P965">
        <v>295</v>
      </c>
      <c r="Q965" t="s">
        <v>1049</v>
      </c>
      <c r="R965" s="289" t="s">
        <v>1983</v>
      </c>
      <c r="T965" s="95">
        <v>1</v>
      </c>
      <c r="U965">
        <f>Age!H28*1000</f>
        <v>3.6</v>
      </c>
      <c r="W965" s="183">
        <f t="shared" si="836"/>
        <v>8.3916083916083921E-5</v>
      </c>
      <c r="X965" s="288">
        <f t="shared" si="837"/>
        <v>-4.0761547914174372</v>
      </c>
      <c r="Y965">
        <v>9.9200000000000001E-13</v>
      </c>
      <c r="Z965" s="95">
        <f t="shared" si="838"/>
        <v>-12.003488327845821</v>
      </c>
      <c r="AA965" s="95">
        <f t="shared" si="839"/>
        <v>8.3244755244755255E-17</v>
      </c>
      <c r="AB965" s="288">
        <f t="shared" si="840"/>
        <v>-16.07964311926326</v>
      </c>
      <c r="AC965" s="95"/>
      <c r="AD965" s="95"/>
      <c r="AG965" s="138">
        <f t="shared" si="841"/>
        <v>-4.0761547914174372</v>
      </c>
      <c r="AH965">
        <f t="shared" si="842"/>
        <v>1.1000000000000001</v>
      </c>
      <c r="BW965" s="138"/>
      <c r="DG965" s="138"/>
    </row>
    <row r="966" spans="1:111" ht="12.75" customHeight="1" x14ac:dyDescent="0.2">
      <c r="A966">
        <v>920</v>
      </c>
      <c r="B966" s="4" t="s">
        <v>1859</v>
      </c>
      <c r="D966" s="4" t="s">
        <v>539</v>
      </c>
      <c r="E966">
        <v>-1534</v>
      </c>
      <c r="F966" t="str">
        <f>VLOOKUP(E966,CompDbase!B:L,4,FALSE)</f>
        <v>Chloroform</v>
      </c>
      <c r="G966" s="95" t="str">
        <f>VLOOKUP(E966,CompDbase!B:M,12,FALSE)</f>
        <v>ClAlk</v>
      </c>
      <c r="H966" s="95">
        <f>VLOOKUP(E966,CompDbase!B:L,8,FALSE)</f>
        <v>119.38</v>
      </c>
      <c r="I966" s="95" t="e">
        <f>VLOOKUP(E966,CompDbase!B:L,11,FALSE)</f>
        <v>#DIV/0!</v>
      </c>
      <c r="J966" s="95">
        <f>VLOOKUP(E966,CompDbase!B:L,9,FALSE)</f>
        <v>7950</v>
      </c>
      <c r="K966" s="95">
        <f>VLOOKUP(E966,CompDbase!B:L,10,FALSE)</f>
        <v>1.97</v>
      </c>
      <c r="L966" s="1" t="s">
        <v>1931</v>
      </c>
      <c r="O966" s="4" t="s">
        <v>1044</v>
      </c>
      <c r="P966">
        <f t="shared" ref="P966:P985" si="843">22+273</f>
        <v>295</v>
      </c>
      <c r="Q966" s="4" t="s">
        <v>1049</v>
      </c>
      <c r="R966" s="289" t="s">
        <v>1982</v>
      </c>
      <c r="S966">
        <v>2.3E-3</v>
      </c>
      <c r="T966" s="95">
        <f t="shared" ref="T966:T985" si="844">S966/J966</f>
        <v>2.8930817610062893E-7</v>
      </c>
      <c r="W966">
        <v>100</v>
      </c>
      <c r="X966" s="95">
        <f t="shared" si="837"/>
        <v>2</v>
      </c>
      <c r="Z966" s="95"/>
      <c r="AB966" s="95"/>
      <c r="AC966" s="95"/>
      <c r="AD966" s="95"/>
      <c r="AG966" s="138">
        <f t="shared" si="841"/>
        <v>2</v>
      </c>
      <c r="AH966">
        <f t="shared" si="842"/>
        <v>1.97</v>
      </c>
      <c r="BW966" s="138"/>
      <c r="DG966" s="138"/>
    </row>
    <row r="967" spans="1:111" ht="12.75" customHeight="1" x14ac:dyDescent="0.2">
      <c r="A967">
        <v>921</v>
      </c>
      <c r="B967" s="4" t="s">
        <v>1859</v>
      </c>
      <c r="D967" s="4" t="s">
        <v>539</v>
      </c>
      <c r="E967">
        <v>-1534</v>
      </c>
      <c r="F967" t="str">
        <f>VLOOKUP(E967,CompDbase!B:L,4,FALSE)</f>
        <v>Chloroform</v>
      </c>
      <c r="G967" s="95" t="str">
        <f>VLOOKUP(E967,CompDbase!B:M,12,FALSE)</f>
        <v>ClAlk</v>
      </c>
      <c r="H967" s="95">
        <f>VLOOKUP(E967,CompDbase!B:L,8,FALSE)</f>
        <v>119.38</v>
      </c>
      <c r="I967" s="95" t="e">
        <f>VLOOKUP(E967,CompDbase!B:L,11,FALSE)</f>
        <v>#DIV/0!</v>
      </c>
      <c r="J967" s="95">
        <f>VLOOKUP(E967,CompDbase!B:L,9,FALSE)</f>
        <v>7950</v>
      </c>
      <c r="K967" s="95">
        <f>VLOOKUP(E967,CompDbase!B:L,10,FALSE)</f>
        <v>1.97</v>
      </c>
      <c r="L967" s="1" t="s">
        <v>1931</v>
      </c>
      <c r="O967" s="4" t="s">
        <v>1044</v>
      </c>
      <c r="P967">
        <f t="shared" si="843"/>
        <v>295</v>
      </c>
      <c r="Q967" s="4" t="s">
        <v>1049</v>
      </c>
      <c r="R967" s="289" t="s">
        <v>1982</v>
      </c>
      <c r="S967">
        <v>2.3E-3</v>
      </c>
      <c r="T967" s="95">
        <f t="shared" si="844"/>
        <v>2.8930817610062893E-7</v>
      </c>
      <c r="W967">
        <v>80</v>
      </c>
      <c r="X967" s="95">
        <f t="shared" si="837"/>
        <v>1.9030899869919435</v>
      </c>
      <c r="Z967" s="95"/>
      <c r="AB967" s="95"/>
      <c r="AC967" s="95"/>
      <c r="AD967" s="95"/>
      <c r="AG967" s="138">
        <f t="shared" si="841"/>
        <v>1.9030899869919435</v>
      </c>
      <c r="AH967">
        <f t="shared" si="842"/>
        <v>1.97</v>
      </c>
      <c r="BW967" s="138"/>
      <c r="DG967" s="138"/>
    </row>
    <row r="968" spans="1:111" ht="12.75" customHeight="1" x14ac:dyDescent="0.2">
      <c r="A968">
        <v>922</v>
      </c>
      <c r="B968" s="4" t="s">
        <v>1859</v>
      </c>
      <c r="D968" s="4" t="s">
        <v>539</v>
      </c>
      <c r="E968">
        <v>-1534</v>
      </c>
      <c r="F968" t="str">
        <f>VLOOKUP(E968,CompDbase!B:L,4,FALSE)</f>
        <v>Chloroform</v>
      </c>
      <c r="G968" s="95" t="str">
        <f>VLOOKUP(E968,CompDbase!B:M,12,FALSE)</f>
        <v>ClAlk</v>
      </c>
      <c r="H968" s="95">
        <f>VLOOKUP(E968,CompDbase!B:L,8,FALSE)</f>
        <v>119.38</v>
      </c>
      <c r="I968" s="95" t="e">
        <f>VLOOKUP(E968,CompDbase!B:L,11,FALSE)</f>
        <v>#DIV/0!</v>
      </c>
      <c r="J968" s="95">
        <f>VLOOKUP(E968,CompDbase!B:L,9,FALSE)</f>
        <v>7950</v>
      </c>
      <c r="K968" s="95">
        <f>VLOOKUP(E968,CompDbase!B:L,10,FALSE)</f>
        <v>1.97</v>
      </c>
      <c r="L968" s="1" t="s">
        <v>1931</v>
      </c>
      <c r="O968" s="4" t="s">
        <v>1082</v>
      </c>
      <c r="P968">
        <f t="shared" si="843"/>
        <v>295</v>
      </c>
      <c r="Q968" s="4" t="s">
        <v>1049</v>
      </c>
      <c r="R968" s="289" t="s">
        <v>1982</v>
      </c>
      <c r="S968">
        <v>2.3E-3</v>
      </c>
      <c r="T968" s="95">
        <f t="shared" si="844"/>
        <v>2.8930817610062893E-7</v>
      </c>
      <c r="X968" s="95"/>
      <c r="Y968">
        <f>0.18*10^-12</f>
        <v>1.7999999999999999E-13</v>
      </c>
      <c r="Z968" s="95">
        <f>LOG(Y968)</f>
        <v>-12.744727494896694</v>
      </c>
      <c r="AB968" s="95"/>
      <c r="AC968" s="95"/>
      <c r="AD968" s="95"/>
    </row>
    <row r="969" spans="1:111" ht="12.75" customHeight="1" x14ac:dyDescent="0.2">
      <c r="A969">
        <v>923</v>
      </c>
      <c r="B969" s="4" t="s">
        <v>1859</v>
      </c>
      <c r="D969" s="4" t="s">
        <v>539</v>
      </c>
      <c r="E969">
        <v>-1534</v>
      </c>
      <c r="F969" t="str">
        <f>VLOOKUP(E969,CompDbase!B:L,4,FALSE)</f>
        <v>Chloroform</v>
      </c>
      <c r="G969" s="95" t="str">
        <f>VLOOKUP(E969,CompDbase!B:M,12,FALSE)</f>
        <v>ClAlk</v>
      </c>
      <c r="H969" s="95">
        <f>VLOOKUP(E969,CompDbase!B:L,8,FALSE)</f>
        <v>119.38</v>
      </c>
      <c r="I969" s="95" t="e">
        <f>VLOOKUP(E969,CompDbase!B:L,11,FALSE)</f>
        <v>#DIV/0!</v>
      </c>
      <c r="J969" s="95">
        <f>VLOOKUP(E969,CompDbase!B:L,9,FALSE)</f>
        <v>7950</v>
      </c>
      <c r="K969" s="95">
        <f>VLOOKUP(E969,CompDbase!B:L,10,FALSE)</f>
        <v>1.97</v>
      </c>
      <c r="L969" s="1" t="s">
        <v>1931</v>
      </c>
      <c r="O969" s="4" t="s">
        <v>1082</v>
      </c>
      <c r="P969">
        <f t="shared" si="843"/>
        <v>295</v>
      </c>
      <c r="Q969" s="4" t="s">
        <v>1049</v>
      </c>
      <c r="R969" s="289" t="s">
        <v>1982</v>
      </c>
      <c r="S969">
        <v>2.3E-3</v>
      </c>
      <c r="T969" s="95">
        <f t="shared" si="844"/>
        <v>2.8930817610062893E-7</v>
      </c>
      <c r="X969" s="95"/>
      <c r="Y969">
        <f>0.15*10^-12</f>
        <v>1.4999999999999999E-13</v>
      </c>
      <c r="Z969" s="95">
        <f>LOG(Y969)</f>
        <v>-12.823908740944319</v>
      </c>
      <c r="AB969" s="95"/>
      <c r="AC969" s="95"/>
      <c r="AD969" s="95"/>
    </row>
    <row r="970" spans="1:111" ht="12.75" customHeight="1" x14ac:dyDescent="0.2">
      <c r="A970">
        <v>924</v>
      </c>
      <c r="B970" s="4" t="s">
        <v>1859</v>
      </c>
      <c r="D970" s="4" t="s">
        <v>1844</v>
      </c>
      <c r="E970" s="33">
        <v>218</v>
      </c>
      <c r="F970" t="str">
        <f>VLOOKUP(E970,CompDbase!B:L,4,FALSE)</f>
        <v>o-Xylene</v>
      </c>
      <c r="G970" s="95" t="str">
        <f>VLOOKUP(E970,CompDbase!B:M,12,FALSE)</f>
        <v>MAK</v>
      </c>
      <c r="H970" s="95">
        <f>VLOOKUP(E970,CompDbase!B:L,8,FALSE)</f>
        <v>106.18666499232586</v>
      </c>
      <c r="I970" s="95" t="e">
        <f>VLOOKUP(E970,CompDbase!B:L,11,FALSE)</f>
        <v>#DIV/0!</v>
      </c>
      <c r="J970" s="95">
        <f>VLOOKUP(E970,CompDbase!B:L,9,FALSE)</f>
        <v>218.93359574593291</v>
      </c>
      <c r="K970" s="95">
        <f>VLOOKUP(E970,CompDbase!B:L,10,FALSE)</f>
        <v>3.12</v>
      </c>
      <c r="L970" s="1" t="s">
        <v>1931</v>
      </c>
      <c r="M970" s="423"/>
      <c r="N970" s="423"/>
      <c r="O970" s="4" t="s">
        <v>1044</v>
      </c>
      <c r="P970">
        <f t="shared" si="843"/>
        <v>295</v>
      </c>
      <c r="Q970" s="4" t="s">
        <v>1049</v>
      </c>
      <c r="R970" s="289" t="s">
        <v>1982</v>
      </c>
      <c r="S970">
        <v>2.3E-3</v>
      </c>
      <c r="T970" s="95">
        <f t="shared" si="844"/>
        <v>1.0505468528772961E-5</v>
      </c>
      <c r="W970">
        <v>290</v>
      </c>
      <c r="X970" s="95">
        <f>LOG(W970)</f>
        <v>2.4623979978989561</v>
      </c>
      <c r="Z970" s="95"/>
      <c r="AB970" s="95"/>
      <c r="AC970" s="95"/>
      <c r="AD970" s="95"/>
      <c r="AG970" s="138">
        <f t="shared" ref="AG970:AG971" si="845">X970</f>
        <v>2.4623979978989561</v>
      </c>
      <c r="AH970">
        <f>$K970</f>
        <v>3.12</v>
      </c>
      <c r="BW970" s="138"/>
      <c r="DG970" s="138"/>
    </row>
    <row r="971" spans="1:111" ht="12.75" customHeight="1" x14ac:dyDescent="0.2">
      <c r="A971">
        <v>925</v>
      </c>
      <c r="B971" s="4" t="s">
        <v>1859</v>
      </c>
      <c r="D971" s="4" t="s">
        <v>1844</v>
      </c>
      <c r="E971" s="33">
        <v>218</v>
      </c>
      <c r="F971" t="str">
        <f>VLOOKUP(E971,CompDbase!B:L,4,FALSE)</f>
        <v>o-Xylene</v>
      </c>
      <c r="G971" s="95" t="str">
        <f>VLOOKUP(E971,CompDbase!B:M,12,FALSE)</f>
        <v>MAK</v>
      </c>
      <c r="H971" s="95">
        <f>VLOOKUP(E971,CompDbase!B:L,8,FALSE)</f>
        <v>106.18666499232586</v>
      </c>
      <c r="I971" s="95" t="e">
        <f>VLOOKUP(E971,CompDbase!B:L,11,FALSE)</f>
        <v>#DIV/0!</v>
      </c>
      <c r="J971" s="95">
        <f>VLOOKUP(E971,CompDbase!B:L,9,FALSE)</f>
        <v>218.93359574593291</v>
      </c>
      <c r="K971" s="95">
        <f>VLOOKUP(E971,CompDbase!B:L,10,FALSE)</f>
        <v>3.12</v>
      </c>
      <c r="L971" s="1" t="s">
        <v>1931</v>
      </c>
      <c r="M971" s="423"/>
      <c r="N971" s="423"/>
      <c r="O971" s="4" t="s">
        <v>1044</v>
      </c>
      <c r="P971">
        <f t="shared" si="843"/>
        <v>295</v>
      </c>
      <c r="Q971" s="4" t="s">
        <v>1049</v>
      </c>
      <c r="R971" s="289" t="s">
        <v>1982</v>
      </c>
      <c r="S971">
        <v>2.3E-3</v>
      </c>
      <c r="T971" s="95">
        <f t="shared" si="844"/>
        <v>1.0505468528772961E-5</v>
      </c>
      <c r="W971">
        <v>255</v>
      </c>
      <c r="X971" s="95">
        <f>LOG(W971)</f>
        <v>2.406540180433955</v>
      </c>
      <c r="Z971" s="95"/>
      <c r="AB971" s="95"/>
      <c r="AC971" s="95"/>
      <c r="AD971" s="95"/>
      <c r="AG971" s="138">
        <f t="shared" si="845"/>
        <v>2.406540180433955</v>
      </c>
      <c r="AH971">
        <f>$K971</f>
        <v>3.12</v>
      </c>
      <c r="BW971" s="138"/>
      <c r="DG971" s="138"/>
    </row>
    <row r="972" spans="1:111" ht="12.75" customHeight="1" x14ac:dyDescent="0.2">
      <c r="A972">
        <v>926</v>
      </c>
      <c r="B972" s="4" t="s">
        <v>1859</v>
      </c>
      <c r="D972" s="4" t="s">
        <v>1844</v>
      </c>
      <c r="E972" s="33">
        <v>218</v>
      </c>
      <c r="F972" t="str">
        <f>VLOOKUP(E972,CompDbase!B:L,4,FALSE)</f>
        <v>o-Xylene</v>
      </c>
      <c r="G972" s="95" t="str">
        <f>VLOOKUP(E972,CompDbase!B:M,12,FALSE)</f>
        <v>MAK</v>
      </c>
      <c r="H972" s="95">
        <f>VLOOKUP(E972,CompDbase!B:L,8,FALSE)</f>
        <v>106.18666499232586</v>
      </c>
      <c r="I972" s="95" t="e">
        <f>VLOOKUP(E972,CompDbase!B:L,11,FALSE)</f>
        <v>#DIV/0!</v>
      </c>
      <c r="J972" s="95">
        <f>VLOOKUP(E972,CompDbase!B:L,9,FALSE)</f>
        <v>218.93359574593291</v>
      </c>
      <c r="K972" s="95">
        <f>VLOOKUP(E972,CompDbase!B:L,10,FALSE)</f>
        <v>3.12</v>
      </c>
      <c r="L972" s="1" t="s">
        <v>1931</v>
      </c>
      <c r="O972" s="4" t="s">
        <v>1082</v>
      </c>
      <c r="P972">
        <f t="shared" si="843"/>
        <v>295</v>
      </c>
      <c r="Q972" s="4" t="s">
        <v>1049</v>
      </c>
      <c r="R972" s="289" t="s">
        <v>1982</v>
      </c>
      <c r="S972">
        <v>2.3E-3</v>
      </c>
      <c r="T972" s="95">
        <f t="shared" si="844"/>
        <v>1.0505468528772961E-5</v>
      </c>
      <c r="X972" s="95"/>
      <c r="Y972">
        <f>0.12*10^-12</f>
        <v>1.1999999999999999E-13</v>
      </c>
      <c r="Z972" s="95">
        <f>LOG(Y972)</f>
        <v>-12.920818753952375</v>
      </c>
      <c r="AB972" s="95"/>
      <c r="AC972" s="95"/>
      <c r="AD972" s="95"/>
    </row>
    <row r="973" spans="1:111" ht="12.75" customHeight="1" x14ac:dyDescent="0.2">
      <c r="A973">
        <v>927</v>
      </c>
      <c r="B973" s="4" t="s">
        <v>1859</v>
      </c>
      <c r="D973" s="4" t="s">
        <v>1844</v>
      </c>
      <c r="E973" s="33">
        <v>218</v>
      </c>
      <c r="F973" t="str">
        <f>VLOOKUP(E973,CompDbase!B:L,4,FALSE)</f>
        <v>o-Xylene</v>
      </c>
      <c r="G973" s="95" t="str">
        <f>VLOOKUP(E973,CompDbase!B:M,12,FALSE)</f>
        <v>MAK</v>
      </c>
      <c r="H973" s="95">
        <f>VLOOKUP(E973,CompDbase!B:L,8,FALSE)</f>
        <v>106.18666499232586</v>
      </c>
      <c r="I973" s="95" t="e">
        <f>VLOOKUP(E973,CompDbase!B:L,11,FALSE)</f>
        <v>#DIV/0!</v>
      </c>
      <c r="J973" s="95">
        <f>VLOOKUP(E973,CompDbase!B:L,9,FALSE)</f>
        <v>218.93359574593291</v>
      </c>
      <c r="K973" s="95">
        <f>VLOOKUP(E973,CompDbase!B:L,10,FALSE)</f>
        <v>3.12</v>
      </c>
      <c r="L973" s="1" t="s">
        <v>1931</v>
      </c>
      <c r="O973" s="4" t="s">
        <v>1082</v>
      </c>
      <c r="P973">
        <f t="shared" si="843"/>
        <v>295</v>
      </c>
      <c r="Q973" s="4" t="s">
        <v>1049</v>
      </c>
      <c r="R973" s="289" t="s">
        <v>1982</v>
      </c>
      <c r="S973">
        <v>2.3E-3</v>
      </c>
      <c r="T973" s="95">
        <f t="shared" si="844"/>
        <v>1.0505468528772961E-5</v>
      </c>
      <c r="X973" s="95"/>
      <c r="Y973">
        <f>0.11*10^-12</f>
        <v>1.1E-13</v>
      </c>
      <c r="Z973" s="95">
        <f>LOG(Y973)</f>
        <v>-12.958607314841775</v>
      </c>
      <c r="AB973" s="95"/>
      <c r="AC973" s="95"/>
      <c r="AD973" s="95"/>
    </row>
    <row r="974" spans="1:111" ht="12.75" customHeight="1" x14ac:dyDescent="0.2">
      <c r="A974">
        <v>928</v>
      </c>
      <c r="B974" s="4" t="s">
        <v>1859</v>
      </c>
      <c r="D974" s="4" t="s">
        <v>548</v>
      </c>
      <c r="E974" s="33">
        <v>200</v>
      </c>
      <c r="F974" t="str">
        <f>VLOOKUP(E974,CompDbase!B:L,4,FALSE)</f>
        <v>Benzene</v>
      </c>
      <c r="G974" s="95" t="str">
        <f>VLOOKUP(E974,CompDbase!B:M,12,FALSE)</f>
        <v>MAK</v>
      </c>
      <c r="H974" s="95">
        <f>VLOOKUP(E974,CompDbase!B:L,8,FALSE)</f>
        <v>78.106666524406961</v>
      </c>
      <c r="I974" s="95">
        <f>VLOOKUP(E974,CompDbase!B:L,11,FALSE)</f>
        <v>89.4</v>
      </c>
      <c r="J974" s="95">
        <f>VLOOKUP(E974,CompDbase!B:L,9,FALSE)</f>
        <v>1988.89882593368</v>
      </c>
      <c r="K974" s="95">
        <f>VLOOKUP(E974,CompDbase!B:L,10,FALSE)</f>
        <v>2.13</v>
      </c>
      <c r="L974" s="1" t="s">
        <v>1931</v>
      </c>
      <c r="O974" s="4" t="s">
        <v>1044</v>
      </c>
      <c r="P974">
        <f t="shared" si="843"/>
        <v>295</v>
      </c>
      <c r="Q974" s="4" t="s">
        <v>1049</v>
      </c>
      <c r="R974" s="289" t="s">
        <v>1982</v>
      </c>
      <c r="S974">
        <v>2.3E-3</v>
      </c>
      <c r="T974" s="95">
        <f t="shared" si="844"/>
        <v>1.1564188032140221E-6</v>
      </c>
      <c r="W974">
        <v>45</v>
      </c>
      <c r="X974" s="95">
        <f>LOG(W974)</f>
        <v>1.6532125137753437</v>
      </c>
      <c r="Z974" s="95"/>
      <c r="AB974" s="95"/>
      <c r="AC974" s="95"/>
      <c r="AD974" s="95"/>
      <c r="AG974" s="138">
        <f t="shared" ref="AG974:AG975" si="846">X974</f>
        <v>1.6532125137753437</v>
      </c>
      <c r="AH974">
        <f>$K974</f>
        <v>2.13</v>
      </c>
      <c r="BW974" s="138"/>
      <c r="DG974" s="138"/>
    </row>
    <row r="975" spans="1:111" ht="12.75" customHeight="1" x14ac:dyDescent="0.2">
      <c r="A975">
        <v>929</v>
      </c>
      <c r="B975" s="4" t="s">
        <v>1859</v>
      </c>
      <c r="D975" s="4" t="s">
        <v>548</v>
      </c>
      <c r="E975" s="33">
        <v>200</v>
      </c>
      <c r="F975" t="str">
        <f>VLOOKUP(E975,CompDbase!B:L,4,FALSE)</f>
        <v>Benzene</v>
      </c>
      <c r="G975" s="95" t="str">
        <f>VLOOKUP(E975,CompDbase!B:M,12,FALSE)</f>
        <v>MAK</v>
      </c>
      <c r="H975" s="95">
        <f>VLOOKUP(E975,CompDbase!B:L,8,FALSE)</f>
        <v>78.106666524406961</v>
      </c>
      <c r="I975" s="95">
        <f>VLOOKUP(E975,CompDbase!B:L,11,FALSE)</f>
        <v>89.4</v>
      </c>
      <c r="J975" s="95">
        <f>VLOOKUP(E975,CompDbase!B:L,9,FALSE)</f>
        <v>1988.89882593368</v>
      </c>
      <c r="K975" s="95">
        <f>VLOOKUP(E975,CompDbase!B:L,10,FALSE)</f>
        <v>2.13</v>
      </c>
      <c r="L975" s="1" t="s">
        <v>1931</v>
      </c>
      <c r="M975" s="423"/>
      <c r="N975" s="423"/>
      <c r="O975" s="4" t="s">
        <v>1044</v>
      </c>
      <c r="P975">
        <f t="shared" si="843"/>
        <v>295</v>
      </c>
      <c r="Q975" s="4" t="s">
        <v>1049</v>
      </c>
      <c r="R975" s="289" t="s">
        <v>1982</v>
      </c>
      <c r="S975">
        <v>2.3E-3</v>
      </c>
      <c r="T975" s="95">
        <f t="shared" si="844"/>
        <v>1.1564188032140221E-6</v>
      </c>
      <c r="W975">
        <v>40</v>
      </c>
      <c r="X975" s="95">
        <f>LOG(W975)</f>
        <v>1.6020599913279623</v>
      </c>
      <c r="Z975" s="95"/>
      <c r="AB975" s="95"/>
      <c r="AC975" s="95"/>
      <c r="AD975" s="95"/>
      <c r="AG975" s="138">
        <f t="shared" si="846"/>
        <v>1.6020599913279623</v>
      </c>
      <c r="AH975">
        <f>$K975</f>
        <v>2.13</v>
      </c>
      <c r="BW975" s="138"/>
      <c r="DG975" s="138"/>
    </row>
    <row r="976" spans="1:111" ht="12.75" customHeight="1" x14ac:dyDescent="0.2">
      <c r="A976">
        <v>930</v>
      </c>
      <c r="B976" s="4" t="s">
        <v>1859</v>
      </c>
      <c r="D976" s="4" t="s">
        <v>548</v>
      </c>
      <c r="E976" s="33">
        <v>200</v>
      </c>
      <c r="F976" t="str">
        <f>VLOOKUP(E976,CompDbase!B:L,4,FALSE)</f>
        <v>Benzene</v>
      </c>
      <c r="G976" s="95" t="str">
        <f>VLOOKUP(E976,CompDbase!B:M,12,FALSE)</f>
        <v>MAK</v>
      </c>
      <c r="H976" s="95">
        <f>VLOOKUP(E976,CompDbase!B:L,8,FALSE)</f>
        <v>78.106666524406961</v>
      </c>
      <c r="I976" s="95">
        <f>VLOOKUP(E976,CompDbase!B:L,11,FALSE)</f>
        <v>89.4</v>
      </c>
      <c r="J976" s="95">
        <f>VLOOKUP(E976,CompDbase!B:L,9,FALSE)</f>
        <v>1988.89882593368</v>
      </c>
      <c r="K976" s="95">
        <f>VLOOKUP(E976,CompDbase!B:L,10,FALSE)</f>
        <v>2.13</v>
      </c>
      <c r="L976" s="1" t="s">
        <v>1931</v>
      </c>
      <c r="O976" s="4" t="s">
        <v>1082</v>
      </c>
      <c r="P976">
        <f t="shared" si="843"/>
        <v>295</v>
      </c>
      <c r="Q976" s="4" t="s">
        <v>1049</v>
      </c>
      <c r="R976" s="289" t="s">
        <v>1982</v>
      </c>
      <c r="S976">
        <v>2.3E-3</v>
      </c>
      <c r="T976" s="95">
        <f t="shared" si="844"/>
        <v>1.1564188032140221E-6</v>
      </c>
      <c r="X976" s="95"/>
      <c r="Y976">
        <f>0.18*10^-12</f>
        <v>1.7999999999999999E-13</v>
      </c>
      <c r="Z976" s="95">
        <f>LOG(Y976)</f>
        <v>-12.744727494896694</v>
      </c>
      <c r="AB976" s="95"/>
      <c r="AC976" s="95"/>
      <c r="AD976" s="95"/>
      <c r="AG976" s="138"/>
      <c r="BW976" s="138"/>
      <c r="DG976" s="138"/>
    </row>
    <row r="977" spans="1:111" ht="12.75" customHeight="1" x14ac:dyDescent="0.2">
      <c r="A977">
        <v>931</v>
      </c>
      <c r="B977" s="4" t="s">
        <v>1859</v>
      </c>
      <c r="D977" s="4" t="s">
        <v>548</v>
      </c>
      <c r="E977" s="33">
        <v>200</v>
      </c>
      <c r="F977" t="str">
        <f>VLOOKUP(E977,CompDbase!B:L,4,FALSE)</f>
        <v>Benzene</v>
      </c>
      <c r="G977" s="95" t="str">
        <f>VLOOKUP(E977,CompDbase!B:M,12,FALSE)</f>
        <v>MAK</v>
      </c>
      <c r="H977" s="95">
        <f>VLOOKUP(E977,CompDbase!B:L,8,FALSE)</f>
        <v>78.106666524406961</v>
      </c>
      <c r="I977" s="95">
        <f>VLOOKUP(E977,CompDbase!B:L,11,FALSE)</f>
        <v>89.4</v>
      </c>
      <c r="J977" s="95">
        <f>VLOOKUP(E977,CompDbase!B:L,9,FALSE)</f>
        <v>1988.89882593368</v>
      </c>
      <c r="K977" s="95">
        <f>VLOOKUP(E977,CompDbase!B:L,10,FALSE)</f>
        <v>2.13</v>
      </c>
      <c r="L977" s="1" t="s">
        <v>1931</v>
      </c>
      <c r="O977" s="4" t="s">
        <v>1082</v>
      </c>
      <c r="P977">
        <f t="shared" si="843"/>
        <v>295</v>
      </c>
      <c r="Q977" s="4" t="s">
        <v>1049</v>
      </c>
      <c r="R977" s="289" t="s">
        <v>1982</v>
      </c>
      <c r="S977">
        <v>2.3E-3</v>
      </c>
      <c r="T977" s="95">
        <f t="shared" si="844"/>
        <v>1.1564188032140221E-6</v>
      </c>
      <c r="X977" s="95"/>
      <c r="Y977">
        <f>0.15*10^-12</f>
        <v>1.4999999999999999E-13</v>
      </c>
      <c r="Z977" s="95">
        <f>LOG(Y977)</f>
        <v>-12.823908740944319</v>
      </c>
      <c r="AB977" s="95"/>
      <c r="AC977" s="95"/>
      <c r="AD977" s="95"/>
    </row>
    <row r="978" spans="1:111" ht="12.75" customHeight="1" x14ac:dyDescent="0.2">
      <c r="A978">
        <v>932</v>
      </c>
      <c r="B978" s="4" t="s">
        <v>1859</v>
      </c>
      <c r="D978" s="4" t="s">
        <v>694</v>
      </c>
      <c r="E978" s="33">
        <v>201</v>
      </c>
      <c r="F978" t="str">
        <f>VLOOKUP(E978,CompDbase!B:L,4,FALSE)</f>
        <v>Ethylbenzene</v>
      </c>
      <c r="G978" s="95" t="str">
        <f>VLOOKUP(E978,CompDbase!B:M,12,FALSE)</f>
        <v>MAK</v>
      </c>
      <c r="H978" s="95">
        <f>VLOOKUP(E978,CompDbase!B:L,8,FALSE)</f>
        <v>106.18666499232586</v>
      </c>
      <c r="I978" s="95" t="e">
        <f>VLOOKUP(E978,CompDbase!B:L,11,FALSE)</f>
        <v>#DIV/0!</v>
      </c>
      <c r="J978" s="95">
        <f>VLOOKUP(E978,CompDbase!B:L,9,FALSE)</f>
        <v>159.4494296665228</v>
      </c>
      <c r="K978" s="95">
        <f>VLOOKUP(E978,CompDbase!B:L,10,FALSE)</f>
        <v>3.15</v>
      </c>
      <c r="L978" s="1" t="s">
        <v>1931</v>
      </c>
      <c r="O978" s="4" t="s">
        <v>1044</v>
      </c>
      <c r="P978">
        <f t="shared" si="843"/>
        <v>295</v>
      </c>
      <c r="Q978" s="4" t="s">
        <v>1049</v>
      </c>
      <c r="R978" s="289" t="s">
        <v>1982</v>
      </c>
      <c r="S978">
        <v>2.3E-3</v>
      </c>
      <c r="T978" s="95">
        <f t="shared" si="844"/>
        <v>1.4424636104439428E-5</v>
      </c>
      <c r="W978">
        <v>300</v>
      </c>
      <c r="X978" s="95">
        <f>LOG(W978)</f>
        <v>2.4771212547196626</v>
      </c>
      <c r="Z978" s="95"/>
      <c r="AB978" s="95"/>
      <c r="AC978" s="95"/>
      <c r="AD978" s="95"/>
      <c r="AG978" s="138">
        <f t="shared" ref="AG978:AG979" si="847">X978</f>
        <v>2.4771212547196626</v>
      </c>
      <c r="AH978">
        <f>$K978</f>
        <v>3.15</v>
      </c>
      <c r="BW978" s="138"/>
      <c r="DG978" s="138"/>
    </row>
    <row r="979" spans="1:111" ht="12.75" customHeight="1" x14ac:dyDescent="0.2">
      <c r="A979">
        <v>933</v>
      </c>
      <c r="B979" s="4" t="s">
        <v>1859</v>
      </c>
      <c r="D979" s="4" t="s">
        <v>694</v>
      </c>
      <c r="E979" s="33">
        <v>201</v>
      </c>
      <c r="F979" t="str">
        <f>VLOOKUP(E979,CompDbase!B:L,4,FALSE)</f>
        <v>Ethylbenzene</v>
      </c>
      <c r="G979" s="95" t="str">
        <f>VLOOKUP(E979,CompDbase!B:M,12,FALSE)</f>
        <v>MAK</v>
      </c>
      <c r="H979" s="95">
        <f>VLOOKUP(E979,CompDbase!B:L,8,FALSE)</f>
        <v>106.18666499232586</v>
      </c>
      <c r="I979" s="95" t="e">
        <f>VLOOKUP(E979,CompDbase!B:L,11,FALSE)</f>
        <v>#DIV/0!</v>
      </c>
      <c r="J979" s="95">
        <f>VLOOKUP(E979,CompDbase!B:L,9,FALSE)</f>
        <v>159.4494296665228</v>
      </c>
      <c r="K979" s="95">
        <f>VLOOKUP(E979,CompDbase!B:L,10,FALSE)</f>
        <v>3.15</v>
      </c>
      <c r="L979" s="1" t="s">
        <v>1931</v>
      </c>
      <c r="O979" s="4" t="s">
        <v>1044</v>
      </c>
      <c r="P979">
        <f t="shared" si="843"/>
        <v>295</v>
      </c>
      <c r="Q979" s="4" t="s">
        <v>1049</v>
      </c>
      <c r="R979" s="289" t="s">
        <v>1982</v>
      </c>
      <c r="S979">
        <v>2.3E-3</v>
      </c>
      <c r="T979" s="95">
        <f t="shared" si="844"/>
        <v>1.4424636104439428E-5</v>
      </c>
      <c r="W979">
        <v>270</v>
      </c>
      <c r="X979" s="95">
        <f>LOG(W979)</f>
        <v>2.4313637641589874</v>
      </c>
      <c r="Z979" s="95"/>
      <c r="AB979" s="95"/>
      <c r="AC979" s="95"/>
      <c r="AD979" s="95"/>
      <c r="AG979" s="138">
        <f t="shared" si="847"/>
        <v>2.4313637641589874</v>
      </c>
      <c r="AH979">
        <f>$K979</f>
        <v>3.15</v>
      </c>
      <c r="BW979" s="138"/>
      <c r="DG979" s="138"/>
    </row>
    <row r="980" spans="1:111" ht="12.75" customHeight="1" x14ac:dyDescent="0.2">
      <c r="A980">
        <v>934</v>
      </c>
      <c r="B980" s="4" t="s">
        <v>1859</v>
      </c>
      <c r="D980" s="4" t="s">
        <v>694</v>
      </c>
      <c r="E980" s="33">
        <v>201</v>
      </c>
      <c r="F980" t="str">
        <f>VLOOKUP(E980,CompDbase!B:L,4,FALSE)</f>
        <v>Ethylbenzene</v>
      </c>
      <c r="G980" s="95" t="str">
        <f>VLOOKUP(E980,CompDbase!B:M,12,FALSE)</f>
        <v>MAK</v>
      </c>
      <c r="H980" s="95">
        <f>VLOOKUP(E980,CompDbase!B:L,8,FALSE)</f>
        <v>106.18666499232586</v>
      </c>
      <c r="I980" s="95" t="e">
        <f>VLOOKUP(E980,CompDbase!B:L,11,FALSE)</f>
        <v>#DIV/0!</v>
      </c>
      <c r="J980" s="95">
        <f>VLOOKUP(E980,CompDbase!B:L,9,FALSE)</f>
        <v>159.4494296665228</v>
      </c>
      <c r="K980" s="95">
        <f>VLOOKUP(E980,CompDbase!B:L,10,FALSE)</f>
        <v>3.15</v>
      </c>
      <c r="L980" s="1" t="s">
        <v>1931</v>
      </c>
      <c r="O980" s="4" t="s">
        <v>1082</v>
      </c>
      <c r="P980">
        <f t="shared" si="843"/>
        <v>295</v>
      </c>
      <c r="Q980" s="4" t="s">
        <v>1049</v>
      </c>
      <c r="R980" s="289" t="s">
        <v>1982</v>
      </c>
      <c r="S980">
        <v>2.3E-3</v>
      </c>
      <c r="T980" s="95">
        <f t="shared" si="844"/>
        <v>1.4424636104439428E-5</v>
      </c>
      <c r="X980" s="95"/>
      <c r="Y980">
        <f>0.14*10^-12</f>
        <v>1.4000000000000001E-13</v>
      </c>
      <c r="Z980" s="95">
        <f>LOG(Y980)</f>
        <v>-12.853871964321762</v>
      </c>
      <c r="AB980" s="95"/>
      <c r="AC980" s="95"/>
      <c r="AD980" s="95"/>
    </row>
    <row r="981" spans="1:111" ht="12.75" customHeight="1" x14ac:dyDescent="0.2">
      <c r="A981">
        <v>935</v>
      </c>
      <c r="B981" s="4" t="s">
        <v>1859</v>
      </c>
      <c r="D981" s="4" t="s">
        <v>694</v>
      </c>
      <c r="E981" s="33">
        <v>201</v>
      </c>
      <c r="F981" t="str">
        <f>VLOOKUP(E981,CompDbase!B:L,4,FALSE)</f>
        <v>Ethylbenzene</v>
      </c>
      <c r="G981" s="95" t="str">
        <f>VLOOKUP(E981,CompDbase!B:M,12,FALSE)</f>
        <v>MAK</v>
      </c>
      <c r="H981" s="95">
        <f>VLOOKUP(E981,CompDbase!B:L,8,FALSE)</f>
        <v>106.18666499232586</v>
      </c>
      <c r="I981" s="95" t="e">
        <f>VLOOKUP(E981,CompDbase!B:L,11,FALSE)</f>
        <v>#DIV/0!</v>
      </c>
      <c r="J981" s="95">
        <f>VLOOKUP(E981,CompDbase!B:L,9,FALSE)</f>
        <v>159.4494296665228</v>
      </c>
      <c r="K981" s="95">
        <f>VLOOKUP(E981,CompDbase!B:L,10,FALSE)</f>
        <v>3.15</v>
      </c>
      <c r="L981" s="1" t="s">
        <v>1931</v>
      </c>
      <c r="O981" s="4" t="s">
        <v>1082</v>
      </c>
      <c r="P981">
        <f t="shared" si="843"/>
        <v>295</v>
      </c>
      <c r="Q981" s="4" t="s">
        <v>1049</v>
      </c>
      <c r="R981" s="289" t="s">
        <v>1982</v>
      </c>
      <c r="S981">
        <v>2.3E-3</v>
      </c>
      <c r="T981" s="95">
        <f t="shared" si="844"/>
        <v>1.4424636104439428E-5</v>
      </c>
      <c r="X981" s="95"/>
      <c r="Y981">
        <f>0.12*10^-12</f>
        <v>1.1999999999999999E-13</v>
      </c>
      <c r="Z981" s="95">
        <f>LOG(Y981)</f>
        <v>-12.920818753952375</v>
      </c>
      <c r="AB981" s="95"/>
      <c r="AC981" s="95"/>
      <c r="AD981" s="95"/>
    </row>
    <row r="982" spans="1:111" ht="12.75" customHeight="1" x14ac:dyDescent="0.2">
      <c r="A982">
        <v>936</v>
      </c>
      <c r="B982" s="4" t="s">
        <v>1859</v>
      </c>
      <c r="D982" s="4" t="s">
        <v>1843</v>
      </c>
      <c r="E982" s="33">
        <v>-200</v>
      </c>
      <c r="F982" t="str">
        <f>VLOOKUP(E982,CompDbase!B:L,4,FALSE)</f>
        <v>Xylene</v>
      </c>
      <c r="G982" s="95" t="str">
        <f>VLOOKUP(E982,CompDbase!B:M,12,FALSE)</f>
        <v>MAK</v>
      </c>
      <c r="H982" s="95">
        <f>VLOOKUP(E982,CompDbase!B:L,8,FALSE)</f>
        <v>120.20888801685282</v>
      </c>
      <c r="I982" s="95" t="e">
        <f>VLOOKUP(E982,CompDbase!B:L,11,FALSE)</f>
        <v>#DIV/0!</v>
      </c>
      <c r="J982" s="95" t="e">
        <f>VLOOKUP(E982,CompDbase!B:L,9,FALSE)</f>
        <v>#DIV/0!</v>
      </c>
      <c r="K982" s="95">
        <f>VLOOKUP(E982,CompDbase!B:L,10,FALSE)</f>
        <v>3.74</v>
      </c>
      <c r="L982" s="1" t="s">
        <v>1931</v>
      </c>
      <c r="O982" s="4" t="s">
        <v>1044</v>
      </c>
      <c r="P982">
        <f t="shared" si="843"/>
        <v>295</v>
      </c>
      <c r="Q982" s="4" t="s">
        <v>1049</v>
      </c>
      <c r="R982" s="289" t="s">
        <v>1982</v>
      </c>
      <c r="S982">
        <v>2.3E-3</v>
      </c>
      <c r="T982" s="95" t="e">
        <f t="shared" si="844"/>
        <v>#DIV/0!</v>
      </c>
      <c r="W982">
        <v>350</v>
      </c>
      <c r="X982" s="95">
        <f>LOG(W982)</f>
        <v>2.5440680443502757</v>
      </c>
      <c r="Z982" s="95"/>
      <c r="AB982" s="95"/>
      <c r="AC982" s="95"/>
      <c r="AD982" s="95"/>
      <c r="AG982" s="138">
        <f t="shared" ref="AG982:AG983" si="848">X982</f>
        <v>2.5440680443502757</v>
      </c>
      <c r="AH982">
        <f>$K982</f>
        <v>3.74</v>
      </c>
      <c r="BW982" s="138"/>
      <c r="DG982" s="138"/>
    </row>
    <row r="983" spans="1:111" ht="12.75" customHeight="1" x14ac:dyDescent="0.2">
      <c r="A983">
        <v>937</v>
      </c>
      <c r="B983" s="4" t="s">
        <v>1859</v>
      </c>
      <c r="D983" s="4" t="s">
        <v>1843</v>
      </c>
      <c r="E983" s="33">
        <v>-200</v>
      </c>
      <c r="F983" t="str">
        <f>VLOOKUP(E983,CompDbase!B:L,4,FALSE)</f>
        <v>Xylene</v>
      </c>
      <c r="G983" s="95" t="str">
        <f>VLOOKUP(E983,CompDbase!B:M,12,FALSE)</f>
        <v>MAK</v>
      </c>
      <c r="H983" s="95">
        <f>VLOOKUP(E983,CompDbase!B:L,8,FALSE)</f>
        <v>120.20888801685282</v>
      </c>
      <c r="I983" s="95" t="e">
        <f>VLOOKUP(E983,CompDbase!B:L,11,FALSE)</f>
        <v>#DIV/0!</v>
      </c>
      <c r="J983" s="95" t="e">
        <f>VLOOKUP(E983,CompDbase!B:L,9,FALSE)</f>
        <v>#DIV/0!</v>
      </c>
      <c r="K983" s="95">
        <f>VLOOKUP(E983,CompDbase!B:L,10,FALSE)</f>
        <v>3.74</v>
      </c>
      <c r="L983" s="1" t="s">
        <v>1931</v>
      </c>
      <c r="O983" s="4" t="s">
        <v>1044</v>
      </c>
      <c r="P983">
        <f t="shared" si="843"/>
        <v>295</v>
      </c>
      <c r="Q983" s="4" t="s">
        <v>1049</v>
      </c>
      <c r="R983" s="289" t="s">
        <v>1982</v>
      </c>
      <c r="S983">
        <v>2.3E-3</v>
      </c>
      <c r="T983" s="95" t="e">
        <f t="shared" si="844"/>
        <v>#DIV/0!</v>
      </c>
      <c r="W983">
        <v>290</v>
      </c>
      <c r="X983" s="95">
        <f>LOG(W983)</f>
        <v>2.4623979978989561</v>
      </c>
      <c r="Z983" s="95"/>
      <c r="AB983" s="95"/>
      <c r="AC983" s="95"/>
      <c r="AD983" s="95"/>
      <c r="AG983" s="138">
        <f t="shared" si="848"/>
        <v>2.4623979978989561</v>
      </c>
      <c r="AH983">
        <f>$K983</f>
        <v>3.74</v>
      </c>
      <c r="BW983" s="138"/>
      <c r="DG983" s="138"/>
    </row>
    <row r="984" spans="1:111" ht="12.75" customHeight="1" x14ac:dyDescent="0.2">
      <c r="A984">
        <v>938</v>
      </c>
      <c r="B984" s="4" t="s">
        <v>1859</v>
      </c>
      <c r="D984" s="4" t="s">
        <v>1843</v>
      </c>
      <c r="E984" s="33">
        <v>-200</v>
      </c>
      <c r="F984" t="str">
        <f>VLOOKUP(E984,CompDbase!B:L,4,FALSE)</f>
        <v>Xylene</v>
      </c>
      <c r="G984" s="95" t="str">
        <f>VLOOKUP(E984,CompDbase!B:M,12,FALSE)</f>
        <v>MAK</v>
      </c>
      <c r="H984" s="95">
        <f>VLOOKUP(E984,CompDbase!B:L,8,FALSE)</f>
        <v>120.20888801685282</v>
      </c>
      <c r="I984" s="95" t="e">
        <f>VLOOKUP(E984,CompDbase!B:L,11,FALSE)</f>
        <v>#DIV/0!</v>
      </c>
      <c r="J984" s="95" t="e">
        <f>VLOOKUP(E984,CompDbase!B:L,9,FALSE)</f>
        <v>#DIV/0!</v>
      </c>
      <c r="K984" s="95">
        <f>VLOOKUP(E984,CompDbase!B:L,10,FALSE)</f>
        <v>3.74</v>
      </c>
      <c r="L984" s="1" t="s">
        <v>1931</v>
      </c>
      <c r="O984" s="4" t="s">
        <v>1082</v>
      </c>
      <c r="P984">
        <f t="shared" si="843"/>
        <v>295</v>
      </c>
      <c r="Q984" s="4" t="s">
        <v>1049</v>
      </c>
      <c r="R984" s="289" t="s">
        <v>1982</v>
      </c>
      <c r="S984">
        <v>2.3E-3</v>
      </c>
      <c r="T984" s="95" t="e">
        <f t="shared" si="844"/>
        <v>#DIV/0!</v>
      </c>
      <c r="X984" s="95"/>
      <c r="Y984">
        <f>0.13*10^-12</f>
        <v>1.3E-13</v>
      </c>
      <c r="Z984" s="95">
        <f t="shared" ref="Z984:Z995" si="849">LOG(Y984)</f>
        <v>-12.886056647693163</v>
      </c>
      <c r="AB984" s="95"/>
      <c r="AC984" s="95"/>
      <c r="AD984" s="95"/>
    </row>
    <row r="985" spans="1:111" ht="12.75" customHeight="1" x14ac:dyDescent="0.2">
      <c r="A985">
        <v>939</v>
      </c>
      <c r="B985" s="4" t="s">
        <v>1859</v>
      </c>
      <c r="D985" s="4" t="s">
        <v>1843</v>
      </c>
      <c r="E985" s="33">
        <v>-200</v>
      </c>
      <c r="F985" t="str">
        <f>VLOOKUP(E985,CompDbase!B:L,4,FALSE)</f>
        <v>Xylene</v>
      </c>
      <c r="G985" s="95" t="str">
        <f>VLOOKUP(E985,CompDbase!B:M,12,FALSE)</f>
        <v>MAK</v>
      </c>
      <c r="H985" s="95">
        <f>VLOOKUP(E985,CompDbase!B:L,8,FALSE)</f>
        <v>120.20888801685282</v>
      </c>
      <c r="I985" s="95" t="e">
        <f>VLOOKUP(E985,CompDbase!B:L,11,FALSE)</f>
        <v>#DIV/0!</v>
      </c>
      <c r="J985" s="95" t="e">
        <f>VLOOKUP(E985,CompDbase!B:L,9,FALSE)</f>
        <v>#DIV/0!</v>
      </c>
      <c r="K985" s="95">
        <f>VLOOKUP(E985,CompDbase!B:L,10,FALSE)</f>
        <v>3.74</v>
      </c>
      <c r="L985" s="1" t="s">
        <v>1931</v>
      </c>
      <c r="O985" s="4" t="s">
        <v>1082</v>
      </c>
      <c r="P985">
        <f t="shared" si="843"/>
        <v>295</v>
      </c>
      <c r="Q985" s="4" t="s">
        <v>1049</v>
      </c>
      <c r="R985" s="289" t="s">
        <v>1982</v>
      </c>
      <c r="S985">
        <v>2.3E-3</v>
      </c>
      <c r="T985" s="95" t="e">
        <f t="shared" si="844"/>
        <v>#DIV/0!</v>
      </c>
      <c r="X985" s="95"/>
      <c r="Y985">
        <f>0.11*10^-12</f>
        <v>1.1E-13</v>
      </c>
      <c r="Z985" s="95">
        <f t="shared" si="849"/>
        <v>-12.958607314841775</v>
      </c>
      <c r="AB985" s="95"/>
      <c r="AC985" s="95"/>
      <c r="AD985" s="95"/>
    </row>
    <row r="986" spans="1:111" ht="12.75" customHeight="1" x14ac:dyDescent="0.2">
      <c r="A986">
        <v>940</v>
      </c>
      <c r="B986" s="4" t="s">
        <v>1935</v>
      </c>
      <c r="C986" s="4"/>
      <c r="D986" s="6" t="s">
        <v>1476</v>
      </c>
      <c r="E986" s="4">
        <v>-1804</v>
      </c>
      <c r="F986" t="str">
        <f>VLOOKUP(E986,CompDbase!B:L,4,FALSE)</f>
        <v>UV10</v>
      </c>
      <c r="G986" s="95" t="str">
        <f>VLOOKUP(E986,CompDbase!B:M,12,FALSE)</f>
        <v>overige</v>
      </c>
      <c r="H986" s="95">
        <f>VLOOKUP(E986,CompDbase!B:L,8,FALSE)</f>
        <v>585</v>
      </c>
      <c r="I986" s="95" t="e">
        <f>VLOOKUP(E986,CompDbase!B:L,11,FALSE)</f>
        <v>#DIV/0!</v>
      </c>
      <c r="J986" s="95" t="e">
        <f>VLOOKUP(E986,CompDbase!B:L,9,FALSE)</f>
        <v>#DIV/0!</v>
      </c>
      <c r="K986" s="95" t="e">
        <f>VLOOKUP(E986,CompDbase!B:L,10,FALSE)</f>
        <v>#DIV/0!</v>
      </c>
      <c r="L986" s="4" t="s">
        <v>769</v>
      </c>
      <c r="M986" s="423"/>
      <c r="N986" s="423"/>
      <c r="O986" s="4" t="s">
        <v>1740</v>
      </c>
      <c r="P986" s="1">
        <v>278</v>
      </c>
      <c r="Q986" s="4" t="s">
        <v>1049</v>
      </c>
      <c r="S986" s="4"/>
      <c r="T986" s="95"/>
      <c r="V986">
        <v>2.2500000000000003E-3</v>
      </c>
      <c r="Y986">
        <v>2.2000000000000002E-16</v>
      </c>
      <c r="Z986" s="95">
        <f t="shared" si="849"/>
        <v>-15.657577319177793</v>
      </c>
      <c r="AG986" s="138"/>
      <c r="BW986" s="138"/>
      <c r="DG986" s="138"/>
    </row>
    <row r="987" spans="1:111" ht="12.75" customHeight="1" x14ac:dyDescent="0.2">
      <c r="A987">
        <v>941</v>
      </c>
      <c r="B987" s="4" t="s">
        <v>1935</v>
      </c>
      <c r="C987" s="4"/>
      <c r="D987" s="6" t="s">
        <v>1475</v>
      </c>
      <c r="E987" s="4">
        <v>-1803</v>
      </c>
      <c r="F987" t="str">
        <f>VLOOKUP(E987,CompDbase!B:L,4,FALSE)</f>
        <v>UV9</v>
      </c>
      <c r="G987" s="95" t="str">
        <f>VLOOKUP(E987,CompDbase!B:M,12,FALSE)</f>
        <v>overige</v>
      </c>
      <c r="H987" s="95">
        <f>VLOOKUP(E987,CompDbase!B:L,8,FALSE)</f>
        <v>551</v>
      </c>
      <c r="I987" s="95" t="e">
        <f>VLOOKUP(E987,CompDbase!B:L,11,FALSE)</f>
        <v>#DIV/0!</v>
      </c>
      <c r="J987" s="95" t="e">
        <f>VLOOKUP(E987,CompDbase!B:L,9,FALSE)</f>
        <v>#DIV/0!</v>
      </c>
      <c r="K987" s="95" t="e">
        <f>VLOOKUP(E987,CompDbase!B:L,10,FALSE)</f>
        <v>#DIV/0!</v>
      </c>
      <c r="L987" s="4" t="s">
        <v>769</v>
      </c>
      <c r="M987" s="423"/>
      <c r="N987" s="423"/>
      <c r="O987" s="4" t="s">
        <v>1740</v>
      </c>
      <c r="P987" s="1">
        <v>278</v>
      </c>
      <c r="Q987" s="4" t="s">
        <v>1049</v>
      </c>
      <c r="S987" s="4"/>
      <c r="T987" s="95"/>
      <c r="V987">
        <v>2.3499999999999997E-3</v>
      </c>
      <c r="Y987">
        <v>3.5000000000000002E-16</v>
      </c>
      <c r="Z987" s="95">
        <f t="shared" si="849"/>
        <v>-15.455931955649724</v>
      </c>
    </row>
    <row r="988" spans="1:111" ht="12.75" customHeight="1" x14ac:dyDescent="0.2">
      <c r="A988">
        <v>942</v>
      </c>
      <c r="B988" s="4" t="s">
        <v>1935</v>
      </c>
      <c r="C988" s="4"/>
      <c r="D988" s="6" t="s">
        <v>1474</v>
      </c>
      <c r="E988" s="4">
        <v>-1802</v>
      </c>
      <c r="F988" t="str">
        <f>VLOOKUP(E988,CompDbase!B:L,4,FALSE)</f>
        <v>UV8</v>
      </c>
      <c r="G988" s="95" t="str">
        <f>VLOOKUP(E988,CompDbase!B:M,12,FALSE)</f>
        <v>overige</v>
      </c>
      <c r="H988" s="95">
        <f>VLOOKUP(E988,CompDbase!B:L,8,FALSE)</f>
        <v>445</v>
      </c>
      <c r="I988" s="95" t="e">
        <f>VLOOKUP(E988,CompDbase!B:L,11,FALSE)</f>
        <v>#DIV/0!</v>
      </c>
      <c r="J988" s="95" t="e">
        <f>VLOOKUP(E988,CompDbase!B:L,9,FALSE)</f>
        <v>#DIV/0!</v>
      </c>
      <c r="K988" s="95" t="e">
        <f>VLOOKUP(E988,CompDbase!B:L,10,FALSE)</f>
        <v>#DIV/0!</v>
      </c>
      <c r="L988" s="4" t="s">
        <v>769</v>
      </c>
      <c r="M988" s="423"/>
      <c r="N988" s="423"/>
      <c r="O988" s="4" t="s">
        <v>1740</v>
      </c>
      <c r="P988" s="1">
        <v>278</v>
      </c>
      <c r="Q988" s="4" t="s">
        <v>1049</v>
      </c>
      <c r="S988" s="4"/>
      <c r="T988" s="95"/>
      <c r="V988">
        <v>2.7000000000000001E-3</v>
      </c>
      <c r="Y988">
        <v>5.6000000000000003E-16</v>
      </c>
      <c r="Z988" s="95">
        <f t="shared" si="849"/>
        <v>-15.251811972993799</v>
      </c>
    </row>
    <row r="989" spans="1:111" ht="12.75" customHeight="1" x14ac:dyDescent="0.2">
      <c r="A989">
        <v>943</v>
      </c>
      <c r="B989" s="4" t="s">
        <v>1935</v>
      </c>
      <c r="C989" s="4"/>
      <c r="D989" s="6" t="s">
        <v>1473</v>
      </c>
      <c r="E989" s="4">
        <v>-1801</v>
      </c>
      <c r="F989" t="str">
        <f>VLOOKUP(E989,CompDbase!B:L,4,FALSE)</f>
        <v>UV7</v>
      </c>
      <c r="G989" s="95" t="str">
        <f>VLOOKUP(E989,CompDbase!B:M,12,FALSE)</f>
        <v>overige</v>
      </c>
      <c r="H989" s="95">
        <f>VLOOKUP(E989,CompDbase!B:L,8,FALSE)</f>
        <v>388</v>
      </c>
      <c r="I989" s="95" t="e">
        <f>VLOOKUP(E989,CompDbase!B:L,11,FALSE)</f>
        <v>#DIV/0!</v>
      </c>
      <c r="J989" s="95" t="e">
        <f>VLOOKUP(E989,CompDbase!B:L,9,FALSE)</f>
        <v>#DIV/0!</v>
      </c>
      <c r="K989" s="95" t="e">
        <f>VLOOKUP(E989,CompDbase!B:L,10,FALSE)</f>
        <v>#DIV/0!</v>
      </c>
      <c r="L989" s="4" t="s">
        <v>769</v>
      </c>
      <c r="M989" s="423"/>
      <c r="N989" s="423"/>
      <c r="O989" s="4" t="s">
        <v>1740</v>
      </c>
      <c r="P989" s="1">
        <v>278</v>
      </c>
      <c r="Q989" s="4" t="s">
        <v>1049</v>
      </c>
      <c r="S989" s="4"/>
      <c r="T989" s="95"/>
      <c r="V989">
        <v>4.8000000000000001E-4</v>
      </c>
      <c r="Y989">
        <v>6.0000000000000001E-17</v>
      </c>
      <c r="Z989" s="95">
        <f t="shared" si="849"/>
        <v>-16.221848749616356</v>
      </c>
    </row>
    <row r="990" spans="1:111" ht="12.75" customHeight="1" x14ac:dyDescent="0.2">
      <c r="A990">
        <v>944</v>
      </c>
      <c r="B990" s="4" t="s">
        <v>1935</v>
      </c>
      <c r="C990" s="4"/>
      <c r="D990" s="6" t="s">
        <v>1472</v>
      </c>
      <c r="E990" s="4">
        <v>-1800</v>
      </c>
      <c r="F990" t="str">
        <f>VLOOKUP(E990,CompDbase!B:L,4,FALSE)</f>
        <v>UV6</v>
      </c>
      <c r="G990" s="95" t="str">
        <f>VLOOKUP(E990,CompDbase!B:M,12,FALSE)</f>
        <v>overige</v>
      </c>
      <c r="H990" s="95">
        <f>VLOOKUP(E990,CompDbase!B:L,8,FALSE)</f>
        <v>388</v>
      </c>
      <c r="I990" s="95" t="e">
        <f>VLOOKUP(E990,CompDbase!B:L,11,FALSE)</f>
        <v>#DIV/0!</v>
      </c>
      <c r="J990" s="95" t="e">
        <f>VLOOKUP(E990,CompDbase!B:L,9,FALSE)</f>
        <v>#DIV/0!</v>
      </c>
      <c r="K990" s="95" t="e">
        <f>VLOOKUP(E990,CompDbase!B:L,10,FALSE)</f>
        <v>#DIV/0!</v>
      </c>
      <c r="L990" s="4" t="s">
        <v>769</v>
      </c>
      <c r="M990" s="423"/>
      <c r="N990" s="423"/>
      <c r="O990" s="4" t="s">
        <v>1740</v>
      </c>
      <c r="P990" s="1">
        <v>278</v>
      </c>
      <c r="Q990" s="4" t="s">
        <v>1049</v>
      </c>
      <c r="S990" s="4"/>
      <c r="T990" s="95"/>
      <c r="V990">
        <v>7.3999999999999999E-4</v>
      </c>
      <c r="Y990">
        <v>2.2000000000000002E-16</v>
      </c>
      <c r="Z990" s="95">
        <f t="shared" si="849"/>
        <v>-15.657577319177793</v>
      </c>
    </row>
    <row r="991" spans="1:111" ht="12.75" customHeight="1" x14ac:dyDescent="0.2">
      <c r="A991">
        <v>945</v>
      </c>
      <c r="B991" s="4" t="s">
        <v>1935</v>
      </c>
      <c r="C991" s="4"/>
      <c r="D991" s="6" t="s">
        <v>1471</v>
      </c>
      <c r="E991" s="4">
        <v>-1799</v>
      </c>
      <c r="F991" t="str">
        <f>VLOOKUP(E991,CompDbase!B:L,4,FALSE)</f>
        <v>UV5</v>
      </c>
      <c r="G991" s="95" t="str">
        <f>VLOOKUP(E991,CompDbase!B:M,12,FALSE)</f>
        <v>overige</v>
      </c>
      <c r="H991" s="95">
        <f>VLOOKUP(E991,CompDbase!B:L,8,FALSE)</f>
        <v>346</v>
      </c>
      <c r="I991" s="95" t="e">
        <f>VLOOKUP(E991,CompDbase!B:L,11,FALSE)</f>
        <v>#DIV/0!</v>
      </c>
      <c r="J991" s="95" t="e">
        <f>VLOOKUP(E991,CompDbase!B:L,9,FALSE)</f>
        <v>#DIV/0!</v>
      </c>
      <c r="K991" s="95" t="e">
        <f>VLOOKUP(E991,CompDbase!B:L,10,FALSE)</f>
        <v>#DIV/0!</v>
      </c>
      <c r="L991" s="4" t="s">
        <v>769</v>
      </c>
      <c r="M991" s="423"/>
      <c r="N991" s="423"/>
      <c r="O991" s="4" t="s">
        <v>1740</v>
      </c>
      <c r="P991" s="1">
        <v>278</v>
      </c>
      <c r="Q991" s="4" t="s">
        <v>1049</v>
      </c>
      <c r="S991" s="4"/>
      <c r="T991" s="95"/>
      <c r="V991">
        <v>1.1999999999999999E-3</v>
      </c>
      <c r="Y991">
        <v>1.02E-15</v>
      </c>
      <c r="Z991" s="95">
        <f t="shared" si="849"/>
        <v>-14.991399828238082</v>
      </c>
    </row>
    <row r="992" spans="1:111" ht="12.75" customHeight="1" x14ac:dyDescent="0.2">
      <c r="A992">
        <v>946</v>
      </c>
      <c r="B992" s="4" t="s">
        <v>1935</v>
      </c>
      <c r="C992" s="4"/>
      <c r="D992" s="6" t="s">
        <v>1470</v>
      </c>
      <c r="E992" s="4">
        <v>-1798</v>
      </c>
      <c r="F992" t="str">
        <f>VLOOKUP(E992,CompDbase!B:L,4,FALSE)</f>
        <v>UV4</v>
      </c>
      <c r="G992" s="95" t="str">
        <f>VLOOKUP(E992,CompDbase!B:M,12,FALSE)</f>
        <v>overige</v>
      </c>
      <c r="H992" s="95">
        <f>VLOOKUP(E992,CompDbase!B:L,8,FALSE)</f>
        <v>332</v>
      </c>
      <c r="I992" s="95" t="e">
        <f>VLOOKUP(E992,CompDbase!B:L,11,FALSE)</f>
        <v>#DIV/0!</v>
      </c>
      <c r="J992" s="95" t="e">
        <f>VLOOKUP(E992,CompDbase!B:L,9,FALSE)</f>
        <v>#DIV/0!</v>
      </c>
      <c r="K992" s="95" t="e">
        <f>VLOOKUP(E992,CompDbase!B:L,10,FALSE)</f>
        <v>#DIV/0!</v>
      </c>
      <c r="L992" s="4" t="s">
        <v>769</v>
      </c>
      <c r="M992" s="423"/>
      <c r="N992" s="423"/>
      <c r="O992" s="4" t="s">
        <v>1740</v>
      </c>
      <c r="P992" s="1">
        <v>278</v>
      </c>
      <c r="Q992" s="4" t="s">
        <v>1049</v>
      </c>
      <c r="S992" s="4"/>
      <c r="T992" s="95"/>
      <c r="V992">
        <v>8.5000000000000006E-5</v>
      </c>
      <c r="Y992">
        <v>6.0299999999999998E-15</v>
      </c>
      <c r="Z992" s="95">
        <f t="shared" si="849"/>
        <v>-14.219682687859848</v>
      </c>
    </row>
    <row r="993" spans="1:167" ht="12.75" customHeight="1" x14ac:dyDescent="0.2">
      <c r="A993">
        <v>947</v>
      </c>
      <c r="B993" s="4" t="s">
        <v>1935</v>
      </c>
      <c r="C993" s="4"/>
      <c r="D993" s="6" t="s">
        <v>1469</v>
      </c>
      <c r="E993" s="4">
        <v>-1797</v>
      </c>
      <c r="F993" t="str">
        <f>VLOOKUP(E993,CompDbase!B:L,4,FALSE)</f>
        <v>UV3</v>
      </c>
      <c r="G993" s="95" t="str">
        <f>VLOOKUP(E993,CompDbase!B:M,12,FALSE)</f>
        <v>overige</v>
      </c>
      <c r="H993" s="95">
        <f>VLOOKUP(E993,CompDbase!B:L,8,FALSE)</f>
        <v>326</v>
      </c>
      <c r="I993" s="95" t="e">
        <f>VLOOKUP(E993,CompDbase!B:L,11,FALSE)</f>
        <v>#DIV/0!</v>
      </c>
      <c r="J993" s="95" t="e">
        <f>VLOOKUP(E993,CompDbase!B:L,9,FALSE)</f>
        <v>#DIV/0!</v>
      </c>
      <c r="K993" s="95" t="e">
        <f>VLOOKUP(E993,CompDbase!B:L,10,FALSE)</f>
        <v>#DIV/0!</v>
      </c>
      <c r="L993" s="4" t="s">
        <v>769</v>
      </c>
      <c r="M993" s="423"/>
      <c r="N993" s="423"/>
      <c r="O993" s="4" t="s">
        <v>1740</v>
      </c>
      <c r="P993" s="1">
        <v>278</v>
      </c>
      <c r="Q993" s="4" t="s">
        <v>1049</v>
      </c>
      <c r="S993" s="4"/>
      <c r="T993" s="95"/>
      <c r="V993">
        <v>7.000000000000001E-4</v>
      </c>
      <c r="Y993">
        <v>6.0299999999999998E-15</v>
      </c>
      <c r="Z993" s="95">
        <f t="shared" si="849"/>
        <v>-14.219682687859848</v>
      </c>
    </row>
    <row r="994" spans="1:167" ht="12.75" customHeight="1" x14ac:dyDescent="0.2">
      <c r="A994">
        <v>948</v>
      </c>
      <c r="B994" s="4" t="s">
        <v>1935</v>
      </c>
      <c r="C994" s="4"/>
      <c r="D994" s="6" t="s">
        <v>1466</v>
      </c>
      <c r="E994" s="4">
        <v>-1796</v>
      </c>
      <c r="F994" t="str">
        <f>VLOOKUP(E994,CompDbase!B:L,4,FALSE)</f>
        <v>UV2</v>
      </c>
      <c r="G994" s="95" t="str">
        <f>VLOOKUP(E994,CompDbase!B:M,12,FALSE)</f>
        <v>overige</v>
      </c>
      <c r="H994" s="95">
        <f>VLOOKUP(E994,CompDbase!B:L,8,FALSE)</f>
        <v>258</v>
      </c>
      <c r="I994" s="95" t="e">
        <f>VLOOKUP(E994,CompDbase!B:L,11,FALSE)</f>
        <v>#DIV/0!</v>
      </c>
      <c r="J994" s="95" t="e">
        <f>VLOOKUP(E994,CompDbase!B:L,9,FALSE)</f>
        <v>#DIV/0!</v>
      </c>
      <c r="K994" s="95" t="e">
        <f>VLOOKUP(E994,CompDbase!B:L,10,FALSE)</f>
        <v>#DIV/0!</v>
      </c>
      <c r="L994" s="4" t="s">
        <v>769</v>
      </c>
      <c r="M994" s="423"/>
      <c r="N994" s="423"/>
      <c r="O994" s="4" t="s">
        <v>1740</v>
      </c>
      <c r="P994" s="1">
        <v>278</v>
      </c>
      <c r="Q994" s="4" t="s">
        <v>1049</v>
      </c>
      <c r="S994" s="4"/>
      <c r="T994" s="95"/>
      <c r="V994">
        <v>2.0999999999999999E-5</v>
      </c>
      <c r="Y994">
        <v>2.43E-15</v>
      </c>
      <c r="Z994" s="95">
        <f t="shared" si="849"/>
        <v>-14.614393726401687</v>
      </c>
    </row>
    <row r="995" spans="1:167" ht="12.75" customHeight="1" x14ac:dyDescent="0.2">
      <c r="A995">
        <v>949</v>
      </c>
      <c r="B995" s="4" t="s">
        <v>1935</v>
      </c>
      <c r="C995" s="4"/>
      <c r="D995" s="6" t="s">
        <v>1465</v>
      </c>
      <c r="E995" s="4">
        <v>-1795</v>
      </c>
      <c r="F995" t="str">
        <f>VLOOKUP(E995,CompDbase!B:L,4,FALSE)</f>
        <v>UV1</v>
      </c>
      <c r="G995" s="95" t="str">
        <f>VLOOKUP(E995,CompDbase!B:M,12,FALSE)</f>
        <v>overige</v>
      </c>
      <c r="H995" s="95">
        <f>VLOOKUP(E995,CompDbase!B:L,8,FALSE)</f>
        <v>214</v>
      </c>
      <c r="I995" s="95" t="e">
        <f>VLOOKUP(E995,CompDbase!B:L,11,FALSE)</f>
        <v>#DIV/0!</v>
      </c>
      <c r="J995" s="95" t="e">
        <f>VLOOKUP(E995,CompDbase!B:L,9,FALSE)</f>
        <v>#DIV/0!</v>
      </c>
      <c r="K995" s="95" t="e">
        <f>VLOOKUP(E995,CompDbase!B:L,10,FALSE)</f>
        <v>#DIV/0!</v>
      </c>
      <c r="L995" s="4" t="s">
        <v>769</v>
      </c>
      <c r="M995" s="423"/>
      <c r="N995" s="423"/>
      <c r="O995" s="4" t="s">
        <v>1740</v>
      </c>
      <c r="P995" s="1">
        <v>278</v>
      </c>
      <c r="Q995" s="4" t="s">
        <v>1049</v>
      </c>
      <c r="S995" s="4"/>
      <c r="T995" s="95"/>
      <c r="V995">
        <v>7.9999999999999996E-6</v>
      </c>
      <c r="Y995">
        <v>2.4400000000000002E-15</v>
      </c>
      <c r="Z995" s="95">
        <f t="shared" si="849"/>
        <v>-14.61261017366127</v>
      </c>
    </row>
    <row r="996" spans="1:167" ht="12.75" customHeight="1" x14ac:dyDescent="0.2">
      <c r="A996">
        <v>950</v>
      </c>
      <c r="B996" t="s">
        <v>1984</v>
      </c>
      <c r="D996" s="6" t="s">
        <v>548</v>
      </c>
      <c r="E996">
        <v>200</v>
      </c>
      <c r="F996" t="str">
        <f>VLOOKUP(E996,CompDbase!B:L,4,FALSE)</f>
        <v>Benzene</v>
      </c>
      <c r="G996" s="95" t="str">
        <f>VLOOKUP(E996,CompDbase!B:M,12,FALSE)</f>
        <v>MAK</v>
      </c>
      <c r="H996" s="95">
        <f>VLOOKUP(E996,CompDbase!B:L,8,FALSE)</f>
        <v>78.106666524406961</v>
      </c>
      <c r="I996" s="95">
        <f>VLOOKUP(E996,CompDbase!B:L,11,FALSE)</f>
        <v>89.4</v>
      </c>
      <c r="J996" s="95">
        <f>VLOOKUP(E996,CompDbase!B:L,9,FALSE)</f>
        <v>1988.89882593368</v>
      </c>
      <c r="K996" s="95">
        <f>VLOOKUP(E996,CompDbase!B:L,10,FALSE)</f>
        <v>2.13</v>
      </c>
      <c r="L996" s="4" t="s">
        <v>717</v>
      </c>
      <c r="M996" s="423"/>
      <c r="N996" s="423"/>
      <c r="O996" s="4" t="s">
        <v>1044</v>
      </c>
      <c r="P996" s="1">
        <f t="shared" ref="P996:P1005" si="850">273+6</f>
        <v>279</v>
      </c>
      <c r="Q996" s="4" t="s">
        <v>1049</v>
      </c>
      <c r="R996" s="289" t="s">
        <v>1982</v>
      </c>
      <c r="S996">
        <v>0.25</v>
      </c>
      <c r="T996" s="95">
        <f t="shared" ref="T996:T1005" si="851">S996/J996</f>
        <v>1.2569769600152415E-4</v>
      </c>
      <c r="W996">
        <v>21</v>
      </c>
      <c r="X996" s="288">
        <f>LOG(W996)</f>
        <v>1.3222192947339193</v>
      </c>
      <c r="Z996" s="95"/>
    </row>
    <row r="997" spans="1:167" ht="12.75" customHeight="1" x14ac:dyDescent="0.2">
      <c r="A997">
        <v>951</v>
      </c>
      <c r="B997" t="s">
        <v>1984</v>
      </c>
      <c r="D997" s="6" t="s">
        <v>548</v>
      </c>
      <c r="E997">
        <v>200</v>
      </c>
      <c r="F997" t="str">
        <f>VLOOKUP(E997,CompDbase!B:L,4,FALSE)</f>
        <v>Benzene</v>
      </c>
      <c r="G997" s="95" t="str">
        <f>VLOOKUP(E997,CompDbase!B:M,12,FALSE)</f>
        <v>MAK</v>
      </c>
      <c r="H997" s="95">
        <f>VLOOKUP(E997,CompDbase!B:L,8,FALSE)</f>
        <v>78.106666524406961</v>
      </c>
      <c r="I997" s="95">
        <f>VLOOKUP(E997,CompDbase!B:L,11,FALSE)</f>
        <v>89.4</v>
      </c>
      <c r="J997" s="95">
        <f>VLOOKUP(E997,CompDbase!B:L,9,FALSE)</f>
        <v>1988.89882593368</v>
      </c>
      <c r="K997" s="95">
        <f>VLOOKUP(E997,CompDbase!B:L,10,FALSE)</f>
        <v>2.13</v>
      </c>
      <c r="L997" s="4" t="s">
        <v>717</v>
      </c>
      <c r="M997" s="423"/>
      <c r="N997" s="423"/>
      <c r="O997" s="4" t="s">
        <v>1082</v>
      </c>
      <c r="P997" s="1">
        <f t="shared" si="850"/>
        <v>279</v>
      </c>
      <c r="Q997" s="4" t="s">
        <v>1049</v>
      </c>
      <c r="R997" s="289" t="s">
        <v>1982</v>
      </c>
      <c r="S997">
        <v>0.25</v>
      </c>
      <c r="T997" s="95">
        <f t="shared" si="851"/>
        <v>1.2569769600152415E-4</v>
      </c>
      <c r="X997" s="288"/>
      <c r="Y997">
        <v>9.0000000000000008E-14</v>
      </c>
      <c r="Z997" s="288">
        <f>LOG(Y997)</f>
        <v>-13.045757490560675</v>
      </c>
    </row>
    <row r="998" spans="1:167" ht="12.75" customHeight="1" x14ac:dyDescent="0.2">
      <c r="A998">
        <v>952</v>
      </c>
      <c r="B998" t="s">
        <v>1984</v>
      </c>
      <c r="D998" s="6" t="s">
        <v>1778</v>
      </c>
      <c r="E998">
        <v>201</v>
      </c>
      <c r="F998" t="str">
        <f>VLOOKUP(E998,CompDbase!B:L,4,FALSE)</f>
        <v>Ethylbenzene</v>
      </c>
      <c r="G998" s="95" t="str">
        <f>VLOOKUP(E998,CompDbase!B:M,12,FALSE)</f>
        <v>MAK</v>
      </c>
      <c r="H998" s="95">
        <f>VLOOKUP(E998,CompDbase!B:L,8,FALSE)</f>
        <v>106.18666499232586</v>
      </c>
      <c r="I998" s="95" t="e">
        <f>VLOOKUP(E998,CompDbase!B:L,11,FALSE)</f>
        <v>#DIV/0!</v>
      </c>
      <c r="J998" s="95">
        <f>VLOOKUP(E998,CompDbase!B:L,9,FALSE)</f>
        <v>159.4494296665228</v>
      </c>
      <c r="K998" s="95">
        <f>VLOOKUP(E998,CompDbase!B:L,10,FALSE)</f>
        <v>3.15</v>
      </c>
      <c r="L998" s="4" t="s">
        <v>717</v>
      </c>
      <c r="M998" s="423"/>
      <c r="N998" s="423"/>
      <c r="O998" s="4" t="s">
        <v>1044</v>
      </c>
      <c r="P998" s="1">
        <f t="shared" si="850"/>
        <v>279</v>
      </c>
      <c r="Q998" s="4" t="s">
        <v>1049</v>
      </c>
      <c r="R998" s="289" t="s">
        <v>1982</v>
      </c>
      <c r="S998">
        <v>0.25</v>
      </c>
      <c r="T998" s="95">
        <f t="shared" si="851"/>
        <v>1.5678952287434161E-3</v>
      </c>
      <c r="W998">
        <v>214</v>
      </c>
      <c r="X998" s="288">
        <f>LOG(W998)</f>
        <v>2.330413773349191</v>
      </c>
      <c r="Z998" s="95"/>
    </row>
    <row r="999" spans="1:167" ht="12.75" customHeight="1" x14ac:dyDescent="0.2">
      <c r="A999">
        <v>953</v>
      </c>
      <c r="B999" t="s">
        <v>1984</v>
      </c>
      <c r="D999" s="6" t="s">
        <v>1778</v>
      </c>
      <c r="E999">
        <v>201</v>
      </c>
      <c r="F999" t="str">
        <f>VLOOKUP(E999,CompDbase!B:L,4,FALSE)</f>
        <v>Ethylbenzene</v>
      </c>
      <c r="G999" s="95" t="str">
        <f>VLOOKUP(E999,CompDbase!B:M,12,FALSE)</f>
        <v>MAK</v>
      </c>
      <c r="H999" s="95">
        <f>VLOOKUP(E999,CompDbase!B:L,8,FALSE)</f>
        <v>106.18666499232586</v>
      </c>
      <c r="I999" s="95" t="e">
        <f>VLOOKUP(E999,CompDbase!B:L,11,FALSE)</f>
        <v>#DIV/0!</v>
      </c>
      <c r="J999" s="95">
        <f>VLOOKUP(E999,CompDbase!B:L,9,FALSE)</f>
        <v>159.4494296665228</v>
      </c>
      <c r="K999" s="95">
        <f>VLOOKUP(E999,CompDbase!B:L,10,FALSE)</f>
        <v>3.15</v>
      </c>
      <c r="L999" s="4" t="s">
        <v>717</v>
      </c>
      <c r="M999" s="423"/>
      <c r="N999" s="423"/>
      <c r="O999" s="4" t="s">
        <v>1082</v>
      </c>
      <c r="P999" s="1">
        <f t="shared" si="850"/>
        <v>279</v>
      </c>
      <c r="Q999" s="4" t="s">
        <v>1049</v>
      </c>
      <c r="R999" s="289" t="s">
        <v>1982</v>
      </c>
      <c r="S999">
        <v>0.25</v>
      </c>
      <c r="T999" s="95">
        <f t="shared" si="851"/>
        <v>1.5678952287434161E-3</v>
      </c>
      <c r="V999" s="13"/>
      <c r="X999" s="317"/>
      <c r="Y999" s="13">
        <v>5.0000000000000002E-14</v>
      </c>
      <c r="Z999" s="317">
        <f>LOG(Y999)</f>
        <v>-13.301029995663981</v>
      </c>
      <c r="AA999" s="13"/>
      <c r="AB999" s="13"/>
    </row>
    <row r="1000" spans="1:167" s="9" customFormat="1" ht="12.75" customHeight="1" x14ac:dyDescent="0.2">
      <c r="A1000">
        <v>954</v>
      </c>
      <c r="B1000" s="9" t="s">
        <v>1984</v>
      </c>
      <c r="D1000" s="10" t="s">
        <v>1777</v>
      </c>
      <c r="E1000" s="9">
        <v>204</v>
      </c>
      <c r="F1000" s="9" t="str">
        <f>VLOOKUP(E1000,CompDbase!B:L,4,FALSE)</f>
        <v>Toluene</v>
      </c>
      <c r="G1000" s="181" t="str">
        <f>VLOOKUP(E1000,CompDbase!B:M,12,FALSE)</f>
        <v>MAK</v>
      </c>
      <c r="H1000" s="181">
        <f>VLOOKUP(E1000,CompDbase!B:L,8,FALSE)</f>
        <v>92.14249284505685</v>
      </c>
      <c r="I1000" s="181">
        <f>VLOOKUP(E1000,CompDbase!B:L,11,FALSE)</f>
        <v>106.9</v>
      </c>
      <c r="J1000" s="181">
        <f>VLOOKUP(E1000,CompDbase!B:L,9,FALSE)</f>
        <v>610.59105234897152</v>
      </c>
      <c r="K1000" s="95">
        <f>VLOOKUP(E1000,CompDbase!B:L,10,FALSE)</f>
        <v>2.73</v>
      </c>
      <c r="L1000" s="10" t="s">
        <v>717</v>
      </c>
      <c r="M1000" s="425"/>
      <c r="N1000" s="425"/>
      <c r="O1000" s="4" t="s">
        <v>1044</v>
      </c>
      <c r="P1000" s="412">
        <f t="shared" si="850"/>
        <v>279</v>
      </c>
      <c r="Q1000" s="10" t="s">
        <v>1049</v>
      </c>
      <c r="R1000" s="289" t="s">
        <v>1982</v>
      </c>
      <c r="S1000" s="9">
        <v>0.25</v>
      </c>
      <c r="T1000" s="95">
        <f t="shared" si="851"/>
        <v>4.094393441211407E-4</v>
      </c>
      <c r="V1000"/>
      <c r="W1000">
        <v>87</v>
      </c>
      <c r="X1000" s="288">
        <f>LOG(W1000)</f>
        <v>1.9395192526186185</v>
      </c>
      <c r="Y1000"/>
      <c r="Z1000" s="95"/>
      <c r="AA1000"/>
      <c r="AB1000"/>
      <c r="AC1000"/>
      <c r="AD1000"/>
      <c r="DP1000"/>
      <c r="FG1000" s="476"/>
      <c r="FH1000" s="478"/>
      <c r="FI1000" s="478"/>
      <c r="FJ1000" s="478"/>
      <c r="FK1000" s="478"/>
    </row>
    <row r="1001" spans="1:167" ht="12.75" customHeight="1" x14ac:dyDescent="0.2">
      <c r="A1001">
        <v>955</v>
      </c>
      <c r="B1001" t="s">
        <v>1984</v>
      </c>
      <c r="D1001" s="4" t="s">
        <v>1777</v>
      </c>
      <c r="E1001">
        <v>204</v>
      </c>
      <c r="F1001" t="str">
        <f>VLOOKUP(E1001,CompDbase!B:L,4,FALSE)</f>
        <v>Toluene</v>
      </c>
      <c r="G1001" s="95" t="str">
        <f>VLOOKUP(E1001,CompDbase!B:M,12,FALSE)</f>
        <v>MAK</v>
      </c>
      <c r="H1001" s="95">
        <f>VLOOKUP(E1001,CompDbase!B:L,8,FALSE)</f>
        <v>92.14249284505685</v>
      </c>
      <c r="I1001" s="95">
        <f>VLOOKUP(E1001,CompDbase!B:L,11,FALSE)</f>
        <v>106.9</v>
      </c>
      <c r="J1001" s="95">
        <f>VLOOKUP(E1001,CompDbase!B:L,9,FALSE)</f>
        <v>610.59105234897152</v>
      </c>
      <c r="K1001" s="95">
        <f>VLOOKUP(E1001,CompDbase!B:L,10,FALSE)</f>
        <v>2.73</v>
      </c>
      <c r="L1001" s="4" t="s">
        <v>717</v>
      </c>
      <c r="M1001" s="423"/>
      <c r="N1001" s="423"/>
      <c r="O1001" s="4" t="s">
        <v>1082</v>
      </c>
      <c r="P1001" s="1">
        <f t="shared" si="850"/>
        <v>279</v>
      </c>
      <c r="Q1001" s="4" t="s">
        <v>1049</v>
      </c>
      <c r="R1001" s="289" t="s">
        <v>1982</v>
      </c>
      <c r="S1001">
        <v>0.25</v>
      </c>
      <c r="T1001" s="95">
        <f t="shared" si="851"/>
        <v>4.094393441211407E-4</v>
      </c>
      <c r="X1001" s="288"/>
      <c r="Y1001">
        <v>6.5000000000000001E-14</v>
      </c>
      <c r="Z1001" s="288">
        <f>LOG(Y1001)</f>
        <v>-13.187086643357144</v>
      </c>
    </row>
    <row r="1002" spans="1:167" ht="12.75" customHeight="1" x14ac:dyDescent="0.2">
      <c r="A1002">
        <v>956</v>
      </c>
      <c r="B1002" t="s">
        <v>1984</v>
      </c>
      <c r="D1002" s="4" t="s">
        <v>872</v>
      </c>
      <c r="E1002">
        <v>205</v>
      </c>
      <c r="F1002" t="str">
        <f>VLOOKUP(E1002,CompDbase!B:L,4,FALSE)</f>
        <v>m-Xylene</v>
      </c>
      <c r="G1002" s="95" t="str">
        <f>VLOOKUP(E1002,CompDbase!B:M,12,FALSE)</f>
        <v>MAK</v>
      </c>
      <c r="H1002" s="95">
        <f>VLOOKUP(E1002,CompDbase!B:L,8,FALSE)</f>
        <v>106.18999905823263</v>
      </c>
      <c r="I1002" s="95" t="e">
        <f>VLOOKUP(E1002,CompDbase!B:L,11,FALSE)</f>
        <v>#DIV/0!</v>
      </c>
      <c r="J1002" s="95">
        <f>VLOOKUP(E1002,CompDbase!B:L,9,FALSE)</f>
        <v>197.40652052455141</v>
      </c>
      <c r="K1002" s="95">
        <f>VLOOKUP(E1002,CompDbase!B:L,10,FALSE)</f>
        <v>3.2</v>
      </c>
      <c r="L1002" s="4" t="s">
        <v>717</v>
      </c>
      <c r="M1002" s="423"/>
      <c r="N1002" s="423"/>
      <c r="O1002" s="4" t="s">
        <v>1044</v>
      </c>
      <c r="P1002" s="1">
        <f t="shared" si="850"/>
        <v>279</v>
      </c>
      <c r="Q1002" s="4" t="s">
        <v>1049</v>
      </c>
      <c r="R1002" s="289" t="s">
        <v>1982</v>
      </c>
      <c r="S1002">
        <v>0.25</v>
      </c>
      <c r="T1002" s="95">
        <f t="shared" si="851"/>
        <v>1.2664221999136424E-3</v>
      </c>
      <c r="W1002">
        <v>184</v>
      </c>
      <c r="X1002" s="288">
        <f>LOG(W1002)</f>
        <v>2.2648178230095364</v>
      </c>
      <c r="Z1002" s="95"/>
    </row>
    <row r="1003" spans="1:167" ht="12.75" customHeight="1" x14ac:dyDescent="0.2">
      <c r="A1003">
        <v>957</v>
      </c>
      <c r="B1003" t="s">
        <v>1984</v>
      </c>
      <c r="D1003" s="4" t="s">
        <v>872</v>
      </c>
      <c r="E1003">
        <v>205</v>
      </c>
      <c r="F1003" t="str">
        <f>VLOOKUP(E1003,CompDbase!B:L,4,FALSE)</f>
        <v>m-Xylene</v>
      </c>
      <c r="G1003" s="95" t="str">
        <f>VLOOKUP(E1003,CompDbase!B:M,12,FALSE)</f>
        <v>MAK</v>
      </c>
      <c r="H1003" s="95">
        <f>VLOOKUP(E1003,CompDbase!B:L,8,FALSE)</f>
        <v>106.18999905823263</v>
      </c>
      <c r="I1003" s="95" t="e">
        <f>VLOOKUP(E1003,CompDbase!B:L,11,FALSE)</f>
        <v>#DIV/0!</v>
      </c>
      <c r="J1003" s="95">
        <f>VLOOKUP(E1003,CompDbase!B:L,9,FALSE)</f>
        <v>197.40652052455141</v>
      </c>
      <c r="K1003" s="95">
        <f>VLOOKUP(E1003,CompDbase!B:L,10,FALSE)</f>
        <v>3.2</v>
      </c>
      <c r="L1003" s="4" t="s">
        <v>717</v>
      </c>
      <c r="M1003" s="423"/>
      <c r="N1003" s="423"/>
      <c r="O1003" s="4" t="s">
        <v>1082</v>
      </c>
      <c r="P1003" s="1">
        <f t="shared" si="850"/>
        <v>279</v>
      </c>
      <c r="Q1003" s="4" t="s">
        <v>1049</v>
      </c>
      <c r="R1003" s="289" t="s">
        <v>1982</v>
      </c>
      <c r="S1003">
        <v>0.25</v>
      </c>
      <c r="T1003" s="95">
        <f t="shared" si="851"/>
        <v>1.2664221999136424E-3</v>
      </c>
      <c r="X1003" s="288"/>
      <c r="Y1003">
        <v>4.5000000000000004E-14</v>
      </c>
      <c r="Z1003" s="288">
        <f>LOG(Y1003)</f>
        <v>-13.346787486224656</v>
      </c>
    </row>
    <row r="1004" spans="1:167" ht="12.75" customHeight="1" x14ac:dyDescent="0.2">
      <c r="A1004">
        <v>958</v>
      </c>
      <c r="B1004" t="s">
        <v>1984</v>
      </c>
      <c r="D1004" s="4" t="s">
        <v>762</v>
      </c>
      <c r="E1004">
        <v>218</v>
      </c>
      <c r="F1004" t="str">
        <f>VLOOKUP(E1004,CompDbase!B:L,4,FALSE)</f>
        <v>o-Xylene</v>
      </c>
      <c r="G1004" s="95" t="str">
        <f>VLOOKUP(E1004,CompDbase!B:M,12,FALSE)</f>
        <v>MAK</v>
      </c>
      <c r="H1004" s="95">
        <f>VLOOKUP(E1004,CompDbase!B:L,8,FALSE)</f>
        <v>106.18666499232586</v>
      </c>
      <c r="I1004" s="95" t="e">
        <f>VLOOKUP(E1004,CompDbase!B:L,11,FALSE)</f>
        <v>#DIV/0!</v>
      </c>
      <c r="J1004" s="95">
        <f>VLOOKUP(E1004,CompDbase!B:L,9,FALSE)</f>
        <v>218.93359574593291</v>
      </c>
      <c r="K1004" s="95">
        <f>VLOOKUP(E1004,CompDbase!B:L,10,FALSE)</f>
        <v>3.12</v>
      </c>
      <c r="L1004" s="4" t="s">
        <v>717</v>
      </c>
      <c r="M1004" s="423"/>
      <c r="N1004" s="423"/>
      <c r="O1004" s="4" t="s">
        <v>1044</v>
      </c>
      <c r="P1004" s="1">
        <f t="shared" si="850"/>
        <v>279</v>
      </c>
      <c r="Q1004" s="4" t="s">
        <v>1049</v>
      </c>
      <c r="R1004" s="289" t="s">
        <v>1982</v>
      </c>
      <c r="S1004">
        <v>0.25</v>
      </c>
      <c r="T1004" s="95">
        <f t="shared" si="851"/>
        <v>1.1418987531274958E-3</v>
      </c>
      <c r="W1004">
        <v>247</v>
      </c>
      <c r="X1004" s="288">
        <f>LOG(W1004)</f>
        <v>2.3926969532596658</v>
      </c>
      <c r="Z1004" s="95"/>
    </row>
    <row r="1005" spans="1:167" ht="12.75" customHeight="1" x14ac:dyDescent="0.2">
      <c r="A1005">
        <v>959</v>
      </c>
      <c r="B1005" t="s">
        <v>1984</v>
      </c>
      <c r="D1005" s="4" t="s">
        <v>762</v>
      </c>
      <c r="E1005">
        <v>218</v>
      </c>
      <c r="F1005" t="str">
        <f>VLOOKUP(E1005,CompDbase!B:L,4,FALSE)</f>
        <v>o-Xylene</v>
      </c>
      <c r="G1005" s="95" t="str">
        <f>VLOOKUP(E1005,CompDbase!B:M,12,FALSE)</f>
        <v>MAK</v>
      </c>
      <c r="H1005" s="95">
        <f>VLOOKUP(E1005,CompDbase!B:L,8,FALSE)</f>
        <v>106.18666499232586</v>
      </c>
      <c r="I1005" s="95" t="e">
        <f>VLOOKUP(E1005,CompDbase!B:L,11,FALSE)</f>
        <v>#DIV/0!</v>
      </c>
      <c r="J1005" s="95">
        <f>VLOOKUP(E1005,CompDbase!B:L,9,FALSE)</f>
        <v>218.93359574593291</v>
      </c>
      <c r="K1005" s="95">
        <f>VLOOKUP(E1005,CompDbase!B:L,10,FALSE)</f>
        <v>3.12</v>
      </c>
      <c r="L1005" s="4" t="s">
        <v>717</v>
      </c>
      <c r="M1005" s="423"/>
      <c r="N1005" s="423"/>
      <c r="O1005" s="4" t="s">
        <v>1082</v>
      </c>
      <c r="P1005" s="1">
        <f t="shared" si="850"/>
        <v>279</v>
      </c>
      <c r="Q1005" s="4" t="s">
        <v>1049</v>
      </c>
      <c r="R1005" s="289" t="s">
        <v>1982</v>
      </c>
      <c r="S1005">
        <v>0.25</v>
      </c>
      <c r="T1005" s="95">
        <f t="shared" si="851"/>
        <v>1.1418987531274958E-3</v>
      </c>
      <c r="X1005" s="288"/>
      <c r="Y1005">
        <v>5.0000000000000002E-14</v>
      </c>
      <c r="Z1005" s="288">
        <f t="shared" ref="Z1005:Z1031" si="852">LOG(Y1005)</f>
        <v>-13.301029995663981</v>
      </c>
    </row>
    <row r="1006" spans="1:167" ht="12.75" customHeight="1" x14ac:dyDescent="0.2">
      <c r="A1006">
        <v>960</v>
      </c>
      <c r="B1006" s="4" t="s">
        <v>1226</v>
      </c>
      <c r="C1006" s="4"/>
      <c r="D1006" s="4" t="s">
        <v>492</v>
      </c>
      <c r="E1006">
        <v>204</v>
      </c>
      <c r="F1006" t="str">
        <f>VLOOKUP(E1006,CompDbase!B:L,4,FALSE)</f>
        <v>Toluene</v>
      </c>
      <c r="G1006" s="95" t="str">
        <f>VLOOKUP(E1006,CompDbase!B:M,12,FALSE)</f>
        <v>MAK</v>
      </c>
      <c r="H1006" s="95">
        <f>VLOOKUP(E1006,CompDbase!B:L,8,FALSE)</f>
        <v>92.14249284505685</v>
      </c>
      <c r="I1006" s="95">
        <f>VLOOKUP(E1006,CompDbase!B:L,11,FALSE)</f>
        <v>106.9</v>
      </c>
      <c r="J1006" s="95">
        <f>VLOOKUP(E1006,CompDbase!B:L,9,FALSE)</f>
        <v>610.59105234897152</v>
      </c>
      <c r="K1006" s="95">
        <f>VLOOKUP(E1006,CompDbase!B:L,10,FALSE)</f>
        <v>2.73</v>
      </c>
      <c r="L1006" s="4" t="s">
        <v>717</v>
      </c>
      <c r="O1006" s="4"/>
      <c r="P1006" s="1">
        <v>303</v>
      </c>
      <c r="Q1006" s="4" t="s">
        <v>1049</v>
      </c>
      <c r="R1006" s="289" t="s">
        <v>1976</v>
      </c>
      <c r="S1006" s="4"/>
      <c r="T1006" s="319">
        <v>1E-3</v>
      </c>
      <c r="Y1006">
        <v>3.2000000000000005E-13</v>
      </c>
      <c r="Z1006" s="95">
        <f t="shared" si="852"/>
        <v>-12.494850021680094</v>
      </c>
    </row>
    <row r="1007" spans="1:167" ht="12.75" customHeight="1" x14ac:dyDescent="0.2">
      <c r="A1007">
        <v>961</v>
      </c>
      <c r="B1007" s="4" t="s">
        <v>1226</v>
      </c>
      <c r="C1007" s="4"/>
      <c r="D1007" s="4" t="s">
        <v>492</v>
      </c>
      <c r="E1007">
        <v>204</v>
      </c>
      <c r="F1007" t="str">
        <f>VLOOKUP(E1007,CompDbase!B:L,4,FALSE)</f>
        <v>Toluene</v>
      </c>
      <c r="G1007" s="95" t="str">
        <f>VLOOKUP(E1007,CompDbase!B:M,12,FALSE)</f>
        <v>MAK</v>
      </c>
      <c r="H1007" s="95">
        <f>VLOOKUP(E1007,CompDbase!B:L,8,FALSE)</f>
        <v>92.14249284505685</v>
      </c>
      <c r="I1007" s="95">
        <f>VLOOKUP(E1007,CompDbase!B:L,11,FALSE)</f>
        <v>106.9</v>
      </c>
      <c r="J1007" s="95">
        <f>VLOOKUP(E1007,CompDbase!B:L,9,FALSE)</f>
        <v>610.59105234897152</v>
      </c>
      <c r="K1007" s="95">
        <f>VLOOKUP(E1007,CompDbase!B:L,10,FALSE)</f>
        <v>2.73</v>
      </c>
      <c r="L1007" s="4" t="s">
        <v>717</v>
      </c>
      <c r="O1007" s="4"/>
      <c r="P1007" s="1">
        <v>303</v>
      </c>
      <c r="Q1007" s="4" t="s">
        <v>1049</v>
      </c>
      <c r="R1007" s="289" t="s">
        <v>1976</v>
      </c>
      <c r="S1007" s="4"/>
      <c r="T1007" s="319">
        <v>1E-3</v>
      </c>
      <c r="Y1007">
        <v>3.4000000000000007E-13</v>
      </c>
      <c r="Z1007" s="95">
        <f t="shared" si="852"/>
        <v>-12.468521082957745</v>
      </c>
    </row>
    <row r="1008" spans="1:167" ht="12.75" customHeight="1" x14ac:dyDescent="0.2">
      <c r="A1008">
        <v>962</v>
      </c>
      <c r="B1008" s="4" t="s">
        <v>1226</v>
      </c>
      <c r="C1008" s="4"/>
      <c r="D1008" s="4" t="s">
        <v>870</v>
      </c>
      <c r="E1008">
        <v>-1523</v>
      </c>
      <c r="F1008" t="str">
        <f>VLOOKUP(E1008,CompDbase!B:L,4,FALSE)</f>
        <v>Ethylpropionate</v>
      </c>
      <c r="G1008" s="95" t="str">
        <f>VLOOKUP(E1008,CompDbase!B:M,12,FALSE)</f>
        <v>O2</v>
      </c>
      <c r="H1008" s="95">
        <f>VLOOKUP(E1008,CompDbase!B:L,8,FALSE)</f>
        <v>102.13</v>
      </c>
      <c r="I1008" s="95" t="e">
        <f>VLOOKUP(E1008,CompDbase!B:L,11,FALSE)</f>
        <v>#DIV/0!</v>
      </c>
      <c r="J1008" s="95">
        <f>VLOOKUP(E1008,CompDbase!B:L,9,FALSE)</f>
        <v>17000</v>
      </c>
      <c r="K1008" s="95">
        <f>VLOOKUP(E1008,CompDbase!B:L,10,FALSE)</f>
        <v>1.21</v>
      </c>
      <c r="L1008" s="4" t="s">
        <v>769</v>
      </c>
      <c r="M1008" s="420"/>
      <c r="N1008" s="420"/>
      <c r="O1008" s="4"/>
      <c r="P1008" s="1">
        <v>303</v>
      </c>
      <c r="Q1008" s="4" t="s">
        <v>1049</v>
      </c>
      <c r="S1008" s="4"/>
      <c r="Y1008">
        <v>1.2200000000000001E-12</v>
      </c>
      <c r="Z1008" s="95">
        <f t="shared" si="852"/>
        <v>-11.913640169325252</v>
      </c>
    </row>
    <row r="1009" spans="1:167" ht="12.75" customHeight="1" x14ac:dyDescent="0.2">
      <c r="A1009">
        <v>963</v>
      </c>
      <c r="B1009" s="4" t="s">
        <v>1936</v>
      </c>
      <c r="C1009" s="4"/>
      <c r="D1009" s="4" t="s">
        <v>539</v>
      </c>
      <c r="E1009" s="4">
        <v>-1534</v>
      </c>
      <c r="F1009" t="str">
        <f>VLOOKUP(E1009,CompDbase!B:L,4,FALSE)</f>
        <v>Chloroform</v>
      </c>
      <c r="G1009" s="95" t="str">
        <f>VLOOKUP(E1009,CompDbase!B:M,12,FALSE)</f>
        <v>ClAlk</v>
      </c>
      <c r="H1009" s="95">
        <f>VLOOKUP(E1009,CompDbase!B:L,8,FALSE)</f>
        <v>119.38</v>
      </c>
      <c r="I1009" s="95" t="e">
        <f>VLOOKUP(E1009,CompDbase!B:L,11,FALSE)</f>
        <v>#DIV/0!</v>
      </c>
      <c r="J1009" s="95">
        <f>VLOOKUP(E1009,CompDbase!B:L,9,FALSE)</f>
        <v>7950</v>
      </c>
      <c r="K1009" s="95">
        <f>VLOOKUP(E1009,CompDbase!B:L,10,FALSE)</f>
        <v>1.97</v>
      </c>
      <c r="L1009" s="4" t="s">
        <v>717</v>
      </c>
      <c r="M1009" s="423"/>
      <c r="N1009" s="423"/>
      <c r="O1009" s="4" t="s">
        <v>1044</v>
      </c>
      <c r="P1009" s="1">
        <v>308</v>
      </c>
      <c r="Q1009" s="4" t="s">
        <v>1049</v>
      </c>
      <c r="R1009" s="289" t="s">
        <v>1988</v>
      </c>
      <c r="T1009" s="289">
        <v>1</v>
      </c>
      <c r="U1009">
        <v>111</v>
      </c>
      <c r="V1009" s="95"/>
      <c r="W1009" s="95">
        <f t="shared" ref="W1009:W1014" si="853">U1009/J1009</f>
        <v>1.3962264150943397E-2</v>
      </c>
      <c r="X1009" s="183">
        <f t="shared" ref="X1009:X1014" si="854">LOG(W1009)</f>
        <v>-1.8550441498698129</v>
      </c>
      <c r="Y1009">
        <v>1.4900000000000002E-11</v>
      </c>
      <c r="Z1009" s="95">
        <f t="shared" si="852"/>
        <v>-10.826813731587725</v>
      </c>
      <c r="AA1009" s="95">
        <f t="shared" ref="AA1009:AA1014" si="855">W1009*Y1009</f>
        <v>2.0803773584905665E-13</v>
      </c>
      <c r="AB1009" s="95">
        <f t="shared" ref="AB1009:AB1014" si="856">LOG(AA1009)</f>
        <v>-12.681857881457539</v>
      </c>
      <c r="AC1009" s="95"/>
      <c r="AD1009" s="95"/>
    </row>
    <row r="1010" spans="1:167" ht="12.75" customHeight="1" x14ac:dyDescent="0.2">
      <c r="A1010">
        <v>964</v>
      </c>
      <c r="B1010" s="4" t="s">
        <v>1936</v>
      </c>
      <c r="C1010" s="4"/>
      <c r="D1010" s="4" t="s">
        <v>539</v>
      </c>
      <c r="E1010" s="4">
        <v>-1534</v>
      </c>
      <c r="F1010" t="str">
        <f>VLOOKUP(E1010,CompDbase!B:L,4,FALSE)</f>
        <v>Chloroform</v>
      </c>
      <c r="G1010" s="95" t="str">
        <f>VLOOKUP(E1010,CompDbase!B:M,12,FALSE)</f>
        <v>ClAlk</v>
      </c>
      <c r="H1010" s="95">
        <f>VLOOKUP(E1010,CompDbase!B:L,8,FALSE)</f>
        <v>119.38</v>
      </c>
      <c r="I1010" s="95" t="e">
        <f>VLOOKUP(E1010,CompDbase!B:L,11,FALSE)</f>
        <v>#DIV/0!</v>
      </c>
      <c r="J1010" s="95">
        <f>VLOOKUP(E1010,CompDbase!B:L,9,FALSE)</f>
        <v>7950</v>
      </c>
      <c r="K1010" s="95">
        <f>VLOOKUP(E1010,CompDbase!B:L,10,FALSE)</f>
        <v>1.97</v>
      </c>
      <c r="L1010" s="4" t="s">
        <v>717</v>
      </c>
      <c r="M1010" s="423"/>
      <c r="N1010" s="423"/>
      <c r="O1010" s="4" t="s">
        <v>1082</v>
      </c>
      <c r="P1010" s="1">
        <v>308</v>
      </c>
      <c r="Q1010" s="4" t="s">
        <v>1049</v>
      </c>
      <c r="R1010" s="289" t="s">
        <v>1988</v>
      </c>
      <c r="T1010" s="289">
        <v>1</v>
      </c>
      <c r="U1010">
        <v>169</v>
      </c>
      <c r="V1010" s="95"/>
      <c r="W1010" s="95">
        <f t="shared" si="853"/>
        <v>2.1257861635220126E-2</v>
      </c>
      <c r="X1010" s="183">
        <f t="shared" si="854"/>
        <v>-1.6724804240427968</v>
      </c>
      <c r="Y1010">
        <v>7.9000000000000015E-12</v>
      </c>
      <c r="Z1010" s="95">
        <f t="shared" si="852"/>
        <v>-11.102372908709558</v>
      </c>
      <c r="AA1010" s="95">
        <f t="shared" si="855"/>
        <v>1.6793710691823903E-13</v>
      </c>
      <c r="AB1010" s="95">
        <f t="shared" si="856"/>
        <v>-12.774853332752356</v>
      </c>
      <c r="AC1010" s="95"/>
      <c r="AD1010" s="95"/>
    </row>
    <row r="1011" spans="1:167" ht="12.75" customHeight="1" x14ac:dyDescent="0.2">
      <c r="A1011">
        <v>965</v>
      </c>
      <c r="B1011" s="4" t="s">
        <v>1936</v>
      </c>
      <c r="C1011" s="4"/>
      <c r="D1011" s="4" t="s">
        <v>538</v>
      </c>
      <c r="E1011" s="4">
        <v>400</v>
      </c>
      <c r="F1011" t="str">
        <f>VLOOKUP(E1011,CompDbase!B:L,4,FALSE)</f>
        <v>1,2-Dichloroethane</v>
      </c>
      <c r="G1011" s="95" t="str">
        <f>VLOOKUP(E1011,CompDbase!B:M,12,FALSE)</f>
        <v>ClAlk</v>
      </c>
      <c r="H1011" s="95">
        <f>VLOOKUP(E1011,CompDbase!B:L,8,FALSE)</f>
        <v>98.973331537275584</v>
      </c>
      <c r="I1011" s="95">
        <f>VLOOKUP(E1011,CompDbase!B:L,11,FALSE)</f>
        <v>79.400000000000006</v>
      </c>
      <c r="J1011" s="95">
        <f>VLOOKUP(E1011,CompDbase!B:L,9,FALSE)</f>
        <v>10188.832473485421</v>
      </c>
      <c r="K1011" s="95">
        <f>VLOOKUP(E1011,CompDbase!B:L,10,FALSE)</f>
        <v>1.47</v>
      </c>
      <c r="L1011" s="4" t="s">
        <v>717</v>
      </c>
      <c r="M1011" s="423"/>
      <c r="N1011" s="423"/>
      <c r="O1011" s="4" t="s">
        <v>1044</v>
      </c>
      <c r="P1011" s="1">
        <v>308</v>
      </c>
      <c r="Q1011" s="4" t="s">
        <v>1049</v>
      </c>
      <c r="R1011" s="289" t="s">
        <v>1988</v>
      </c>
      <c r="T1011" s="289">
        <v>1</v>
      </c>
      <c r="U1011">
        <v>46.199999999999996</v>
      </c>
      <c r="V1011" s="95"/>
      <c r="W1011" s="95">
        <f t="shared" si="853"/>
        <v>4.5343762516683898E-3</v>
      </c>
      <c r="X1011" s="183">
        <f t="shared" si="854"/>
        <v>-2.3434824459995842</v>
      </c>
      <c r="Y1011">
        <v>7.6999999999999999E-12</v>
      </c>
      <c r="Z1011" s="95">
        <f t="shared" si="852"/>
        <v>-11.113509274827518</v>
      </c>
      <c r="AA1011" s="95">
        <f t="shared" si="855"/>
        <v>3.4914697137846602E-14</v>
      </c>
      <c r="AB1011" s="95">
        <f t="shared" si="856"/>
        <v>-13.456991720827103</v>
      </c>
      <c r="AC1011" s="95"/>
      <c r="AD1011" s="95"/>
    </row>
    <row r="1012" spans="1:167" ht="12.75" customHeight="1" x14ac:dyDescent="0.2">
      <c r="A1012">
        <v>966</v>
      </c>
      <c r="B1012" s="4" t="s">
        <v>1936</v>
      </c>
      <c r="C1012" s="4"/>
      <c r="D1012" s="4" t="s">
        <v>538</v>
      </c>
      <c r="E1012" s="4">
        <v>400</v>
      </c>
      <c r="F1012" t="str">
        <f>VLOOKUP(E1012,CompDbase!B:L,4,FALSE)</f>
        <v>1,2-Dichloroethane</v>
      </c>
      <c r="G1012" s="95" t="str">
        <f>VLOOKUP(E1012,CompDbase!B:M,12,FALSE)</f>
        <v>ClAlk</v>
      </c>
      <c r="H1012" s="95">
        <f>VLOOKUP(E1012,CompDbase!B:L,8,FALSE)</f>
        <v>98.973331537275584</v>
      </c>
      <c r="I1012" s="95">
        <f>VLOOKUP(E1012,CompDbase!B:L,11,FALSE)</f>
        <v>79.400000000000006</v>
      </c>
      <c r="J1012" s="95">
        <f>VLOOKUP(E1012,CompDbase!B:L,9,FALSE)</f>
        <v>10188.832473485421</v>
      </c>
      <c r="K1012" s="95">
        <f>VLOOKUP(E1012,CompDbase!B:L,10,FALSE)</f>
        <v>1.47</v>
      </c>
      <c r="L1012" s="4" t="s">
        <v>717</v>
      </c>
      <c r="M1012" s="423"/>
      <c r="N1012" s="423"/>
      <c r="O1012" s="4" t="s">
        <v>1082</v>
      </c>
      <c r="P1012" s="1">
        <v>308</v>
      </c>
      <c r="Q1012" s="4" t="s">
        <v>1049</v>
      </c>
      <c r="R1012" s="289" t="s">
        <v>1988</v>
      </c>
      <c r="T1012" s="289">
        <v>1</v>
      </c>
      <c r="U1012">
        <v>26.8</v>
      </c>
      <c r="V1012" s="95"/>
      <c r="W1012" s="95">
        <f t="shared" si="853"/>
        <v>2.6303308126561227E-3</v>
      </c>
      <c r="X1012" s="183">
        <f t="shared" si="854"/>
        <v>-2.579989627526921</v>
      </c>
      <c r="Y1012">
        <v>6.9999999999999993E-12</v>
      </c>
      <c r="Z1012" s="95">
        <f t="shared" si="852"/>
        <v>-11.154901959985743</v>
      </c>
      <c r="AA1012" s="95">
        <f t="shared" si="855"/>
        <v>1.8412315688592857E-14</v>
      </c>
      <c r="AB1012" s="95">
        <f t="shared" si="856"/>
        <v>-13.734891587512664</v>
      </c>
      <c r="AC1012" s="95"/>
      <c r="AD1012" s="95"/>
    </row>
    <row r="1013" spans="1:167" ht="12.75" customHeight="1" x14ac:dyDescent="0.2">
      <c r="A1013">
        <v>967</v>
      </c>
      <c r="B1013" s="4" t="s">
        <v>1936</v>
      </c>
      <c r="C1013" s="4"/>
      <c r="D1013" s="4" t="s">
        <v>540</v>
      </c>
      <c r="E1013" s="4">
        <v>405</v>
      </c>
      <c r="F1013" t="str">
        <f>VLOOKUP(E1013,CompDbase!B:L,4,FALSE)</f>
        <v>Trichloroethylene</v>
      </c>
      <c r="G1013" s="95" t="str">
        <f>VLOOKUP(E1013,CompDbase!B:M,12,FALSE)</f>
        <v>ClAlk</v>
      </c>
      <c r="H1013" s="95">
        <f>VLOOKUP(E1013,CompDbase!B:L,8,FALSE)</f>
        <v>131.4</v>
      </c>
      <c r="I1013" s="95" t="e">
        <f>VLOOKUP(E1013,CompDbase!B:L,11,FALSE)</f>
        <v>#DIV/0!</v>
      </c>
      <c r="J1013" s="95">
        <f>VLOOKUP(E1013,CompDbase!B:L,9,FALSE)</f>
        <v>1164.8441611748488</v>
      </c>
      <c r="K1013" s="95">
        <f>VLOOKUP(E1013,CompDbase!B:L,10,FALSE)</f>
        <v>2.61</v>
      </c>
      <c r="L1013" s="4" t="s">
        <v>717</v>
      </c>
      <c r="M1013" s="423"/>
      <c r="N1013" s="423"/>
      <c r="O1013" s="4" t="s">
        <v>1044</v>
      </c>
      <c r="P1013" s="1">
        <v>308</v>
      </c>
      <c r="Q1013" s="4" t="s">
        <v>1049</v>
      </c>
      <c r="R1013" s="289" t="s">
        <v>1988</v>
      </c>
      <c r="T1013" s="289">
        <v>1</v>
      </c>
      <c r="U1013">
        <v>139.5</v>
      </c>
      <c r="V1013" s="95"/>
      <c r="W1013" s="95">
        <f t="shared" si="853"/>
        <v>0.11975850903463504</v>
      </c>
      <c r="X1013" s="183">
        <f t="shared" si="854"/>
        <v>-0.92169361949584416</v>
      </c>
      <c r="Y1013">
        <v>2.3300000000000003E-11</v>
      </c>
      <c r="Z1013" s="95">
        <f t="shared" si="852"/>
        <v>-10.63264407897398</v>
      </c>
      <c r="AA1013" s="95">
        <f t="shared" si="855"/>
        <v>2.790373260506997E-12</v>
      </c>
      <c r="AB1013" s="95">
        <f t="shared" si="856"/>
        <v>-11.554337698469825</v>
      </c>
      <c r="AC1013" s="95"/>
      <c r="AD1013" s="95"/>
    </row>
    <row r="1014" spans="1:167" ht="12.75" customHeight="1" x14ac:dyDescent="0.2">
      <c r="A1014">
        <v>968</v>
      </c>
      <c r="B1014" s="4" t="s">
        <v>1936</v>
      </c>
      <c r="C1014" s="4"/>
      <c r="D1014" s="4" t="s">
        <v>540</v>
      </c>
      <c r="E1014" s="4">
        <v>405</v>
      </c>
      <c r="F1014" t="str">
        <f>VLOOKUP(E1014,CompDbase!B:L,4,FALSE)</f>
        <v>Trichloroethylene</v>
      </c>
      <c r="G1014" s="95" t="str">
        <f>VLOOKUP(E1014,CompDbase!B:M,12,FALSE)</f>
        <v>ClAlk</v>
      </c>
      <c r="H1014" s="95">
        <f>VLOOKUP(E1014,CompDbase!B:L,8,FALSE)</f>
        <v>131.4</v>
      </c>
      <c r="I1014" s="95" t="e">
        <f>VLOOKUP(E1014,CompDbase!B:L,11,FALSE)</f>
        <v>#DIV/0!</v>
      </c>
      <c r="J1014" s="95">
        <f>VLOOKUP(E1014,CompDbase!B:L,9,FALSE)</f>
        <v>1164.8441611748488</v>
      </c>
      <c r="K1014" s="95">
        <f>VLOOKUP(E1014,CompDbase!B:L,10,FALSE)</f>
        <v>2.61</v>
      </c>
      <c r="L1014" s="4" t="s">
        <v>717</v>
      </c>
      <c r="M1014" s="423"/>
      <c r="N1014" s="423"/>
      <c r="O1014" s="4" t="s">
        <v>1082</v>
      </c>
      <c r="P1014" s="1">
        <v>308</v>
      </c>
      <c r="Q1014" s="4" t="s">
        <v>1049</v>
      </c>
      <c r="R1014" s="289" t="s">
        <v>1988</v>
      </c>
      <c r="T1014" s="289">
        <v>1</v>
      </c>
      <c r="U1014">
        <v>194.6</v>
      </c>
      <c r="V1014" s="95"/>
      <c r="W1014" s="95">
        <f t="shared" si="853"/>
        <v>0.16706097389347654</v>
      </c>
      <c r="X1014" s="183">
        <f t="shared" si="854"/>
        <v>-0.7771249911731275</v>
      </c>
      <c r="Y1014">
        <v>1.37E-11</v>
      </c>
      <c r="Z1014" s="95">
        <f t="shared" si="852"/>
        <v>-10.863279432843592</v>
      </c>
      <c r="AA1014" s="95">
        <f t="shared" si="855"/>
        <v>2.2887353423406286E-12</v>
      </c>
      <c r="AB1014" s="95">
        <f t="shared" si="856"/>
        <v>-11.640404424016721</v>
      </c>
      <c r="AC1014" s="95"/>
      <c r="AD1014" s="95"/>
    </row>
    <row r="1015" spans="1:167" ht="12.75" customHeight="1" x14ac:dyDescent="0.2">
      <c r="A1015">
        <v>969</v>
      </c>
      <c r="B1015" s="4" t="s">
        <v>1935</v>
      </c>
      <c r="C1015" s="4"/>
      <c r="D1015" s="4" t="s">
        <v>1476</v>
      </c>
      <c r="E1015" s="4">
        <v>-1804</v>
      </c>
      <c r="F1015" t="str">
        <f>VLOOKUP(E1015,CompDbase!B:L,4,FALSE)</f>
        <v>UV10</v>
      </c>
      <c r="G1015" s="95" t="str">
        <f>VLOOKUP(E1015,CompDbase!B:M,12,FALSE)</f>
        <v>overige</v>
      </c>
      <c r="H1015" s="95">
        <f>VLOOKUP(E1015,CompDbase!B:L,8,FALSE)</f>
        <v>585</v>
      </c>
      <c r="I1015" s="95" t="e">
        <f>VLOOKUP(E1015,CompDbase!B:L,11,FALSE)</f>
        <v>#DIV/0!</v>
      </c>
      <c r="J1015" s="95" t="e">
        <f>VLOOKUP(E1015,CompDbase!B:L,9,FALSE)</f>
        <v>#DIV/0!</v>
      </c>
      <c r="K1015" s="95" t="e">
        <f>VLOOKUP(E1015,CompDbase!B:L,10,FALSE)</f>
        <v>#DIV/0!</v>
      </c>
      <c r="L1015" s="4" t="s">
        <v>769</v>
      </c>
      <c r="M1015" s="423"/>
      <c r="N1015" s="423"/>
      <c r="O1015" s="4" t="s">
        <v>1740</v>
      </c>
      <c r="P1015" s="1">
        <v>313</v>
      </c>
      <c r="Q1015" s="4" t="s">
        <v>1049</v>
      </c>
      <c r="S1015" s="4"/>
      <c r="T1015" s="95"/>
      <c r="V1015">
        <v>6.6E-3</v>
      </c>
      <c r="Y1015">
        <v>1.1999999999999999E-14</v>
      </c>
      <c r="Z1015" s="95">
        <f t="shared" si="852"/>
        <v>-13.920818753952375</v>
      </c>
    </row>
    <row r="1016" spans="1:167" ht="12.75" customHeight="1" x14ac:dyDescent="0.2">
      <c r="A1016">
        <v>970</v>
      </c>
      <c r="B1016" s="4" t="s">
        <v>1935</v>
      </c>
      <c r="C1016" s="4"/>
      <c r="D1016" s="4" t="s">
        <v>1475</v>
      </c>
      <c r="E1016" s="4">
        <v>-1803</v>
      </c>
      <c r="F1016" t="str">
        <f>VLOOKUP(E1016,CompDbase!B:L,4,FALSE)</f>
        <v>UV9</v>
      </c>
      <c r="G1016" s="95" t="str">
        <f>VLOOKUP(E1016,CompDbase!B:M,12,FALSE)</f>
        <v>overige</v>
      </c>
      <c r="H1016" s="95">
        <f>VLOOKUP(E1016,CompDbase!B:L,8,FALSE)</f>
        <v>551</v>
      </c>
      <c r="I1016" s="95" t="e">
        <f>VLOOKUP(E1016,CompDbase!B:L,11,FALSE)</f>
        <v>#DIV/0!</v>
      </c>
      <c r="J1016" s="95" t="e">
        <f>VLOOKUP(E1016,CompDbase!B:L,9,FALSE)</f>
        <v>#DIV/0!</v>
      </c>
      <c r="K1016" s="95" t="e">
        <f>VLOOKUP(E1016,CompDbase!B:L,10,FALSE)</f>
        <v>#DIV/0!</v>
      </c>
      <c r="L1016" s="4" t="s">
        <v>769</v>
      </c>
      <c r="M1016" s="423"/>
      <c r="N1016" s="423"/>
      <c r="O1016" s="4" t="s">
        <v>1740</v>
      </c>
      <c r="P1016" s="1">
        <v>313</v>
      </c>
      <c r="Q1016" s="4" t="s">
        <v>1049</v>
      </c>
      <c r="S1016" s="4"/>
      <c r="T1016" s="95"/>
      <c r="V1016">
        <v>7.2499999999999995E-3</v>
      </c>
      <c r="Y1016">
        <v>1.7999999999999999E-14</v>
      </c>
      <c r="Z1016" s="95">
        <f t="shared" si="852"/>
        <v>-13.744727494896694</v>
      </c>
      <c r="AG1016" s="138"/>
      <c r="BW1016" s="138"/>
      <c r="DG1016" s="138"/>
    </row>
    <row r="1017" spans="1:167" ht="12.75" customHeight="1" x14ac:dyDescent="0.2">
      <c r="A1017">
        <v>971</v>
      </c>
      <c r="B1017" s="4" t="s">
        <v>1935</v>
      </c>
      <c r="C1017" s="4"/>
      <c r="D1017" s="4" t="s">
        <v>1474</v>
      </c>
      <c r="E1017" s="4">
        <v>-1802</v>
      </c>
      <c r="F1017" t="str">
        <f>VLOOKUP(E1017,CompDbase!B:L,4,FALSE)</f>
        <v>UV8</v>
      </c>
      <c r="G1017" s="95" t="str">
        <f>VLOOKUP(E1017,CompDbase!B:M,12,FALSE)</f>
        <v>overige</v>
      </c>
      <c r="H1017" s="95">
        <f>VLOOKUP(E1017,CompDbase!B:L,8,FALSE)</f>
        <v>445</v>
      </c>
      <c r="I1017" s="95" t="e">
        <f>VLOOKUP(E1017,CompDbase!B:L,11,FALSE)</f>
        <v>#DIV/0!</v>
      </c>
      <c r="J1017" s="95" t="e">
        <f>VLOOKUP(E1017,CompDbase!B:L,9,FALSE)</f>
        <v>#DIV/0!</v>
      </c>
      <c r="K1017" s="95" t="e">
        <f>VLOOKUP(E1017,CompDbase!B:L,10,FALSE)</f>
        <v>#DIV/0!</v>
      </c>
      <c r="L1017" s="4" t="s">
        <v>769</v>
      </c>
      <c r="M1017" s="423"/>
      <c r="N1017" s="423"/>
      <c r="O1017" s="4" t="s">
        <v>1740</v>
      </c>
      <c r="P1017" s="1">
        <v>313</v>
      </c>
      <c r="Q1017" s="4" t="s">
        <v>1049</v>
      </c>
      <c r="S1017" s="4"/>
      <c r="T1017" s="95"/>
      <c r="V1017">
        <v>6.7000000000000002E-3</v>
      </c>
      <c r="Y1017">
        <v>3.4000000000000007E-14</v>
      </c>
      <c r="Z1017" s="95">
        <f t="shared" si="852"/>
        <v>-13.468521082957745</v>
      </c>
      <c r="AG1017" s="138"/>
      <c r="BW1017" s="138"/>
      <c r="DG1017" s="138"/>
    </row>
    <row r="1018" spans="1:167" ht="12.75" customHeight="1" x14ac:dyDescent="0.2">
      <c r="A1018">
        <v>972</v>
      </c>
      <c r="B1018" s="4" t="s">
        <v>1935</v>
      </c>
      <c r="C1018" s="4"/>
      <c r="D1018" s="4" t="s">
        <v>1473</v>
      </c>
      <c r="E1018" s="4">
        <v>-1801</v>
      </c>
      <c r="F1018" t="str">
        <f>VLOOKUP(E1018,CompDbase!B:L,4,FALSE)</f>
        <v>UV7</v>
      </c>
      <c r="G1018" s="95" t="str">
        <f>VLOOKUP(E1018,CompDbase!B:M,12,FALSE)</f>
        <v>overige</v>
      </c>
      <c r="H1018" s="95">
        <f>VLOOKUP(E1018,CompDbase!B:L,8,FALSE)</f>
        <v>388</v>
      </c>
      <c r="I1018" s="95" t="e">
        <f>VLOOKUP(E1018,CompDbase!B:L,11,FALSE)</f>
        <v>#DIV/0!</v>
      </c>
      <c r="J1018" s="95" t="e">
        <f>VLOOKUP(E1018,CompDbase!B:L,9,FALSE)</f>
        <v>#DIV/0!</v>
      </c>
      <c r="K1018" s="95" t="e">
        <f>VLOOKUP(E1018,CompDbase!B:L,10,FALSE)</f>
        <v>#DIV/0!</v>
      </c>
      <c r="L1018" s="4" t="s">
        <v>769</v>
      </c>
      <c r="M1018" s="423"/>
      <c r="N1018" s="423"/>
      <c r="O1018" s="4" t="s">
        <v>1740</v>
      </c>
      <c r="P1018" s="1">
        <v>313</v>
      </c>
      <c r="Q1018" s="4" t="s">
        <v>1049</v>
      </c>
      <c r="S1018" s="4"/>
      <c r="T1018" s="95"/>
      <c r="V1018">
        <v>2.0499999999999997E-3</v>
      </c>
      <c r="Y1018">
        <v>7.0000000000000009E-15</v>
      </c>
      <c r="Z1018" s="95">
        <f t="shared" si="852"/>
        <v>-14.154901959985743</v>
      </c>
      <c r="AG1018" s="138"/>
      <c r="BW1018" s="138"/>
      <c r="DG1018" s="138"/>
    </row>
    <row r="1019" spans="1:167" ht="12.75" customHeight="1" x14ac:dyDescent="0.2">
      <c r="A1019">
        <v>973</v>
      </c>
      <c r="B1019" s="4" t="s">
        <v>1935</v>
      </c>
      <c r="C1019" s="4"/>
      <c r="D1019" s="4" t="s">
        <v>1472</v>
      </c>
      <c r="E1019" s="4">
        <v>-1800</v>
      </c>
      <c r="F1019" t="str">
        <f>VLOOKUP(E1019,CompDbase!B:L,4,FALSE)</f>
        <v>UV6</v>
      </c>
      <c r="G1019" s="95" t="str">
        <f>VLOOKUP(E1019,CompDbase!B:M,12,FALSE)</f>
        <v>overige</v>
      </c>
      <c r="H1019" s="95">
        <f>VLOOKUP(E1019,CompDbase!B:L,8,FALSE)</f>
        <v>388</v>
      </c>
      <c r="I1019" s="95" t="e">
        <f>VLOOKUP(E1019,CompDbase!B:L,11,FALSE)</f>
        <v>#DIV/0!</v>
      </c>
      <c r="J1019" s="95" t="e">
        <f>VLOOKUP(E1019,CompDbase!B:L,9,FALSE)</f>
        <v>#DIV/0!</v>
      </c>
      <c r="K1019" s="95" t="e">
        <f>VLOOKUP(E1019,CompDbase!B:L,10,FALSE)</f>
        <v>#DIV/0!</v>
      </c>
      <c r="L1019" s="4" t="s">
        <v>769</v>
      </c>
      <c r="M1019" s="423"/>
      <c r="N1019" s="423"/>
      <c r="O1019" s="4" t="s">
        <v>1740</v>
      </c>
      <c r="P1019" s="1">
        <v>313</v>
      </c>
      <c r="Q1019" s="4" t="s">
        <v>1049</v>
      </c>
      <c r="S1019" s="4"/>
      <c r="T1019" s="95"/>
      <c r="V1019">
        <v>2.4499999999999999E-3</v>
      </c>
      <c r="Y1019">
        <v>1.7999999999999999E-14</v>
      </c>
      <c r="Z1019" s="95">
        <f t="shared" si="852"/>
        <v>-13.744727494896694</v>
      </c>
      <c r="AG1019" s="138"/>
      <c r="BW1019" s="138"/>
      <c r="DG1019" s="138"/>
    </row>
    <row r="1020" spans="1:167" ht="12.75" customHeight="1" x14ac:dyDescent="0.2">
      <c r="A1020">
        <v>974</v>
      </c>
      <c r="B1020" s="4" t="s">
        <v>1935</v>
      </c>
      <c r="C1020" s="4"/>
      <c r="D1020" s="4" t="s">
        <v>1471</v>
      </c>
      <c r="E1020" s="4">
        <v>-1799</v>
      </c>
      <c r="F1020" t="str">
        <f>VLOOKUP(E1020,CompDbase!B:L,4,FALSE)</f>
        <v>UV5</v>
      </c>
      <c r="G1020" s="95" t="str">
        <f>VLOOKUP(E1020,CompDbase!B:M,12,FALSE)</f>
        <v>overige</v>
      </c>
      <c r="H1020" s="95">
        <f>VLOOKUP(E1020,CompDbase!B:L,8,FALSE)</f>
        <v>346</v>
      </c>
      <c r="I1020" s="95" t="e">
        <f>VLOOKUP(E1020,CompDbase!B:L,11,FALSE)</f>
        <v>#DIV/0!</v>
      </c>
      <c r="J1020" s="95" t="e">
        <f>VLOOKUP(E1020,CompDbase!B:L,9,FALSE)</f>
        <v>#DIV/0!</v>
      </c>
      <c r="K1020" s="95" t="e">
        <f>VLOOKUP(E1020,CompDbase!B:L,10,FALSE)</f>
        <v>#DIV/0!</v>
      </c>
      <c r="L1020" s="4" t="s">
        <v>769</v>
      </c>
      <c r="M1020" s="423"/>
      <c r="N1020" s="423"/>
      <c r="O1020" s="4" t="s">
        <v>1740</v>
      </c>
      <c r="P1020" s="1">
        <v>313</v>
      </c>
      <c r="Q1020" s="4" t="s">
        <v>1049</v>
      </c>
      <c r="S1020" s="4"/>
      <c r="T1020" s="95"/>
      <c r="V1020">
        <v>4.0400000000000002E-3</v>
      </c>
      <c r="Y1020">
        <v>6.1000000000000005E-14</v>
      </c>
      <c r="Z1020" s="95">
        <f t="shared" si="852"/>
        <v>-13.214670164989233</v>
      </c>
      <c r="AG1020" s="138"/>
      <c r="BW1020" s="138"/>
      <c r="DG1020" s="138"/>
    </row>
    <row r="1021" spans="1:167" ht="12.75" customHeight="1" x14ac:dyDescent="0.2">
      <c r="A1021">
        <v>975</v>
      </c>
      <c r="B1021" s="4" t="s">
        <v>1935</v>
      </c>
      <c r="C1021" s="4"/>
      <c r="D1021" s="4" t="s">
        <v>1470</v>
      </c>
      <c r="E1021" s="4">
        <v>-1798</v>
      </c>
      <c r="F1021" t="str">
        <f>VLOOKUP(E1021,CompDbase!B:L,4,FALSE)</f>
        <v>UV4</v>
      </c>
      <c r="G1021" s="95" t="str">
        <f>VLOOKUP(E1021,CompDbase!B:M,12,FALSE)</f>
        <v>overige</v>
      </c>
      <c r="H1021" s="95">
        <f>VLOOKUP(E1021,CompDbase!B:L,8,FALSE)</f>
        <v>332</v>
      </c>
      <c r="I1021" s="95" t="e">
        <f>VLOOKUP(E1021,CompDbase!B:L,11,FALSE)</f>
        <v>#DIV/0!</v>
      </c>
      <c r="J1021" s="95" t="e">
        <f>VLOOKUP(E1021,CompDbase!B:L,9,FALSE)</f>
        <v>#DIV/0!</v>
      </c>
      <c r="K1021" s="95" t="e">
        <f>VLOOKUP(E1021,CompDbase!B:L,10,FALSE)</f>
        <v>#DIV/0!</v>
      </c>
      <c r="L1021" s="4" t="s">
        <v>769</v>
      </c>
      <c r="M1021" s="423"/>
      <c r="N1021" s="423"/>
      <c r="O1021" s="4" t="s">
        <v>1740</v>
      </c>
      <c r="P1021" s="1">
        <v>313</v>
      </c>
      <c r="Q1021" s="4" t="s">
        <v>1049</v>
      </c>
      <c r="S1021" s="4"/>
      <c r="T1021" s="95"/>
      <c r="V1021">
        <v>1.1999999999999999E-3</v>
      </c>
      <c r="Y1021">
        <v>5.6999999999999997E-14</v>
      </c>
      <c r="Z1021" s="95">
        <f t="shared" si="852"/>
        <v>-13.244125144327509</v>
      </c>
      <c r="AG1021" s="138"/>
      <c r="BW1021" s="138"/>
      <c r="DG1021" s="138"/>
    </row>
    <row r="1022" spans="1:167" ht="12.75" customHeight="1" x14ac:dyDescent="0.2">
      <c r="A1022">
        <v>976</v>
      </c>
      <c r="B1022" s="4" t="s">
        <v>1935</v>
      </c>
      <c r="C1022" s="4"/>
      <c r="D1022" s="4" t="s">
        <v>1469</v>
      </c>
      <c r="E1022" s="4">
        <v>-1797</v>
      </c>
      <c r="F1022" t="str">
        <f>VLOOKUP(E1022,CompDbase!B:L,4,FALSE)</f>
        <v>UV3</v>
      </c>
      <c r="G1022" s="95" t="str">
        <f>VLOOKUP(E1022,CompDbase!B:M,12,FALSE)</f>
        <v>overige</v>
      </c>
      <c r="H1022" s="95">
        <f>VLOOKUP(E1022,CompDbase!B:L,8,FALSE)</f>
        <v>326</v>
      </c>
      <c r="I1022" s="95" t="e">
        <f>VLOOKUP(E1022,CompDbase!B:L,11,FALSE)</f>
        <v>#DIV/0!</v>
      </c>
      <c r="J1022" s="95" t="e">
        <f>VLOOKUP(E1022,CompDbase!B:L,9,FALSE)</f>
        <v>#DIV/0!</v>
      </c>
      <c r="K1022" s="95" t="e">
        <f>VLOOKUP(E1022,CompDbase!B:L,10,FALSE)</f>
        <v>#DIV/0!</v>
      </c>
      <c r="L1022" s="4" t="s">
        <v>769</v>
      </c>
      <c r="M1022" s="423"/>
      <c r="N1022" s="423"/>
      <c r="O1022" s="4" t="s">
        <v>1740</v>
      </c>
      <c r="P1022" s="1">
        <v>313</v>
      </c>
      <c r="Q1022" s="4" t="s">
        <v>1049</v>
      </c>
      <c r="S1022" s="4"/>
      <c r="T1022" s="95"/>
      <c r="V1022">
        <v>1.03E-2</v>
      </c>
      <c r="Y1022">
        <v>3.5099999999999997E-13</v>
      </c>
      <c r="Z1022" s="95">
        <f t="shared" si="852"/>
        <v>-12.454692883534175</v>
      </c>
      <c r="AG1022" s="138"/>
      <c r="BW1022" s="138"/>
      <c r="DG1022" s="138"/>
    </row>
    <row r="1023" spans="1:167" ht="12.75" customHeight="1" x14ac:dyDescent="0.2">
      <c r="A1023">
        <v>977</v>
      </c>
      <c r="B1023" s="4" t="s">
        <v>1935</v>
      </c>
      <c r="C1023" s="4"/>
      <c r="D1023" s="4" t="s">
        <v>1466</v>
      </c>
      <c r="E1023" s="4">
        <v>-1796</v>
      </c>
      <c r="F1023" t="str">
        <f>VLOOKUP(E1023,CompDbase!B:L,4,FALSE)</f>
        <v>UV2</v>
      </c>
      <c r="G1023" s="95" t="str">
        <f>VLOOKUP(E1023,CompDbase!B:M,12,FALSE)</f>
        <v>overige</v>
      </c>
      <c r="H1023" s="95">
        <f>VLOOKUP(E1023,CompDbase!B:L,8,FALSE)</f>
        <v>258</v>
      </c>
      <c r="I1023" s="95" t="e">
        <f>VLOOKUP(E1023,CompDbase!B:L,11,FALSE)</f>
        <v>#DIV/0!</v>
      </c>
      <c r="J1023" s="95" t="e">
        <f>VLOOKUP(E1023,CompDbase!B:L,9,FALSE)</f>
        <v>#DIV/0!</v>
      </c>
      <c r="K1023" s="95" t="e">
        <f>VLOOKUP(E1023,CompDbase!B:L,10,FALSE)</f>
        <v>#DIV/0!</v>
      </c>
      <c r="L1023" s="4" t="s">
        <v>769</v>
      </c>
      <c r="M1023" s="423"/>
      <c r="N1023" s="423"/>
      <c r="O1023" s="4" t="s">
        <v>1740</v>
      </c>
      <c r="P1023" s="1">
        <v>313</v>
      </c>
      <c r="Q1023" s="4" t="s">
        <v>1049</v>
      </c>
      <c r="S1023" s="4"/>
      <c r="T1023" s="95"/>
      <c r="V1023">
        <v>4.2000000000000002E-4</v>
      </c>
      <c r="Y1023">
        <v>1.3300000000000001E-13</v>
      </c>
      <c r="Z1023" s="95">
        <f t="shared" si="852"/>
        <v>-12.876148359032914</v>
      </c>
      <c r="AG1023" s="138"/>
      <c r="BW1023" s="138"/>
      <c r="DG1023" s="138"/>
    </row>
    <row r="1024" spans="1:167" s="9" customFormat="1" ht="12.75" customHeight="1" x14ac:dyDescent="0.2">
      <c r="A1024">
        <v>978</v>
      </c>
      <c r="B1024" s="10" t="s">
        <v>1935</v>
      </c>
      <c r="C1024" s="10"/>
      <c r="D1024" s="10" t="s">
        <v>1465</v>
      </c>
      <c r="E1024" s="10">
        <v>-1795</v>
      </c>
      <c r="F1024" s="9" t="str">
        <f>VLOOKUP(E1024,CompDbase!B:L,4,FALSE)</f>
        <v>UV1</v>
      </c>
      <c r="G1024" s="181" t="str">
        <f>VLOOKUP(E1024,CompDbase!B:M,12,FALSE)</f>
        <v>overige</v>
      </c>
      <c r="H1024" s="181">
        <f>VLOOKUP(E1024,CompDbase!B:L,8,FALSE)</f>
        <v>214</v>
      </c>
      <c r="I1024" s="181" t="e">
        <f>VLOOKUP(E1024,CompDbase!B:L,11,FALSE)</f>
        <v>#DIV/0!</v>
      </c>
      <c r="J1024" s="181" t="e">
        <f>VLOOKUP(E1024,CompDbase!B:L,9,FALSE)</f>
        <v>#DIV/0!</v>
      </c>
      <c r="K1024" s="181" t="e">
        <f>VLOOKUP(E1024,CompDbase!B:L,10,FALSE)</f>
        <v>#DIV/0!</v>
      </c>
      <c r="L1024" s="10" t="s">
        <v>769</v>
      </c>
      <c r="M1024" s="425"/>
      <c r="N1024" s="425"/>
      <c r="O1024" s="10" t="s">
        <v>1740</v>
      </c>
      <c r="P1024" s="412">
        <v>313</v>
      </c>
      <c r="Q1024" s="10" t="s">
        <v>1049</v>
      </c>
      <c r="R1024" s="393"/>
      <c r="S1024" s="10"/>
      <c r="T1024" s="95"/>
      <c r="V1024" s="9">
        <v>1.7999999999999998E-4</v>
      </c>
      <c r="Y1024" s="9">
        <v>1.4499999999999999E-13</v>
      </c>
      <c r="Z1024" s="181">
        <f t="shared" si="852"/>
        <v>-12.838631997765026</v>
      </c>
      <c r="AF1024"/>
      <c r="AG1024" s="138"/>
      <c r="AH1024"/>
      <c r="AI1024"/>
      <c r="BW1024" s="138"/>
      <c r="BX1024"/>
      <c r="BY1024"/>
      <c r="DF1024"/>
      <c r="DG1024" s="138"/>
      <c r="DH1024"/>
      <c r="DI1024"/>
      <c r="DP1024"/>
      <c r="FG1024" s="476"/>
      <c r="FH1024" s="478"/>
      <c r="FI1024" s="478"/>
      <c r="FJ1024" s="478"/>
      <c r="FK1024" s="478"/>
    </row>
    <row r="1025" spans="1:167" ht="12.75" customHeight="1" x14ac:dyDescent="0.2">
      <c r="A1025">
        <v>979</v>
      </c>
      <c r="B1025" s="4" t="s">
        <v>1936</v>
      </c>
      <c r="C1025" s="4"/>
      <c r="D1025" s="4" t="s">
        <v>539</v>
      </c>
      <c r="E1025" s="4">
        <v>-1534</v>
      </c>
      <c r="F1025" t="str">
        <f>VLOOKUP(E1025,CompDbase!B:L,4,FALSE)</f>
        <v>Chloroform</v>
      </c>
      <c r="G1025" s="95" t="str">
        <f>VLOOKUP(E1025,CompDbase!B:M,12,FALSE)</f>
        <v>ClAlk</v>
      </c>
      <c r="H1025" s="95">
        <f>VLOOKUP(E1025,CompDbase!B:L,8,FALSE)</f>
        <v>119.38</v>
      </c>
      <c r="I1025" s="95" t="e">
        <f>VLOOKUP(E1025,CompDbase!B:L,11,FALSE)</f>
        <v>#DIV/0!</v>
      </c>
      <c r="J1025" s="95">
        <f>VLOOKUP(E1025,CompDbase!B:L,9,FALSE)</f>
        <v>7950</v>
      </c>
      <c r="K1025" s="95">
        <f>VLOOKUP(E1025,CompDbase!B:L,10,FALSE)</f>
        <v>1.97</v>
      </c>
      <c r="L1025" s="4" t="s">
        <v>717</v>
      </c>
      <c r="M1025" s="423"/>
      <c r="N1025" s="423"/>
      <c r="O1025" s="4" t="s">
        <v>1044</v>
      </c>
      <c r="P1025" s="1">
        <v>318</v>
      </c>
      <c r="Q1025" s="4" t="s">
        <v>1049</v>
      </c>
      <c r="R1025" s="289" t="s">
        <v>1988</v>
      </c>
      <c r="T1025" s="289">
        <v>1</v>
      </c>
      <c r="U1025">
        <v>131</v>
      </c>
      <c r="V1025" s="95"/>
      <c r="W1025" s="95">
        <f t="shared" ref="W1025:W1030" si="857">U1025/J1025</f>
        <v>1.6477987421383646E-2</v>
      </c>
      <c r="X1025" s="183">
        <f t="shared" ref="X1025:X1030" si="858">LOG(W1025)</f>
        <v>-1.7830958330007061</v>
      </c>
      <c r="Y1025">
        <v>2.31E-11</v>
      </c>
      <c r="Z1025" s="95">
        <f t="shared" si="852"/>
        <v>-10.636388020107855</v>
      </c>
      <c r="AA1025" s="95">
        <f t="shared" ref="AA1025:AA1030" si="859">W1025*Y1025</f>
        <v>3.8064150943396221E-13</v>
      </c>
      <c r="AB1025" s="95">
        <f t="shared" ref="AB1025:AB1030" si="860">LOG(AA1025)</f>
        <v>-12.419483853108561</v>
      </c>
      <c r="AC1025" s="95"/>
      <c r="AD1025" s="95"/>
      <c r="AG1025" s="138"/>
      <c r="BW1025" s="138"/>
      <c r="DG1025" s="138"/>
    </row>
    <row r="1026" spans="1:167" ht="12.75" customHeight="1" x14ac:dyDescent="0.2">
      <c r="A1026">
        <v>980</v>
      </c>
      <c r="B1026" s="4" t="s">
        <v>1936</v>
      </c>
      <c r="C1026" s="4"/>
      <c r="D1026" s="4" t="s">
        <v>539</v>
      </c>
      <c r="E1026" s="4">
        <v>-1534</v>
      </c>
      <c r="F1026" t="str">
        <f>VLOOKUP(E1026,CompDbase!B:L,4,FALSE)</f>
        <v>Chloroform</v>
      </c>
      <c r="G1026" s="95" t="str">
        <f>VLOOKUP(E1026,CompDbase!B:M,12,FALSE)</f>
        <v>ClAlk</v>
      </c>
      <c r="H1026" s="95">
        <f>VLOOKUP(E1026,CompDbase!B:L,8,FALSE)</f>
        <v>119.38</v>
      </c>
      <c r="I1026" s="95" t="e">
        <f>VLOOKUP(E1026,CompDbase!B:L,11,FALSE)</f>
        <v>#DIV/0!</v>
      </c>
      <c r="J1026" s="95">
        <f>VLOOKUP(E1026,CompDbase!B:L,9,FALSE)</f>
        <v>7950</v>
      </c>
      <c r="K1026" s="95">
        <f>VLOOKUP(E1026,CompDbase!B:L,10,FALSE)</f>
        <v>1.97</v>
      </c>
      <c r="L1026" s="4" t="s">
        <v>717</v>
      </c>
      <c r="M1026" s="423"/>
      <c r="N1026" s="423"/>
      <c r="O1026" s="4" t="s">
        <v>1082</v>
      </c>
      <c r="P1026" s="1">
        <v>318</v>
      </c>
      <c r="Q1026" s="4" t="s">
        <v>1049</v>
      </c>
      <c r="R1026" s="289" t="s">
        <v>1988</v>
      </c>
      <c r="T1026" s="289">
        <v>1</v>
      </c>
      <c r="U1026">
        <v>238.5</v>
      </c>
      <c r="V1026" s="95"/>
      <c r="W1026" s="95">
        <f t="shared" si="857"/>
        <v>0.03</v>
      </c>
      <c r="X1026" s="183">
        <f t="shared" si="858"/>
        <v>-1.5228787452803376</v>
      </c>
      <c r="Y1026">
        <v>1.66E-11</v>
      </c>
      <c r="Z1026" s="95">
        <f t="shared" si="852"/>
        <v>-10.779891911959945</v>
      </c>
      <c r="AA1026" s="95">
        <f t="shared" si="859"/>
        <v>4.98E-13</v>
      </c>
      <c r="AB1026" s="95">
        <f t="shared" si="860"/>
        <v>-12.302770657240282</v>
      </c>
      <c r="AC1026" s="95"/>
      <c r="AD1026" s="95"/>
      <c r="AG1026" s="138"/>
      <c r="BW1026" s="138"/>
      <c r="DG1026" s="138"/>
    </row>
    <row r="1027" spans="1:167" ht="12.75" customHeight="1" x14ac:dyDescent="0.2">
      <c r="A1027">
        <v>981</v>
      </c>
      <c r="B1027" s="4" t="s">
        <v>1936</v>
      </c>
      <c r="C1027" s="4"/>
      <c r="D1027" s="4" t="s">
        <v>538</v>
      </c>
      <c r="E1027" s="4">
        <v>400</v>
      </c>
      <c r="F1027" t="str">
        <f>VLOOKUP(E1027,CompDbase!B:L,4,FALSE)</f>
        <v>1,2-Dichloroethane</v>
      </c>
      <c r="G1027" s="95" t="str">
        <f>VLOOKUP(E1027,CompDbase!B:M,12,FALSE)</f>
        <v>ClAlk</v>
      </c>
      <c r="H1027" s="95">
        <f>VLOOKUP(E1027,CompDbase!B:L,8,FALSE)</f>
        <v>98.973331537275584</v>
      </c>
      <c r="I1027" s="95">
        <f>VLOOKUP(E1027,CompDbase!B:L,11,FALSE)</f>
        <v>79.400000000000006</v>
      </c>
      <c r="J1027" s="95">
        <f>VLOOKUP(E1027,CompDbase!B:L,9,FALSE)</f>
        <v>10188.832473485421</v>
      </c>
      <c r="K1027" s="95">
        <f>VLOOKUP(E1027,CompDbase!B:L,10,FALSE)</f>
        <v>1.47</v>
      </c>
      <c r="L1027" s="4" t="s">
        <v>717</v>
      </c>
      <c r="M1027" s="423"/>
      <c r="N1027" s="423"/>
      <c r="O1027" s="4" t="s">
        <v>1044</v>
      </c>
      <c r="P1027" s="1">
        <v>318</v>
      </c>
      <c r="Q1027" s="4" t="s">
        <v>1049</v>
      </c>
      <c r="R1027" s="289" t="s">
        <v>1988</v>
      </c>
      <c r="T1027" s="289">
        <v>1</v>
      </c>
      <c r="U1027">
        <v>57</v>
      </c>
      <c r="V1027" s="95"/>
      <c r="W1027" s="95">
        <f t="shared" si="857"/>
        <v>5.5943603104999622E-3</v>
      </c>
      <c r="X1027" s="183">
        <f t="shared" si="858"/>
        <v>-2.2522495658832185</v>
      </c>
      <c r="Y1027">
        <v>1.3300000000000002E-11</v>
      </c>
      <c r="Z1027" s="95">
        <f t="shared" si="852"/>
        <v>-10.876148359032914</v>
      </c>
      <c r="AA1027" s="95">
        <f t="shared" si="859"/>
        <v>7.4404992129649505E-14</v>
      </c>
      <c r="AB1027" s="95">
        <f t="shared" si="860"/>
        <v>-13.128397924916133</v>
      </c>
      <c r="AC1027" s="95"/>
      <c r="AD1027" s="95"/>
      <c r="AG1027" s="138"/>
      <c r="BW1027" s="138"/>
      <c r="DG1027" s="138"/>
    </row>
    <row r="1028" spans="1:167" ht="12.75" customHeight="1" x14ac:dyDescent="0.2">
      <c r="A1028">
        <v>982</v>
      </c>
      <c r="B1028" s="4" t="s">
        <v>1936</v>
      </c>
      <c r="C1028" s="4"/>
      <c r="D1028" s="4" t="s">
        <v>538</v>
      </c>
      <c r="E1028" s="4">
        <v>400</v>
      </c>
      <c r="F1028" t="str">
        <f>VLOOKUP(E1028,CompDbase!B:L,4,FALSE)</f>
        <v>1,2-Dichloroethane</v>
      </c>
      <c r="G1028" s="95" t="str">
        <f>VLOOKUP(E1028,CompDbase!B:M,12,FALSE)</f>
        <v>ClAlk</v>
      </c>
      <c r="H1028" s="95">
        <f>VLOOKUP(E1028,CompDbase!B:L,8,FALSE)</f>
        <v>98.973331537275584</v>
      </c>
      <c r="I1028" s="95">
        <f>VLOOKUP(E1028,CompDbase!B:L,11,FALSE)</f>
        <v>79.400000000000006</v>
      </c>
      <c r="J1028" s="95">
        <f>VLOOKUP(E1028,CompDbase!B:L,9,FALSE)</f>
        <v>10188.832473485421</v>
      </c>
      <c r="K1028" s="95">
        <f>VLOOKUP(E1028,CompDbase!B:L,10,FALSE)</f>
        <v>1.47</v>
      </c>
      <c r="L1028" s="4" t="s">
        <v>717</v>
      </c>
      <c r="M1028" s="423"/>
      <c r="N1028" s="423"/>
      <c r="O1028" s="4" t="s">
        <v>1082</v>
      </c>
      <c r="P1028" s="1">
        <v>318</v>
      </c>
      <c r="Q1028" s="4" t="s">
        <v>1049</v>
      </c>
      <c r="R1028" s="289" t="s">
        <v>1988</v>
      </c>
      <c r="T1028" s="289">
        <v>1</v>
      </c>
      <c r="U1028">
        <v>31.4</v>
      </c>
      <c r="V1028" s="95"/>
      <c r="W1028" s="95">
        <f t="shared" si="857"/>
        <v>3.0818055043806808E-3</v>
      </c>
      <c r="X1028" s="183">
        <f t="shared" si="858"/>
        <v>-2.5111947734824946</v>
      </c>
      <c r="Y1028">
        <v>1.43E-11</v>
      </c>
      <c r="Z1028" s="95">
        <f t="shared" si="852"/>
        <v>-10.844663962534938</v>
      </c>
      <c r="AA1028" s="95">
        <f t="shared" si="859"/>
        <v>4.4069818712643736E-14</v>
      </c>
      <c r="AB1028" s="95">
        <f t="shared" si="860"/>
        <v>-13.355858736017433</v>
      </c>
      <c r="AC1028" s="95"/>
      <c r="AD1028" s="95"/>
      <c r="AG1028" s="138"/>
      <c r="BW1028" s="138"/>
      <c r="DG1028" s="138"/>
    </row>
    <row r="1029" spans="1:167" ht="12.75" customHeight="1" x14ac:dyDescent="0.2">
      <c r="A1029">
        <v>983</v>
      </c>
      <c r="B1029" s="4" t="s">
        <v>1936</v>
      </c>
      <c r="C1029" s="4"/>
      <c r="D1029" s="4" t="s">
        <v>540</v>
      </c>
      <c r="E1029" s="4">
        <v>405</v>
      </c>
      <c r="F1029" t="str">
        <f>VLOOKUP(E1029,CompDbase!B:L,4,FALSE)</f>
        <v>Trichloroethylene</v>
      </c>
      <c r="G1029" s="95" t="str">
        <f>VLOOKUP(E1029,CompDbase!B:M,12,FALSE)</f>
        <v>ClAlk</v>
      </c>
      <c r="H1029" s="95">
        <f>VLOOKUP(E1029,CompDbase!B:L,8,FALSE)</f>
        <v>131.4</v>
      </c>
      <c r="I1029" s="95" t="e">
        <f>VLOOKUP(E1029,CompDbase!B:L,11,FALSE)</f>
        <v>#DIV/0!</v>
      </c>
      <c r="J1029" s="95">
        <f>VLOOKUP(E1029,CompDbase!B:L,9,FALSE)</f>
        <v>1164.8441611748488</v>
      </c>
      <c r="K1029" s="95">
        <f>VLOOKUP(E1029,CompDbase!B:L,10,FALSE)</f>
        <v>2.61</v>
      </c>
      <c r="L1029" s="4" t="s">
        <v>717</v>
      </c>
      <c r="M1029" s="423"/>
      <c r="N1029" s="423"/>
      <c r="O1029" s="4" t="s">
        <v>1044</v>
      </c>
      <c r="P1029" s="1">
        <v>318</v>
      </c>
      <c r="Q1029" s="4" t="s">
        <v>1049</v>
      </c>
      <c r="R1029" s="289" t="s">
        <v>1988</v>
      </c>
      <c r="T1029" s="289">
        <v>1</v>
      </c>
      <c r="U1029">
        <v>167</v>
      </c>
      <c r="V1029" s="95"/>
      <c r="W1029" s="95">
        <f t="shared" si="857"/>
        <v>0.14336681726726919</v>
      </c>
      <c r="X1029" s="183">
        <f t="shared" si="858"/>
        <v>-0.84355135595787734</v>
      </c>
      <c r="Y1029">
        <v>3.1299999999999998E-11</v>
      </c>
      <c r="Z1029" s="95">
        <f t="shared" si="852"/>
        <v>-10.504455662453552</v>
      </c>
      <c r="AA1029" s="95">
        <f t="shared" si="859"/>
        <v>4.487381380465525E-12</v>
      </c>
      <c r="AB1029" s="95">
        <f t="shared" si="860"/>
        <v>-11.34800701841143</v>
      </c>
      <c r="AC1029" s="95"/>
      <c r="AD1029" s="95"/>
      <c r="AG1029" s="138"/>
      <c r="BW1029" s="138"/>
      <c r="DG1029" s="138"/>
    </row>
    <row r="1030" spans="1:167" ht="12.75" customHeight="1" x14ac:dyDescent="0.2">
      <c r="A1030">
        <v>984</v>
      </c>
      <c r="B1030" s="4" t="s">
        <v>1936</v>
      </c>
      <c r="C1030" s="4"/>
      <c r="D1030" s="4" t="s">
        <v>540</v>
      </c>
      <c r="E1030" s="4">
        <v>405</v>
      </c>
      <c r="F1030" t="str">
        <f>VLOOKUP(E1030,CompDbase!B:L,4,FALSE)</f>
        <v>Trichloroethylene</v>
      </c>
      <c r="G1030" s="95" t="str">
        <f>VLOOKUP(E1030,CompDbase!B:M,12,FALSE)</f>
        <v>ClAlk</v>
      </c>
      <c r="H1030" s="95">
        <f>VLOOKUP(E1030,CompDbase!B:L,8,FALSE)</f>
        <v>131.4</v>
      </c>
      <c r="I1030" s="95" t="e">
        <f>VLOOKUP(E1030,CompDbase!B:L,11,FALSE)</f>
        <v>#DIV/0!</v>
      </c>
      <c r="J1030" s="95">
        <f>VLOOKUP(E1030,CompDbase!B:L,9,FALSE)</f>
        <v>1164.8441611748488</v>
      </c>
      <c r="K1030" s="95">
        <f>VLOOKUP(E1030,CompDbase!B:L,10,FALSE)</f>
        <v>2.61</v>
      </c>
      <c r="L1030" s="4" t="s">
        <v>717</v>
      </c>
      <c r="M1030" s="423"/>
      <c r="N1030" s="423"/>
      <c r="O1030" s="4" t="s">
        <v>1082</v>
      </c>
      <c r="P1030" s="1">
        <v>318</v>
      </c>
      <c r="Q1030" s="4" t="s">
        <v>1049</v>
      </c>
      <c r="R1030" s="289" t="s">
        <v>1988</v>
      </c>
      <c r="T1030" s="289">
        <v>1</v>
      </c>
      <c r="U1030">
        <v>211.9</v>
      </c>
      <c r="V1030" s="95"/>
      <c r="W1030" s="95">
        <f t="shared" si="857"/>
        <v>0.18191274598164275</v>
      </c>
      <c r="X1030" s="183">
        <f t="shared" si="858"/>
        <v>-0.74013687039466602</v>
      </c>
      <c r="Y1030">
        <v>2.29E-11</v>
      </c>
      <c r="Z1030" s="95">
        <f t="shared" si="852"/>
        <v>-10.640164517660113</v>
      </c>
      <c r="AA1030" s="95">
        <f t="shared" si="859"/>
        <v>4.1658018829796193E-12</v>
      </c>
      <c r="AB1030" s="95">
        <f t="shared" si="860"/>
        <v>-11.380301388054779</v>
      </c>
      <c r="AC1030" s="95"/>
      <c r="AD1030" s="95"/>
      <c r="AG1030" s="138"/>
      <c r="BW1030" s="138"/>
      <c r="DG1030" s="138"/>
    </row>
    <row r="1031" spans="1:167" ht="12.75" customHeight="1" x14ac:dyDescent="0.2">
      <c r="A1031">
        <v>985</v>
      </c>
      <c r="B1031" s="4" t="s">
        <v>1938</v>
      </c>
      <c r="C1031" s="4"/>
      <c r="D1031" s="4" t="s">
        <v>509</v>
      </c>
      <c r="E1031" s="4">
        <v>-1302</v>
      </c>
      <c r="F1031" t="str">
        <f>VLOOKUP(E1031,CompDbase!B:L,4,FALSE)</f>
        <v>Cyclohexane</v>
      </c>
      <c r="G1031" s="95" t="str">
        <f>VLOOKUP(E1031,CompDbase!B:M,12,FALSE)</f>
        <v>Alk</v>
      </c>
      <c r="H1031" s="95">
        <f>VLOOKUP(E1031,CompDbase!B:L,8,FALSE)</f>
        <v>84.16</v>
      </c>
      <c r="I1031" s="95">
        <f>VLOOKUP(E1031,CompDbase!B:L,11,FALSE)</f>
        <v>104.7</v>
      </c>
      <c r="J1031" s="95">
        <f>VLOOKUP(E1031,CompDbase!B:L,9,FALSE)</f>
        <v>49</v>
      </c>
      <c r="K1031" s="95">
        <f>VLOOKUP(E1031,CompDbase!B:L,10,FALSE)</f>
        <v>3.48</v>
      </c>
      <c r="L1031" s="4" t="s">
        <v>717</v>
      </c>
      <c r="M1031" s="423"/>
      <c r="N1031" s="423">
        <v>948000</v>
      </c>
      <c r="O1031" s="4" t="s">
        <v>1044</v>
      </c>
      <c r="P1031" s="1">
        <v>323</v>
      </c>
      <c r="Q1031" s="4" t="s">
        <v>1049</v>
      </c>
      <c r="R1031" s="289" t="s">
        <v>1988</v>
      </c>
      <c r="S1031" s="4"/>
      <c r="T1031" s="289">
        <v>1</v>
      </c>
      <c r="V1031">
        <v>0.05</v>
      </c>
      <c r="W1031" s="95"/>
      <c r="X1031" s="190"/>
      <c r="Y1031">
        <v>2.8999999999999998E-12</v>
      </c>
      <c r="Z1031" s="95">
        <f t="shared" si="852"/>
        <v>-11.537602002101044</v>
      </c>
      <c r="AA1031" s="95"/>
      <c r="AB1031" s="190"/>
      <c r="AC1031" s="190"/>
      <c r="AD1031" s="190"/>
      <c r="AG1031" s="138"/>
      <c r="BW1031" s="138"/>
      <c r="DG1031" s="138"/>
    </row>
    <row r="1032" spans="1:167" s="9" customFormat="1" ht="12.75" customHeight="1" x14ac:dyDescent="0.2">
      <c r="A1032">
        <v>986</v>
      </c>
      <c r="B1032" s="10" t="s">
        <v>1938</v>
      </c>
      <c r="C1032" s="10"/>
      <c r="D1032" s="10" t="s">
        <v>505</v>
      </c>
      <c r="E1032" s="9">
        <v>-402</v>
      </c>
      <c r="F1032" s="9" t="str">
        <f>VLOOKUP(E1032,CompDbase!B:L,4,FALSE)</f>
        <v>Dichloromethane</v>
      </c>
      <c r="G1032" s="181" t="str">
        <f>VLOOKUP(E1032,CompDbase!B:M,12,FALSE)</f>
        <v>ClAlk</v>
      </c>
      <c r="H1032" s="181">
        <f>VLOOKUP(E1032,CompDbase!B:L,8,FALSE)</f>
        <v>84.93</v>
      </c>
      <c r="I1032" s="181">
        <f>VLOOKUP(E1032,CompDbase!B:L,11,FALSE)</f>
        <v>64.5</v>
      </c>
      <c r="J1032" s="181">
        <f>VLOOKUP(E1032,CompDbase!B:L,9,FALSE)</f>
        <v>20000</v>
      </c>
      <c r="K1032" s="181">
        <f>VLOOKUP(E1032,CompDbase!B:L,10,FALSE)</f>
        <v>1.25</v>
      </c>
      <c r="L1032" s="10" t="s">
        <v>717</v>
      </c>
      <c r="M1032" s="425"/>
      <c r="N1032" s="425">
        <v>948000</v>
      </c>
      <c r="O1032" s="10" t="s">
        <v>1044</v>
      </c>
      <c r="P1032" s="412">
        <v>323</v>
      </c>
      <c r="Q1032" s="10" t="s">
        <v>1049</v>
      </c>
      <c r="R1032" s="393" t="s">
        <v>1988</v>
      </c>
      <c r="S1032" s="10"/>
      <c r="T1032" s="289">
        <v>1</v>
      </c>
      <c r="W1032" s="181"/>
      <c r="X1032" s="189"/>
      <c r="Z1032" s="181"/>
      <c r="AA1032" s="181"/>
      <c r="AB1032" s="189"/>
      <c r="AC1032" s="189"/>
      <c r="AD1032" s="189"/>
      <c r="AF1032"/>
      <c r="AG1032" s="138"/>
      <c r="AH1032"/>
      <c r="BW1032" s="138"/>
      <c r="BX1032"/>
      <c r="DF1032"/>
      <c r="DG1032" s="138"/>
      <c r="DH1032"/>
      <c r="DP1032"/>
      <c r="FG1032" s="476"/>
      <c r="FH1032" s="478"/>
      <c r="FI1032" s="478"/>
      <c r="FJ1032" s="478"/>
      <c r="FK1032" s="478"/>
    </row>
    <row r="1033" spans="1:167" ht="12.75" customHeight="1" x14ac:dyDescent="0.2">
      <c r="A1033">
        <v>987</v>
      </c>
      <c r="B1033" s="4" t="s">
        <v>1938</v>
      </c>
      <c r="C1033" s="4"/>
      <c r="D1033" s="4" t="s">
        <v>506</v>
      </c>
      <c r="E1033" s="4">
        <v>400</v>
      </c>
      <c r="F1033" t="str">
        <f>VLOOKUP(E1033,CompDbase!B:L,4,FALSE)</f>
        <v>1,2-Dichloroethane</v>
      </c>
      <c r="G1033" s="95" t="str">
        <f>VLOOKUP(E1033,CompDbase!B:M,12,FALSE)</f>
        <v>ClAlk</v>
      </c>
      <c r="H1033" s="95">
        <f>VLOOKUP(E1033,CompDbase!B:L,8,FALSE)</f>
        <v>98.973331537275584</v>
      </c>
      <c r="I1033" s="95">
        <f>VLOOKUP(E1033,CompDbase!B:L,11,FALSE)</f>
        <v>79.400000000000006</v>
      </c>
      <c r="J1033" s="95">
        <f>VLOOKUP(E1033,CompDbase!B:L,9,FALSE)</f>
        <v>10188.832473485421</v>
      </c>
      <c r="K1033" s="95">
        <f>VLOOKUP(E1033,CompDbase!B:L,10,FALSE)</f>
        <v>1.47</v>
      </c>
      <c r="L1033" s="4" t="s">
        <v>717</v>
      </c>
      <c r="M1033" s="423"/>
      <c r="N1033" s="416">
        <v>948000</v>
      </c>
      <c r="O1033" s="4" t="s">
        <v>1044</v>
      </c>
      <c r="P1033" s="1">
        <v>323</v>
      </c>
      <c r="Q1033" s="4" t="s">
        <v>1049</v>
      </c>
      <c r="R1033" s="289" t="s">
        <v>1988</v>
      </c>
      <c r="S1033" s="4"/>
      <c r="T1033" s="289">
        <v>1</v>
      </c>
      <c r="V1033">
        <v>0.09</v>
      </c>
      <c r="W1033" s="95"/>
      <c r="X1033" s="190"/>
      <c r="Y1033">
        <v>1.4899999999999998E-11</v>
      </c>
      <c r="Z1033" s="95">
        <f t="shared" ref="Z1033:Z1042" si="861">LOG(Y1033)</f>
        <v>-10.826813731587727</v>
      </c>
      <c r="AA1033" s="95"/>
      <c r="AB1033" s="190"/>
      <c r="AC1033" s="190"/>
      <c r="AD1033" s="190"/>
      <c r="AG1033" s="138"/>
      <c r="BW1033" s="138"/>
      <c r="DG1033" s="138"/>
    </row>
    <row r="1034" spans="1:167" ht="12.75" customHeight="1" x14ac:dyDescent="0.2">
      <c r="A1034">
        <v>988</v>
      </c>
      <c r="B1034" s="4" t="s">
        <v>1938</v>
      </c>
      <c r="C1034" s="4"/>
      <c r="D1034" s="4" t="s">
        <v>504</v>
      </c>
      <c r="E1034" s="4">
        <v>-1531</v>
      </c>
      <c r="F1034" t="str">
        <f>VLOOKUP(E1034,CompDbase!B:L,4,FALSE)</f>
        <v>1-Chloronaphthalene</v>
      </c>
      <c r="G1034" s="95" t="str">
        <f>VLOOKUP(E1034,CompDbase!B:M,12,FALSE)</f>
        <v>ClArom</v>
      </c>
      <c r="H1034" s="95">
        <f>VLOOKUP(E1034,CompDbase!B:L,8,FALSE)</f>
        <v>162.62</v>
      </c>
      <c r="I1034" s="95">
        <f>VLOOKUP(E1034,CompDbase!B:L,11,FALSE)</f>
        <v>137.69999999999999</v>
      </c>
      <c r="J1034" s="95">
        <f>VLOOKUP(E1034,CompDbase!B:L,9,FALSE)</f>
        <v>17.399999999999999</v>
      </c>
      <c r="K1034" s="95">
        <f>VLOOKUP(E1034,CompDbase!B:L,10,FALSE)</f>
        <v>4</v>
      </c>
      <c r="L1034" s="4" t="s">
        <v>717</v>
      </c>
      <c r="M1034" s="423"/>
      <c r="N1034" s="416">
        <v>948000</v>
      </c>
      <c r="O1034" s="4" t="s">
        <v>1044</v>
      </c>
      <c r="P1034" s="1">
        <v>323</v>
      </c>
      <c r="Q1034" s="4" t="s">
        <v>1049</v>
      </c>
      <c r="R1034" s="289" t="s">
        <v>1988</v>
      </c>
      <c r="S1034" s="4"/>
      <c r="T1034" s="289">
        <v>1</v>
      </c>
      <c r="V1034">
        <v>0.09</v>
      </c>
      <c r="W1034" s="95"/>
      <c r="X1034" s="190"/>
      <c r="Y1034">
        <v>4.2999999999999999E-12</v>
      </c>
      <c r="Z1034" s="95">
        <f t="shared" si="861"/>
        <v>-11.366531544420413</v>
      </c>
      <c r="AA1034" s="95"/>
      <c r="AB1034" s="190"/>
      <c r="AC1034" s="190"/>
      <c r="AD1034" s="190"/>
      <c r="AG1034" s="138"/>
      <c r="BW1034" s="138"/>
      <c r="DG1034" s="138"/>
    </row>
    <row r="1035" spans="1:167" ht="12.75" customHeight="1" x14ac:dyDescent="0.2">
      <c r="A1035">
        <v>989</v>
      </c>
      <c r="B1035" s="4" t="s">
        <v>1938</v>
      </c>
      <c r="C1035" s="4"/>
      <c r="D1035" s="4" t="s">
        <v>503</v>
      </c>
      <c r="E1035" s="4">
        <v>-1530</v>
      </c>
      <c r="F1035" t="str">
        <f>VLOOKUP(E1035,CompDbase!B:L,4,FALSE)</f>
        <v>Chlorobenzene</v>
      </c>
      <c r="G1035" s="95" t="str">
        <f>VLOOKUP(E1035,CompDbase!B:M,12,FALSE)</f>
        <v>ClArom</v>
      </c>
      <c r="H1035" s="95">
        <f>VLOOKUP(E1035,CompDbase!B:L,8,FALSE)</f>
        <v>112.56</v>
      </c>
      <c r="I1035" s="95">
        <f>VLOOKUP(E1035,CompDbase!B:L,11,FALSE)</f>
        <v>102.2</v>
      </c>
      <c r="J1035" s="95">
        <f>VLOOKUP(E1035,CompDbase!B:L,9,FALSE)</f>
        <v>498</v>
      </c>
      <c r="K1035" s="95">
        <f>VLOOKUP(E1035,CompDbase!B:L,10,FALSE)</f>
        <v>2.84</v>
      </c>
      <c r="L1035" s="4" t="s">
        <v>717</v>
      </c>
      <c r="M1035" s="423"/>
      <c r="N1035" s="416">
        <v>948000</v>
      </c>
      <c r="O1035" s="4" t="s">
        <v>1044</v>
      </c>
      <c r="P1035" s="1">
        <v>323</v>
      </c>
      <c r="Q1035" s="4" t="s">
        <v>1049</v>
      </c>
      <c r="R1035" s="289" t="s">
        <v>1988</v>
      </c>
      <c r="S1035" s="4"/>
      <c r="T1035" s="289">
        <v>1</v>
      </c>
      <c r="V1035">
        <v>0.16</v>
      </c>
      <c r="W1035" s="95"/>
      <c r="X1035" s="190"/>
      <c r="Y1035">
        <v>1.5900000000000001E-11</v>
      </c>
      <c r="Z1035" s="95">
        <f t="shared" si="861"/>
        <v>-10.798602875679549</v>
      </c>
      <c r="AA1035" s="95"/>
      <c r="AB1035" s="190"/>
      <c r="AC1035" s="190"/>
      <c r="AD1035" s="190"/>
      <c r="AG1035" s="138"/>
      <c r="BW1035" s="138"/>
      <c r="DG1035" s="138"/>
    </row>
    <row r="1036" spans="1:167" ht="12.75" customHeight="1" x14ac:dyDescent="0.2">
      <c r="A1036">
        <v>990</v>
      </c>
      <c r="B1036" s="4" t="s">
        <v>1938</v>
      </c>
      <c r="C1036" s="4"/>
      <c r="D1036" s="4" t="s">
        <v>501</v>
      </c>
      <c r="E1036" s="4">
        <v>-1528</v>
      </c>
      <c r="F1036" t="str">
        <f>VLOOKUP(E1036,CompDbase!B:L,4,FALSE)</f>
        <v>1,2,3-Trimethylbenzene</v>
      </c>
      <c r="G1036" s="95" t="str">
        <f>VLOOKUP(E1036,CompDbase!B:M,12,FALSE)</f>
        <v>MAK</v>
      </c>
      <c r="H1036" s="95">
        <f>VLOOKUP(E1036,CompDbase!B:L,8,FALSE)</f>
        <v>120.19</v>
      </c>
      <c r="I1036" s="95">
        <f>VLOOKUP(E1036,CompDbase!B:L,11,FALSE)</f>
        <v>139.6</v>
      </c>
      <c r="J1036" s="95">
        <f>VLOOKUP(E1036,CompDbase!B:L,9,FALSE)</f>
        <v>75</v>
      </c>
      <c r="K1036" s="95">
        <f>VLOOKUP(E1036,CompDbase!B:L,10,FALSE)</f>
        <v>3.6</v>
      </c>
      <c r="L1036" s="4" t="s">
        <v>717</v>
      </c>
      <c r="M1036" s="423"/>
      <c r="N1036" s="423">
        <v>948000</v>
      </c>
      <c r="O1036" s="4" t="s">
        <v>1044</v>
      </c>
      <c r="P1036" s="1">
        <v>323</v>
      </c>
      <c r="Q1036" s="4" t="s">
        <v>1049</v>
      </c>
      <c r="R1036" s="289" t="s">
        <v>1988</v>
      </c>
      <c r="S1036" s="4"/>
      <c r="T1036" s="289">
        <v>1</v>
      </c>
      <c r="V1036">
        <v>0.12</v>
      </c>
      <c r="W1036" s="95"/>
      <c r="X1036" s="190"/>
      <c r="Y1036">
        <v>1.1699999999999999E-11</v>
      </c>
      <c r="Z1036" s="95">
        <f t="shared" si="861"/>
        <v>-10.931814138253838</v>
      </c>
      <c r="AA1036" s="95"/>
      <c r="AB1036" s="190"/>
      <c r="AC1036" s="190"/>
      <c r="AD1036" s="190"/>
      <c r="AG1036" s="138"/>
      <c r="BW1036" s="138"/>
      <c r="DG1036" s="138"/>
    </row>
    <row r="1037" spans="1:167" ht="12.75" customHeight="1" x14ac:dyDescent="0.2">
      <c r="A1037">
        <v>991</v>
      </c>
      <c r="B1037" s="4" t="s">
        <v>1938</v>
      </c>
      <c r="C1037" s="4"/>
      <c r="D1037" s="4" t="s">
        <v>548</v>
      </c>
      <c r="E1037" s="4">
        <v>200</v>
      </c>
      <c r="F1037" t="str">
        <f>VLOOKUP(E1037,CompDbase!B:L,4,FALSE)</f>
        <v>Benzene</v>
      </c>
      <c r="G1037" s="95" t="str">
        <f>VLOOKUP(E1037,CompDbase!B:M,12,FALSE)</f>
        <v>MAK</v>
      </c>
      <c r="H1037" s="95">
        <f>VLOOKUP(E1037,CompDbase!B:L,8,FALSE)</f>
        <v>78.106666524406961</v>
      </c>
      <c r="I1037" s="95">
        <f>VLOOKUP(E1037,CompDbase!B:L,11,FALSE)</f>
        <v>89.4</v>
      </c>
      <c r="J1037" s="95">
        <f>VLOOKUP(E1037,CompDbase!B:L,9,FALSE)</f>
        <v>1988.89882593368</v>
      </c>
      <c r="K1037" s="95">
        <f>VLOOKUP(E1037,CompDbase!B:L,10,FALSE)</f>
        <v>2.13</v>
      </c>
      <c r="L1037" s="4" t="s">
        <v>717</v>
      </c>
      <c r="M1037" s="423"/>
      <c r="N1037" s="423">
        <v>948000</v>
      </c>
      <c r="O1037" s="4" t="s">
        <v>1044</v>
      </c>
      <c r="P1037" s="1">
        <v>323</v>
      </c>
      <c r="Q1037" s="4" t="s">
        <v>1049</v>
      </c>
      <c r="R1037" s="289" t="s">
        <v>1988</v>
      </c>
      <c r="S1037" s="4"/>
      <c r="T1037" s="289">
        <v>1</v>
      </c>
      <c r="V1037">
        <v>0.18</v>
      </c>
      <c r="W1037" s="95"/>
      <c r="X1037" s="190"/>
      <c r="Y1037">
        <v>1.8399999999999999E-11</v>
      </c>
      <c r="Z1037" s="95">
        <f t="shared" si="861"/>
        <v>-10.735182176990463</v>
      </c>
      <c r="AA1037" s="95"/>
      <c r="AB1037" s="190"/>
      <c r="AC1037" s="190"/>
      <c r="AD1037" s="190"/>
      <c r="AG1037" s="138"/>
      <c r="BW1037" s="138"/>
      <c r="DG1037" s="138"/>
    </row>
    <row r="1038" spans="1:167" ht="12.75" customHeight="1" x14ac:dyDescent="0.2">
      <c r="A1038">
        <v>992</v>
      </c>
      <c r="B1038" s="4" t="s">
        <v>1938</v>
      </c>
      <c r="C1038" s="4"/>
      <c r="D1038" s="4" t="s">
        <v>492</v>
      </c>
      <c r="E1038" s="4">
        <v>204</v>
      </c>
      <c r="F1038" t="str">
        <f>VLOOKUP(E1038,CompDbase!B:L,4,FALSE)</f>
        <v>Toluene</v>
      </c>
      <c r="G1038" s="95" t="str">
        <f>VLOOKUP(E1038,CompDbase!B:M,12,FALSE)</f>
        <v>MAK</v>
      </c>
      <c r="H1038" s="95">
        <f>VLOOKUP(E1038,CompDbase!B:L,8,FALSE)</f>
        <v>92.14249284505685</v>
      </c>
      <c r="I1038" s="95">
        <f>VLOOKUP(E1038,CompDbase!B:L,11,FALSE)</f>
        <v>106.9</v>
      </c>
      <c r="J1038" s="95">
        <f>VLOOKUP(E1038,CompDbase!B:L,9,FALSE)</f>
        <v>610.59105234897152</v>
      </c>
      <c r="K1038" s="95">
        <f>VLOOKUP(E1038,CompDbase!B:L,10,FALSE)</f>
        <v>2.73</v>
      </c>
      <c r="L1038" s="4" t="s">
        <v>717</v>
      </c>
      <c r="M1038" s="423"/>
      <c r="N1038" s="423">
        <v>948000</v>
      </c>
      <c r="O1038" s="4" t="s">
        <v>1044</v>
      </c>
      <c r="P1038" s="1">
        <v>323</v>
      </c>
      <c r="Q1038" s="4" t="s">
        <v>1049</v>
      </c>
      <c r="R1038" s="289" t="s">
        <v>1988</v>
      </c>
      <c r="S1038" s="4"/>
      <c r="T1038" s="289">
        <v>1</v>
      </c>
      <c r="V1038">
        <v>0.17</v>
      </c>
      <c r="W1038" s="95"/>
      <c r="X1038" s="190"/>
      <c r="Y1038">
        <v>2.3999999999999998E-11</v>
      </c>
      <c r="Z1038" s="95">
        <f t="shared" si="861"/>
        <v>-10.619788758288394</v>
      </c>
      <c r="AA1038" s="95"/>
      <c r="AB1038" s="190"/>
      <c r="AC1038" s="190"/>
      <c r="AD1038" s="190"/>
      <c r="AG1038" s="138"/>
      <c r="BW1038" s="138"/>
      <c r="DG1038" s="138"/>
    </row>
    <row r="1039" spans="1:167" s="13" customFormat="1" ht="12.75" customHeight="1" x14ac:dyDescent="0.2">
      <c r="A1039">
        <v>993</v>
      </c>
      <c r="B1039" s="14" t="s">
        <v>1938</v>
      </c>
      <c r="C1039" s="14"/>
      <c r="D1039" s="14" t="s">
        <v>493</v>
      </c>
      <c r="E1039" s="14">
        <v>219</v>
      </c>
      <c r="F1039" s="13" t="str">
        <f>VLOOKUP(E1039,CompDbase!B:L,4,FALSE)</f>
        <v>p-Xylene</v>
      </c>
      <c r="G1039" s="182" t="str">
        <f>VLOOKUP(E1039,CompDbase!B:M,12,FALSE)</f>
        <v>MAK</v>
      </c>
      <c r="H1039" s="182">
        <f>VLOOKUP(E1039,CompDbase!B:L,8,FALSE)</f>
        <v>106.18666499232586</v>
      </c>
      <c r="I1039" s="182">
        <f>VLOOKUP(E1039,CompDbase!B:L,11,FALSE)</f>
        <v>123.9</v>
      </c>
      <c r="J1039" s="182">
        <f>VLOOKUP(E1039,CompDbase!B:L,9,FALSE)</f>
        <v>210.93846155625408</v>
      </c>
      <c r="K1039" s="182">
        <f>VLOOKUP(E1039,CompDbase!B:L,10,FALSE)</f>
        <v>3.15</v>
      </c>
      <c r="L1039" s="14" t="s">
        <v>717</v>
      </c>
      <c r="M1039" s="424"/>
      <c r="N1039" s="424">
        <v>948000</v>
      </c>
      <c r="O1039" s="14" t="s">
        <v>1044</v>
      </c>
      <c r="P1039" s="413">
        <v>323</v>
      </c>
      <c r="Q1039" s="14" t="s">
        <v>1049</v>
      </c>
      <c r="R1039" s="405" t="s">
        <v>1988</v>
      </c>
      <c r="S1039" s="14"/>
      <c r="T1039" s="289">
        <v>1</v>
      </c>
      <c r="V1039" s="13">
        <v>0.15</v>
      </c>
      <c r="W1039" s="182"/>
      <c r="X1039" s="191"/>
      <c r="Y1039" s="13">
        <v>2.2799999999999998E-11</v>
      </c>
      <c r="Z1039" s="182">
        <f t="shared" si="861"/>
        <v>-10.642065152999546</v>
      </c>
      <c r="AA1039" s="182"/>
      <c r="AB1039" s="191"/>
      <c r="AC1039" s="191"/>
      <c r="AD1039" s="191"/>
      <c r="AF1039"/>
      <c r="AG1039" s="138"/>
      <c r="AH1039"/>
      <c r="BW1039" s="138"/>
      <c r="BX1039"/>
      <c r="DF1039"/>
      <c r="DG1039" s="138"/>
      <c r="DH1039"/>
      <c r="DP1039"/>
      <c r="FG1039" s="477"/>
      <c r="FH1039" s="335"/>
      <c r="FI1039" s="335"/>
      <c r="FJ1039" s="335"/>
      <c r="FK1039" s="335"/>
    </row>
    <row r="1040" spans="1:167" ht="12.75" customHeight="1" x14ac:dyDescent="0.2">
      <c r="A1040">
        <v>994</v>
      </c>
      <c r="B1040" s="4" t="s">
        <v>1938</v>
      </c>
      <c r="C1040" s="4"/>
      <c r="D1040" s="4" t="s">
        <v>510</v>
      </c>
      <c r="E1040" s="4">
        <v>-1533</v>
      </c>
      <c r="F1040" t="str">
        <f>VLOOKUP(E1040,CompDbase!B:L,4,FALSE)</f>
        <v>Butyraldehyde</v>
      </c>
      <c r="G1040" s="95" t="str">
        <f>VLOOKUP(E1040,CompDbase!B:M,12,FALSE)</f>
        <v>O2</v>
      </c>
      <c r="H1040" s="95">
        <f>VLOOKUP(E1040,CompDbase!B:L,8,FALSE)</f>
        <v>72.11</v>
      </c>
      <c r="I1040" s="95">
        <f>VLOOKUP(E1040,CompDbase!B:L,11,FALSE)</f>
        <v>89.6</v>
      </c>
      <c r="J1040" s="95">
        <f>VLOOKUP(E1040,CompDbase!B:L,9,FALSE)</f>
        <v>71000</v>
      </c>
      <c r="K1040" s="95">
        <f>VLOOKUP(E1040,CompDbase!B:L,10,FALSE)</f>
        <v>0.88</v>
      </c>
      <c r="L1040" s="4" t="s">
        <v>717</v>
      </c>
      <c r="M1040" s="423"/>
      <c r="N1040" s="423">
        <v>948000</v>
      </c>
      <c r="O1040" s="4" t="s">
        <v>1044</v>
      </c>
      <c r="P1040" s="1">
        <v>323</v>
      </c>
      <c r="Q1040" s="4" t="s">
        <v>1049</v>
      </c>
      <c r="R1040" s="289" t="s">
        <v>1988</v>
      </c>
      <c r="S1040" s="4"/>
      <c r="T1040" s="289">
        <v>1</v>
      </c>
      <c r="V1040">
        <v>0.04</v>
      </c>
      <c r="W1040" s="95"/>
      <c r="X1040" s="190"/>
      <c r="Y1040">
        <v>1.1399999999999999E-11</v>
      </c>
      <c r="Z1040" s="95">
        <f t="shared" si="861"/>
        <v>-10.943095148663527</v>
      </c>
      <c r="AA1040" s="95"/>
      <c r="AB1040" s="190"/>
      <c r="AC1040" s="190"/>
      <c r="AD1040" s="190"/>
      <c r="AG1040" s="138"/>
      <c r="BW1040" s="138"/>
      <c r="DG1040" s="138"/>
    </row>
    <row r="1041" spans="1:111" ht="12.75" customHeight="1" x14ac:dyDescent="0.2">
      <c r="A1041">
        <v>995</v>
      </c>
      <c r="B1041" s="4" t="s">
        <v>1938</v>
      </c>
      <c r="C1041" s="4"/>
      <c r="D1041" s="4" t="s">
        <v>508</v>
      </c>
      <c r="E1041" s="4">
        <v>-1532</v>
      </c>
      <c r="F1041" t="str">
        <f>VLOOKUP(E1041,CompDbase!B:L,4,FALSE)</f>
        <v>Methyl isobutyl ketone (MIBK)</v>
      </c>
      <c r="G1041" s="95" t="str">
        <f>VLOOKUP(E1041,CompDbase!B:M,12,FALSE)</f>
        <v>O2</v>
      </c>
      <c r="H1041" s="95">
        <f>VLOOKUP(E1041,CompDbase!B:L,8,FALSE)</f>
        <v>100.16</v>
      </c>
      <c r="I1041" s="95">
        <f>VLOOKUP(E1041,CompDbase!B:L,11,FALSE)</f>
        <v>125.8</v>
      </c>
      <c r="J1041" s="95">
        <f>VLOOKUP(E1041,CompDbase!B:L,9,FALSE)</f>
        <v>19000</v>
      </c>
      <c r="K1041" s="95">
        <f>VLOOKUP(E1041,CompDbase!B:L,10,FALSE)</f>
        <v>1.31</v>
      </c>
      <c r="L1041" s="4" t="s">
        <v>717</v>
      </c>
      <c r="M1041" s="423"/>
      <c r="N1041" s="423">
        <v>948000</v>
      </c>
      <c r="O1041" s="4" t="s">
        <v>1044</v>
      </c>
      <c r="P1041" s="1">
        <v>323</v>
      </c>
      <c r="Q1041" s="4" t="s">
        <v>1049</v>
      </c>
      <c r="R1041" s="289" t="s">
        <v>1988</v>
      </c>
      <c r="S1041" s="4"/>
      <c r="T1041" s="289">
        <v>1</v>
      </c>
      <c r="V1041">
        <v>0.04</v>
      </c>
      <c r="W1041" s="95"/>
      <c r="X1041" s="190"/>
      <c r="Y1041">
        <v>3.7E-12</v>
      </c>
      <c r="Z1041" s="95">
        <f t="shared" si="861"/>
        <v>-11.431798275933005</v>
      </c>
      <c r="AA1041" s="95"/>
      <c r="AB1041" s="190"/>
      <c r="AC1041" s="190"/>
      <c r="AD1041" s="190"/>
      <c r="AG1041" s="138"/>
      <c r="BW1041" s="138"/>
      <c r="DG1041" s="138"/>
    </row>
    <row r="1042" spans="1:111" ht="12.75" customHeight="1" x14ac:dyDescent="0.2">
      <c r="A1042">
        <v>996</v>
      </c>
      <c r="B1042" s="4" t="s">
        <v>1938</v>
      </c>
      <c r="C1042" s="4"/>
      <c r="D1042" s="4" t="s">
        <v>502</v>
      </c>
      <c r="E1042" s="4">
        <v>-1529</v>
      </c>
      <c r="F1042" t="str">
        <f>VLOOKUP(E1042,CompDbase!B:L,4,FALSE)</f>
        <v>Methoxybenzene</v>
      </c>
      <c r="G1042" s="95" t="str">
        <f>VLOOKUP(E1042,CompDbase!B:M,12,FALSE)</f>
        <v>O2</v>
      </c>
      <c r="H1042" s="95">
        <f>VLOOKUP(E1042,CompDbase!B:L,8,FALSE)</f>
        <v>108.14</v>
      </c>
      <c r="I1042" s="95">
        <f>VLOOKUP(E1042,CompDbase!B:L,11,FALSE)</f>
        <v>109.3</v>
      </c>
      <c r="J1042" s="95">
        <f>VLOOKUP(E1042,CompDbase!B:L,9,FALSE)</f>
        <v>1741</v>
      </c>
      <c r="K1042" s="95">
        <f>VLOOKUP(E1042,CompDbase!B:L,10,FALSE)</f>
        <v>2.11</v>
      </c>
      <c r="L1042" s="4" t="s">
        <v>717</v>
      </c>
      <c r="M1042" s="423"/>
      <c r="N1042" s="423">
        <v>948000</v>
      </c>
      <c r="O1042" s="4" t="s">
        <v>1044</v>
      </c>
      <c r="P1042" s="1">
        <v>323</v>
      </c>
      <c r="Q1042" s="4" t="s">
        <v>1049</v>
      </c>
      <c r="R1042" s="289" t="s">
        <v>1988</v>
      </c>
      <c r="S1042" s="4"/>
      <c r="T1042" s="289">
        <v>1</v>
      </c>
      <c r="V1042">
        <v>0.08</v>
      </c>
      <c r="W1042" s="95"/>
      <c r="X1042" s="190"/>
      <c r="Y1042">
        <v>9.3999999999999995E-12</v>
      </c>
      <c r="Z1042" s="95">
        <f t="shared" si="861"/>
        <v>-11.026872146400301</v>
      </c>
      <c r="AA1042" s="95"/>
      <c r="AB1042" s="190"/>
      <c r="AC1042" s="190"/>
      <c r="AD1042" s="190"/>
      <c r="AG1042" s="138"/>
      <c r="BW1042" s="138"/>
      <c r="DG1042" s="138"/>
    </row>
    <row r="1043" spans="1:111" ht="12.75" customHeight="1" x14ac:dyDescent="0.2">
      <c r="A1043">
        <v>997</v>
      </c>
      <c r="B1043" s="4" t="s">
        <v>1938</v>
      </c>
      <c r="C1043" s="4"/>
      <c r="D1043" s="4" t="s">
        <v>448</v>
      </c>
      <c r="E1043" s="4">
        <v>-1507</v>
      </c>
      <c r="F1043" t="str">
        <f>VLOOKUP(E1043,CompDbase!B:L,4,FALSE)</f>
        <v>Acetone</v>
      </c>
      <c r="G1043" s="95" t="str">
        <f>VLOOKUP(E1043,CompDbase!B:M,12,FALSE)</f>
        <v>O2</v>
      </c>
      <c r="H1043" s="95">
        <f>VLOOKUP(E1043,CompDbase!B:L,8,FALSE)</f>
        <v>58.08</v>
      </c>
      <c r="I1043" s="95">
        <f>VLOOKUP(E1043,CompDbase!B:L,11,FALSE)</f>
        <v>74</v>
      </c>
      <c r="J1043" s="95">
        <f>VLOOKUP(E1043,CompDbase!B:L,9,FALSE)</f>
        <v>790000</v>
      </c>
      <c r="K1043" s="95">
        <f>VLOOKUP(E1043,CompDbase!B:L,10,FALSE)</f>
        <v>-0.24</v>
      </c>
      <c r="L1043" s="4" t="s">
        <v>717</v>
      </c>
      <c r="M1043" s="423"/>
      <c r="N1043" s="416">
        <v>948000</v>
      </c>
      <c r="O1043" s="4" t="s">
        <v>1044</v>
      </c>
      <c r="P1043" s="1">
        <v>323</v>
      </c>
      <c r="Q1043" s="4" t="s">
        <v>1049</v>
      </c>
      <c r="R1043" s="289" t="s">
        <v>1988</v>
      </c>
      <c r="S1043" s="4"/>
      <c r="T1043" s="289">
        <v>1</v>
      </c>
      <c r="W1043" s="95"/>
      <c r="X1043" s="190"/>
      <c r="Z1043" s="95"/>
      <c r="AA1043" s="95"/>
      <c r="AB1043" s="190"/>
      <c r="AC1043" s="190"/>
      <c r="AD1043" s="190"/>
      <c r="AG1043" s="138"/>
      <c r="BW1043" s="138"/>
      <c r="DG1043" s="138"/>
    </row>
    <row r="1044" spans="1:111" ht="12.75" customHeight="1" x14ac:dyDescent="0.2">
      <c r="A1044">
        <v>998</v>
      </c>
      <c r="B1044" s="4" t="s">
        <v>1938</v>
      </c>
      <c r="C1044" s="4"/>
      <c r="D1044" s="4" t="s">
        <v>507</v>
      </c>
      <c r="E1044" s="4">
        <v>1093</v>
      </c>
      <c r="F1044" t="str">
        <f>VLOOKUP(E1044,CompDbase!B:L,4,FALSE)</f>
        <v>2-Butanone</v>
      </c>
      <c r="G1044" s="95" t="str">
        <f>VLOOKUP(E1044,CompDbase!B:M,12,FALSE)</f>
        <v>O2</v>
      </c>
      <c r="H1044" s="95">
        <f>VLOOKUP(E1044,CompDbase!B:L,8,FALSE)</f>
        <v>72</v>
      </c>
      <c r="I1044" s="95">
        <f>VLOOKUP(E1044,CompDbase!B:L,11,FALSE)</f>
        <v>90.2</v>
      </c>
      <c r="J1044" s="95">
        <f>VLOOKUP(E1044,CompDbase!B:L,9,FALSE)</f>
        <v>352800</v>
      </c>
      <c r="K1044" s="95">
        <f>VLOOKUP(E1044,CompDbase!B:L,10,FALSE)</f>
        <v>0.27549999999999997</v>
      </c>
      <c r="L1044" s="4" t="s">
        <v>717</v>
      </c>
      <c r="M1044" s="423"/>
      <c r="N1044" s="416">
        <v>948000</v>
      </c>
      <c r="O1044" s="4" t="s">
        <v>1044</v>
      </c>
      <c r="P1044" s="1">
        <v>323</v>
      </c>
      <c r="Q1044" s="4" t="s">
        <v>1049</v>
      </c>
      <c r="R1044" s="289" t="s">
        <v>1988</v>
      </c>
      <c r="S1044" s="4"/>
      <c r="T1044" s="289">
        <v>1</v>
      </c>
      <c r="V1044">
        <v>0.04</v>
      </c>
      <c r="W1044" s="95"/>
      <c r="X1044" s="190"/>
      <c r="Y1044">
        <v>7.3E-12</v>
      </c>
      <c r="Z1044" s="95">
        <f t="shared" ref="Z1044:Z1055" si="862">LOG(Y1044)</f>
        <v>-11.136677139879543</v>
      </c>
      <c r="AA1044" s="95"/>
      <c r="AB1044" s="190"/>
      <c r="AC1044" s="190"/>
      <c r="AD1044" s="190"/>
      <c r="AG1044" s="138"/>
      <c r="BW1044" s="138"/>
      <c r="DG1044" s="138"/>
    </row>
    <row r="1045" spans="1:111" ht="12.75" customHeight="1" x14ac:dyDescent="0.2">
      <c r="A1045">
        <v>999</v>
      </c>
      <c r="B1045" s="4" t="s">
        <v>1935</v>
      </c>
      <c r="C1045" s="4"/>
      <c r="D1045" s="4" t="s">
        <v>1476</v>
      </c>
      <c r="E1045" s="4">
        <v>-1804</v>
      </c>
      <c r="F1045" t="str">
        <f>VLOOKUP(E1045,CompDbase!B:L,4,FALSE)</f>
        <v>UV10</v>
      </c>
      <c r="G1045" s="95" t="str">
        <f>VLOOKUP(E1045,CompDbase!B:M,12,FALSE)</f>
        <v>overige</v>
      </c>
      <c r="H1045" s="95">
        <f>VLOOKUP(E1045,CompDbase!B:L,8,FALSE)</f>
        <v>585</v>
      </c>
      <c r="I1045" s="95" t="e">
        <f>VLOOKUP(E1045,CompDbase!B:L,11,FALSE)</f>
        <v>#DIV/0!</v>
      </c>
      <c r="J1045" s="95" t="e">
        <f>VLOOKUP(E1045,CompDbase!B:L,9,FALSE)</f>
        <v>#DIV/0!</v>
      </c>
      <c r="K1045" s="95" t="e">
        <f>VLOOKUP(E1045,CompDbase!B:L,10,FALSE)</f>
        <v>#DIV/0!</v>
      </c>
      <c r="L1045" s="4" t="s">
        <v>769</v>
      </c>
      <c r="M1045" s="423"/>
      <c r="N1045" s="423"/>
      <c r="O1045" s="4" t="s">
        <v>1740</v>
      </c>
      <c r="P1045" s="1">
        <v>333</v>
      </c>
      <c r="Q1045" s="4" t="s">
        <v>1049</v>
      </c>
      <c r="S1045" s="4"/>
      <c r="T1045" s="95"/>
      <c r="V1045">
        <v>1.25E-3</v>
      </c>
      <c r="Y1045">
        <v>6.4000000000000005E-14</v>
      </c>
      <c r="Z1045" s="95">
        <f t="shared" si="862"/>
        <v>-13.193820026016112</v>
      </c>
      <c r="AG1045" s="138"/>
      <c r="BW1045" s="138"/>
      <c r="DG1045" s="138"/>
    </row>
    <row r="1046" spans="1:111" ht="12.75" customHeight="1" x14ac:dyDescent="0.2">
      <c r="A1046">
        <v>1000</v>
      </c>
      <c r="B1046" s="4" t="s">
        <v>1935</v>
      </c>
      <c r="C1046" s="4"/>
      <c r="D1046" s="4" t="s">
        <v>1475</v>
      </c>
      <c r="E1046" s="4">
        <v>-1803</v>
      </c>
      <c r="F1046" t="str">
        <f>VLOOKUP(E1046,CompDbase!B:L,4,FALSE)</f>
        <v>UV9</v>
      </c>
      <c r="G1046" s="95" t="str">
        <f>VLOOKUP(E1046,CompDbase!B:M,12,FALSE)</f>
        <v>overige</v>
      </c>
      <c r="H1046" s="95">
        <f>VLOOKUP(E1046,CompDbase!B:L,8,FALSE)</f>
        <v>551</v>
      </c>
      <c r="I1046" s="95" t="e">
        <f>VLOOKUP(E1046,CompDbase!B:L,11,FALSE)</f>
        <v>#DIV/0!</v>
      </c>
      <c r="J1046" s="95" t="e">
        <f>VLOOKUP(E1046,CompDbase!B:L,9,FALSE)</f>
        <v>#DIV/0!</v>
      </c>
      <c r="K1046" s="95" t="e">
        <f>VLOOKUP(E1046,CompDbase!B:L,10,FALSE)</f>
        <v>#DIV/0!</v>
      </c>
      <c r="L1046" s="4" t="s">
        <v>769</v>
      </c>
      <c r="M1046" s="423"/>
      <c r="N1046" s="423"/>
      <c r="O1046" s="4" t="s">
        <v>1740</v>
      </c>
      <c r="P1046" s="1">
        <v>333</v>
      </c>
      <c r="Q1046" s="4" t="s">
        <v>1049</v>
      </c>
      <c r="S1046" s="4"/>
      <c r="T1046" s="95"/>
      <c r="V1046">
        <v>1.03E-2</v>
      </c>
      <c r="Y1046">
        <v>9.4999999999999999E-14</v>
      </c>
      <c r="Z1046" s="95">
        <f t="shared" si="862"/>
        <v>-13.022276394711152</v>
      </c>
      <c r="AG1046" s="138"/>
      <c r="BW1046" s="138"/>
      <c r="DG1046" s="138"/>
    </row>
    <row r="1047" spans="1:111" ht="12.75" customHeight="1" x14ac:dyDescent="0.2">
      <c r="A1047">
        <v>1001</v>
      </c>
      <c r="B1047" s="4" t="s">
        <v>1935</v>
      </c>
      <c r="C1047" s="4"/>
      <c r="D1047" s="4" t="s">
        <v>1474</v>
      </c>
      <c r="E1047" s="4">
        <v>-1802</v>
      </c>
      <c r="F1047" t="str">
        <f>VLOOKUP(E1047,CompDbase!B:L,4,FALSE)</f>
        <v>UV8</v>
      </c>
      <c r="G1047" s="95" t="str">
        <f>VLOOKUP(E1047,CompDbase!B:M,12,FALSE)</f>
        <v>overige</v>
      </c>
      <c r="H1047" s="95">
        <f>VLOOKUP(E1047,CompDbase!B:L,8,FALSE)</f>
        <v>445</v>
      </c>
      <c r="I1047" s="95" t="e">
        <f>VLOOKUP(E1047,CompDbase!B:L,11,FALSE)</f>
        <v>#DIV/0!</v>
      </c>
      <c r="J1047" s="95" t="e">
        <f>VLOOKUP(E1047,CompDbase!B:L,9,FALSE)</f>
        <v>#DIV/0!</v>
      </c>
      <c r="K1047" s="95" t="e">
        <f>VLOOKUP(E1047,CompDbase!B:L,10,FALSE)</f>
        <v>#DIV/0!</v>
      </c>
      <c r="L1047" s="4" t="s">
        <v>769</v>
      </c>
      <c r="M1047" s="423"/>
      <c r="N1047" s="423"/>
      <c r="O1047" s="4" t="s">
        <v>1740</v>
      </c>
      <c r="P1047" s="1">
        <v>333</v>
      </c>
      <c r="Q1047" s="4" t="s">
        <v>1049</v>
      </c>
      <c r="S1047" s="4"/>
      <c r="T1047" s="95"/>
      <c r="V1047">
        <v>1.085E-2</v>
      </c>
      <c r="Y1047">
        <v>9.1000000000000004E-14</v>
      </c>
      <c r="Z1047" s="95">
        <f t="shared" si="862"/>
        <v>-13.040958607678906</v>
      </c>
      <c r="AG1047" s="138"/>
      <c r="BW1047" s="138"/>
      <c r="DG1047" s="138"/>
    </row>
    <row r="1048" spans="1:111" ht="12.75" customHeight="1" x14ac:dyDescent="0.2">
      <c r="A1048">
        <v>1002</v>
      </c>
      <c r="B1048" s="4" t="s">
        <v>1935</v>
      </c>
      <c r="C1048" s="4"/>
      <c r="D1048" s="4" t="s">
        <v>1473</v>
      </c>
      <c r="E1048" s="4">
        <v>-1801</v>
      </c>
      <c r="F1048" t="str">
        <f>VLOOKUP(E1048,CompDbase!B:L,4,FALSE)</f>
        <v>UV7</v>
      </c>
      <c r="G1048" s="95" t="str">
        <f>VLOOKUP(E1048,CompDbase!B:M,12,FALSE)</f>
        <v>overige</v>
      </c>
      <c r="H1048" s="95">
        <f>VLOOKUP(E1048,CompDbase!B:L,8,FALSE)</f>
        <v>388</v>
      </c>
      <c r="I1048" s="95" t="e">
        <f>VLOOKUP(E1048,CompDbase!B:L,11,FALSE)</f>
        <v>#DIV/0!</v>
      </c>
      <c r="J1048" s="95" t="e">
        <f>VLOOKUP(E1048,CompDbase!B:L,9,FALSE)</f>
        <v>#DIV/0!</v>
      </c>
      <c r="K1048" s="95" t="e">
        <f>VLOOKUP(E1048,CompDbase!B:L,10,FALSE)</f>
        <v>#DIV/0!</v>
      </c>
      <c r="L1048" s="4" t="s">
        <v>769</v>
      </c>
      <c r="M1048" s="423"/>
      <c r="N1048" s="423"/>
      <c r="O1048" s="4" t="s">
        <v>1740</v>
      </c>
      <c r="P1048" s="1">
        <v>333</v>
      </c>
      <c r="Q1048" s="4" t="s">
        <v>1049</v>
      </c>
      <c r="S1048" s="4"/>
      <c r="T1048" s="95"/>
      <c r="V1048">
        <v>3.8E-3</v>
      </c>
      <c r="Y1048">
        <v>5.6999999999999997E-14</v>
      </c>
      <c r="Z1048" s="95">
        <f t="shared" si="862"/>
        <v>-13.244125144327509</v>
      </c>
      <c r="AG1048" s="138"/>
      <c r="BW1048" s="138"/>
      <c r="DG1048" s="138"/>
    </row>
    <row r="1049" spans="1:111" ht="12.75" customHeight="1" x14ac:dyDescent="0.2">
      <c r="A1049">
        <v>1003</v>
      </c>
      <c r="B1049" s="4" t="s">
        <v>1935</v>
      </c>
      <c r="C1049" s="4"/>
      <c r="D1049" s="4" t="s">
        <v>1472</v>
      </c>
      <c r="E1049" s="4">
        <v>-1800</v>
      </c>
      <c r="F1049" t="str">
        <f>VLOOKUP(E1049,CompDbase!B:L,4,FALSE)</f>
        <v>UV6</v>
      </c>
      <c r="G1049" s="95" t="str">
        <f>VLOOKUP(E1049,CompDbase!B:M,12,FALSE)</f>
        <v>overige</v>
      </c>
      <c r="H1049" s="95">
        <f>VLOOKUP(E1049,CompDbase!B:L,8,FALSE)</f>
        <v>388</v>
      </c>
      <c r="I1049" s="95" t="e">
        <f>VLOOKUP(E1049,CompDbase!B:L,11,FALSE)</f>
        <v>#DIV/0!</v>
      </c>
      <c r="J1049" s="95" t="e">
        <f>VLOOKUP(E1049,CompDbase!B:L,9,FALSE)</f>
        <v>#DIV/0!</v>
      </c>
      <c r="K1049" s="95" t="e">
        <f>VLOOKUP(E1049,CompDbase!B:L,10,FALSE)</f>
        <v>#DIV/0!</v>
      </c>
      <c r="L1049" s="4" t="s">
        <v>769</v>
      </c>
      <c r="M1049" s="423"/>
      <c r="N1049" s="423"/>
      <c r="O1049" s="4" t="s">
        <v>1740</v>
      </c>
      <c r="P1049" s="1">
        <v>333</v>
      </c>
      <c r="Q1049" s="4" t="s">
        <v>1049</v>
      </c>
      <c r="S1049" s="4"/>
      <c r="T1049" s="95"/>
      <c r="V1049">
        <v>4.4000000000000003E-3</v>
      </c>
      <c r="Y1049">
        <v>1.42E-13</v>
      </c>
      <c r="Z1049" s="95">
        <f t="shared" si="862"/>
        <v>-12.847711655616944</v>
      </c>
      <c r="AG1049" s="138"/>
      <c r="BW1049" s="138"/>
      <c r="DG1049" s="138"/>
    </row>
    <row r="1050" spans="1:111" ht="12.75" customHeight="1" x14ac:dyDescent="0.2">
      <c r="A1050">
        <v>1004</v>
      </c>
      <c r="B1050" s="4" t="s">
        <v>1935</v>
      </c>
      <c r="C1050" s="4"/>
      <c r="D1050" s="4" t="s">
        <v>1471</v>
      </c>
      <c r="E1050" s="4">
        <v>-1799</v>
      </c>
      <c r="F1050" t="str">
        <f>VLOOKUP(E1050,CompDbase!B:L,4,FALSE)</f>
        <v>UV5</v>
      </c>
      <c r="G1050" s="95" t="str">
        <f>VLOOKUP(E1050,CompDbase!B:M,12,FALSE)</f>
        <v>overige</v>
      </c>
      <c r="H1050" s="95">
        <f>VLOOKUP(E1050,CompDbase!B:L,8,FALSE)</f>
        <v>346</v>
      </c>
      <c r="I1050" s="95" t="e">
        <f>VLOOKUP(E1050,CompDbase!B:L,11,FALSE)</f>
        <v>#DIV/0!</v>
      </c>
      <c r="J1050" s="95" t="e">
        <f>VLOOKUP(E1050,CompDbase!B:L,9,FALSE)</f>
        <v>#DIV/0!</v>
      </c>
      <c r="K1050" s="95" t="e">
        <f>VLOOKUP(E1050,CompDbase!B:L,10,FALSE)</f>
        <v>#DIV/0!</v>
      </c>
      <c r="L1050" s="4" t="s">
        <v>769</v>
      </c>
      <c r="M1050" s="423"/>
      <c r="N1050" s="423"/>
      <c r="O1050" s="4" t="s">
        <v>1740</v>
      </c>
      <c r="P1050" s="1">
        <v>333</v>
      </c>
      <c r="Q1050" s="4" t="s">
        <v>1049</v>
      </c>
      <c r="S1050" s="4"/>
      <c r="T1050" s="95"/>
      <c r="V1050">
        <v>7.4599999999999996E-3</v>
      </c>
      <c r="Y1050">
        <v>5.0499999999999997E-13</v>
      </c>
      <c r="Z1050" s="95">
        <f t="shared" si="862"/>
        <v>-12.296708621881338</v>
      </c>
      <c r="AG1050" s="138"/>
      <c r="BW1050" s="138"/>
      <c r="DG1050" s="138"/>
    </row>
    <row r="1051" spans="1:111" ht="12.75" customHeight="1" x14ac:dyDescent="0.2">
      <c r="A1051">
        <v>1005</v>
      </c>
      <c r="B1051" s="4" t="s">
        <v>1935</v>
      </c>
      <c r="C1051" s="4"/>
      <c r="D1051" s="4" t="s">
        <v>1470</v>
      </c>
      <c r="E1051" s="4">
        <v>-1798</v>
      </c>
      <c r="F1051" t="str">
        <f>VLOOKUP(E1051,CompDbase!B:L,4,FALSE)</f>
        <v>UV4</v>
      </c>
      <c r="G1051" s="95" t="str">
        <f>VLOOKUP(E1051,CompDbase!B:M,12,FALSE)</f>
        <v>overige</v>
      </c>
      <c r="H1051" s="95">
        <f>VLOOKUP(E1051,CompDbase!B:L,8,FALSE)</f>
        <v>332</v>
      </c>
      <c r="I1051" s="95" t="e">
        <f>VLOOKUP(E1051,CompDbase!B:L,11,FALSE)</f>
        <v>#DIV/0!</v>
      </c>
      <c r="J1051" s="95" t="e">
        <f>VLOOKUP(E1051,CompDbase!B:L,9,FALSE)</f>
        <v>#DIV/0!</v>
      </c>
      <c r="K1051" s="95" t="e">
        <f>VLOOKUP(E1051,CompDbase!B:L,10,FALSE)</f>
        <v>#DIV/0!</v>
      </c>
      <c r="L1051" s="4" t="s">
        <v>769</v>
      </c>
      <c r="M1051" s="423"/>
      <c r="N1051" s="423"/>
      <c r="O1051" s="4" t="s">
        <v>1740</v>
      </c>
      <c r="P1051" s="1">
        <v>333</v>
      </c>
      <c r="Q1051" s="4" t="s">
        <v>1049</v>
      </c>
      <c r="S1051" s="4"/>
      <c r="T1051" s="95"/>
      <c r="V1051">
        <v>6.0000000000000001E-3</v>
      </c>
      <c r="Y1051">
        <v>3.9300000000000004E-13</v>
      </c>
      <c r="Z1051" s="95">
        <f t="shared" si="862"/>
        <v>-12.405607449624574</v>
      </c>
      <c r="AG1051" s="138"/>
      <c r="BW1051" s="138"/>
      <c r="DG1051" s="138"/>
    </row>
    <row r="1052" spans="1:111" ht="12.75" customHeight="1" x14ac:dyDescent="0.2">
      <c r="A1052">
        <v>1006</v>
      </c>
      <c r="B1052" s="4" t="s">
        <v>1935</v>
      </c>
      <c r="C1052" s="4"/>
      <c r="D1052" s="4" t="s">
        <v>1469</v>
      </c>
      <c r="E1052" s="4">
        <v>-1797</v>
      </c>
      <c r="F1052" t="str">
        <f>VLOOKUP(E1052,CompDbase!B:L,4,FALSE)</f>
        <v>UV3</v>
      </c>
      <c r="G1052" s="95" t="str">
        <f>VLOOKUP(E1052,CompDbase!B:M,12,FALSE)</f>
        <v>overige</v>
      </c>
      <c r="H1052" s="95">
        <f>VLOOKUP(E1052,CompDbase!B:L,8,FALSE)</f>
        <v>326</v>
      </c>
      <c r="I1052" s="95" t="e">
        <f>VLOOKUP(E1052,CompDbase!B:L,11,FALSE)</f>
        <v>#DIV/0!</v>
      </c>
      <c r="J1052" s="95" t="e">
        <f>VLOOKUP(E1052,CompDbase!B:L,9,FALSE)</f>
        <v>#DIV/0!</v>
      </c>
      <c r="K1052" s="95" t="e">
        <f>VLOOKUP(E1052,CompDbase!B:L,10,FALSE)</f>
        <v>#DIV/0!</v>
      </c>
      <c r="L1052" s="4" t="s">
        <v>769</v>
      </c>
      <c r="M1052" s="423"/>
      <c r="N1052" s="423"/>
      <c r="O1052" s="4" t="s">
        <v>1740</v>
      </c>
      <c r="P1052" s="1">
        <v>333</v>
      </c>
      <c r="Q1052" s="4" t="s">
        <v>1049</v>
      </c>
      <c r="S1052" s="4"/>
      <c r="T1052" s="95"/>
      <c r="V1052">
        <v>2.3599999999999997E-3</v>
      </c>
      <c r="Y1052">
        <v>1.8300000000000001E-12</v>
      </c>
      <c r="Z1052" s="95">
        <f t="shared" si="862"/>
        <v>-11.73754891026957</v>
      </c>
      <c r="AG1052" s="138"/>
      <c r="BW1052" s="138"/>
      <c r="DG1052" s="138"/>
    </row>
    <row r="1053" spans="1:111" ht="12.75" customHeight="1" x14ac:dyDescent="0.2">
      <c r="A1053">
        <v>1007</v>
      </c>
      <c r="B1053" s="4" t="s">
        <v>1935</v>
      </c>
      <c r="C1053" s="4"/>
      <c r="D1053" s="4" t="s">
        <v>1466</v>
      </c>
      <c r="E1053" s="4">
        <v>-1796</v>
      </c>
      <c r="F1053" t="str">
        <f>VLOOKUP(E1053,CompDbase!B:L,4,FALSE)</f>
        <v>UV2</v>
      </c>
      <c r="G1053" s="95" t="str">
        <f>VLOOKUP(E1053,CompDbase!B:M,12,FALSE)</f>
        <v>overige</v>
      </c>
      <c r="H1053" s="95">
        <f>VLOOKUP(E1053,CompDbase!B:L,8,FALSE)</f>
        <v>258</v>
      </c>
      <c r="I1053" s="95" t="e">
        <f>VLOOKUP(E1053,CompDbase!B:L,11,FALSE)</f>
        <v>#DIV/0!</v>
      </c>
      <c r="J1053" s="95" t="e">
        <f>VLOOKUP(E1053,CompDbase!B:L,9,FALSE)</f>
        <v>#DIV/0!</v>
      </c>
      <c r="K1053" s="95" t="e">
        <f>VLOOKUP(E1053,CompDbase!B:L,10,FALSE)</f>
        <v>#DIV/0!</v>
      </c>
      <c r="L1053" s="4" t="s">
        <v>769</v>
      </c>
      <c r="M1053" s="423"/>
      <c r="N1053" s="423"/>
      <c r="O1053" s="4" t="s">
        <v>1740</v>
      </c>
      <c r="P1053" s="1">
        <v>333</v>
      </c>
      <c r="Q1053" s="4" t="s">
        <v>1049</v>
      </c>
      <c r="S1053" s="4"/>
      <c r="T1053" s="95"/>
      <c r="V1053">
        <v>2.1999999999999998E-4</v>
      </c>
      <c r="Y1053">
        <v>8.4800000000000002E-13</v>
      </c>
      <c r="Z1053" s="95">
        <f t="shared" si="862"/>
        <v>-12.071604147743287</v>
      </c>
      <c r="AG1053" s="138"/>
      <c r="BW1053" s="138"/>
      <c r="DG1053" s="138"/>
    </row>
    <row r="1054" spans="1:111" ht="12.75" customHeight="1" x14ac:dyDescent="0.2">
      <c r="A1054">
        <v>1008</v>
      </c>
      <c r="B1054" s="4" t="s">
        <v>1935</v>
      </c>
      <c r="C1054" s="4"/>
      <c r="D1054" s="4" t="s">
        <v>1465</v>
      </c>
      <c r="E1054" s="4">
        <v>-1795</v>
      </c>
      <c r="F1054" t="str">
        <f>VLOOKUP(E1054,CompDbase!B:L,4,FALSE)</f>
        <v>UV1</v>
      </c>
      <c r="G1054" s="95" t="str">
        <f>VLOOKUP(E1054,CompDbase!B:M,12,FALSE)</f>
        <v>overige</v>
      </c>
      <c r="H1054" s="95">
        <f>VLOOKUP(E1054,CompDbase!B:L,8,FALSE)</f>
        <v>214</v>
      </c>
      <c r="I1054" s="95" t="e">
        <f>VLOOKUP(E1054,CompDbase!B:L,11,FALSE)</f>
        <v>#DIV/0!</v>
      </c>
      <c r="J1054" s="95" t="e">
        <f>VLOOKUP(E1054,CompDbase!B:L,9,FALSE)</f>
        <v>#DIV/0!</v>
      </c>
      <c r="K1054" s="95" t="e">
        <f>VLOOKUP(E1054,CompDbase!B:L,10,FALSE)</f>
        <v>#DIV/0!</v>
      </c>
      <c r="L1054" s="4" t="s">
        <v>769</v>
      </c>
      <c r="M1054" s="423"/>
      <c r="N1054" s="423"/>
      <c r="O1054" s="4" t="s">
        <v>1740</v>
      </c>
      <c r="P1054" s="1">
        <v>333</v>
      </c>
      <c r="Q1054" s="4" t="s">
        <v>1049</v>
      </c>
      <c r="S1054" s="4"/>
      <c r="T1054" s="95"/>
      <c r="V1054">
        <v>7.5999999999999993E-4</v>
      </c>
      <c r="Y1054">
        <v>9.0800000000000007E-13</v>
      </c>
      <c r="Z1054" s="95">
        <f t="shared" si="862"/>
        <v>-12.041914151478915</v>
      </c>
      <c r="AG1054" s="138"/>
      <c r="BW1054" s="138"/>
      <c r="DG1054" s="138"/>
    </row>
    <row r="1055" spans="1:111" ht="12.75" customHeight="1" x14ac:dyDescent="0.2">
      <c r="A1055">
        <v>1009</v>
      </c>
      <c r="B1055" s="4" t="s">
        <v>1938</v>
      </c>
      <c r="C1055" s="4"/>
      <c r="D1055" s="4" t="s">
        <v>509</v>
      </c>
      <c r="E1055" s="4">
        <v>-1302</v>
      </c>
      <c r="F1055" t="str">
        <f>VLOOKUP(E1055,CompDbase!B:L,4,FALSE)</f>
        <v>Cyclohexane</v>
      </c>
      <c r="G1055" s="95" t="str">
        <f>VLOOKUP(E1055,CompDbase!B:M,12,FALSE)</f>
        <v>Alk</v>
      </c>
      <c r="H1055" s="95">
        <f>VLOOKUP(E1055,CompDbase!B:L,8,FALSE)</f>
        <v>84.16</v>
      </c>
      <c r="I1055" s="95">
        <f>VLOOKUP(E1055,CompDbase!B:L,11,FALSE)</f>
        <v>104.7</v>
      </c>
      <c r="J1055" s="95">
        <f>VLOOKUP(E1055,CompDbase!B:L,9,FALSE)</f>
        <v>49</v>
      </c>
      <c r="K1055" s="95">
        <f>VLOOKUP(E1055,CompDbase!B:L,10,FALSE)</f>
        <v>3.48</v>
      </c>
      <c r="L1055" s="4" t="s">
        <v>717</v>
      </c>
      <c r="M1055" s="423"/>
      <c r="N1055" s="423">
        <v>948000</v>
      </c>
      <c r="O1055" s="4" t="s">
        <v>1044</v>
      </c>
      <c r="P1055" s="1">
        <v>343</v>
      </c>
      <c r="Q1055" s="4" t="s">
        <v>1049</v>
      </c>
      <c r="R1055" s="289" t="s">
        <v>1988</v>
      </c>
      <c r="S1055" s="4"/>
      <c r="T1055" s="289">
        <v>1</v>
      </c>
      <c r="V1055">
        <v>7.0000000000000007E-2</v>
      </c>
      <c r="W1055" s="95"/>
      <c r="X1055" s="190"/>
      <c r="Y1055">
        <v>5.9999999999999995E-12</v>
      </c>
      <c r="Z1055" s="95">
        <f t="shared" si="862"/>
        <v>-11.221848749616356</v>
      </c>
      <c r="AA1055" s="95"/>
      <c r="AB1055" s="190"/>
      <c r="AC1055" s="190"/>
      <c r="AD1055" s="190"/>
      <c r="AG1055" s="138"/>
      <c r="BW1055" s="138"/>
      <c r="DG1055" s="138"/>
    </row>
    <row r="1056" spans="1:111" ht="12.75" customHeight="1" x14ac:dyDescent="0.2">
      <c r="A1056">
        <v>1010</v>
      </c>
      <c r="B1056" s="4" t="s">
        <v>1938</v>
      </c>
      <c r="C1056" s="4"/>
      <c r="D1056" s="4" t="s">
        <v>505</v>
      </c>
      <c r="E1056">
        <v>-402</v>
      </c>
      <c r="F1056" t="str">
        <f>VLOOKUP(E1056,CompDbase!B:L,4,FALSE)</f>
        <v>Dichloromethane</v>
      </c>
      <c r="G1056" s="95" t="str">
        <f>VLOOKUP(E1056,CompDbase!B:M,12,FALSE)</f>
        <v>ClAlk</v>
      </c>
      <c r="H1056" s="95">
        <f>VLOOKUP(E1056,CompDbase!B:L,8,FALSE)</f>
        <v>84.93</v>
      </c>
      <c r="I1056" s="95">
        <f>VLOOKUP(E1056,CompDbase!B:L,11,FALSE)</f>
        <v>64.5</v>
      </c>
      <c r="J1056" s="95">
        <f>VLOOKUP(E1056,CompDbase!B:L,9,FALSE)</f>
        <v>20000</v>
      </c>
      <c r="K1056" s="95">
        <f>VLOOKUP(E1056,CompDbase!B:L,10,FALSE)</f>
        <v>1.25</v>
      </c>
      <c r="L1056" s="4" t="s">
        <v>717</v>
      </c>
      <c r="M1056" s="423"/>
      <c r="N1056" s="416">
        <v>948000</v>
      </c>
      <c r="O1056" s="4" t="s">
        <v>1044</v>
      </c>
      <c r="P1056" s="1">
        <v>343</v>
      </c>
      <c r="Q1056" s="4" t="s">
        <v>1049</v>
      </c>
      <c r="R1056" s="289" t="s">
        <v>1988</v>
      </c>
      <c r="S1056" s="4"/>
      <c r="T1056" s="289">
        <v>1</v>
      </c>
      <c r="W1056" s="95"/>
      <c r="X1056" s="190"/>
      <c r="Z1056" s="95"/>
      <c r="AA1056" s="95"/>
      <c r="AB1056" s="190"/>
      <c r="AC1056" s="190"/>
      <c r="AD1056" s="190"/>
      <c r="AG1056" s="138"/>
      <c r="BW1056" s="138"/>
      <c r="DG1056" s="138"/>
    </row>
    <row r="1057" spans="1:111" ht="12.75" customHeight="1" x14ac:dyDescent="0.2">
      <c r="A1057">
        <v>1011</v>
      </c>
      <c r="B1057" s="4" t="s">
        <v>1938</v>
      </c>
      <c r="C1057" s="4"/>
      <c r="D1057" s="4" t="s">
        <v>506</v>
      </c>
      <c r="E1057" s="4">
        <v>400</v>
      </c>
      <c r="F1057" t="str">
        <f>VLOOKUP(E1057,CompDbase!B:L,4,FALSE)</f>
        <v>1,2-Dichloroethane</v>
      </c>
      <c r="G1057" s="95" t="str">
        <f>VLOOKUP(E1057,CompDbase!B:M,12,FALSE)</f>
        <v>ClAlk</v>
      </c>
      <c r="H1057" s="95">
        <f>VLOOKUP(E1057,CompDbase!B:L,8,FALSE)</f>
        <v>98.973331537275584</v>
      </c>
      <c r="I1057" s="95">
        <f>VLOOKUP(E1057,CompDbase!B:L,11,FALSE)</f>
        <v>79.400000000000006</v>
      </c>
      <c r="J1057" s="95">
        <f>VLOOKUP(E1057,CompDbase!B:L,9,FALSE)</f>
        <v>10188.832473485421</v>
      </c>
      <c r="K1057" s="95">
        <f>VLOOKUP(E1057,CompDbase!B:L,10,FALSE)</f>
        <v>1.47</v>
      </c>
      <c r="L1057" s="4" t="s">
        <v>717</v>
      </c>
      <c r="M1057" s="423"/>
      <c r="N1057" s="416">
        <v>948000</v>
      </c>
      <c r="O1057" s="4" t="s">
        <v>1044</v>
      </c>
      <c r="P1057" s="1">
        <v>343</v>
      </c>
      <c r="Q1057" s="4" t="s">
        <v>1049</v>
      </c>
      <c r="R1057" s="289" t="s">
        <v>1988</v>
      </c>
      <c r="S1057" s="4"/>
      <c r="T1057" s="289">
        <v>1</v>
      </c>
      <c r="V1057">
        <v>0.15</v>
      </c>
      <c r="W1057" s="95"/>
      <c r="X1057" s="190"/>
      <c r="Y1057">
        <v>2.35E-11</v>
      </c>
      <c r="Z1057" s="95">
        <f t="shared" ref="Z1057:Z1066" si="863">LOG(Y1057)</f>
        <v>-10.628932137728263</v>
      </c>
      <c r="AA1057" s="95"/>
      <c r="AB1057" s="190"/>
      <c r="AC1057" s="190"/>
      <c r="AD1057" s="190"/>
      <c r="AG1057" s="138"/>
      <c r="BW1057" s="138"/>
      <c r="DG1057" s="138"/>
    </row>
    <row r="1058" spans="1:111" ht="12.75" customHeight="1" x14ac:dyDescent="0.2">
      <c r="A1058">
        <v>1012</v>
      </c>
      <c r="B1058" s="4" t="s">
        <v>1938</v>
      </c>
      <c r="C1058" s="4"/>
      <c r="D1058" s="4" t="s">
        <v>504</v>
      </c>
      <c r="E1058" s="4">
        <v>-1531</v>
      </c>
      <c r="F1058" t="str">
        <f>VLOOKUP(E1058,CompDbase!B:L,4,FALSE)</f>
        <v>1-Chloronaphthalene</v>
      </c>
      <c r="G1058" s="95" t="str">
        <f>VLOOKUP(E1058,CompDbase!B:M,12,FALSE)</f>
        <v>ClArom</v>
      </c>
      <c r="H1058" s="95">
        <f>VLOOKUP(E1058,CompDbase!B:L,8,FALSE)</f>
        <v>162.62</v>
      </c>
      <c r="I1058" s="95">
        <f>VLOOKUP(E1058,CompDbase!B:L,11,FALSE)</f>
        <v>137.69999999999999</v>
      </c>
      <c r="J1058" s="95">
        <f>VLOOKUP(E1058,CompDbase!B:L,9,FALSE)</f>
        <v>17.399999999999999</v>
      </c>
      <c r="K1058" s="95">
        <f>VLOOKUP(E1058,CompDbase!B:L,10,FALSE)</f>
        <v>4</v>
      </c>
      <c r="L1058" s="4" t="s">
        <v>717</v>
      </c>
      <c r="M1058" s="423"/>
      <c r="N1058" s="416">
        <v>948000</v>
      </c>
      <c r="O1058" s="4" t="s">
        <v>1044</v>
      </c>
      <c r="P1058" s="1">
        <v>343</v>
      </c>
      <c r="Q1058" s="4" t="s">
        <v>1049</v>
      </c>
      <c r="R1058" s="289" t="s">
        <v>1988</v>
      </c>
      <c r="S1058" s="4"/>
      <c r="T1058" s="289">
        <v>1</v>
      </c>
      <c r="V1058">
        <v>0.13</v>
      </c>
      <c r="W1058" s="95"/>
      <c r="X1058" s="190"/>
      <c r="Y1058">
        <v>8.9999999999999996E-12</v>
      </c>
      <c r="Z1058" s="95">
        <f t="shared" si="863"/>
        <v>-11.045757490560675</v>
      </c>
      <c r="AA1058" s="95"/>
      <c r="AB1058" s="190"/>
      <c r="AC1058" s="190"/>
      <c r="AD1058" s="190"/>
      <c r="AG1058" s="138"/>
      <c r="BW1058" s="138"/>
      <c r="DG1058" s="138"/>
    </row>
    <row r="1059" spans="1:111" ht="12.75" customHeight="1" x14ac:dyDescent="0.2">
      <c r="A1059">
        <v>1013</v>
      </c>
      <c r="B1059" s="4" t="s">
        <v>1938</v>
      </c>
      <c r="C1059" s="4"/>
      <c r="D1059" s="4" t="s">
        <v>503</v>
      </c>
      <c r="E1059" s="4">
        <v>-1530</v>
      </c>
      <c r="F1059" t="str">
        <f>VLOOKUP(E1059,CompDbase!B:L,4,FALSE)</f>
        <v>Chlorobenzene</v>
      </c>
      <c r="G1059" s="95" t="str">
        <f>VLOOKUP(E1059,CompDbase!B:M,12,FALSE)</f>
        <v>ClArom</v>
      </c>
      <c r="H1059" s="95">
        <f>VLOOKUP(E1059,CompDbase!B:L,8,FALSE)</f>
        <v>112.56</v>
      </c>
      <c r="I1059" s="95">
        <f>VLOOKUP(E1059,CompDbase!B:L,11,FALSE)</f>
        <v>102.2</v>
      </c>
      <c r="J1059" s="95">
        <f>VLOOKUP(E1059,CompDbase!B:L,9,FALSE)</f>
        <v>498</v>
      </c>
      <c r="K1059" s="95">
        <f>VLOOKUP(E1059,CompDbase!B:L,10,FALSE)</f>
        <v>2.84</v>
      </c>
      <c r="L1059" s="4" t="s">
        <v>717</v>
      </c>
      <c r="M1059" s="423"/>
      <c r="N1059" s="416">
        <v>948000</v>
      </c>
      <c r="O1059" s="4" t="s">
        <v>1044</v>
      </c>
      <c r="P1059" s="1">
        <v>343</v>
      </c>
      <c r="Q1059" s="4" t="s">
        <v>1049</v>
      </c>
      <c r="R1059" s="289" t="s">
        <v>1988</v>
      </c>
      <c r="S1059" s="4"/>
      <c r="T1059" s="289">
        <v>1</v>
      </c>
      <c r="V1059">
        <v>0.27</v>
      </c>
      <c r="W1059" s="95"/>
      <c r="X1059" s="190"/>
      <c r="Y1059">
        <v>3.0700000000000001E-11</v>
      </c>
      <c r="Z1059" s="95">
        <f t="shared" si="863"/>
        <v>-10.512861624522813</v>
      </c>
      <c r="AA1059" s="95"/>
      <c r="AB1059" s="190"/>
      <c r="AC1059" s="190"/>
      <c r="AD1059" s="190"/>
      <c r="AG1059" s="138"/>
      <c r="BW1059" s="138"/>
      <c r="DG1059" s="138"/>
    </row>
    <row r="1060" spans="1:111" ht="12.75" customHeight="1" x14ac:dyDescent="0.2">
      <c r="A1060">
        <v>1014</v>
      </c>
      <c r="B1060" s="4" t="s">
        <v>1938</v>
      </c>
      <c r="C1060" s="4"/>
      <c r="D1060" s="4" t="s">
        <v>501</v>
      </c>
      <c r="E1060" s="4">
        <v>-1528</v>
      </c>
      <c r="F1060" t="str">
        <f>VLOOKUP(E1060,CompDbase!B:L,4,FALSE)</f>
        <v>1,2,3-Trimethylbenzene</v>
      </c>
      <c r="G1060" s="95" t="str">
        <f>VLOOKUP(E1060,CompDbase!B:M,12,FALSE)</f>
        <v>MAK</v>
      </c>
      <c r="H1060" s="95">
        <f>VLOOKUP(E1060,CompDbase!B:L,8,FALSE)</f>
        <v>120.19</v>
      </c>
      <c r="I1060" s="95">
        <f>VLOOKUP(E1060,CompDbase!B:L,11,FALSE)</f>
        <v>139.6</v>
      </c>
      <c r="J1060" s="95">
        <f>VLOOKUP(E1060,CompDbase!B:L,9,FALSE)</f>
        <v>75</v>
      </c>
      <c r="K1060" s="95">
        <f>VLOOKUP(E1060,CompDbase!B:L,10,FALSE)</f>
        <v>3.6</v>
      </c>
      <c r="L1060" s="4" t="s">
        <v>717</v>
      </c>
      <c r="M1060" s="423"/>
      <c r="N1060" s="423">
        <v>948000</v>
      </c>
      <c r="O1060" s="4" t="s">
        <v>1044</v>
      </c>
      <c r="P1060" s="1">
        <v>343</v>
      </c>
      <c r="Q1060" s="4" t="s">
        <v>1049</v>
      </c>
      <c r="R1060" s="289" t="s">
        <v>1988</v>
      </c>
      <c r="S1060" s="4"/>
      <c r="T1060" s="289">
        <v>1</v>
      </c>
      <c r="V1060">
        <v>0.19</v>
      </c>
      <c r="W1060" s="95"/>
      <c r="X1060" s="190"/>
      <c r="Y1060">
        <v>1.8100000000000001E-11</v>
      </c>
      <c r="Z1060" s="95">
        <f t="shared" si="863"/>
        <v>-10.742321425130816</v>
      </c>
      <c r="AA1060" s="95"/>
      <c r="AB1060" s="190"/>
      <c r="AC1060" s="190"/>
      <c r="AD1060" s="190"/>
      <c r="AG1060" s="138"/>
      <c r="BW1060" s="138"/>
      <c r="DG1060" s="138"/>
    </row>
    <row r="1061" spans="1:111" ht="12.75" customHeight="1" x14ac:dyDescent="0.2">
      <c r="A1061">
        <v>1015</v>
      </c>
      <c r="B1061" s="4" t="s">
        <v>1938</v>
      </c>
      <c r="C1061" s="4"/>
      <c r="D1061" s="4" t="s">
        <v>548</v>
      </c>
      <c r="E1061" s="4">
        <v>200</v>
      </c>
      <c r="F1061" t="str">
        <f>VLOOKUP(E1061,CompDbase!B:L,4,FALSE)</f>
        <v>Benzene</v>
      </c>
      <c r="G1061" s="95" t="str">
        <f>VLOOKUP(E1061,CompDbase!B:M,12,FALSE)</f>
        <v>MAK</v>
      </c>
      <c r="H1061" s="95">
        <f>VLOOKUP(E1061,CompDbase!B:L,8,FALSE)</f>
        <v>78.106666524406961</v>
      </c>
      <c r="I1061" s="95">
        <f>VLOOKUP(E1061,CompDbase!B:L,11,FALSE)</f>
        <v>89.4</v>
      </c>
      <c r="J1061" s="95">
        <f>VLOOKUP(E1061,CompDbase!B:L,9,FALSE)</f>
        <v>1988.89882593368</v>
      </c>
      <c r="K1061" s="95">
        <f>VLOOKUP(E1061,CompDbase!B:L,10,FALSE)</f>
        <v>2.13</v>
      </c>
      <c r="L1061" s="4" t="s">
        <v>717</v>
      </c>
      <c r="M1061" s="423"/>
      <c r="N1061" s="423">
        <v>948000</v>
      </c>
      <c r="O1061" s="4" t="s">
        <v>1044</v>
      </c>
      <c r="P1061" s="1">
        <v>343</v>
      </c>
      <c r="Q1061" s="4" t="s">
        <v>1049</v>
      </c>
      <c r="R1061" s="289" t="s">
        <v>1988</v>
      </c>
      <c r="S1061" s="4"/>
      <c r="T1061" s="289">
        <v>1</v>
      </c>
      <c r="V1061">
        <v>0.3</v>
      </c>
      <c r="W1061" s="95"/>
      <c r="X1061" s="190"/>
      <c r="Y1061">
        <v>3.3199999999999993E-11</v>
      </c>
      <c r="Z1061" s="95">
        <f t="shared" si="863"/>
        <v>-10.478861916295964</v>
      </c>
      <c r="AA1061" s="95"/>
      <c r="AB1061" s="190"/>
      <c r="AC1061" s="190"/>
      <c r="AD1061" s="190"/>
      <c r="AG1061" s="138"/>
      <c r="BW1061" s="138"/>
      <c r="DG1061" s="138"/>
    </row>
    <row r="1062" spans="1:111" ht="12.75" customHeight="1" x14ac:dyDescent="0.2">
      <c r="A1062">
        <v>1016</v>
      </c>
      <c r="B1062" s="4" t="s">
        <v>1938</v>
      </c>
      <c r="C1062" s="4"/>
      <c r="D1062" s="4" t="s">
        <v>492</v>
      </c>
      <c r="E1062" s="4">
        <v>204</v>
      </c>
      <c r="F1062" t="str">
        <f>VLOOKUP(E1062,CompDbase!B:L,4,FALSE)</f>
        <v>Toluene</v>
      </c>
      <c r="G1062" s="95" t="str">
        <f>VLOOKUP(E1062,CompDbase!B:M,12,FALSE)</f>
        <v>MAK</v>
      </c>
      <c r="H1062" s="95">
        <f>VLOOKUP(E1062,CompDbase!B:L,8,FALSE)</f>
        <v>92.14249284505685</v>
      </c>
      <c r="I1062" s="95">
        <f>VLOOKUP(E1062,CompDbase!B:L,11,FALSE)</f>
        <v>106.9</v>
      </c>
      <c r="J1062" s="95">
        <f>VLOOKUP(E1062,CompDbase!B:L,9,FALSE)</f>
        <v>610.59105234897152</v>
      </c>
      <c r="K1062" s="95">
        <f>VLOOKUP(E1062,CompDbase!B:L,10,FALSE)</f>
        <v>2.73</v>
      </c>
      <c r="L1062" s="4" t="s">
        <v>717</v>
      </c>
      <c r="M1062" s="423"/>
      <c r="N1062" s="423">
        <v>948000</v>
      </c>
      <c r="O1062" s="4" t="s">
        <v>1044</v>
      </c>
      <c r="P1062" s="1">
        <v>343</v>
      </c>
      <c r="Q1062" s="4" t="s">
        <v>1049</v>
      </c>
      <c r="R1062" s="289" t="s">
        <v>1988</v>
      </c>
      <c r="S1062" s="4"/>
      <c r="T1062" s="289">
        <v>1</v>
      </c>
      <c r="V1062">
        <v>0.26</v>
      </c>
      <c r="W1062" s="95"/>
      <c r="X1062" s="190"/>
      <c r="Y1062">
        <v>3.6200000000000002E-11</v>
      </c>
      <c r="Z1062" s="95">
        <f t="shared" si="863"/>
        <v>-10.441291429466835</v>
      </c>
      <c r="AA1062" s="95"/>
      <c r="AB1062" s="190"/>
      <c r="AC1062" s="190"/>
      <c r="AD1062" s="190"/>
      <c r="AG1062" s="138"/>
      <c r="BW1062" s="138"/>
      <c r="DG1062" s="138"/>
    </row>
    <row r="1063" spans="1:111" ht="12.75" customHeight="1" x14ac:dyDescent="0.2">
      <c r="A1063">
        <v>1017</v>
      </c>
      <c r="B1063" s="4" t="s">
        <v>1938</v>
      </c>
      <c r="C1063" s="4"/>
      <c r="D1063" s="4" t="s">
        <v>493</v>
      </c>
      <c r="E1063" s="4">
        <v>219</v>
      </c>
      <c r="F1063" t="str">
        <f>VLOOKUP(E1063,CompDbase!B:L,4,FALSE)</f>
        <v>p-Xylene</v>
      </c>
      <c r="G1063" s="95" t="str">
        <f>VLOOKUP(E1063,CompDbase!B:M,12,FALSE)</f>
        <v>MAK</v>
      </c>
      <c r="H1063" s="95">
        <f>VLOOKUP(E1063,CompDbase!B:L,8,FALSE)</f>
        <v>106.18666499232586</v>
      </c>
      <c r="I1063" s="95">
        <f>VLOOKUP(E1063,CompDbase!B:L,11,FALSE)</f>
        <v>123.9</v>
      </c>
      <c r="J1063" s="95">
        <f>VLOOKUP(E1063,CompDbase!B:L,9,FALSE)</f>
        <v>210.93846155625408</v>
      </c>
      <c r="K1063" s="95">
        <f>VLOOKUP(E1063,CompDbase!B:L,10,FALSE)</f>
        <v>3.15</v>
      </c>
      <c r="L1063" s="4" t="s">
        <v>717</v>
      </c>
      <c r="M1063" s="423"/>
      <c r="N1063" s="416">
        <v>948000</v>
      </c>
      <c r="O1063" s="4" t="s">
        <v>1044</v>
      </c>
      <c r="P1063" s="1">
        <v>343</v>
      </c>
      <c r="Q1063" s="4" t="s">
        <v>1049</v>
      </c>
      <c r="R1063" s="289" t="s">
        <v>1988</v>
      </c>
      <c r="S1063" s="4"/>
      <c r="T1063" s="289">
        <v>1</v>
      </c>
      <c r="V1063">
        <v>0.22</v>
      </c>
      <c r="W1063" s="95"/>
      <c r="X1063" s="190"/>
      <c r="Y1063">
        <v>3.5999999999999998E-11</v>
      </c>
      <c r="Z1063" s="95">
        <f t="shared" si="863"/>
        <v>-10.443697499232712</v>
      </c>
      <c r="AA1063" s="95"/>
      <c r="AB1063" s="190"/>
      <c r="AC1063" s="190"/>
      <c r="AD1063" s="190"/>
      <c r="AG1063" s="138"/>
      <c r="BW1063" s="138"/>
      <c r="DG1063" s="138"/>
    </row>
    <row r="1064" spans="1:111" ht="12.75" customHeight="1" x14ac:dyDescent="0.2">
      <c r="A1064">
        <v>1018</v>
      </c>
      <c r="B1064" s="4" t="s">
        <v>1938</v>
      </c>
      <c r="C1064" s="4"/>
      <c r="D1064" s="4" t="s">
        <v>510</v>
      </c>
      <c r="E1064" s="4">
        <v>-1533</v>
      </c>
      <c r="F1064" t="str">
        <f>VLOOKUP(E1064,CompDbase!B:L,4,FALSE)</f>
        <v>Butyraldehyde</v>
      </c>
      <c r="G1064" s="95" t="str">
        <f>VLOOKUP(E1064,CompDbase!B:M,12,FALSE)</f>
        <v>O2</v>
      </c>
      <c r="H1064" s="95">
        <f>VLOOKUP(E1064,CompDbase!B:L,8,FALSE)</f>
        <v>72.11</v>
      </c>
      <c r="I1064" s="95">
        <f>VLOOKUP(E1064,CompDbase!B:L,11,FALSE)</f>
        <v>89.6</v>
      </c>
      <c r="J1064" s="95">
        <f>VLOOKUP(E1064,CompDbase!B:L,9,FALSE)</f>
        <v>71000</v>
      </c>
      <c r="K1064" s="95">
        <f>VLOOKUP(E1064,CompDbase!B:L,10,FALSE)</f>
        <v>0.88</v>
      </c>
      <c r="L1064" s="4" t="s">
        <v>717</v>
      </c>
      <c r="M1064" s="423"/>
      <c r="N1064" s="423">
        <v>948000</v>
      </c>
      <c r="O1064" s="4" t="s">
        <v>1044</v>
      </c>
      <c r="P1064" s="1">
        <v>343</v>
      </c>
      <c r="Q1064" s="4" t="s">
        <v>1049</v>
      </c>
      <c r="R1064" s="289" t="s">
        <v>1988</v>
      </c>
      <c r="S1064" s="4"/>
      <c r="T1064" s="289">
        <v>1</v>
      </c>
      <c r="V1064">
        <v>0.06</v>
      </c>
      <c r="W1064" s="95"/>
      <c r="X1064" s="190"/>
      <c r="Y1064">
        <v>1.7199999999999999E-11</v>
      </c>
      <c r="Z1064" s="95">
        <f t="shared" si="863"/>
        <v>-10.76447155309245</v>
      </c>
      <c r="AA1064" s="95"/>
      <c r="AB1064" s="190"/>
      <c r="AC1064" s="190"/>
      <c r="AD1064" s="190"/>
      <c r="AG1064" s="138"/>
      <c r="BW1064" s="138"/>
      <c r="DG1064" s="138"/>
    </row>
    <row r="1065" spans="1:111" ht="12.75" customHeight="1" x14ac:dyDescent="0.2">
      <c r="A1065">
        <v>1019</v>
      </c>
      <c r="B1065" s="4" t="s">
        <v>1938</v>
      </c>
      <c r="C1065" s="4"/>
      <c r="D1065" s="4" t="s">
        <v>508</v>
      </c>
      <c r="E1065" s="4">
        <v>-1532</v>
      </c>
      <c r="F1065" t="str">
        <f>VLOOKUP(E1065,CompDbase!B:L,4,FALSE)</f>
        <v>Methyl isobutyl ketone (MIBK)</v>
      </c>
      <c r="G1065" s="95" t="str">
        <f>VLOOKUP(E1065,CompDbase!B:M,12,FALSE)</f>
        <v>O2</v>
      </c>
      <c r="H1065" s="95">
        <f>VLOOKUP(E1065,CompDbase!B:L,8,FALSE)</f>
        <v>100.16</v>
      </c>
      <c r="I1065" s="95">
        <f>VLOOKUP(E1065,CompDbase!B:L,11,FALSE)</f>
        <v>125.8</v>
      </c>
      <c r="J1065" s="95">
        <f>VLOOKUP(E1065,CompDbase!B:L,9,FALSE)</f>
        <v>19000</v>
      </c>
      <c r="K1065" s="95">
        <f>VLOOKUP(E1065,CompDbase!B:L,10,FALSE)</f>
        <v>1.31</v>
      </c>
      <c r="L1065" s="4" t="s">
        <v>717</v>
      </c>
      <c r="M1065" s="423"/>
      <c r="N1065" s="423">
        <v>948000</v>
      </c>
      <c r="O1065" s="4" t="s">
        <v>1044</v>
      </c>
      <c r="P1065" s="1">
        <v>343</v>
      </c>
      <c r="Q1065" s="4" t="s">
        <v>1049</v>
      </c>
      <c r="R1065" s="289" t="s">
        <v>1988</v>
      </c>
      <c r="S1065" s="4"/>
      <c r="T1065" s="289">
        <v>1</v>
      </c>
      <c r="V1065">
        <v>0.06</v>
      </c>
      <c r="W1065" s="95"/>
      <c r="X1065" s="190"/>
      <c r="Y1065">
        <v>1.0299999999999999E-11</v>
      </c>
      <c r="Z1065" s="95">
        <f t="shared" si="863"/>
        <v>-10.987162775294827</v>
      </c>
      <c r="AA1065" s="95"/>
      <c r="AB1065" s="190"/>
      <c r="AC1065" s="190"/>
      <c r="AD1065" s="190"/>
      <c r="AG1065" s="138"/>
      <c r="BW1065" s="138"/>
      <c r="DG1065" s="138"/>
    </row>
    <row r="1066" spans="1:111" ht="12.75" customHeight="1" x14ac:dyDescent="0.2">
      <c r="A1066">
        <v>1020</v>
      </c>
      <c r="B1066" s="4" t="s">
        <v>1938</v>
      </c>
      <c r="C1066" s="4"/>
      <c r="D1066" s="4" t="s">
        <v>502</v>
      </c>
      <c r="E1066" s="4">
        <v>-1529</v>
      </c>
      <c r="F1066" t="str">
        <f>VLOOKUP(E1066,CompDbase!B:L,4,FALSE)</f>
        <v>Methoxybenzene</v>
      </c>
      <c r="G1066" s="95" t="str">
        <f>VLOOKUP(E1066,CompDbase!B:M,12,FALSE)</f>
        <v>O2</v>
      </c>
      <c r="H1066" s="95">
        <f>VLOOKUP(E1066,CompDbase!B:L,8,FALSE)</f>
        <v>108.14</v>
      </c>
      <c r="I1066" s="95">
        <f>VLOOKUP(E1066,CompDbase!B:L,11,FALSE)</f>
        <v>109.3</v>
      </c>
      <c r="J1066" s="95">
        <f>VLOOKUP(E1066,CompDbase!B:L,9,FALSE)</f>
        <v>1741</v>
      </c>
      <c r="K1066" s="95">
        <f>VLOOKUP(E1066,CompDbase!B:L,10,FALSE)</f>
        <v>2.11</v>
      </c>
      <c r="L1066" s="4" t="s">
        <v>717</v>
      </c>
      <c r="M1066" s="423"/>
      <c r="N1066" s="423">
        <v>948000</v>
      </c>
      <c r="O1066" s="4" t="s">
        <v>1044</v>
      </c>
      <c r="P1066" s="1">
        <v>343</v>
      </c>
      <c r="Q1066" s="4" t="s">
        <v>1049</v>
      </c>
      <c r="R1066" s="289" t="s">
        <v>1988</v>
      </c>
      <c r="S1066" s="4"/>
      <c r="T1066" s="289">
        <v>1</v>
      </c>
      <c r="V1066">
        <v>0.12</v>
      </c>
      <c r="W1066" s="95"/>
      <c r="X1066" s="190"/>
      <c r="Y1066">
        <v>1.68E-11</v>
      </c>
      <c r="Z1066" s="95">
        <f t="shared" si="863"/>
        <v>-10.774690718274137</v>
      </c>
      <c r="AA1066" s="95"/>
      <c r="AB1066" s="190"/>
      <c r="AC1066" s="190"/>
      <c r="AD1066" s="190"/>
      <c r="AG1066" s="138"/>
      <c r="BW1066" s="138"/>
      <c r="DG1066" s="138"/>
    </row>
    <row r="1067" spans="1:111" ht="12.75" customHeight="1" x14ac:dyDescent="0.2">
      <c r="A1067">
        <v>1021</v>
      </c>
      <c r="B1067" s="4" t="s">
        <v>1938</v>
      </c>
      <c r="C1067" s="4"/>
      <c r="D1067" s="4" t="s">
        <v>448</v>
      </c>
      <c r="E1067" s="4">
        <v>-1507</v>
      </c>
      <c r="F1067" t="str">
        <f>VLOOKUP(E1067,CompDbase!B:L,4,FALSE)</f>
        <v>Acetone</v>
      </c>
      <c r="G1067" s="95" t="str">
        <f>VLOOKUP(E1067,CompDbase!B:M,12,FALSE)</f>
        <v>O2</v>
      </c>
      <c r="H1067" s="95">
        <f>VLOOKUP(E1067,CompDbase!B:L,8,FALSE)</f>
        <v>58.08</v>
      </c>
      <c r="I1067" s="95">
        <f>VLOOKUP(E1067,CompDbase!B:L,11,FALSE)</f>
        <v>74</v>
      </c>
      <c r="J1067" s="95">
        <f>VLOOKUP(E1067,CompDbase!B:L,9,FALSE)</f>
        <v>790000</v>
      </c>
      <c r="K1067" s="95">
        <f>VLOOKUP(E1067,CompDbase!B:L,10,FALSE)</f>
        <v>-0.24</v>
      </c>
      <c r="L1067" s="4" t="s">
        <v>717</v>
      </c>
      <c r="M1067" s="423"/>
      <c r="N1067" s="416">
        <v>948000</v>
      </c>
      <c r="O1067" s="4" t="s">
        <v>1044</v>
      </c>
      <c r="P1067" s="1">
        <v>343</v>
      </c>
      <c r="Q1067" s="4" t="s">
        <v>1049</v>
      </c>
      <c r="R1067" s="289" t="s">
        <v>1988</v>
      </c>
      <c r="S1067" s="4"/>
      <c r="T1067" s="289">
        <v>1</v>
      </c>
      <c r="W1067" s="95"/>
      <c r="X1067" s="190"/>
      <c r="Z1067" s="95"/>
      <c r="AA1067" s="95"/>
      <c r="AB1067" s="190"/>
      <c r="AC1067" s="190"/>
      <c r="AD1067" s="190"/>
      <c r="AG1067" s="138"/>
      <c r="BW1067" s="138"/>
      <c r="DG1067" s="138"/>
    </row>
    <row r="1068" spans="1:111" ht="12.75" customHeight="1" x14ac:dyDescent="0.2">
      <c r="A1068">
        <v>1022</v>
      </c>
      <c r="B1068" s="4" t="s">
        <v>1938</v>
      </c>
      <c r="C1068" s="4"/>
      <c r="D1068" s="4" t="s">
        <v>507</v>
      </c>
      <c r="E1068" s="4">
        <v>1093</v>
      </c>
      <c r="F1068" t="str">
        <f>VLOOKUP(E1068,CompDbase!B:L,4,FALSE)</f>
        <v>2-Butanone</v>
      </c>
      <c r="G1068" s="95" t="str">
        <f>VLOOKUP(E1068,CompDbase!B:M,12,FALSE)</f>
        <v>O2</v>
      </c>
      <c r="H1068" s="95">
        <f>VLOOKUP(E1068,CompDbase!B:L,8,FALSE)</f>
        <v>72</v>
      </c>
      <c r="I1068" s="95">
        <f>VLOOKUP(E1068,CompDbase!B:L,11,FALSE)</f>
        <v>90.2</v>
      </c>
      <c r="J1068" s="95">
        <f>VLOOKUP(E1068,CompDbase!B:L,9,FALSE)</f>
        <v>352800</v>
      </c>
      <c r="K1068" s="95">
        <f>VLOOKUP(E1068,CompDbase!B:L,10,FALSE)</f>
        <v>0.27549999999999997</v>
      </c>
      <c r="L1068" s="4" t="s">
        <v>717</v>
      </c>
      <c r="M1068" s="423"/>
      <c r="N1068" s="416">
        <v>948000</v>
      </c>
      <c r="O1068" s="4" t="s">
        <v>1044</v>
      </c>
      <c r="P1068" s="1">
        <v>343</v>
      </c>
      <c r="Q1068" s="4" t="s">
        <v>1049</v>
      </c>
      <c r="R1068" s="289" t="s">
        <v>1988</v>
      </c>
      <c r="S1068" s="4"/>
      <c r="T1068" s="289">
        <v>1</v>
      </c>
      <c r="V1068">
        <v>0.06</v>
      </c>
      <c r="W1068" s="95"/>
      <c r="X1068" s="190"/>
      <c r="Y1068">
        <v>1.5E-11</v>
      </c>
      <c r="Z1068" s="95">
        <f t="shared" ref="Z1068:Z1088" si="864">LOG(Y1068)</f>
        <v>-10.823908740944319</v>
      </c>
      <c r="AA1068" s="95"/>
      <c r="AB1068" s="190"/>
      <c r="AC1068" s="190"/>
      <c r="AD1068" s="190"/>
      <c r="AG1068" s="138"/>
      <c r="BW1068" s="138"/>
      <c r="DG1068" s="138"/>
    </row>
    <row r="1069" spans="1:111" ht="12.75" customHeight="1" x14ac:dyDescent="0.2">
      <c r="A1069">
        <v>1023</v>
      </c>
      <c r="B1069" s="4" t="s">
        <v>1935</v>
      </c>
      <c r="C1069" s="4"/>
      <c r="D1069" s="4" t="s">
        <v>1476</v>
      </c>
      <c r="E1069" s="4">
        <v>-1804</v>
      </c>
      <c r="F1069" t="str">
        <f>VLOOKUP(E1069,CompDbase!B:L,4,FALSE)</f>
        <v>UV10</v>
      </c>
      <c r="G1069" s="95" t="str">
        <f>VLOOKUP(E1069,CompDbase!B:M,12,FALSE)</f>
        <v>overige</v>
      </c>
      <c r="H1069" s="95">
        <f>VLOOKUP(E1069,CompDbase!B:L,8,FALSE)</f>
        <v>585</v>
      </c>
      <c r="I1069" s="95" t="e">
        <f>VLOOKUP(E1069,CompDbase!B:L,11,FALSE)</f>
        <v>#DIV/0!</v>
      </c>
      <c r="J1069" s="95" t="e">
        <f>VLOOKUP(E1069,CompDbase!B:L,9,FALSE)</f>
        <v>#DIV/0!</v>
      </c>
      <c r="K1069" s="95" t="e">
        <f>VLOOKUP(E1069,CompDbase!B:L,10,FALSE)</f>
        <v>#DIV/0!</v>
      </c>
      <c r="L1069" s="4" t="s">
        <v>769</v>
      </c>
      <c r="M1069" s="423"/>
      <c r="N1069" s="423"/>
      <c r="O1069" s="4" t="s">
        <v>1740</v>
      </c>
      <c r="P1069" s="1">
        <v>353</v>
      </c>
      <c r="Q1069" s="4" t="s">
        <v>1049</v>
      </c>
      <c r="S1069" s="4"/>
      <c r="T1069" s="95"/>
      <c r="V1069">
        <v>1.5600000000000001E-2</v>
      </c>
      <c r="Y1069">
        <v>2.0499999999999998E-13</v>
      </c>
      <c r="Z1069" s="95">
        <f t="shared" si="864"/>
        <v>-12.688246138944246</v>
      </c>
      <c r="AG1069" s="138"/>
      <c r="BW1069" s="138"/>
      <c r="DG1069" s="138"/>
    </row>
    <row r="1070" spans="1:111" ht="12.75" customHeight="1" x14ac:dyDescent="0.2">
      <c r="A1070">
        <v>1024</v>
      </c>
      <c r="B1070" s="4" t="s">
        <v>1935</v>
      </c>
      <c r="C1070" s="4"/>
      <c r="D1070" s="4" t="s">
        <v>1475</v>
      </c>
      <c r="E1070" s="4">
        <v>-1803</v>
      </c>
      <c r="F1070" t="str">
        <f>VLOOKUP(E1070,CompDbase!B:L,4,FALSE)</f>
        <v>UV9</v>
      </c>
      <c r="G1070" s="95" t="str">
        <f>VLOOKUP(E1070,CompDbase!B:M,12,FALSE)</f>
        <v>overige</v>
      </c>
      <c r="H1070" s="95">
        <f>VLOOKUP(E1070,CompDbase!B:L,8,FALSE)</f>
        <v>551</v>
      </c>
      <c r="I1070" s="95" t="e">
        <f>VLOOKUP(E1070,CompDbase!B:L,11,FALSE)</f>
        <v>#DIV/0!</v>
      </c>
      <c r="J1070" s="95" t="e">
        <f>VLOOKUP(E1070,CompDbase!B:L,9,FALSE)</f>
        <v>#DIV/0!</v>
      </c>
      <c r="K1070" s="95" t="e">
        <f>VLOOKUP(E1070,CompDbase!B:L,10,FALSE)</f>
        <v>#DIV/0!</v>
      </c>
      <c r="L1070" s="4" t="s">
        <v>769</v>
      </c>
      <c r="M1070" s="423"/>
      <c r="N1070" s="423"/>
      <c r="O1070" s="4" t="s">
        <v>1740</v>
      </c>
      <c r="P1070" s="1">
        <v>353</v>
      </c>
      <c r="Q1070" s="4" t="s">
        <v>1049</v>
      </c>
      <c r="S1070" s="4"/>
      <c r="T1070" s="95"/>
      <c r="V1070">
        <v>1.6299999999999999E-2</v>
      </c>
      <c r="Y1070">
        <v>2.9700000000000005E-13</v>
      </c>
      <c r="Z1070" s="95">
        <f t="shared" si="864"/>
        <v>-12.527243550682787</v>
      </c>
      <c r="AG1070" s="138"/>
      <c r="BW1070" s="138"/>
      <c r="DG1070" s="138"/>
    </row>
    <row r="1071" spans="1:111" ht="12.75" customHeight="1" x14ac:dyDescent="0.2">
      <c r="A1071">
        <v>1025</v>
      </c>
      <c r="B1071" s="4" t="s">
        <v>1935</v>
      </c>
      <c r="C1071" s="4"/>
      <c r="D1071" s="4" t="s">
        <v>1474</v>
      </c>
      <c r="E1071" s="4">
        <v>-1802</v>
      </c>
      <c r="F1071" t="str">
        <f>VLOOKUP(E1071,CompDbase!B:L,4,FALSE)</f>
        <v>UV8</v>
      </c>
      <c r="G1071" s="95" t="str">
        <f>VLOOKUP(E1071,CompDbase!B:M,12,FALSE)</f>
        <v>overige</v>
      </c>
      <c r="H1071" s="95">
        <f>VLOOKUP(E1071,CompDbase!B:L,8,FALSE)</f>
        <v>445</v>
      </c>
      <c r="I1071" s="95" t="e">
        <f>VLOOKUP(E1071,CompDbase!B:L,11,FALSE)</f>
        <v>#DIV/0!</v>
      </c>
      <c r="J1071" s="95" t="e">
        <f>VLOOKUP(E1071,CompDbase!B:L,9,FALSE)</f>
        <v>#DIV/0!</v>
      </c>
      <c r="K1071" s="95" t="e">
        <f>VLOOKUP(E1071,CompDbase!B:L,10,FALSE)</f>
        <v>#DIV/0!</v>
      </c>
      <c r="L1071" s="4" t="s">
        <v>769</v>
      </c>
      <c r="M1071" s="423"/>
      <c r="N1071" s="423"/>
      <c r="O1071" s="4" t="s">
        <v>1740</v>
      </c>
      <c r="P1071" s="1">
        <v>353</v>
      </c>
      <c r="Q1071" s="4" t="s">
        <v>1049</v>
      </c>
      <c r="S1071" s="4"/>
      <c r="T1071" s="95"/>
      <c r="V1071">
        <v>1.485E-2</v>
      </c>
      <c r="Y1071">
        <v>4.8499999999999995E-13</v>
      </c>
      <c r="Z1071" s="95">
        <f t="shared" si="864"/>
        <v>-12.314258261397736</v>
      </c>
      <c r="AG1071" s="138"/>
      <c r="BW1071" s="138"/>
      <c r="DG1071" s="138"/>
    </row>
    <row r="1072" spans="1:111" ht="12.75" customHeight="1" x14ac:dyDescent="0.2">
      <c r="A1072">
        <v>1026</v>
      </c>
      <c r="B1072" s="4" t="s">
        <v>1935</v>
      </c>
      <c r="C1072" s="4"/>
      <c r="D1072" s="4" t="s">
        <v>1473</v>
      </c>
      <c r="E1072" s="4">
        <v>-1801</v>
      </c>
      <c r="F1072" t="str">
        <f>VLOOKUP(E1072,CompDbase!B:L,4,FALSE)</f>
        <v>UV7</v>
      </c>
      <c r="G1072" s="95" t="str">
        <f>VLOOKUP(E1072,CompDbase!B:M,12,FALSE)</f>
        <v>overige</v>
      </c>
      <c r="H1072" s="95">
        <f>VLOOKUP(E1072,CompDbase!B:L,8,FALSE)</f>
        <v>388</v>
      </c>
      <c r="I1072" s="95" t="e">
        <f>VLOOKUP(E1072,CompDbase!B:L,11,FALSE)</f>
        <v>#DIV/0!</v>
      </c>
      <c r="J1072" s="95" t="e">
        <f>VLOOKUP(E1072,CompDbase!B:L,9,FALSE)</f>
        <v>#DIV/0!</v>
      </c>
      <c r="K1072" s="95" t="e">
        <f>VLOOKUP(E1072,CompDbase!B:L,10,FALSE)</f>
        <v>#DIV/0!</v>
      </c>
      <c r="L1072" s="4" t="s">
        <v>769</v>
      </c>
      <c r="M1072" s="423"/>
      <c r="N1072" s="423"/>
      <c r="O1072" s="4" t="s">
        <v>1740</v>
      </c>
      <c r="P1072" s="1">
        <v>353</v>
      </c>
      <c r="Q1072" s="4" t="s">
        <v>1049</v>
      </c>
      <c r="S1072" s="4"/>
      <c r="T1072" s="95"/>
      <c r="V1072">
        <v>5.3200000000000001E-3</v>
      </c>
      <c r="Y1072">
        <v>2.9400000000000001E-13</v>
      </c>
      <c r="Z1072" s="95">
        <f t="shared" si="864"/>
        <v>-12.531652669587842</v>
      </c>
      <c r="AG1072" s="138"/>
      <c r="BW1072" s="138"/>
      <c r="DG1072" s="138"/>
    </row>
    <row r="1073" spans="1:111" ht="12.75" customHeight="1" x14ac:dyDescent="0.2">
      <c r="A1073">
        <v>1027</v>
      </c>
      <c r="B1073" s="4" t="s">
        <v>1935</v>
      </c>
      <c r="C1073" s="4"/>
      <c r="D1073" s="4" t="s">
        <v>1472</v>
      </c>
      <c r="E1073" s="4">
        <v>-1800</v>
      </c>
      <c r="F1073" t="str">
        <f>VLOOKUP(E1073,CompDbase!B:L,4,FALSE)</f>
        <v>UV6</v>
      </c>
      <c r="G1073" s="95" t="str">
        <f>VLOOKUP(E1073,CompDbase!B:M,12,FALSE)</f>
        <v>overige</v>
      </c>
      <c r="H1073" s="95">
        <f>VLOOKUP(E1073,CompDbase!B:L,8,FALSE)</f>
        <v>388</v>
      </c>
      <c r="I1073" s="95" t="e">
        <f>VLOOKUP(E1073,CompDbase!B:L,11,FALSE)</f>
        <v>#DIV/0!</v>
      </c>
      <c r="J1073" s="95" t="e">
        <f>VLOOKUP(E1073,CompDbase!B:L,9,FALSE)</f>
        <v>#DIV/0!</v>
      </c>
      <c r="K1073" s="95" t="e">
        <f>VLOOKUP(E1073,CompDbase!B:L,10,FALSE)</f>
        <v>#DIV/0!</v>
      </c>
      <c r="L1073" s="4" t="s">
        <v>769</v>
      </c>
      <c r="M1073" s="423"/>
      <c r="N1073" s="423"/>
      <c r="O1073" s="4" t="s">
        <v>1740</v>
      </c>
      <c r="P1073" s="1">
        <v>353</v>
      </c>
      <c r="Q1073" s="4" t="s">
        <v>1049</v>
      </c>
      <c r="S1073" s="4"/>
      <c r="T1073" s="95"/>
      <c r="V1073">
        <v>6.13E-3</v>
      </c>
      <c r="Y1073">
        <v>5.4800000000000009E-13</v>
      </c>
      <c r="Z1073" s="95">
        <f t="shared" si="864"/>
        <v>-12.26121944151563</v>
      </c>
      <c r="AG1073" s="138"/>
      <c r="BW1073" s="138"/>
      <c r="DG1073" s="138"/>
    </row>
    <row r="1074" spans="1:111" ht="12.75" customHeight="1" x14ac:dyDescent="0.2">
      <c r="A1074">
        <v>1028</v>
      </c>
      <c r="B1074" s="4" t="s">
        <v>1935</v>
      </c>
      <c r="C1074" s="4"/>
      <c r="D1074" s="4" t="s">
        <v>1471</v>
      </c>
      <c r="E1074" s="4">
        <v>-1799</v>
      </c>
      <c r="F1074" t="str">
        <f>VLOOKUP(E1074,CompDbase!B:L,4,FALSE)</f>
        <v>UV5</v>
      </c>
      <c r="G1074" s="95" t="str">
        <f>VLOOKUP(E1074,CompDbase!B:M,12,FALSE)</f>
        <v>overige</v>
      </c>
      <c r="H1074" s="95">
        <f>VLOOKUP(E1074,CompDbase!B:L,8,FALSE)</f>
        <v>346</v>
      </c>
      <c r="I1074" s="95" t="e">
        <f>VLOOKUP(E1074,CompDbase!B:L,11,FALSE)</f>
        <v>#DIV/0!</v>
      </c>
      <c r="J1074" s="95" t="e">
        <f>VLOOKUP(E1074,CompDbase!B:L,9,FALSE)</f>
        <v>#DIV/0!</v>
      </c>
      <c r="K1074" s="95" t="e">
        <f>VLOOKUP(E1074,CompDbase!B:L,10,FALSE)</f>
        <v>#DIV/0!</v>
      </c>
      <c r="L1074" s="4" t="s">
        <v>769</v>
      </c>
      <c r="M1074" s="423"/>
      <c r="N1074" s="423"/>
      <c r="O1074" s="4" t="s">
        <v>1740</v>
      </c>
      <c r="P1074" s="1">
        <v>353</v>
      </c>
      <c r="Q1074" s="4" t="s">
        <v>1049</v>
      </c>
      <c r="S1074" s="4"/>
      <c r="T1074" s="95"/>
      <c r="V1074">
        <v>1.0800000000000001E-2</v>
      </c>
      <c r="Y1074">
        <v>1.5000000000000001E-12</v>
      </c>
      <c r="Z1074" s="95">
        <f t="shared" si="864"/>
        <v>-11.823908740944319</v>
      </c>
      <c r="AG1074" s="138"/>
      <c r="BW1074" s="138"/>
      <c r="DG1074" s="138"/>
    </row>
    <row r="1075" spans="1:111" ht="12.75" customHeight="1" x14ac:dyDescent="0.2">
      <c r="A1075">
        <v>1029</v>
      </c>
      <c r="B1075" s="4" t="s">
        <v>1935</v>
      </c>
      <c r="C1075" s="4"/>
      <c r="D1075" s="4" t="s">
        <v>1470</v>
      </c>
      <c r="E1075" s="4">
        <v>-1798</v>
      </c>
      <c r="F1075" t="str">
        <f>VLOOKUP(E1075,CompDbase!B:L,4,FALSE)</f>
        <v>UV4</v>
      </c>
      <c r="G1075" s="95" t="str">
        <f>VLOOKUP(E1075,CompDbase!B:M,12,FALSE)</f>
        <v>overige</v>
      </c>
      <c r="H1075" s="95">
        <f>VLOOKUP(E1075,CompDbase!B:L,8,FALSE)</f>
        <v>332</v>
      </c>
      <c r="I1075" s="95" t="e">
        <f>VLOOKUP(E1075,CompDbase!B:L,11,FALSE)</f>
        <v>#DIV/0!</v>
      </c>
      <c r="J1075" s="95" t="e">
        <f>VLOOKUP(E1075,CompDbase!B:L,9,FALSE)</f>
        <v>#DIV/0!</v>
      </c>
      <c r="K1075" s="95" t="e">
        <f>VLOOKUP(E1075,CompDbase!B:L,10,FALSE)</f>
        <v>#DIV/0!</v>
      </c>
      <c r="L1075" s="4" t="s">
        <v>769</v>
      </c>
      <c r="M1075" s="423"/>
      <c r="N1075" s="423"/>
      <c r="O1075" s="4" t="s">
        <v>1740</v>
      </c>
      <c r="P1075" s="1">
        <v>353</v>
      </c>
      <c r="Q1075" s="4" t="s">
        <v>1049</v>
      </c>
      <c r="S1075" s="4"/>
      <c r="T1075" s="95"/>
      <c r="V1075">
        <v>8.8999999999999999E-3</v>
      </c>
      <c r="Y1075">
        <v>1.32E-12</v>
      </c>
      <c r="Z1075" s="95">
        <f t="shared" si="864"/>
        <v>-11.87942606879415</v>
      </c>
      <c r="AG1075" s="138"/>
      <c r="BW1075" s="138"/>
      <c r="DG1075" s="138"/>
    </row>
    <row r="1076" spans="1:111" ht="12.75" customHeight="1" x14ac:dyDescent="0.2">
      <c r="A1076">
        <v>1030</v>
      </c>
      <c r="B1076" s="4" t="s">
        <v>1935</v>
      </c>
      <c r="C1076" s="4"/>
      <c r="D1076" s="4" t="s">
        <v>1469</v>
      </c>
      <c r="E1076" s="4">
        <v>-1797</v>
      </c>
      <c r="F1076" t="str">
        <f>VLOOKUP(E1076,CompDbase!B:L,4,FALSE)</f>
        <v>UV3</v>
      </c>
      <c r="G1076" s="95" t="str">
        <f>VLOOKUP(E1076,CompDbase!B:M,12,FALSE)</f>
        <v>overige</v>
      </c>
      <c r="H1076" s="95">
        <f>VLOOKUP(E1076,CompDbase!B:L,8,FALSE)</f>
        <v>326</v>
      </c>
      <c r="I1076" s="95" t="e">
        <f>VLOOKUP(E1076,CompDbase!B:L,11,FALSE)</f>
        <v>#DIV/0!</v>
      </c>
      <c r="J1076" s="95" t="e">
        <f>VLOOKUP(E1076,CompDbase!B:L,9,FALSE)</f>
        <v>#DIV/0!</v>
      </c>
      <c r="K1076" s="95" t="e">
        <f>VLOOKUP(E1076,CompDbase!B:L,10,FALSE)</f>
        <v>#DIV/0!</v>
      </c>
      <c r="L1076" s="4" t="s">
        <v>769</v>
      </c>
      <c r="M1076" s="423"/>
      <c r="N1076" s="423"/>
      <c r="O1076" s="4" t="s">
        <v>1740</v>
      </c>
      <c r="P1076" s="1">
        <v>353</v>
      </c>
      <c r="Q1076" s="4" t="s">
        <v>1049</v>
      </c>
      <c r="S1076" s="4"/>
      <c r="T1076" s="95"/>
      <c r="V1076">
        <v>3.4430000000000002E-2</v>
      </c>
      <c r="Y1076">
        <v>4.5200000000000001E-12</v>
      </c>
      <c r="Z1076" s="95">
        <f t="shared" si="864"/>
        <v>-11.344861565188618</v>
      </c>
      <c r="AG1076" s="138"/>
      <c r="BW1076" s="138"/>
      <c r="DG1076" s="138"/>
    </row>
    <row r="1077" spans="1:111" ht="12.75" customHeight="1" x14ac:dyDescent="0.2">
      <c r="A1077">
        <v>1031</v>
      </c>
      <c r="B1077" s="4" t="s">
        <v>1935</v>
      </c>
      <c r="C1077" s="4"/>
      <c r="D1077" s="4" t="s">
        <v>1466</v>
      </c>
      <c r="E1077" s="4">
        <v>-1796</v>
      </c>
      <c r="F1077" t="str">
        <f>VLOOKUP(E1077,CompDbase!B:L,4,FALSE)</f>
        <v>UV2</v>
      </c>
      <c r="G1077" s="95" t="str">
        <f>VLOOKUP(E1077,CompDbase!B:M,12,FALSE)</f>
        <v>overige</v>
      </c>
      <c r="H1077" s="95">
        <f>VLOOKUP(E1077,CompDbase!B:L,8,FALSE)</f>
        <v>258</v>
      </c>
      <c r="I1077" s="95" t="e">
        <f>VLOOKUP(E1077,CompDbase!B:L,11,FALSE)</f>
        <v>#DIV/0!</v>
      </c>
      <c r="J1077" s="95" t="e">
        <f>VLOOKUP(E1077,CompDbase!B:L,9,FALSE)</f>
        <v>#DIV/0!</v>
      </c>
      <c r="K1077" s="95" t="e">
        <f>VLOOKUP(E1077,CompDbase!B:L,10,FALSE)</f>
        <v>#DIV/0!</v>
      </c>
      <c r="L1077" s="4" t="s">
        <v>769</v>
      </c>
      <c r="M1077" s="423"/>
      <c r="N1077" s="423"/>
      <c r="O1077" s="4" t="s">
        <v>1740</v>
      </c>
      <c r="P1077" s="1">
        <v>353</v>
      </c>
      <c r="Q1077" s="4" t="s">
        <v>1049</v>
      </c>
      <c r="S1077" s="4"/>
      <c r="T1077" s="95"/>
      <c r="V1077">
        <v>4.9199999999999999E-3</v>
      </c>
      <c r="Y1077">
        <v>2.3499999999999999E-12</v>
      </c>
      <c r="Z1077" s="95">
        <f t="shared" si="864"/>
        <v>-11.628932137728263</v>
      </c>
      <c r="AG1077" s="138"/>
      <c r="BW1077" s="138"/>
      <c r="DG1077" s="138"/>
    </row>
    <row r="1078" spans="1:111" ht="12.75" customHeight="1" x14ac:dyDescent="0.2">
      <c r="A1078">
        <v>1032</v>
      </c>
      <c r="B1078" s="4" t="s">
        <v>1935</v>
      </c>
      <c r="C1078" s="4"/>
      <c r="D1078" s="4" t="s">
        <v>1465</v>
      </c>
      <c r="E1078" s="4">
        <v>-1795</v>
      </c>
      <c r="F1078" t="str">
        <f>VLOOKUP(E1078,CompDbase!B:L,4,FALSE)</f>
        <v>UV1</v>
      </c>
      <c r="G1078" s="95" t="str">
        <f>VLOOKUP(E1078,CompDbase!B:M,12,FALSE)</f>
        <v>overige</v>
      </c>
      <c r="H1078" s="95">
        <f>VLOOKUP(E1078,CompDbase!B:L,8,FALSE)</f>
        <v>214</v>
      </c>
      <c r="I1078" s="95" t="e">
        <f>VLOOKUP(E1078,CompDbase!B:L,11,FALSE)</f>
        <v>#DIV/0!</v>
      </c>
      <c r="J1078" s="95" t="e">
        <f>VLOOKUP(E1078,CompDbase!B:L,9,FALSE)</f>
        <v>#DIV/0!</v>
      </c>
      <c r="K1078" s="95" t="e">
        <f>VLOOKUP(E1078,CompDbase!B:L,10,FALSE)</f>
        <v>#DIV/0!</v>
      </c>
      <c r="L1078" s="4" t="s">
        <v>769</v>
      </c>
      <c r="M1078" s="423"/>
      <c r="N1078" s="423"/>
      <c r="O1078" s="4" t="s">
        <v>1740</v>
      </c>
      <c r="P1078" s="1">
        <v>353</v>
      </c>
      <c r="Q1078" s="4" t="s">
        <v>1049</v>
      </c>
      <c r="S1078" s="4"/>
      <c r="T1078" s="95"/>
      <c r="V1078">
        <v>2.7000000000000001E-3</v>
      </c>
      <c r="Y1078">
        <v>2.2699999999999998E-12</v>
      </c>
      <c r="Z1078" s="95">
        <f t="shared" si="864"/>
        <v>-11.643974142806877</v>
      </c>
      <c r="AG1078" s="138"/>
      <c r="BW1078" s="138"/>
      <c r="DG1078" s="138"/>
    </row>
    <row r="1079" spans="1:111" ht="12.75" customHeight="1" x14ac:dyDescent="0.2">
      <c r="A1079">
        <v>1033</v>
      </c>
      <c r="B1079" s="4" t="s">
        <v>1935</v>
      </c>
      <c r="C1079" s="4"/>
      <c r="D1079" s="4" t="s">
        <v>1476</v>
      </c>
      <c r="E1079" s="4">
        <v>-1804</v>
      </c>
      <c r="F1079" t="str">
        <f>VLOOKUP(E1079,CompDbase!B:L,4,FALSE)</f>
        <v>UV10</v>
      </c>
      <c r="G1079" s="95" t="str">
        <f>VLOOKUP(E1079,CompDbase!B:M,12,FALSE)</f>
        <v>overige</v>
      </c>
      <c r="H1079" s="95">
        <f>VLOOKUP(E1079,CompDbase!B:L,8,FALSE)</f>
        <v>585</v>
      </c>
      <c r="I1079" s="95" t="e">
        <f>VLOOKUP(E1079,CompDbase!B:L,11,FALSE)</f>
        <v>#DIV/0!</v>
      </c>
      <c r="J1079" s="95" t="e">
        <f>VLOOKUP(E1079,CompDbase!B:L,9,FALSE)</f>
        <v>#DIV/0!</v>
      </c>
      <c r="K1079" s="95" t="e">
        <f>VLOOKUP(E1079,CompDbase!B:L,10,FALSE)</f>
        <v>#DIV/0!</v>
      </c>
      <c r="L1079" s="4" t="s">
        <v>769</v>
      </c>
      <c r="M1079" s="423"/>
      <c r="N1079" s="423"/>
      <c r="O1079" s="4" t="s">
        <v>1740</v>
      </c>
      <c r="P1079" s="1">
        <v>373</v>
      </c>
      <c r="Q1079" s="4" t="s">
        <v>1049</v>
      </c>
      <c r="S1079" s="4"/>
      <c r="T1079" s="95"/>
      <c r="V1079">
        <v>2.1250000000000002E-2</v>
      </c>
      <c r="Y1079">
        <v>3.9399999999999999E-13</v>
      </c>
      <c r="Z1079" s="95">
        <f t="shared" si="864"/>
        <v>-12.404503778174426</v>
      </c>
      <c r="AG1079" s="138"/>
      <c r="BW1079" s="138"/>
      <c r="DG1079" s="138"/>
    </row>
    <row r="1080" spans="1:111" ht="12.75" customHeight="1" x14ac:dyDescent="0.2">
      <c r="A1080">
        <v>1034</v>
      </c>
      <c r="B1080" s="4" t="s">
        <v>1935</v>
      </c>
      <c r="C1080" s="4"/>
      <c r="D1080" s="4" t="s">
        <v>1475</v>
      </c>
      <c r="E1080" s="4">
        <v>-1803</v>
      </c>
      <c r="F1080" t="str">
        <f>VLOOKUP(E1080,CompDbase!B:L,4,FALSE)</f>
        <v>UV9</v>
      </c>
      <c r="G1080" s="95" t="str">
        <f>VLOOKUP(E1080,CompDbase!B:M,12,FALSE)</f>
        <v>overige</v>
      </c>
      <c r="H1080" s="95">
        <f>VLOOKUP(E1080,CompDbase!B:L,8,FALSE)</f>
        <v>551</v>
      </c>
      <c r="I1080" s="95" t="e">
        <f>VLOOKUP(E1080,CompDbase!B:L,11,FALSE)</f>
        <v>#DIV/0!</v>
      </c>
      <c r="J1080" s="95" t="e">
        <f>VLOOKUP(E1080,CompDbase!B:L,9,FALSE)</f>
        <v>#DIV/0!</v>
      </c>
      <c r="K1080" s="95" t="e">
        <f>VLOOKUP(E1080,CompDbase!B:L,10,FALSE)</f>
        <v>#DIV/0!</v>
      </c>
      <c r="L1080" s="4" t="s">
        <v>769</v>
      </c>
      <c r="M1080" s="423"/>
      <c r="N1080" s="423"/>
      <c r="O1080" s="4" t="s">
        <v>1740</v>
      </c>
      <c r="P1080" s="1">
        <v>373</v>
      </c>
      <c r="Q1080" s="4" t="s">
        <v>1049</v>
      </c>
      <c r="S1080" s="4"/>
      <c r="T1080" s="95"/>
      <c r="V1080">
        <v>2.0750000000000001E-2</v>
      </c>
      <c r="Y1080">
        <v>6.7000000000000007E-13</v>
      </c>
      <c r="Z1080" s="95">
        <f t="shared" si="864"/>
        <v>-12.173925197299173</v>
      </c>
      <c r="AG1080" s="138"/>
      <c r="BW1080" s="138"/>
      <c r="DG1080" s="138"/>
    </row>
    <row r="1081" spans="1:111" ht="12.75" customHeight="1" x14ac:dyDescent="0.2">
      <c r="A1081">
        <v>1035</v>
      </c>
      <c r="B1081" s="4" t="s">
        <v>1935</v>
      </c>
      <c r="C1081" s="4"/>
      <c r="D1081" s="4" t="s">
        <v>1474</v>
      </c>
      <c r="E1081" s="4">
        <v>-1802</v>
      </c>
      <c r="F1081" t="str">
        <f>VLOOKUP(E1081,CompDbase!B:L,4,FALSE)</f>
        <v>UV8</v>
      </c>
      <c r="G1081" s="95" t="str">
        <f>VLOOKUP(E1081,CompDbase!B:M,12,FALSE)</f>
        <v>overige</v>
      </c>
      <c r="H1081" s="95">
        <f>VLOOKUP(E1081,CompDbase!B:L,8,FALSE)</f>
        <v>445</v>
      </c>
      <c r="I1081" s="95" t="e">
        <f>VLOOKUP(E1081,CompDbase!B:L,11,FALSE)</f>
        <v>#DIV/0!</v>
      </c>
      <c r="J1081" s="95" t="e">
        <f>VLOOKUP(E1081,CompDbase!B:L,9,FALSE)</f>
        <v>#DIV/0!</v>
      </c>
      <c r="K1081" s="95" t="e">
        <f>VLOOKUP(E1081,CompDbase!B:L,10,FALSE)</f>
        <v>#DIV/0!</v>
      </c>
      <c r="L1081" s="4" t="s">
        <v>769</v>
      </c>
      <c r="M1081" s="423"/>
      <c r="N1081" s="423"/>
      <c r="O1081" s="4" t="s">
        <v>1740</v>
      </c>
      <c r="P1081" s="1">
        <v>373</v>
      </c>
      <c r="Q1081" s="4" t="s">
        <v>1049</v>
      </c>
      <c r="S1081" s="4"/>
      <c r="T1081" s="95"/>
      <c r="V1081">
        <v>1.925E-2</v>
      </c>
      <c r="Y1081">
        <v>1.0699999999999999E-12</v>
      </c>
      <c r="Z1081" s="95">
        <f t="shared" si="864"/>
        <v>-11.97061622231479</v>
      </c>
      <c r="AG1081" s="138"/>
      <c r="BW1081" s="138"/>
      <c r="DG1081" s="138"/>
    </row>
    <row r="1082" spans="1:111" ht="12.75" customHeight="1" x14ac:dyDescent="0.2">
      <c r="A1082">
        <v>1036</v>
      </c>
      <c r="B1082" s="4" t="s">
        <v>1935</v>
      </c>
      <c r="C1082" s="4"/>
      <c r="D1082" s="4" t="s">
        <v>1473</v>
      </c>
      <c r="E1082" s="4">
        <v>-1801</v>
      </c>
      <c r="F1082" t="str">
        <f>VLOOKUP(E1082,CompDbase!B:L,4,FALSE)</f>
        <v>UV7</v>
      </c>
      <c r="G1082" s="95" t="str">
        <f>VLOOKUP(E1082,CompDbase!B:M,12,FALSE)</f>
        <v>overige</v>
      </c>
      <c r="H1082" s="95">
        <f>VLOOKUP(E1082,CompDbase!B:L,8,FALSE)</f>
        <v>388</v>
      </c>
      <c r="I1082" s="95" t="e">
        <f>VLOOKUP(E1082,CompDbase!B:L,11,FALSE)</f>
        <v>#DIV/0!</v>
      </c>
      <c r="J1082" s="95" t="e">
        <f>VLOOKUP(E1082,CompDbase!B:L,9,FALSE)</f>
        <v>#DIV/0!</v>
      </c>
      <c r="K1082" s="95" t="e">
        <f>VLOOKUP(E1082,CompDbase!B:L,10,FALSE)</f>
        <v>#DIV/0!</v>
      </c>
      <c r="L1082" s="4" t="s">
        <v>769</v>
      </c>
      <c r="M1082" s="423"/>
      <c r="N1082" s="423"/>
      <c r="O1082" s="4" t="s">
        <v>1740</v>
      </c>
      <c r="P1082" s="1">
        <v>373</v>
      </c>
      <c r="Q1082" s="4" t="s">
        <v>1049</v>
      </c>
      <c r="S1082" s="4"/>
      <c r="T1082" s="95"/>
      <c r="V1082">
        <v>7.8000000000000005E-3</v>
      </c>
      <c r="Y1082">
        <v>7.8700000000000008E-13</v>
      </c>
      <c r="Z1082" s="95">
        <f t="shared" si="864"/>
        <v>-12.104025267640935</v>
      </c>
      <c r="AG1082" s="138"/>
      <c r="BW1082" s="138"/>
      <c r="DG1082" s="138"/>
    </row>
    <row r="1083" spans="1:111" ht="12.75" customHeight="1" x14ac:dyDescent="0.2">
      <c r="A1083">
        <v>1037</v>
      </c>
      <c r="B1083" s="4" t="s">
        <v>1935</v>
      </c>
      <c r="C1083" s="4"/>
      <c r="D1083" s="4" t="s">
        <v>1472</v>
      </c>
      <c r="E1083" s="4">
        <v>-1800</v>
      </c>
      <c r="F1083" t="str">
        <f>VLOOKUP(E1083,CompDbase!B:L,4,FALSE)</f>
        <v>UV6</v>
      </c>
      <c r="G1083" s="95" t="str">
        <f>VLOOKUP(E1083,CompDbase!B:M,12,FALSE)</f>
        <v>overige</v>
      </c>
      <c r="H1083" s="95">
        <f>VLOOKUP(E1083,CompDbase!B:L,8,FALSE)</f>
        <v>388</v>
      </c>
      <c r="I1083" s="95" t="e">
        <f>VLOOKUP(E1083,CompDbase!B:L,11,FALSE)</f>
        <v>#DIV/0!</v>
      </c>
      <c r="J1083" s="95" t="e">
        <f>VLOOKUP(E1083,CompDbase!B:L,9,FALSE)</f>
        <v>#DIV/0!</v>
      </c>
      <c r="K1083" s="95" t="e">
        <f>VLOOKUP(E1083,CompDbase!B:L,10,FALSE)</f>
        <v>#DIV/0!</v>
      </c>
      <c r="L1083" s="4" t="s">
        <v>769</v>
      </c>
      <c r="M1083" s="423"/>
      <c r="N1083" s="423"/>
      <c r="O1083" s="4" t="s">
        <v>1740</v>
      </c>
      <c r="P1083" s="1">
        <v>373</v>
      </c>
      <c r="Q1083" s="4" t="s">
        <v>1049</v>
      </c>
      <c r="S1083" s="4"/>
      <c r="T1083" s="95"/>
      <c r="V1083">
        <v>8.199999999999999E-3</v>
      </c>
      <c r="Y1083">
        <v>1.3600000000000001E-12</v>
      </c>
      <c r="Z1083" s="95">
        <f t="shared" si="864"/>
        <v>-11.866461091629782</v>
      </c>
      <c r="AG1083" s="138"/>
      <c r="BW1083" s="138"/>
      <c r="DG1083" s="138"/>
    </row>
    <row r="1084" spans="1:111" ht="12.75" customHeight="1" x14ac:dyDescent="0.2">
      <c r="A1084">
        <v>1038</v>
      </c>
      <c r="B1084" s="4" t="s">
        <v>1935</v>
      </c>
      <c r="C1084" s="4"/>
      <c r="D1084" s="4" t="s">
        <v>1471</v>
      </c>
      <c r="E1084" s="4">
        <v>-1799</v>
      </c>
      <c r="F1084" t="str">
        <f>VLOOKUP(E1084,CompDbase!B:L,4,FALSE)</f>
        <v>UV5</v>
      </c>
      <c r="G1084" s="95" t="str">
        <f>VLOOKUP(E1084,CompDbase!B:M,12,FALSE)</f>
        <v>overige</v>
      </c>
      <c r="H1084" s="95">
        <f>VLOOKUP(E1084,CompDbase!B:L,8,FALSE)</f>
        <v>346</v>
      </c>
      <c r="I1084" s="95" t="e">
        <f>VLOOKUP(E1084,CompDbase!B:L,11,FALSE)</f>
        <v>#DIV/0!</v>
      </c>
      <c r="J1084" s="95" t="e">
        <f>VLOOKUP(E1084,CompDbase!B:L,9,FALSE)</f>
        <v>#DIV/0!</v>
      </c>
      <c r="K1084" s="95" t="e">
        <f>VLOOKUP(E1084,CompDbase!B:L,10,FALSE)</f>
        <v>#DIV/0!</v>
      </c>
      <c r="L1084" s="4" t="s">
        <v>769</v>
      </c>
      <c r="M1084" s="423"/>
      <c r="N1084" s="423"/>
      <c r="O1084" s="4" t="s">
        <v>1740</v>
      </c>
      <c r="P1084" s="1">
        <v>373</v>
      </c>
      <c r="Q1084" s="4" t="s">
        <v>1049</v>
      </c>
      <c r="S1084" s="4"/>
      <c r="T1084" s="95"/>
      <c r="V1084">
        <v>1.8000000000000002E-2</v>
      </c>
      <c r="Y1084">
        <v>3.3899999999999999E-12</v>
      </c>
      <c r="Z1084" s="95">
        <f t="shared" si="864"/>
        <v>-11.469800301796917</v>
      </c>
      <c r="AG1084" s="138"/>
      <c r="BW1084" s="138"/>
      <c r="DG1084" s="138"/>
    </row>
    <row r="1085" spans="1:111" ht="12.75" customHeight="1" x14ac:dyDescent="0.2">
      <c r="A1085">
        <v>1039</v>
      </c>
      <c r="B1085" s="4" t="s">
        <v>1935</v>
      </c>
      <c r="C1085" s="4"/>
      <c r="D1085" s="4" t="s">
        <v>1470</v>
      </c>
      <c r="E1085" s="4">
        <v>-1798</v>
      </c>
      <c r="F1085" t="str">
        <f>VLOOKUP(E1085,CompDbase!B:L,4,FALSE)</f>
        <v>UV4</v>
      </c>
      <c r="G1085" s="95" t="str">
        <f>VLOOKUP(E1085,CompDbase!B:M,12,FALSE)</f>
        <v>overige</v>
      </c>
      <c r="H1085" s="95">
        <f>VLOOKUP(E1085,CompDbase!B:L,8,FALSE)</f>
        <v>332</v>
      </c>
      <c r="I1085" s="95" t="e">
        <f>VLOOKUP(E1085,CompDbase!B:L,11,FALSE)</f>
        <v>#DIV/0!</v>
      </c>
      <c r="J1085" s="95" t="e">
        <f>VLOOKUP(E1085,CompDbase!B:L,9,FALSE)</f>
        <v>#DIV/0!</v>
      </c>
      <c r="K1085" s="95" t="e">
        <f>VLOOKUP(E1085,CompDbase!B:L,10,FALSE)</f>
        <v>#DIV/0!</v>
      </c>
      <c r="L1085" s="4" t="s">
        <v>769</v>
      </c>
      <c r="M1085" s="423"/>
      <c r="N1085" s="423"/>
      <c r="O1085" s="4" t="s">
        <v>1740</v>
      </c>
      <c r="P1085" s="1">
        <v>373</v>
      </c>
      <c r="Q1085" s="4" t="s">
        <v>1049</v>
      </c>
      <c r="S1085" s="4"/>
      <c r="T1085" s="95"/>
      <c r="V1085">
        <v>1.4199999999999999E-2</v>
      </c>
      <c r="Y1085">
        <v>2.8500000000000002E-12</v>
      </c>
      <c r="Z1085" s="95">
        <f t="shared" si="864"/>
        <v>-11.54515513999149</v>
      </c>
      <c r="AG1085" s="138"/>
      <c r="BW1085" s="138"/>
      <c r="DG1085" s="138"/>
    </row>
    <row r="1086" spans="1:111" ht="12.75" customHeight="1" x14ac:dyDescent="0.2">
      <c r="A1086">
        <v>1040</v>
      </c>
      <c r="B1086" s="4" t="s">
        <v>1935</v>
      </c>
      <c r="C1086" s="4"/>
      <c r="D1086" s="4" t="s">
        <v>1469</v>
      </c>
      <c r="E1086" s="4">
        <v>-1797</v>
      </c>
      <c r="F1086" t="str">
        <f>VLOOKUP(E1086,CompDbase!B:L,4,FALSE)</f>
        <v>UV3</v>
      </c>
      <c r="G1086" s="95" t="str">
        <f>VLOOKUP(E1086,CompDbase!B:M,12,FALSE)</f>
        <v>overige</v>
      </c>
      <c r="H1086" s="95">
        <f>VLOOKUP(E1086,CompDbase!B:L,8,FALSE)</f>
        <v>326</v>
      </c>
      <c r="I1086" s="95" t="e">
        <f>VLOOKUP(E1086,CompDbase!B:L,11,FALSE)</f>
        <v>#DIV/0!</v>
      </c>
      <c r="J1086" s="95" t="e">
        <f>VLOOKUP(E1086,CompDbase!B:L,9,FALSE)</f>
        <v>#DIV/0!</v>
      </c>
      <c r="K1086" s="95" t="e">
        <f>VLOOKUP(E1086,CompDbase!B:L,10,FALSE)</f>
        <v>#DIV/0!</v>
      </c>
      <c r="L1086" s="4" t="s">
        <v>769</v>
      </c>
      <c r="M1086" s="423"/>
      <c r="N1086" s="423"/>
      <c r="O1086" s="4" t="s">
        <v>1740</v>
      </c>
      <c r="P1086" s="1">
        <v>373</v>
      </c>
      <c r="Q1086" s="4" t="s">
        <v>1049</v>
      </c>
      <c r="S1086" s="4"/>
      <c r="T1086" s="95"/>
      <c r="V1086">
        <v>4.8000000000000001E-2</v>
      </c>
      <c r="Y1086">
        <v>9.5900000000000009E-12</v>
      </c>
      <c r="Z1086" s="95">
        <f t="shared" si="864"/>
        <v>-11.018181392829336</v>
      </c>
      <c r="AG1086" s="138"/>
      <c r="BW1086" s="138"/>
      <c r="DG1086" s="138"/>
    </row>
    <row r="1087" spans="1:111" ht="12.75" customHeight="1" x14ac:dyDescent="0.2">
      <c r="A1087">
        <v>1041</v>
      </c>
      <c r="B1087" s="4" t="s">
        <v>1935</v>
      </c>
      <c r="C1087" s="4"/>
      <c r="D1087" s="4" t="s">
        <v>1466</v>
      </c>
      <c r="E1087" s="4">
        <v>-1796</v>
      </c>
      <c r="F1087" t="str">
        <f>VLOOKUP(E1087,CompDbase!B:L,4,FALSE)</f>
        <v>UV2</v>
      </c>
      <c r="G1087" s="95" t="str">
        <f>VLOOKUP(E1087,CompDbase!B:M,12,FALSE)</f>
        <v>overige</v>
      </c>
      <c r="H1087" s="95">
        <f>VLOOKUP(E1087,CompDbase!B:L,8,FALSE)</f>
        <v>258</v>
      </c>
      <c r="I1087" s="95" t="e">
        <f>VLOOKUP(E1087,CompDbase!B:L,11,FALSE)</f>
        <v>#DIV/0!</v>
      </c>
      <c r="J1087" s="95" t="e">
        <f>VLOOKUP(E1087,CompDbase!B:L,9,FALSE)</f>
        <v>#DIV/0!</v>
      </c>
      <c r="K1087" s="95" t="e">
        <f>VLOOKUP(E1087,CompDbase!B:L,10,FALSE)</f>
        <v>#DIV/0!</v>
      </c>
      <c r="L1087" s="4" t="s">
        <v>769</v>
      </c>
      <c r="M1087" s="423"/>
      <c r="N1087" s="423"/>
      <c r="O1087" s="4" t="s">
        <v>1740</v>
      </c>
      <c r="P1087" s="1">
        <v>373</v>
      </c>
      <c r="Q1087" s="4" t="s">
        <v>1049</v>
      </c>
      <c r="S1087" s="4"/>
      <c r="T1087" s="95"/>
      <c r="V1087">
        <v>1.43E-2</v>
      </c>
      <c r="Y1087">
        <v>5.5000000000000004E-12</v>
      </c>
      <c r="Z1087" s="95">
        <f t="shared" si="864"/>
        <v>-11.259637310505756</v>
      </c>
      <c r="AG1087" s="138"/>
      <c r="BW1087" s="138"/>
      <c r="DG1087" s="138"/>
    </row>
    <row r="1088" spans="1:111" ht="12.75" customHeight="1" x14ac:dyDescent="0.2">
      <c r="A1088">
        <v>1042</v>
      </c>
      <c r="B1088" s="4" t="s">
        <v>1935</v>
      </c>
      <c r="C1088" s="4"/>
      <c r="D1088" s="4" t="s">
        <v>1465</v>
      </c>
      <c r="E1088" s="4">
        <v>-1795</v>
      </c>
      <c r="F1088" t="str">
        <f>VLOOKUP(E1088,CompDbase!B:L,4,FALSE)</f>
        <v>UV1</v>
      </c>
      <c r="G1088" s="95" t="str">
        <f>VLOOKUP(E1088,CompDbase!B:M,12,FALSE)</f>
        <v>overige</v>
      </c>
      <c r="H1088" s="95">
        <f>VLOOKUP(E1088,CompDbase!B:L,8,FALSE)</f>
        <v>214</v>
      </c>
      <c r="I1088" s="95" t="e">
        <f>VLOOKUP(E1088,CompDbase!B:L,11,FALSE)</f>
        <v>#DIV/0!</v>
      </c>
      <c r="J1088" s="95" t="e">
        <f>VLOOKUP(E1088,CompDbase!B:L,9,FALSE)</f>
        <v>#DIV/0!</v>
      </c>
      <c r="K1088" s="95" t="e">
        <f>VLOOKUP(E1088,CompDbase!B:L,10,FALSE)</f>
        <v>#DIV/0!</v>
      </c>
      <c r="L1088" s="4" t="s">
        <v>769</v>
      </c>
      <c r="M1088" s="423"/>
      <c r="N1088" s="423"/>
      <c r="O1088" s="4" t="s">
        <v>1740</v>
      </c>
      <c r="P1088" s="1">
        <v>373</v>
      </c>
      <c r="Q1088" s="4" t="s">
        <v>1049</v>
      </c>
      <c r="S1088" s="4"/>
      <c r="T1088" s="95"/>
      <c r="V1088">
        <v>7.3000000000000001E-3</v>
      </c>
      <c r="Y1088">
        <v>6.2000000000000002E-12</v>
      </c>
      <c r="Z1088" s="95">
        <f t="shared" si="864"/>
        <v>-11.207608310501746</v>
      </c>
      <c r="AG1088" s="138"/>
      <c r="BW1088" s="138"/>
      <c r="DG1088" s="138"/>
    </row>
    <row r="1091" spans="5:15" x14ac:dyDescent="0.2">
      <c r="I1091" s="95">
        <v>47</v>
      </c>
      <c r="J1091" s="95">
        <v>620</v>
      </c>
    </row>
    <row r="1092" spans="5:15" x14ac:dyDescent="0.2">
      <c r="I1092" s="95">
        <v>619</v>
      </c>
      <c r="J1092" s="95">
        <v>927</v>
      </c>
    </row>
    <row r="1093" spans="5:15" x14ac:dyDescent="0.2">
      <c r="G1093" s="441" t="s">
        <v>2057</v>
      </c>
      <c r="H1093" s="438" t="s">
        <v>11</v>
      </c>
      <c r="I1093" s="438"/>
      <c r="J1093" s="438"/>
      <c r="K1093" s="438"/>
      <c r="L1093" s="438"/>
      <c r="M1093" s="438"/>
      <c r="N1093" s="438"/>
      <c r="O1093" s="438"/>
    </row>
    <row r="1094" spans="5:15" x14ac:dyDescent="0.2">
      <c r="G1094" s="441" t="s">
        <v>1762</v>
      </c>
      <c r="H1094" s="443" t="s">
        <v>1531</v>
      </c>
      <c r="I1094" s="442"/>
      <c r="J1094" s="438"/>
      <c r="K1094" s="439"/>
      <c r="L1094" s="442" t="s">
        <v>2024</v>
      </c>
      <c r="M1094" s="442"/>
      <c r="N1094" s="438"/>
      <c r="O1094" s="438"/>
    </row>
    <row r="1095" spans="5:15" x14ac:dyDescent="0.2">
      <c r="G1095" s="444"/>
      <c r="H1095" s="446" t="s">
        <v>1412</v>
      </c>
      <c r="I1095" s="445" t="s">
        <v>1856</v>
      </c>
      <c r="J1095" s="436" t="s">
        <v>1772</v>
      </c>
      <c r="K1095" s="437" t="s">
        <v>1773</v>
      </c>
      <c r="L1095" s="447" t="s">
        <v>1412</v>
      </c>
      <c r="M1095" s="447" t="s">
        <v>1856</v>
      </c>
      <c r="N1095" s="440" t="s">
        <v>1772</v>
      </c>
      <c r="O1095" s="440" t="s">
        <v>1773</v>
      </c>
    </row>
    <row r="1096" spans="5:15" x14ac:dyDescent="0.2">
      <c r="E1096">
        <v>200</v>
      </c>
      <c r="F1096" t="str">
        <f>VLOOKUP(E1096,CompDbase!B:L,4,FALSE)</f>
        <v>Benzene</v>
      </c>
      <c r="G1096" s="456" t="s">
        <v>0</v>
      </c>
      <c r="H1096" s="459">
        <f t="array" ref="H1096">COUNT(IF($E$47:$E$619=$E1096,IF($X$47:$X$619&gt;0,$X$47:$X$619)))</f>
        <v>1</v>
      </c>
      <c r="I1096" s="450">
        <f t="array" ref="I1096">IF(H1096=0,"",MEDIAN(IF($E$47:$E$619=$E1096,IF($X$47:$X$619&gt;0,$X$47:$X$619))))</f>
        <v>1.6957044612778704</v>
      </c>
      <c r="J1096" s="450" t="str">
        <f t="array" ref="J1096">IF(H1096&lt;2,"",MIN(IF($E$47:$E$619=$E1096,IF($X$47:$X$619&gt;0,$X$47:$X$619))))</f>
        <v/>
      </c>
      <c r="K1096" s="451" t="str">
        <f t="array" ref="K1096">IF(H1096&lt;2,"",MAX(IF($E$47:$E$619=$E1096,IF($X$47:$X$619&gt;0,$X$47:$X$619))))</f>
        <v/>
      </c>
      <c r="L1096" s="459">
        <f t="array" ref="L1096">COUNT(IF($E$47:$E$619=$E1096,IF($Z$47:$Z$619&lt;0,$Z$47:$Z$619)))</f>
        <v>11</v>
      </c>
      <c r="M1096" s="450">
        <f t="array" ref="M1096">IF(L1096=0,"",MEDIAN(IF($E$47:$E$619=$E1096,IF($Z$47:$Z$619&lt;0,$Z$47:$Z$619))))</f>
        <v>-11.96657624451305</v>
      </c>
      <c r="N1096" s="450">
        <f t="array" ref="N1096">IF(L1096&lt;2,"",MIN(IF($E$47:$E$619=$E1096,IF($Z$47:$Z$619&lt;0,$Z$47:$Z$619))))</f>
        <v>-12.42021640338319</v>
      </c>
      <c r="O1096" s="451">
        <f t="array" ref="O1096">IF(L1096&lt;2,"",MAX(IF($E$47:$E$619=$E1096,IF($Z$47:$Z$619&lt;0,$Z$47:$Z$619))))</f>
        <v>-11.522878745280337</v>
      </c>
    </row>
    <row r="1097" spans="5:15" x14ac:dyDescent="0.2">
      <c r="E1097">
        <v>201</v>
      </c>
      <c r="F1097" t="str">
        <f>VLOOKUP(E1097,CompDbase!B:L,4,FALSE)</f>
        <v>Ethylbenzene</v>
      </c>
      <c r="G1097" s="457" t="s">
        <v>3</v>
      </c>
      <c r="H1097" s="460">
        <f t="array" ref="H1097">COUNT(IF($E$47:$E$619=$E1097,IF($X$47:$X$619&gt;0,$X$47:$X$619)))</f>
        <v>1</v>
      </c>
      <c r="I1097" s="452">
        <f t="array" ref="I1097">IF(H1097=0,"",MEDIAN(IF($E$47:$E$619=$E1097,IF($X$47:$X$619&gt;0,$X$47:$X$619))))</f>
        <v>2.774826257225282</v>
      </c>
      <c r="J1097" s="452" t="str">
        <f t="array" ref="J1097">IF(H1097&lt;2,"",MIN(IF($E$47:$E$619=$E1097,IF($X$47:$X$619&gt;0,$X$47:$X$619))))</f>
        <v/>
      </c>
      <c r="K1097" s="453" t="str">
        <f t="array" ref="K1097">IF(H1097&lt;2,"",MAX(IF($E$47:$E$619=$E1097,IF($X$47:$X$619&gt;0,$X$47:$X$619))))</f>
        <v/>
      </c>
      <c r="L1097" s="460">
        <f t="array" ref="L1097">COUNT(IF($E$47:$E$619=$E1097,IF($Z$47:$Z$619&lt;0,$Z$47:$Z$619)))</f>
        <v>0</v>
      </c>
      <c r="M1097" s="452" t="str">
        <f t="array" ref="M1097">IF(L1097=0,"",MEDIAN(IF($E$47:$E$619=$E1097,IF($Z$47:$Z$619&lt;0,$Z$47:$Z$619))))</f>
        <v/>
      </c>
      <c r="N1097" s="452" t="str">
        <f t="array" ref="N1097">IF(L1097&lt;2,"",MIN(IF($E$47:$E$619=$E1097,IF($Z$47:$Z$619&lt;0,$Z$47:$Z$619))))</f>
        <v/>
      </c>
      <c r="O1097" s="453" t="str">
        <f t="array" ref="O1097">IF(L1097&lt;2,"",MAX(IF($E$47:$E$619=$E1097,IF($Z$47:$Z$619&lt;0,$Z$47:$Z$619))))</f>
        <v/>
      </c>
    </row>
    <row r="1098" spans="5:15" x14ac:dyDescent="0.2">
      <c r="E1098">
        <v>204</v>
      </c>
      <c r="F1098" t="str">
        <f>VLOOKUP(E1098,CompDbase!B:L,4,FALSE)</f>
        <v>Toluene</v>
      </c>
      <c r="G1098" s="457" t="s">
        <v>20</v>
      </c>
      <c r="H1098" s="460">
        <f t="array" ref="H1098">COUNT(IF($E$47:$E$619=$E1098,IF($X$47:$X$619&gt;0,$X$47:$X$619)))</f>
        <v>8</v>
      </c>
      <c r="I1098" s="452">
        <f t="array" ref="I1098">IF(H1098=0,"",MEDIAN(IF($E$47:$E$619=$E1098,IF($X$47:$X$619&gt;0,$X$47:$X$619))))</f>
        <v>1.6666833277548583</v>
      </c>
      <c r="J1098" s="452">
        <f t="array" ref="J1098">IF(H1098&lt;2,"",MIN(IF($E$47:$E$619=$E1098,IF($X$47:$X$619&gt;0,$X$47:$X$619))))</f>
        <v>1.3463529744506386</v>
      </c>
      <c r="K1098" s="453">
        <f t="array" ref="K1098">IF(H1098&lt;2,"",MAX(IF($E$47:$E$619=$E1098,IF($X$47:$X$619&gt;0,$X$47:$X$619))))</f>
        <v>2.2518354070040654</v>
      </c>
      <c r="L1098" s="460">
        <f t="array" ref="L1098">COUNT(IF($E$47:$E$619=$E1098,IF($Z$47:$Z$619&lt;0,$Z$47:$Z$619)))</f>
        <v>12</v>
      </c>
      <c r="M1098" s="452">
        <f t="array" ref="M1098">IF(L1098=0,"",MEDIAN(IF($E$47:$E$619=$E1098,IF($Z$47:$Z$619&lt;0,$Z$47:$Z$619))))</f>
        <v>-12.094270596384526</v>
      </c>
      <c r="N1098" s="452">
        <f t="array" ref="N1098">IF(L1098&lt;2,"",MIN(IF($E$47:$E$619=$E1098,IF($Z$47:$Z$619&lt;0,$Z$47:$Z$619))))</f>
        <v>-12.405034825436639</v>
      </c>
      <c r="O1098" s="453">
        <f t="array" ref="O1098">IF(L1098&lt;2,"",MAX(IF($E$47:$E$619=$E1098,IF($Z$47:$Z$619&lt;0,$Z$47:$Z$619))))</f>
        <v>-11.405034825436639</v>
      </c>
    </row>
    <row r="1099" spans="5:15" x14ac:dyDescent="0.2">
      <c r="E1099">
        <v>310</v>
      </c>
      <c r="F1099" t="str">
        <f>VLOOKUP(E1099,CompDbase!B:L,4,FALSE)</f>
        <v>Naphthalene</v>
      </c>
      <c r="G1099" s="457" t="s">
        <v>4</v>
      </c>
      <c r="H1099" s="460">
        <f t="array" ref="H1099">COUNT(IF($E$47:$E$619=$E1099,IF($X$47:$X$619&gt;0,$X$47:$X$619)))</f>
        <v>2</v>
      </c>
      <c r="I1099" s="452">
        <f t="array" ref="I1099">IF(H1099=0,"",MEDIAN(IF($E$47:$E$619=$E1099,IF($X$47:$X$619&gt;0,$X$47:$X$619))))</f>
        <v>2.9</v>
      </c>
      <c r="J1099" s="452">
        <f t="array" ref="J1099">IF(H1099&lt;2,"",MIN(IF($E$47:$E$619=$E1099,IF($X$47:$X$619&gt;0,$X$47:$X$619))))</f>
        <v>2.8</v>
      </c>
      <c r="K1099" s="453">
        <f t="array" ref="K1099">IF(H1099&lt;2,"",MAX(IF($E$47:$E$619=$E1099,IF($X$47:$X$619&gt;0,$X$47:$X$619))))</f>
        <v>3</v>
      </c>
      <c r="L1099" s="460">
        <f t="array" ref="L1099">COUNT(IF($E$47:$E$619=$E1099,IF($Z$47:$Z$619&lt;0,$Z$47:$Z$619)))</f>
        <v>0</v>
      </c>
      <c r="M1099" s="452" t="str">
        <f t="array" ref="M1099">IF(L1099=0,"",MEDIAN(IF($E$47:$E$619=$E1099,IF($Z$47:$Z$619&lt;0,$Z$47:$Z$619))))</f>
        <v/>
      </c>
      <c r="N1099" s="452" t="str">
        <f t="array" ref="N1099">IF(L1099&lt;2,"",MIN(IF($E$47:$E$619=$E1099,IF($Z$47:$Z$619&lt;0,$Z$47:$Z$619))))</f>
        <v/>
      </c>
      <c r="O1099" s="453" t="str">
        <f t="array" ref="O1099">IF(L1099&lt;2,"",MAX(IF($E$47:$E$619=$E1099,IF($Z$47:$Z$619&lt;0,$Z$47:$Z$619))))</f>
        <v/>
      </c>
    </row>
    <row r="1100" spans="5:15" x14ac:dyDescent="0.2">
      <c r="E1100">
        <v>406</v>
      </c>
      <c r="F1100" t="str">
        <f>VLOOKUP(E1100,CompDbase!B:L,4,FALSE)</f>
        <v>Vinyl chloride</v>
      </c>
      <c r="G1100" s="457" t="s">
        <v>5</v>
      </c>
      <c r="H1100" s="460">
        <f t="array" ref="H1100">COUNT(IF($E$47:$E$619=$E1100,IF($X$47:$X$619&gt;0,$X$47:$X$619)))</f>
        <v>0</v>
      </c>
      <c r="I1100" s="452" t="str">
        <f t="array" ref="I1100">IF(H1100=0,"",MEDIAN(IF($E$47:$E$619=$E1100,IF($X$47:$X$619&gt;0,$X$47:$X$619))))</f>
        <v/>
      </c>
      <c r="J1100" s="452" t="str">
        <f t="array" ref="J1100">IF(H1100&lt;2,"",MIN(IF($E$47:$E$619=$E1100,IF($X$47:$X$619&gt;0,$X$47:$X$619))))</f>
        <v/>
      </c>
      <c r="K1100" s="453" t="str">
        <f t="array" ref="K1100">IF(H1100&lt;2,"",MAX(IF($E$47:$E$619=$E1100,IF($X$47:$X$619&gt;0,$X$47:$X$619))))</f>
        <v/>
      </c>
      <c r="L1100" s="460">
        <f t="array" ref="L1100">COUNT(IF($E$47:$E$619=$E1100,IF($Z$47:$Z$619&lt;0,$Z$47:$Z$619)))</f>
        <v>0</v>
      </c>
      <c r="M1100" s="452" t="str">
        <f t="array" ref="M1100">IF(L1100=0,"",MEDIAN(IF($E$47:$E$619=$E1100,IF($Z$47:$Z$619&lt;0,$Z$47:$Z$619))))</f>
        <v/>
      </c>
      <c r="N1100" s="452" t="str">
        <f t="array" ref="N1100">IF(L1100&lt;2,"",MIN(IF($E$47:$E$619=$E1100,IF($Z$47:$Z$619&lt;0,$Z$47:$Z$619))))</f>
        <v/>
      </c>
      <c r="O1100" s="453" t="str">
        <f t="array" ref="O1100">IF(L1100&lt;2,"",MAX(IF($E$47:$E$619=$E1100,IF($Z$47:$Z$619&lt;0,$Z$47:$Z$619))))</f>
        <v/>
      </c>
    </row>
    <row r="1101" spans="5:15" x14ac:dyDescent="0.2">
      <c r="E1101">
        <v>400</v>
      </c>
      <c r="F1101" t="str">
        <f>VLOOKUP(E1101,CompDbase!B:L,4,FALSE)</f>
        <v>1,2-Dichloroethane</v>
      </c>
      <c r="G1101" s="457" t="s">
        <v>315</v>
      </c>
      <c r="H1101" s="460">
        <f t="array" ref="H1101">COUNT(IF($E$47:$E$619=$E1101,IF($X$47:$X$619&gt;0,$X$47:$X$619)))</f>
        <v>1</v>
      </c>
      <c r="I1101" s="452">
        <f t="array" ref="I1101">IF(H1101=0,"",MEDIAN(IF($E$47:$E$619=$E1101,IF($X$47:$X$619&gt;0,$X$47:$X$619))))</f>
        <v>0.72843142560692609</v>
      </c>
      <c r="J1101" s="452" t="str">
        <f t="array" ref="J1101">IF(H1101&lt;2,"",MIN(IF($E$47:$E$619=$E1101,IF($X$47:$X$619&gt;0,$X$47:$X$619))))</f>
        <v/>
      </c>
      <c r="K1101" s="453" t="str">
        <f t="array" ref="K1101">IF(H1101&lt;2,"",MAX(IF($E$47:$E$619=$E1101,IF($X$47:$X$619&gt;0,$X$47:$X$619))))</f>
        <v/>
      </c>
      <c r="L1101" s="460">
        <f t="array" ref="L1101">COUNT(IF($E$47:$E$619=$E1101,IF($Z$47:$Z$619&lt;0,$Z$47:$Z$619)))</f>
        <v>0</v>
      </c>
      <c r="M1101" s="452" t="str">
        <f t="array" ref="M1101">IF(L1101=0,"",MEDIAN(IF($E$47:$E$619=$E1101,IF($Z$47:$Z$619&lt;0,$Z$47:$Z$619))))</f>
        <v/>
      </c>
      <c r="N1101" s="452" t="str">
        <f t="array" ref="N1101">IF(L1101&lt;2,"",MIN(IF($E$47:$E$619=$E1101,IF($Z$47:$Z$619&lt;0,$Z$47:$Z$619))))</f>
        <v/>
      </c>
      <c r="O1101" s="453" t="str">
        <f t="array" ref="O1101">IF(L1101&lt;2,"",MAX(IF($E$47:$E$619=$E1101,IF($Z$47:$Z$619&lt;0,$Z$47:$Z$619))))</f>
        <v/>
      </c>
    </row>
    <row r="1102" spans="5:15" x14ac:dyDescent="0.2">
      <c r="E1102">
        <v>-1805</v>
      </c>
      <c r="F1102" t="str">
        <f>VLOOKUP(E1102,CompDbase!B:L,4,FALSE)</f>
        <v>1,1-dichlooretheen</v>
      </c>
      <c r="G1102" s="457" t="s">
        <v>24</v>
      </c>
      <c r="H1102" s="460">
        <f t="array" ref="H1102">COUNT(IF($E$47:$E$619=$E1102,IF($X$47:$X$619&gt;0,$X$47:$X$619)))</f>
        <v>0</v>
      </c>
      <c r="I1102" s="452" t="str">
        <f t="array" ref="I1102">IF(H1102=0,"",MEDIAN(IF($E$47:$E$619=$E1102,IF($X$47:$X$619&gt;0,$X$47:$X$619))))</f>
        <v/>
      </c>
      <c r="J1102" s="452" t="str">
        <f t="array" ref="J1102">IF(H1102&lt;2,"",MIN(IF($E$47:$E$619=$E1102,IF($X$47:$X$619&gt;0,$X$47:$X$619))))</f>
        <v/>
      </c>
      <c r="K1102" s="453" t="str">
        <f t="array" ref="K1102">IF(H1102&lt;2,"",MAX(IF($E$47:$E$619=$E1102,IF($X$47:$X$619&gt;0,$X$47:$X$619))))</f>
        <v/>
      </c>
      <c r="L1102" s="460">
        <f t="array" ref="L1102">COUNT(IF($E$47:$E$619=$E1102,IF($Z$47:$Z$619&lt;0,$Z$47:$Z$619)))</f>
        <v>0</v>
      </c>
      <c r="M1102" s="452" t="str">
        <f t="array" ref="M1102">IF(L1102=0,"",MEDIAN(IF($E$47:$E$619=$E1102,IF($Z$47:$Z$619&lt;0,$Z$47:$Z$619))))</f>
        <v/>
      </c>
      <c r="N1102" s="452" t="str">
        <f t="array" ref="N1102">IF(L1102&lt;2,"",MIN(IF($E$47:$E$619=$E1102,IF($Z$47:$Z$619&lt;0,$Z$47:$Z$619))))</f>
        <v/>
      </c>
      <c r="O1102" s="453" t="str">
        <f t="array" ref="O1102">IF(L1102&lt;2,"",MAX(IF($E$47:$E$619=$E1102,IF($Z$47:$Z$619&lt;0,$Z$47:$Z$619))))</f>
        <v/>
      </c>
    </row>
    <row r="1103" spans="5:15" x14ac:dyDescent="0.2">
      <c r="E1103">
        <v>410</v>
      </c>
      <c r="F1103" t="str">
        <f>VLOOKUP(E1103,CompDbase!B:L,4,FALSE)</f>
        <v>1,2-dichloro-, (Z)-Ethene</v>
      </c>
      <c r="G1103" s="457" t="s">
        <v>322</v>
      </c>
      <c r="H1103" s="460">
        <f t="array" ref="H1103">COUNT(IF($E$47:$E$619=$E1103,IF($X$47:$X$619&gt;0,$X$47:$X$619)))</f>
        <v>1</v>
      </c>
      <c r="I1103" s="452">
        <f t="array" ref="I1103">IF(H1103=0,"",MEDIAN(IF($E$47:$E$619=$E1103,IF($X$47:$X$619&gt;0,$X$47:$X$619))))</f>
        <v>2.373524664555549</v>
      </c>
      <c r="J1103" s="452" t="str">
        <f t="array" ref="J1103">IF(H1103&lt;2,"",MIN(IF($E$47:$E$619=$E1103,IF($X$47:$X$619&gt;0,$X$47:$X$619))))</f>
        <v/>
      </c>
      <c r="K1103" s="453" t="str">
        <f t="array" ref="K1103">IF(H1103&lt;2,"",MAX(IF($E$47:$E$619=$E1103,IF($X$47:$X$619&gt;0,$X$47:$X$619))))</f>
        <v/>
      </c>
      <c r="L1103" s="460">
        <f t="array" ref="L1103">COUNT(IF($E$47:$E$619=$E1103,IF($Z$47:$Z$619&lt;0,$Z$47:$Z$619)))</f>
        <v>0</v>
      </c>
      <c r="M1103" s="452" t="str">
        <f t="array" ref="M1103">IF(L1103=0,"",MEDIAN(IF($E$47:$E$619=$E1103,IF($Z$47:$Z$619&lt;0,$Z$47:$Z$619))))</f>
        <v/>
      </c>
      <c r="N1103" s="452" t="str">
        <f t="array" ref="N1103">IF(L1103&lt;2,"",MIN(IF($E$47:$E$619=$E1103,IF($Z$47:$Z$619&lt;0,$Z$47:$Z$619))))</f>
        <v/>
      </c>
      <c r="O1103" s="453" t="str">
        <f t="array" ref="O1103">IF(L1103&lt;2,"",MAX(IF($E$47:$E$619=$E1103,IF($Z$47:$Z$619&lt;0,$Z$47:$Z$619))))</f>
        <v/>
      </c>
    </row>
    <row r="1104" spans="5:15" x14ac:dyDescent="0.2">
      <c r="E1104">
        <v>411</v>
      </c>
      <c r="F1104" t="str">
        <f>VLOOKUP(E1104,CompDbase!B:L,4,FALSE)</f>
        <v>1,2-dichloro-, (1E)-Ethene</v>
      </c>
      <c r="G1104" s="457" t="s">
        <v>123</v>
      </c>
      <c r="H1104" s="460">
        <f t="array" ref="H1104">COUNT(IF($E$47:$E$619=$E1104,IF($X$47:$X$619&gt;0,$X$47:$X$619)))</f>
        <v>0</v>
      </c>
      <c r="I1104" s="452" t="str">
        <f t="array" ref="I1104">IF(H1104=0,"",MEDIAN(IF($E$47:$E$619=$E1104,IF($X$47:$X$619&gt;0,$X$47:$X$619))))</f>
        <v/>
      </c>
      <c r="J1104" s="452" t="str">
        <f t="array" ref="J1104">IF(H1104&lt;2,"",MIN(IF($E$47:$E$619=$E1104,IF($X$47:$X$619&gt;0,$X$47:$X$619))))</f>
        <v/>
      </c>
      <c r="K1104" s="453" t="str">
        <f t="array" ref="K1104">IF(H1104&lt;2,"",MAX(IF($E$47:$E$619=$E1104,IF($X$47:$X$619&gt;0,$X$47:$X$619))))</f>
        <v/>
      </c>
      <c r="L1104" s="460">
        <f t="array" ref="L1104">COUNT(IF($E$47:$E$619=$E1104,IF($Z$47:$Z$619&lt;0,$Z$47:$Z$619)))</f>
        <v>0</v>
      </c>
      <c r="M1104" s="452" t="str">
        <f t="array" ref="M1104">IF(L1104=0,"",MEDIAN(IF($E$47:$E$619=$E1104,IF($Z$47:$Z$619&lt;0,$Z$47:$Z$619))))</f>
        <v/>
      </c>
      <c r="N1104" s="452" t="str">
        <f t="array" ref="N1104">IF(L1104&lt;2,"",MIN(IF($E$47:$E$619=$E1104,IF($Z$47:$Z$619&lt;0,$Z$47:$Z$619))))</f>
        <v/>
      </c>
      <c r="O1104" s="453" t="str">
        <f t="array" ref="O1104">IF(L1104&lt;2,"",MAX(IF($E$47:$E$619=$E1104,IF($Z$47:$Z$619&lt;0,$Z$47:$Z$619))))</f>
        <v/>
      </c>
    </row>
    <row r="1105" spans="5:15" x14ac:dyDescent="0.2">
      <c r="E1105">
        <v>408</v>
      </c>
      <c r="F1105" t="str">
        <f>VLOOKUP(E1105,CompDbase!B:L,4,FALSE)</f>
        <v>1,1,1-Trichloroethane</v>
      </c>
      <c r="G1105" s="457" t="s">
        <v>318</v>
      </c>
      <c r="H1105" s="460">
        <f t="array" ref="H1105">COUNT(IF($E$47:$E$619=$E1105,IF($X$47:$X$619&gt;0,$X$47:$X$619)))</f>
        <v>1</v>
      </c>
      <c r="I1105" s="452">
        <f t="array" ref="I1105">IF(H1105=0,"",MEDIAN(IF($E$47:$E$619=$E1105,IF($X$47:$X$619&gt;0,$X$47:$X$619))))</f>
        <v>1.8019508702539597</v>
      </c>
      <c r="J1105" s="452" t="str">
        <f t="array" ref="J1105">IF(H1105&lt;2,"",MIN(IF($E$47:$E$619=$E1105,IF($X$47:$X$619&gt;0,$X$47:$X$619))))</f>
        <v/>
      </c>
      <c r="K1105" s="453" t="str">
        <f t="array" ref="K1105">IF(H1105&lt;2,"",MAX(IF($E$47:$E$619=$E1105,IF($X$47:$X$619&gt;0,$X$47:$X$619))))</f>
        <v/>
      </c>
      <c r="L1105" s="460">
        <f t="array" ref="L1105">COUNT(IF($E$47:$E$619=$E1105,IF($Z$47:$Z$619&lt;0,$Z$47:$Z$619)))</f>
        <v>0</v>
      </c>
      <c r="M1105" s="452" t="str">
        <f t="array" ref="M1105">IF(L1105=0,"",MEDIAN(IF($E$47:$E$619=$E1105,IF($Z$47:$Z$619&lt;0,$Z$47:$Z$619))))</f>
        <v/>
      </c>
      <c r="N1105" s="452" t="str">
        <f t="array" ref="N1105">IF(L1105&lt;2,"",MIN(IF($E$47:$E$619=$E1105,IF($Z$47:$Z$619&lt;0,$Z$47:$Z$619))))</f>
        <v/>
      </c>
      <c r="O1105" s="453" t="str">
        <f t="array" ref="O1105">IF(L1105&lt;2,"",MAX(IF($E$47:$E$619=$E1105,IF($Z$47:$Z$619&lt;0,$Z$47:$Z$619))))</f>
        <v/>
      </c>
    </row>
    <row r="1106" spans="5:15" x14ac:dyDescent="0.2">
      <c r="E1106">
        <v>405</v>
      </c>
      <c r="F1106" t="str">
        <f>VLOOKUP(E1106,CompDbase!B:L,4,FALSE)</f>
        <v>Trichloroethylene</v>
      </c>
      <c r="G1106" s="457" t="s">
        <v>28</v>
      </c>
      <c r="H1106" s="460">
        <f t="array" ref="H1106">COUNT(IF($E$47:$E$619=$E1106,IF($X$47:$X$619&gt;0,$X$47:$X$619)))</f>
        <v>2</v>
      </c>
      <c r="I1106" s="452">
        <f t="array" ref="I1106">IF(H1106=0,"",MEDIAN(IF($E$47:$E$619=$E1106,IF($X$47:$X$619&gt;0,$X$47:$X$619))))</f>
        <v>1.9104481327226392</v>
      </c>
      <c r="J1106" s="452">
        <f t="array" ref="J1106">IF(H1106&lt;2,"",MIN(IF($E$47:$E$619=$E1106,IF($X$47:$X$619&gt;0,$X$47:$X$619))))</f>
        <v>1.5092025223311027</v>
      </c>
      <c r="K1106" s="453">
        <f t="array" ref="K1106">IF(H1106&lt;2,"",MAX(IF($E$47:$E$619=$E1106,IF($X$47:$X$619&gt;0,$X$47:$X$619))))</f>
        <v>2.311693743114176</v>
      </c>
      <c r="L1106" s="460">
        <f t="array" ref="L1106">COUNT(IF($E$47:$E$619=$E1106,IF($Z$47:$Z$619&lt;0,$Z$47:$Z$619)))</f>
        <v>2</v>
      </c>
      <c r="M1106" s="452">
        <f t="array" ref="M1106">IF(L1106=0,"",MEDIAN(IF($E$47:$E$619=$E1106,IF($Z$47:$Z$619&lt;0,$Z$47:$Z$619))))</f>
        <v>-11.676271976108499</v>
      </c>
      <c r="N1106" s="452">
        <f t="array" ref="N1106">IF(L1106&lt;2,"",MIN(IF($E$47:$E$619=$E1106,IF($Z$47:$Z$619&lt;0,$Z$47:$Z$619))))</f>
        <v>-12.228943566380957</v>
      </c>
      <c r="O1106" s="453">
        <f t="array" ref="O1106">IF(L1106&lt;2,"",MAX(IF($E$47:$E$619=$E1106,IF($Z$47:$Z$619&lt;0,$Z$47:$Z$619))))</f>
        <v>-11.123600385836038</v>
      </c>
    </row>
    <row r="1107" spans="5:15" x14ac:dyDescent="0.2">
      <c r="E1107">
        <v>403</v>
      </c>
      <c r="F1107" t="str">
        <f>VLOOKUP(E1107,CompDbase!B:L,4,FALSE)</f>
        <v>Tetrachloroethylene</v>
      </c>
      <c r="G1107" s="457" t="s">
        <v>8</v>
      </c>
      <c r="H1107" s="460">
        <f t="array" ref="H1107">COUNT(IF($E$47:$E$619=$E1107,IF($X$47:$X$619&gt;0,$X$47:$X$619)))</f>
        <v>2</v>
      </c>
      <c r="I1107" s="452">
        <f t="array" ref="I1107">IF(H1107=0,"",MEDIAN(IF($E$47:$E$619=$E1107,IF($X$47:$X$619&gt;0,$X$47:$X$619))))</f>
        <v>2.1991231928265806</v>
      </c>
      <c r="J1107" s="452">
        <f t="array" ref="J1107">IF(H1107&lt;2,"",MIN(IF($E$47:$E$619=$E1107,IF($X$47:$X$619&gt;0,$X$47:$X$619))))</f>
        <v>1.354108439147401</v>
      </c>
      <c r="K1107" s="453">
        <f t="array" ref="K1107">IF(H1107&lt;2,"",MAX(IF($E$47:$E$619=$E1107,IF($X$47:$X$619&gt;0,$X$47:$X$619))))</f>
        <v>3.0441379465057601</v>
      </c>
      <c r="L1107" s="460">
        <f t="array" ref="L1107">COUNT(IF($E$47:$E$619=$E1107,IF($Z$47:$Z$619&lt;0,$Z$47:$Z$619)))</f>
        <v>2</v>
      </c>
      <c r="M1107" s="452">
        <f t="array" ref="M1107">IF(L1107=0,"",MEDIAN(IF($E$47:$E$619=$E1107,IF($Z$47:$Z$619&lt;0,$Z$47:$Z$619))))</f>
        <v>-11.918199294797812</v>
      </c>
      <c r="N1107" s="452">
        <f t="array" ref="N1107">IF(L1107&lt;2,"",MIN(IF($E$47:$E$619=$E1107,IF($Z$47:$Z$619&lt;0,$Z$47:$Z$619))))</f>
        <v>-12.405034825436639</v>
      </c>
      <c r="O1107" s="453">
        <f t="array" ref="O1107">IF(L1107&lt;2,"",MAX(IF($E$47:$E$619=$E1107,IF($Z$47:$Z$619&lt;0,$Z$47:$Z$619))))</f>
        <v>-11.431363764158988</v>
      </c>
    </row>
    <row r="1108" spans="5:15" x14ac:dyDescent="0.2">
      <c r="E1108">
        <v>-1806</v>
      </c>
      <c r="F1108" t="str">
        <f>VLOOKUP(E1108,CompDbase!B:L,4,FALSE)</f>
        <v>pyridine</v>
      </c>
      <c r="G1108" s="457" t="s">
        <v>197</v>
      </c>
      <c r="H1108" s="460">
        <f t="array" ref="H1108">COUNT(IF($E$47:$E$619=$E1108,IF($X$47:$X$619&gt;0,$X$47:$X$619)))</f>
        <v>0</v>
      </c>
      <c r="I1108" s="452" t="str">
        <f t="array" ref="I1108">IF(H1108=0,"",MEDIAN(IF($E$47:$E$619=$E1108,IF($X$47:$X$619&gt;0,$X$47:$X$619))))</f>
        <v/>
      </c>
      <c r="J1108" s="452" t="str">
        <f t="array" ref="J1108">IF(H1108&lt;2,"",MIN(IF($E$47:$E$619=$E1108,IF($X$47:$X$619&gt;0,$X$47:$X$619))))</f>
        <v/>
      </c>
      <c r="K1108" s="453" t="str">
        <f t="array" ref="K1108">IF(H1108&lt;2,"",MAX(IF($E$47:$E$619=$E1108,IF($X$47:$X$619&gt;0,$X$47:$X$619))))</f>
        <v/>
      </c>
      <c r="L1108" s="460">
        <f t="array" ref="L1108">COUNT(IF($E$47:$E$619=$E1108,IF($Z$47:$Z$619&lt;0,$Z$47:$Z$619)))</f>
        <v>0</v>
      </c>
      <c r="M1108" s="452" t="str">
        <f t="array" ref="M1108">IF(L1108=0,"",MEDIAN(IF($E$47:$E$619=$E1108,IF($Z$47:$Z$619&lt;0,$Z$47:$Z$619))))</f>
        <v/>
      </c>
      <c r="N1108" s="452" t="str">
        <f t="array" ref="N1108">IF(L1108&lt;2,"",MIN(IF($E$47:$E$619=$E1108,IF($Z$47:$Z$619&lt;0,$Z$47:$Z$619))))</f>
        <v/>
      </c>
      <c r="O1108" s="453" t="str">
        <f t="array" ref="O1108">IF(L1108&lt;2,"",MAX(IF($E$47:$E$619=$E1108,IF($Z$47:$Z$619&lt;0,$Z$47:$Z$619))))</f>
        <v/>
      </c>
    </row>
    <row r="1109" spans="5:15" x14ac:dyDescent="0.2">
      <c r="E1109">
        <v>-1807</v>
      </c>
      <c r="F1109" t="str">
        <f>VLOOKUP(E1109,CompDbase!B:L,4,FALSE)</f>
        <v>tetrahydrofuran</v>
      </c>
      <c r="G1109" s="457" t="s">
        <v>199</v>
      </c>
      <c r="H1109" s="460">
        <f t="array" ref="H1109">COUNT(IF($E$47:$E$619=$E1109,IF($X$47:$X$619&gt;0,$X$47:$X$619)))</f>
        <v>0</v>
      </c>
      <c r="I1109" s="452" t="str">
        <f t="array" ref="I1109">IF(H1109=0,"",MEDIAN(IF($E$47:$E$619=$E1109,IF($X$47:$X$619&gt;0,$X$47:$X$619))))</f>
        <v/>
      </c>
      <c r="J1109" s="452" t="str">
        <f t="array" ref="J1109">IF(H1109&lt;2,"",MIN(IF($E$47:$E$619=$E1109,IF($X$47:$X$619&gt;0,$X$47:$X$619))))</f>
        <v/>
      </c>
      <c r="K1109" s="453" t="str">
        <f t="array" ref="K1109">IF(H1109&lt;2,"",MAX(IF($E$47:$E$619=$E1109,IF($X$47:$X$619&gt;0,$X$47:$X$619))))</f>
        <v/>
      </c>
      <c r="L1109" s="460">
        <f t="array" ref="L1109">COUNT(IF($E$47:$E$619=$E1109,IF($Z$47:$Z$619&lt;0,$Z$47:$Z$619)))</f>
        <v>0</v>
      </c>
      <c r="M1109" s="452" t="str">
        <f t="array" ref="M1109">IF(L1109=0,"",MEDIAN(IF($E$47:$E$619=$E1109,IF($Z$47:$Z$619&lt;0,$Z$47:$Z$619))))</f>
        <v/>
      </c>
      <c r="N1109" s="452" t="str">
        <f t="array" ref="N1109">IF(L1109&lt;2,"",MIN(IF($E$47:$E$619=$E1109,IF($Z$47:$Z$619&lt;0,$Z$47:$Z$619))))</f>
        <v/>
      </c>
      <c r="O1109" s="453" t="str">
        <f t="array" ref="O1109">IF(L1109&lt;2,"",MAX(IF($E$47:$E$619=$E1109,IF($Z$47:$Z$619&lt;0,$Z$47:$Z$619))))</f>
        <v/>
      </c>
    </row>
    <row r="1110" spans="5:15" x14ac:dyDescent="0.2">
      <c r="E1110">
        <v>-1695</v>
      </c>
      <c r="F1110" t="str">
        <f>VLOOKUP(E1110,CompDbase!B:L,4,FALSE)</f>
        <v>Methyl tert-butyl ether</v>
      </c>
      <c r="G1110" s="457" t="s">
        <v>1249</v>
      </c>
      <c r="H1110" s="460">
        <f t="array" ref="H1110">COUNT(IF($E$47:$E$619=$E1110,IF($X$47:$X$619&gt;0,$X$47:$X$619)))</f>
        <v>0</v>
      </c>
      <c r="I1110" s="452" t="str">
        <f t="array" ref="I1110">IF(H1110=0,"",MEDIAN(IF($E$47:$E$619=$E1110,IF($X$47:$X$619&gt;0,$X$47:$X$619))))</f>
        <v/>
      </c>
      <c r="J1110" s="452" t="str">
        <f t="array" ref="J1110">IF(H1110&lt;2,"",MIN(IF($E$47:$E$619=$E1110,IF($X$47:$X$619&gt;0,$X$47:$X$619))))</f>
        <v/>
      </c>
      <c r="K1110" s="453" t="str">
        <f t="array" ref="K1110">IF(H1110&lt;2,"",MAX(IF($E$47:$E$619=$E1110,IF($X$47:$X$619&gt;0,$X$47:$X$619))))</f>
        <v/>
      </c>
      <c r="L1110" s="460">
        <f t="array" ref="L1110">COUNT(IF($E$47:$E$619=$E1110,IF($Z$47:$Z$619&lt;0,$Z$47:$Z$619)))</f>
        <v>0</v>
      </c>
      <c r="M1110" s="452" t="str">
        <f t="array" ref="M1110">IF(L1110=0,"",MEDIAN(IF($E$47:$E$619=$E1110,IF($Z$47:$Z$619&lt;0,$Z$47:$Z$619))))</f>
        <v/>
      </c>
      <c r="N1110" s="452" t="str">
        <f t="array" ref="N1110">IF(L1110&lt;2,"",MIN(IF($E$47:$E$619=$E1110,IF($Z$47:$Z$619&lt;0,$Z$47:$Z$619))))</f>
        <v/>
      </c>
      <c r="O1110" s="453" t="str">
        <f t="array" ref="O1110">IF(L1110&lt;2,"",MAX(IF($E$47:$E$619=$E1110,IF($Z$47:$Z$619&lt;0,$Z$47:$Z$619))))</f>
        <v/>
      </c>
    </row>
    <row r="1111" spans="5:15" x14ac:dyDescent="0.2">
      <c r="E1111">
        <v>-1810</v>
      </c>
      <c r="F1111" t="str">
        <f>VLOOKUP(E1111,CompDbase!B:L,4,FALSE)</f>
        <v>Ethyl tert-butyl ether</v>
      </c>
      <c r="G1111" s="457" t="s">
        <v>1769</v>
      </c>
      <c r="H1111" s="460">
        <f t="array" ref="H1111">COUNT(IF($E$47:$E$619=$E1111,IF($X$47:$X$619&gt;0,$X$47:$X$619)))</f>
        <v>0</v>
      </c>
      <c r="I1111" s="452" t="str">
        <f t="array" ref="I1111">IF(H1111=0,"",MEDIAN(IF($E$47:$E$619=$E1111,IF($X$47:$X$619&gt;0,$X$47:$X$619))))</f>
        <v/>
      </c>
      <c r="J1111" s="452" t="str">
        <f t="array" ref="J1111">IF(H1111&lt;2,"",MIN(IF($E$47:$E$619=$E1111,IF($X$47:$X$619&gt;0,$X$47:$X$619))))</f>
        <v/>
      </c>
      <c r="K1111" s="453" t="str">
        <f t="array" ref="K1111">IF(H1111&lt;2,"",MAX(IF($E$47:$E$619=$E1111,IF($X$47:$X$619&gt;0,$X$47:$X$619))))</f>
        <v/>
      </c>
      <c r="L1111" s="460">
        <f t="array" ref="L1111">COUNT(IF($E$47:$E$619=$E1111,IF($Z$47:$Z$619&lt;0,$Z$47:$Z$619)))</f>
        <v>0</v>
      </c>
      <c r="M1111" s="452" t="str">
        <f t="array" ref="M1111">IF(L1111=0,"",MEDIAN(IF($E$47:$E$619=$E1111,IF($Z$47:$Z$619&lt;0,$Z$47:$Z$619))))</f>
        <v/>
      </c>
      <c r="N1111" s="452" t="str">
        <f t="array" ref="N1111">IF(L1111&lt;2,"",MIN(IF($E$47:$E$619=$E1111,IF($Z$47:$Z$619&lt;0,$Z$47:$Z$619))))</f>
        <v/>
      </c>
      <c r="O1111" s="453" t="str">
        <f t="array" ref="O1111">IF(L1111&lt;2,"",MAX(IF($E$47:$E$619=$E1111,IF($Z$47:$Z$619&lt;0,$Z$47:$Z$619))))</f>
        <v/>
      </c>
    </row>
    <row r="1112" spans="5:15" x14ac:dyDescent="0.2">
      <c r="E1112">
        <v>-1809</v>
      </c>
      <c r="F1112" t="str">
        <f>VLOOKUP(E1112,CompDbase!B:L,4,FALSE)</f>
        <v>dimethylftalaat(DMP)</v>
      </c>
      <c r="G1112" s="458" t="s">
        <v>1746</v>
      </c>
      <c r="H1112" s="461">
        <f t="array" ref="H1112">COUNT(IF($E$47:$E$619=$E1112,IF($X$47:$X$619&gt;0,$X$47:$X$619)))</f>
        <v>0</v>
      </c>
      <c r="I1112" s="454" t="str">
        <f t="array" ref="I1112">IF(H1112=0,"",MEDIAN(IF($E$47:$E$619=$E1112,IF($X$47:$X$619&gt;0,$X$47:$X$619))))</f>
        <v/>
      </c>
      <c r="J1112" s="454" t="str">
        <f t="array" ref="J1112">IF(H1112&lt;2,"",MIN(IF($E$47:$E$619=$E1112,IF($X$47:$X$619&gt;0,$X$47:$X$619))))</f>
        <v/>
      </c>
      <c r="K1112" s="455" t="str">
        <f t="array" ref="K1112">IF(H1112&lt;2,"",MAX(IF($E$47:$E$619=$E1112,IF($X$47:$X$619&gt;0,$X$47:$X$619))))</f>
        <v/>
      </c>
      <c r="L1112" s="461">
        <f t="array" ref="L1112">COUNT(IF($E$47:$E$619=$E1112,IF($Z$47:$Z$619&lt;0,$Z$47:$Z$619)))</f>
        <v>0</v>
      </c>
      <c r="M1112" s="454" t="str">
        <f t="array" ref="M1112">IF(L1112=0,"",MEDIAN(IF($E$47:$E$619=$E1112,IF($Z$47:$Z$619&lt;0,$Z$47:$Z$619))))</f>
        <v/>
      </c>
      <c r="N1112" s="454" t="str">
        <f t="array" ref="N1112">IF(L1112&lt;2,"",MIN(IF($E$47:$E$619=$E1112,IF($Z$47:$Z$619&lt;0,$Z$47:$Z$619))))</f>
        <v/>
      </c>
      <c r="O1112" s="455" t="str">
        <f t="array" ref="O1112">IF(L1112&lt;2,"",MAX(IF($E$47:$E$619=$E1112,IF($Z$47:$Z$619&lt;0,$Z$47:$Z$619))))</f>
        <v/>
      </c>
    </row>
    <row r="1113" spans="5:15" x14ac:dyDescent="0.2">
      <c r="G1113" s="441" t="s">
        <v>2057</v>
      </c>
      <c r="H1113" s="438" t="s">
        <v>12</v>
      </c>
      <c r="I1113" s="438"/>
      <c r="J1113" s="438"/>
      <c r="K1113" s="438"/>
      <c r="L1113" s="438"/>
      <c r="M1113" s="438"/>
      <c r="N1113" s="438"/>
      <c r="O1113" s="438"/>
    </row>
    <row r="1114" spans="5:15" x14ac:dyDescent="0.2">
      <c r="G1114" s="441" t="s">
        <v>1762</v>
      </c>
      <c r="H1114" s="443" t="s">
        <v>1531</v>
      </c>
      <c r="I1114" s="442"/>
      <c r="J1114" s="438"/>
      <c r="K1114" s="439"/>
      <c r="L1114" s="442" t="s">
        <v>2024</v>
      </c>
      <c r="M1114" s="442"/>
      <c r="N1114" s="438"/>
      <c r="O1114" s="439"/>
    </row>
    <row r="1115" spans="5:15" x14ac:dyDescent="0.2">
      <c r="G1115" s="444"/>
      <c r="H1115" s="448" t="s">
        <v>1412</v>
      </c>
      <c r="I1115" s="447" t="s">
        <v>1856</v>
      </c>
      <c r="J1115" s="440" t="s">
        <v>1772</v>
      </c>
      <c r="K1115" s="449" t="s">
        <v>1773</v>
      </c>
      <c r="L1115" s="447" t="s">
        <v>1412</v>
      </c>
      <c r="M1115" s="447" t="s">
        <v>1856</v>
      </c>
      <c r="N1115" s="440" t="s">
        <v>1772</v>
      </c>
      <c r="O1115" s="449" t="s">
        <v>1773</v>
      </c>
    </row>
    <row r="1116" spans="5:15" x14ac:dyDescent="0.2">
      <c r="G1116" s="456" t="s">
        <v>0</v>
      </c>
      <c r="H1116" s="459">
        <f t="array" ref="H1116">COUNT(IF($E$620:$E$927=$E1096,IF($X$620:$X$927&gt;0,$X$620:$X$927)))</f>
        <v>15</v>
      </c>
      <c r="I1116" s="450">
        <f t="array" ref="I1116">IF(H1116=0,"",MEDIAN(IF($E$620:$E$927=$E1096,IF($X$620:$X$927&gt;0,$X$620:$X$927))))</f>
        <v>1.5232936859605568</v>
      </c>
      <c r="J1116" s="450">
        <f t="array" ref="J1116">IF(H1116&lt;2,"",MIN(IF($E$620:$E$927=$E1096,IF($X$620:$X$927&gt;0,$X$620:$X$927))))</f>
        <v>1.0240617330849142</v>
      </c>
      <c r="K1116" s="451">
        <f t="array" ref="K1116">IF(H1116&lt;2,"",MAX(IF($E$620:$E$927=$E1096,IF($X$620:$X$927&gt;0,$X$620:$X$927))))</f>
        <v>1.9596137110710439</v>
      </c>
      <c r="L1116" s="459">
        <f t="array" ref="L1116">COUNT(IF($E$620:$E$927=$E1096,IF($Z$620:$Z$927&lt;0,$Z$620:$Z$927)))</f>
        <v>17</v>
      </c>
      <c r="M1116" s="450">
        <f t="array" ref="M1116">IF(L1116=0,"",MEDIAN(IF($E$620:$E$927=$E1096,IF($Z$620:$Z$927&lt;0,$Z$620:$Z$927))))</f>
        <v>-12.431363764158988</v>
      </c>
      <c r="N1116" s="450">
        <f t="array" ref="N1116">IF(L1116&lt;2,"",MIN(IF($E$620:$E$927=$E1096,IF($Z$620:$Z$927&lt;0,$Z$620:$Z$927))))</f>
        <v>-12.760422483423213</v>
      </c>
      <c r="O1116" s="451">
        <f t="array" ref="O1116">IF(L1116&lt;2,"",MAX(IF($E$620:$E$927=$E1096,IF($Z$620:$Z$927&lt;0,$Z$620:$Z$927))))</f>
        <v>-11.119186407719209</v>
      </c>
    </row>
    <row r="1117" spans="5:15" x14ac:dyDescent="0.2">
      <c r="G1117" s="457" t="s">
        <v>3</v>
      </c>
      <c r="H1117" s="460">
        <f t="array" ref="H1117">COUNT(IF($E$620:$E$927=$E1097,IF($X$620:$X$927&gt;0,$X$620:$X$927)))</f>
        <v>11</v>
      </c>
      <c r="I1117" s="452">
        <f t="array" ref="I1117">IF(H1117=0,"",MEDIAN(IF($E$620:$E$927=$E1097,IF($X$620:$X$927&gt;0,$X$620:$X$927))))</f>
        <v>2.4899584794248346</v>
      </c>
      <c r="J1117" s="452">
        <f t="array" ref="J1117">IF(H1117&lt;2,"",MIN(IF($E$620:$E$927=$E1097,IF($X$620:$X$927&gt;0,$X$620:$X$927))))</f>
        <v>2.2111739567284943</v>
      </c>
      <c r="K1117" s="453">
        <f t="array" ref="K1117">IF(H1117&lt;2,"",MAX(IF($E$620:$E$927=$E1097,IF($X$620:$X$927&gt;0,$X$620:$X$927))))</f>
        <v>2.6653745401878921</v>
      </c>
      <c r="L1117" s="460">
        <f t="array" ref="L1117">COUNT(IF($E$620:$E$927=$E1097,IF($Z$620:$Z$927&lt;0,$Z$620:$Z$927)))</f>
        <v>10</v>
      </c>
      <c r="M1117" s="452">
        <f t="array" ref="M1117">IF(L1117=0,"",MEDIAN(IF($E$620:$E$927=$E1097,IF($Z$620:$Z$927&lt;0,$Z$620:$Z$927))))</f>
        <v>-12.689879905077085</v>
      </c>
      <c r="N1117" s="452">
        <f t="array" ref="N1117">IF(L1117&lt;2,"",MIN(IF($E$620:$E$927=$E1097,IF($Z$620:$Z$927&lt;0,$Z$620:$Z$927))))</f>
        <v>-12.795880017344075</v>
      </c>
      <c r="O1117" s="453">
        <f t="array" ref="O1117">IF(L1117&lt;2,"",MAX(IF($E$620:$E$927=$E1097,IF($Z$620:$Z$927&lt;0,$Z$620:$Z$927))))</f>
        <v>-11.346787486224656</v>
      </c>
    </row>
    <row r="1118" spans="5:15" x14ac:dyDescent="0.2">
      <c r="G1118" s="457" t="s">
        <v>20</v>
      </c>
      <c r="H1118" s="460">
        <f t="array" ref="H1118">COUNT(IF($E$620:$E$927=$E1098,IF($X$620:$X$927&gt;0,$X$620:$X$927)))</f>
        <v>21</v>
      </c>
      <c r="I1118" s="452">
        <f t="array" ref="I1118">IF(H1118=0,"",MEDIAN(IF($E$620:$E$927=$E1098,IF($X$620:$X$927&gt;0,$X$620:$X$927))))</f>
        <v>2.0525015634137809</v>
      </c>
      <c r="J1118" s="452">
        <f t="array" ref="J1118">IF(H1118&lt;2,"",MIN(IF($E$620:$E$927=$E1098,IF($X$620:$X$927&gt;0,$X$620:$X$927))))</f>
        <v>1.1305968975438934</v>
      </c>
      <c r="K1118" s="453">
        <f t="array" ref="K1118">IF(H1118&lt;2,"",MAX(IF($E$620:$E$927=$E1098,IF($X$620:$X$927&gt;0,$X$620:$X$927))))</f>
        <v>2.2324505866737399</v>
      </c>
      <c r="L1118" s="460">
        <f t="array" ref="L1118">COUNT(IF($E$620:$E$927=$E1098,IF($Z$620:$Z$927&lt;0,$Z$620:$Z$927)))</f>
        <v>25</v>
      </c>
      <c r="M1118" s="452">
        <f t="array" ref="M1118">IF(L1118=0,"",MEDIAN(IF($E$620:$E$927=$E1098,IF($Z$620:$Z$927&lt;0,$Z$620:$Z$927))))</f>
        <v>-12.154901959985743</v>
      </c>
      <c r="N1118" s="452">
        <f t="array" ref="N1118">IF(L1118&lt;2,"",MIN(IF($E$620:$E$927=$E1098,IF($Z$620:$Z$927&lt;0,$Z$620:$Z$927))))</f>
        <v>-12.760422483423213</v>
      </c>
      <c r="O1118" s="453">
        <f t="array" ref="O1118">IF(L1118&lt;2,"",MAX(IF($E$620:$E$927=$E1098,IF($Z$620:$Z$927&lt;0,$Z$620:$Z$927))))</f>
        <v>-11.154901959985743</v>
      </c>
    </row>
    <row r="1119" spans="5:15" x14ac:dyDescent="0.2">
      <c r="G1119" s="457" t="s">
        <v>4</v>
      </c>
      <c r="H1119" s="460">
        <f t="array" ref="H1119">COUNT(IF($E$620:$E$927=$E1099,IF($X$620:$X$927&gt;0,$X$620:$X$927)))</f>
        <v>0</v>
      </c>
      <c r="I1119" s="452" t="str">
        <f t="array" ref="I1119">IF(H1119=0,"",MEDIAN(IF($E$620:$E$927=$E1099,IF($X$620:$X$927&gt;0,$X$620:$X$927))))</f>
        <v/>
      </c>
      <c r="J1119" s="452" t="str">
        <f t="array" ref="J1119">IF(H1119&lt;2,"",MIN(IF($E$620:$E$927=$E1099,IF($X$620:$X$927&gt;0,$X$620:$X$927))))</f>
        <v/>
      </c>
      <c r="K1119" s="453" t="str">
        <f t="array" ref="K1119">IF(H1119&lt;2,"",MAX(IF($E$620:$E$927=$E1099,IF($X$620:$X$927&gt;0,$X$620:$X$927))))</f>
        <v/>
      </c>
      <c r="L1119" s="460">
        <f t="array" ref="L1119">COUNT(IF($E$620:$E$927=$E1099,IF($Z$620:$Z$927&lt;0,$Z$620:$Z$927)))</f>
        <v>0</v>
      </c>
      <c r="M1119" s="452" t="str">
        <f t="array" ref="M1119">IF(L1119=0,"",MEDIAN(IF($E$620:$E$927=$E1099,IF($Z$620:$Z$927&lt;0,$Z$620:$Z$927))))</f>
        <v/>
      </c>
      <c r="N1119" s="452" t="str">
        <f t="array" ref="N1119">IF(L1119&lt;2,"",MIN(IF($E$620:$E$927=$E1099,IF($Z$620:$Z$927&lt;0,$Z$620:$Z$927))))</f>
        <v/>
      </c>
      <c r="O1119" s="453" t="str">
        <f t="array" ref="O1119">IF(L1119&lt;2,"",MAX(IF($E$620:$E$927=$E1099,IF($Z$620:$Z$927&lt;0,$Z$620:$Z$927))))</f>
        <v/>
      </c>
    </row>
    <row r="1120" spans="5:15" x14ac:dyDescent="0.2">
      <c r="G1120" s="457" t="s">
        <v>5</v>
      </c>
      <c r="H1120" s="460">
        <f t="array" ref="H1120">COUNT(IF($E$620:$E$927=$E1100,IF($X$620:$X$927&gt;0,$X$620:$X$927)))</f>
        <v>0</v>
      </c>
      <c r="I1120" s="452" t="str">
        <f t="array" ref="I1120">IF(H1120=0,"",MEDIAN(IF($E$620:$E$927=$E1100,IF($X$620:$X$927&gt;0,$X$620:$X$927))))</f>
        <v/>
      </c>
      <c r="J1120" s="452" t="str">
        <f t="array" ref="J1120">IF(H1120&lt;2,"",MIN(IF($E$620:$E$927=$E1100,IF($X$620:$X$927&gt;0,$X$620:$X$927))))</f>
        <v/>
      </c>
      <c r="K1120" s="453" t="str">
        <f t="array" ref="K1120">IF(H1120&lt;2,"",MAX(IF($E$620:$E$927=$E1100,IF($X$620:$X$927&gt;0,$X$620:$X$927))))</f>
        <v/>
      </c>
      <c r="L1120" s="460">
        <f t="array" ref="L1120">COUNT(IF($E$620:$E$927=$E1100,IF($Z$620:$Z$927&lt;0,$Z$620:$Z$927)))</f>
        <v>0</v>
      </c>
      <c r="M1120" s="452" t="str">
        <f t="array" ref="M1120">IF(L1120=0,"",MEDIAN(IF($E$620:$E$927=$E1100,IF($Z$620:$Z$927&lt;0,$Z$620:$Z$927))))</f>
        <v/>
      </c>
      <c r="N1120" s="452" t="str">
        <f t="array" ref="N1120">IF(L1120&lt;2,"",MIN(IF($E$620:$E$927=$E1100,IF($Z$620:$Z$927&lt;0,$Z$620:$Z$927))))</f>
        <v/>
      </c>
      <c r="O1120" s="453" t="str">
        <f t="array" ref="O1120">IF(L1120&lt;2,"",MAX(IF($E$620:$E$927=$E1100,IF($Z$620:$Z$927&lt;0,$Z$620:$Z$927))))</f>
        <v/>
      </c>
    </row>
    <row r="1121" spans="7:15" x14ac:dyDescent="0.2">
      <c r="G1121" s="457" t="s">
        <v>315</v>
      </c>
      <c r="H1121" s="460">
        <f t="array" ref="H1121">COUNT(IF($E$620:$E$927=$E1101,IF($X$620:$X$927&gt;0,$X$620:$X$927)))</f>
        <v>4</v>
      </c>
      <c r="I1121" s="452">
        <f t="array" ref="I1121">IF(H1121=0,"",MEDIAN(IF($E$620:$E$927=$E1101,IF($X$620:$X$927&gt;0,$X$620:$X$927))))</f>
        <v>0.85998150988284938</v>
      </c>
      <c r="J1121" s="452">
        <f t="array" ref="J1121">IF(H1121&lt;2,"",MIN(IF($E$620:$E$927=$E1101,IF($X$620:$X$927&gt;0,$X$620:$X$927))))</f>
        <v>0.63144174746393056</v>
      </c>
      <c r="K1121" s="453">
        <f t="array" ref="K1121">IF(H1121&lt;2,"",MAX(IF($E$620:$E$927=$E1101,IF($X$620:$X$927&gt;0,$X$620:$X$927))))</f>
        <v>1.0791812460476249</v>
      </c>
      <c r="L1121" s="460">
        <f t="array" ref="L1121">COUNT(IF($E$620:$E$927=$E1101,IF($Z$620:$Z$927&lt;0,$Z$620:$Z$927)))</f>
        <v>7</v>
      </c>
      <c r="M1121" s="452">
        <f t="array" ref="M1121">IF(L1121=0,"",MEDIAN(IF($E$620:$E$927=$E1101,IF($Z$620:$Z$927&lt;0,$Z$620:$Z$927))))</f>
        <v>-11.568636235841012</v>
      </c>
      <c r="N1121" s="452">
        <f t="array" ref="N1121">IF(L1121&lt;2,"",MIN(IF($E$620:$E$927=$E1101,IF($Z$620:$Z$927&lt;0,$Z$620:$Z$927))))</f>
        <v>-12.397940008672037</v>
      </c>
      <c r="O1121" s="453">
        <f t="array" ref="O1121">IF(L1121&lt;2,"",MAX(IF($E$620:$E$927=$E1101,IF($Z$620:$Z$927&lt;0,$Z$620:$Z$927))))</f>
        <v>-11.346787486224656</v>
      </c>
    </row>
    <row r="1122" spans="7:15" x14ac:dyDescent="0.2">
      <c r="G1122" s="457" t="s">
        <v>24</v>
      </c>
      <c r="H1122" s="460">
        <f t="array" ref="H1122">COUNT(IF($E$620:$E$927=$E1102,IF($X$620:$X$927&gt;0,$X$620:$X$927)))</f>
        <v>0</v>
      </c>
      <c r="I1122" s="452" t="str">
        <f t="array" ref="I1122">IF(H1122=0,"",MEDIAN(IF($E$620:$E$927=$E1102,IF($X$620:$X$927&gt;0,$X$620:$X$927))))</f>
        <v/>
      </c>
      <c r="J1122" s="452" t="str">
        <f t="array" ref="J1122">IF(H1122&lt;2,"",MIN(IF($E$620:$E$927=$E1102,IF($X$620:$X$927&gt;0,$X$620:$X$927))))</f>
        <v/>
      </c>
      <c r="K1122" s="453" t="str">
        <f t="array" ref="K1122">IF(H1122&lt;2,"",MAX(IF($E$620:$E$927=$E1102,IF($X$620:$X$927&gt;0,$X$620:$X$927))))</f>
        <v/>
      </c>
      <c r="L1122" s="460">
        <f t="array" ref="L1122">COUNT(IF($E$620:$E$927=$E1102,IF($Z$620:$Z$927&lt;0,$Z$620:$Z$927)))</f>
        <v>0</v>
      </c>
      <c r="M1122" s="452" t="str">
        <f t="array" ref="M1122">IF(L1122=0,"",MEDIAN(IF($E$620:$E$927=$E1102,IF($Z$620:$Z$927&lt;0,$Z$620:$Z$927))))</f>
        <v/>
      </c>
      <c r="N1122" s="452" t="str">
        <f t="array" ref="N1122">IF(L1122&lt;2,"",MIN(IF($E$620:$E$927=$E1102,IF($Z$620:$Z$927&lt;0,$Z$620:$Z$927))))</f>
        <v/>
      </c>
      <c r="O1122" s="453" t="str">
        <f t="array" ref="O1122">IF(L1122&lt;2,"",MAX(IF($E$620:$E$927=$E1102,IF($Z$620:$Z$927&lt;0,$Z$620:$Z$927))))</f>
        <v/>
      </c>
    </row>
    <row r="1123" spans="7:15" x14ac:dyDescent="0.2">
      <c r="G1123" s="457" t="s">
        <v>322</v>
      </c>
      <c r="H1123" s="460">
        <f t="array" ref="H1123">COUNT(IF($E$620:$E$927=$E1103,IF($X$620:$X$927&gt;0,$X$620:$X$927)))</f>
        <v>1</v>
      </c>
      <c r="I1123" s="452">
        <f t="array" ref="I1123">IF(H1123=0,"",MEDIAN(IF($E$620:$E$927=$E1103,IF($X$620:$X$927&gt;0,$X$620:$X$927))))</f>
        <v>2.1875410820489614</v>
      </c>
      <c r="J1123" s="452" t="str">
        <f t="array" ref="J1123">IF(H1123&lt;2,"",MIN(IF($E$620:$E$927=$E1103,IF($X$620:$X$927&gt;0,$X$620:$X$927))))</f>
        <v/>
      </c>
      <c r="K1123" s="453" t="str">
        <f t="array" ref="K1123">IF(H1123&lt;2,"",MAX(IF($E$620:$E$927=$E1103,IF($X$620:$X$927&gt;0,$X$620:$X$927))))</f>
        <v/>
      </c>
      <c r="L1123" s="460">
        <f t="array" ref="L1123">COUNT(IF($E$620:$E$927=$E1103,IF($Z$620:$Z$927&lt;0,$Z$620:$Z$927)))</f>
        <v>0</v>
      </c>
      <c r="M1123" s="452" t="str">
        <f t="array" ref="M1123">IF(L1123=0,"",MEDIAN(IF($E$620:$E$927=$E1103,IF($Z$620:$Z$927&lt;0,$Z$620:$Z$927))))</f>
        <v/>
      </c>
      <c r="N1123" s="452" t="str">
        <f t="array" ref="N1123">IF(L1123&lt;2,"",MIN(IF($E$620:$E$927=$E1103,IF($Z$620:$Z$927&lt;0,$Z$620:$Z$927))))</f>
        <v/>
      </c>
      <c r="O1123" s="453" t="str">
        <f t="array" ref="O1123">IF(L1123&lt;2,"",MAX(IF($E$620:$E$927=$E1103,IF($Z$620:$Z$927&lt;0,$Z$620:$Z$927))))</f>
        <v/>
      </c>
    </row>
    <row r="1124" spans="7:15" x14ac:dyDescent="0.2">
      <c r="G1124" s="457" t="s">
        <v>123</v>
      </c>
      <c r="H1124" s="460">
        <f t="array" ref="H1124">COUNT(IF($E$620:$E$927=$E1104,IF($X$620:$X$927&gt;0,$X$620:$X$927)))</f>
        <v>0</v>
      </c>
      <c r="I1124" s="452" t="str">
        <f t="array" ref="I1124">IF(H1124=0,"",MEDIAN(IF($E$620:$E$927=$E1104,IF($X$620:$X$927&gt;0,$X$620:$X$927))))</f>
        <v/>
      </c>
      <c r="J1124" s="452" t="str">
        <f t="array" ref="J1124">IF(H1124&lt;2,"",MIN(IF($E$620:$E$927=$E1104,IF($X$620:$X$927&gt;0,$X$620:$X$927))))</f>
        <v/>
      </c>
      <c r="K1124" s="453" t="str">
        <f t="array" ref="K1124">IF(H1124&lt;2,"",MAX(IF($E$620:$E$927=$E1104,IF($X$620:$X$927&gt;0,$X$620:$X$927))))</f>
        <v/>
      </c>
      <c r="L1124" s="460">
        <f t="array" ref="L1124">COUNT(IF($E$620:$E$927=$E1104,IF($Z$620:$Z$927&lt;0,$Z$620:$Z$927)))</f>
        <v>0</v>
      </c>
      <c r="M1124" s="452" t="str">
        <f t="array" ref="M1124">IF(L1124=0,"",MEDIAN(IF($E$620:$E$927=$E1104,IF($Z$620:$Z$927&lt;0,$Z$620:$Z$927))))</f>
        <v/>
      </c>
      <c r="N1124" s="452" t="str">
        <f t="array" ref="N1124">IF(L1124&lt;2,"",MIN(IF($E$620:$E$927=$E1104,IF($Z$620:$Z$927&lt;0,$Z$620:$Z$927))))</f>
        <v/>
      </c>
      <c r="O1124" s="453" t="str">
        <f t="array" ref="O1124">IF(L1124&lt;2,"",MAX(IF($E$620:$E$927=$E1104,IF($Z$620:$Z$927&lt;0,$Z$620:$Z$927))))</f>
        <v/>
      </c>
    </row>
    <row r="1125" spans="7:15" x14ac:dyDescent="0.2">
      <c r="G1125" s="457" t="s">
        <v>318</v>
      </c>
      <c r="H1125" s="460">
        <f t="array" ref="H1125">COUNT(IF($E$620:$E$927=$E1105,IF($X$620:$X$927&gt;0,$X$620:$X$927)))</f>
        <v>4</v>
      </c>
      <c r="I1125" s="452">
        <f t="array" ref="I1125">IF(H1125=0,"",MEDIAN(IF($E$620:$E$927=$E1105,IF($X$620:$X$927&gt;0,$X$620:$X$927))))</f>
        <v>1.7886525065239844</v>
      </c>
      <c r="J1125" s="452">
        <f t="array" ref="J1125">IF(H1125&lt;2,"",MIN(IF($E$620:$E$927=$E1105,IF($X$620:$X$927&gt;0,$X$620:$X$927))))</f>
        <v>1.6403980225248544</v>
      </c>
      <c r="K1125" s="453">
        <f t="array" ref="K1125">IF(H1125&lt;2,"",MAX(IF($E$620:$E$927=$E1105,IF($X$620:$X$927&gt;0,$X$620:$X$927))))</f>
        <v>1.9145018228273141</v>
      </c>
      <c r="L1125" s="460">
        <f t="array" ref="L1125">COUNT(IF($E$620:$E$927=$E1105,IF($Z$620:$Z$927&lt;0,$Z$620:$Z$927)))</f>
        <v>3</v>
      </c>
      <c r="M1125" s="452">
        <f t="array" ref="M1125">IF(L1125=0,"",MEDIAN(IF($E$620:$E$927=$E1105,IF($Z$620:$Z$927&lt;0,$Z$620:$Z$927))))</f>
        <v>-12.511449283499555</v>
      </c>
      <c r="N1125" s="452">
        <f t="array" ref="N1125">IF(L1125&lt;2,"",MIN(IF($E$620:$E$927=$E1105,IF($Z$620:$Z$927&lt;0,$Z$620:$Z$927))))</f>
        <v>-12.701146923590294</v>
      </c>
      <c r="O1125" s="453">
        <f t="array" ref="O1125">IF(L1125&lt;2,"",MAX(IF($E$620:$E$927=$E1105,IF($Z$620:$Z$927&lt;0,$Z$620:$Z$927))))</f>
        <v>-12.38615817812393</v>
      </c>
    </row>
    <row r="1126" spans="7:15" x14ac:dyDescent="0.2">
      <c r="G1126" s="457" t="s">
        <v>28</v>
      </c>
      <c r="H1126" s="460">
        <f t="array" ref="H1126">COUNT(IF($E$620:$E$927=$E1106,IF($X$620:$X$927&gt;0,$X$620:$X$927)))</f>
        <v>15</v>
      </c>
      <c r="I1126" s="452">
        <f t="array" ref="I1126">IF(H1126=0,"",MEDIAN(IF($E$620:$E$927=$E1106,IF($X$620:$X$927&gt;0,$X$620:$X$927))))</f>
        <v>1.9294189257142926</v>
      </c>
      <c r="J1126" s="452">
        <f t="array" ref="J1126">IF(H1126&lt;2,"",MIN(IF($E$620:$E$927=$E1106,IF($X$620:$X$927&gt;0,$X$620:$X$927))))</f>
        <v>1.5774917998372253</v>
      </c>
      <c r="K1126" s="453">
        <f t="array" ref="K1126">IF(H1126&lt;2,"",MAX(IF($E$620:$E$927=$E1106,IF($X$620:$X$927&gt;0,$X$620:$X$927))))</f>
        <v>2.1729530275463547</v>
      </c>
      <c r="L1126" s="460">
        <f t="array" ref="L1126">COUNT(IF($E$620:$E$927=$E1106,IF($Z$620:$Z$927&lt;0,$Z$620:$Z$927)))</f>
        <v>18</v>
      </c>
      <c r="M1126" s="452">
        <f t="array" ref="M1126">IF(L1126=0,"",MEDIAN(IF($E$620:$E$927=$E1106,IF($Z$620:$Z$927&lt;0,$Z$620:$Z$927))))</f>
        <v>-11.420986370511027</v>
      </c>
      <c r="N1126" s="452">
        <f t="array" ref="N1126">IF(L1126&lt;2,"",MIN(IF($E$620:$E$927=$E1106,IF($Z$620:$Z$927&lt;0,$Z$620:$Z$927))))</f>
        <v>-12.657760141526065</v>
      </c>
      <c r="O1126" s="453">
        <f t="array" ref="O1126">IF(L1126&lt;2,"",MAX(IF($E$620:$E$927=$E1106,IF($Z$620:$Z$927&lt;0,$Z$620:$Z$927))))</f>
        <v>-10.924453038607469</v>
      </c>
    </row>
    <row r="1127" spans="7:15" x14ac:dyDescent="0.2">
      <c r="G1127" s="457" t="s">
        <v>8</v>
      </c>
      <c r="H1127" s="460">
        <f t="array" ref="H1127">COUNT(IF($E$620:$E$927=$E1107,IF($X$620:$X$927&gt;0,$X$620:$X$927)))</f>
        <v>5</v>
      </c>
      <c r="I1127" s="452">
        <f t="array" ref="I1127">IF(H1127=0,"",MEDIAN(IF($E$620:$E$927=$E1107,IF($X$620:$X$927&gt;0,$X$620:$X$927))))</f>
        <v>2.4373858559663875</v>
      </c>
      <c r="J1127" s="452">
        <f t="array" ref="J1127">IF(H1127&lt;2,"",MIN(IF($E$620:$E$927=$E1107,IF($X$620:$X$927&gt;0,$X$620:$X$927))))</f>
        <v>1.4313637641589874</v>
      </c>
      <c r="K1127" s="453">
        <f t="array" ref="K1127">IF(H1127&lt;2,"",MAX(IF($E$620:$E$927=$E1107,IF($X$620:$X$927&gt;0,$X$620:$X$927))))</f>
        <v>3.1346865049580432</v>
      </c>
      <c r="L1127" s="460">
        <f t="array" ref="L1127">COUNT(IF($E$620:$E$927=$E1107,IF($Z$620:$Z$927&lt;0,$Z$620:$Z$927)))</f>
        <v>5</v>
      </c>
      <c r="M1127" s="452">
        <f t="array" ref="M1127">IF(L1127=0,"",MEDIAN(IF($E$620:$E$927=$E1107,IF($Z$620:$Z$927&lt;0,$Z$620:$Z$927))))</f>
        <v>-12.636388020107855</v>
      </c>
      <c r="N1127" s="452">
        <f t="array" ref="N1127">IF(L1127&lt;2,"",MIN(IF($E$620:$E$927=$E1107,IF($Z$620:$Z$927&lt;0,$Z$620:$Z$927))))</f>
        <v>-12.790385706800656</v>
      </c>
      <c r="O1127" s="453">
        <f t="array" ref="O1127">IF(L1127&lt;2,"",MAX(IF($E$620:$E$927=$E1107,IF($Z$620:$Z$927&lt;0,$Z$620:$Z$927))))</f>
        <v>-11.857332496431269</v>
      </c>
    </row>
    <row r="1128" spans="7:15" x14ac:dyDescent="0.2">
      <c r="G1128" s="457" t="s">
        <v>197</v>
      </c>
      <c r="H1128" s="460">
        <f t="array" ref="H1128">COUNT(IF($E$620:$E$927=$E1108,IF($X$620:$X$927&gt;0,$X$620:$X$927)))</f>
        <v>0</v>
      </c>
      <c r="I1128" s="452" t="str">
        <f t="array" ref="I1128">IF(H1128=0,"",MEDIAN(IF($E$620:$E$927=$E1108,IF($X$620:$X$927&gt;0,$X$620:$X$927))))</f>
        <v/>
      </c>
      <c r="J1128" s="452" t="str">
        <f t="array" ref="J1128">IF(H1128&lt;2,"",MIN(IF($E$620:$E$927=$E1108,IF($X$620:$X$927&gt;0,$X$620:$X$927))))</f>
        <v/>
      </c>
      <c r="K1128" s="453" t="str">
        <f t="array" ref="K1128">IF(H1128&lt;2,"",MAX(IF($E$620:$E$927=$E1108,IF($X$620:$X$927&gt;0,$X$620:$X$927))))</f>
        <v/>
      </c>
      <c r="L1128" s="460">
        <f t="array" ref="L1128">COUNT(IF($E$620:$E$927=$E1108,IF($Z$620:$Z$927&lt;0,$Z$620:$Z$927)))</f>
        <v>0</v>
      </c>
      <c r="M1128" s="452" t="str">
        <f t="array" ref="M1128">IF(L1128=0,"",MEDIAN(IF($E$620:$E$927=$E1108,IF($Z$620:$Z$927&lt;0,$Z$620:$Z$927))))</f>
        <v/>
      </c>
      <c r="N1128" s="452" t="str">
        <f t="array" ref="N1128">IF(L1128&lt;2,"",MIN(IF($E$620:$E$927=$E1108,IF($Z$620:$Z$927&lt;0,$Z$620:$Z$927))))</f>
        <v/>
      </c>
      <c r="O1128" s="453" t="str">
        <f t="array" ref="O1128">IF(L1128&lt;2,"",MAX(IF($E$620:$E$927=$E1108,IF($Z$620:$Z$927&lt;0,$Z$620:$Z$927))))</f>
        <v/>
      </c>
    </row>
    <row r="1129" spans="7:15" x14ac:dyDescent="0.2">
      <c r="G1129" s="457" t="s">
        <v>199</v>
      </c>
      <c r="H1129" s="460">
        <f t="array" ref="H1129">COUNT(IF($E$620:$E$927=$E1109,IF($X$620:$X$927&gt;0,$X$620:$X$927)))</f>
        <v>0</v>
      </c>
      <c r="I1129" s="452" t="str">
        <f t="array" ref="I1129">IF(H1129=0,"",MEDIAN(IF($E$620:$E$927=$E1109,IF($X$620:$X$927&gt;0,$X$620:$X$927))))</f>
        <v/>
      </c>
      <c r="J1129" s="452" t="str">
        <f t="array" ref="J1129">IF(H1129&lt;2,"",MIN(IF($E$620:$E$927=$E1109,IF($X$620:$X$927&gt;0,$X$620:$X$927))))</f>
        <v/>
      </c>
      <c r="K1129" s="453" t="str">
        <f t="array" ref="K1129">IF(H1129&lt;2,"",MAX(IF($E$620:$E$927=$E1109,IF($X$620:$X$927&gt;0,$X$620:$X$927))))</f>
        <v/>
      </c>
      <c r="L1129" s="460">
        <f t="array" ref="L1129">COUNT(IF($E$620:$E$927=$E1109,IF($Z$620:$Z$927&lt;0,$Z$620:$Z$927)))</f>
        <v>0</v>
      </c>
      <c r="M1129" s="452" t="str">
        <f t="array" ref="M1129">IF(L1129=0,"",MEDIAN(IF($E$620:$E$927=$E1109,IF($Z$620:$Z$927&lt;0,$Z$620:$Z$927))))</f>
        <v/>
      </c>
      <c r="N1129" s="452" t="str">
        <f t="array" ref="N1129">IF(L1129&lt;2,"",MIN(IF($E$620:$E$927=$E1109,IF($Z$620:$Z$927&lt;0,$Z$620:$Z$927))))</f>
        <v/>
      </c>
      <c r="O1129" s="453" t="str">
        <f t="array" ref="O1129">IF(L1129&lt;2,"",MAX(IF($E$620:$E$927=$E1109,IF($Z$620:$Z$927&lt;0,$Z$620:$Z$927))))</f>
        <v/>
      </c>
    </row>
    <row r="1130" spans="7:15" x14ac:dyDescent="0.2">
      <c r="G1130" s="457" t="s">
        <v>1249</v>
      </c>
      <c r="H1130" s="460">
        <f t="array" ref="H1130">COUNT(IF($E$620:$E$927=$E1110,IF($X$620:$X$927&gt;0,$X$620:$X$927)))</f>
        <v>0</v>
      </c>
      <c r="I1130" s="452" t="str">
        <f t="array" ref="I1130">IF(H1130=0,"",MEDIAN(IF($E$620:$E$927=$E1110,IF($X$620:$X$927&gt;0,$X$620:$X$927))))</f>
        <v/>
      </c>
      <c r="J1130" s="452" t="str">
        <f t="array" ref="J1130">IF(H1130&lt;2,"",MIN(IF($E$620:$E$927=$E1110,IF($X$620:$X$927&gt;0,$X$620:$X$927))))</f>
        <v/>
      </c>
      <c r="K1130" s="453" t="str">
        <f t="array" ref="K1130">IF(H1130&lt;2,"",MAX(IF($E$620:$E$927=$E1110,IF($X$620:$X$927&gt;0,$X$620:$X$927))))</f>
        <v/>
      </c>
      <c r="L1130" s="460">
        <f t="array" ref="L1130">COUNT(IF($E$620:$E$927=$E1110,IF($Z$620:$Z$927&lt;0,$Z$620:$Z$927)))</f>
        <v>2</v>
      </c>
      <c r="M1130" s="452">
        <f t="array" ref="M1130">IF(L1130=0,"",MEDIAN(IF($E$620:$E$927=$E1110,IF($Z$620:$Z$927&lt;0,$Z$620:$Z$927))))</f>
        <v>-12.433774093635499</v>
      </c>
      <c r="N1130" s="452">
        <f t="array" ref="N1130">IF(L1130&lt;2,"",MIN(IF($E$620:$E$927=$E1110,IF($Z$620:$Z$927&lt;0,$Z$620:$Z$927))))</f>
        <v>-12.690369832574101</v>
      </c>
      <c r="O1130" s="453">
        <f t="array" ref="O1130">IF(L1130&lt;2,"",MAX(IF($E$620:$E$927=$E1110,IF($Z$620:$Z$927&lt;0,$Z$620:$Z$927))))</f>
        <v>-12.177178354696895</v>
      </c>
    </row>
    <row r="1131" spans="7:15" x14ac:dyDescent="0.2">
      <c r="G1131" s="457" t="s">
        <v>1769</v>
      </c>
      <c r="H1131" s="460">
        <f t="array" ref="H1131">COUNT(IF($E$620:$E$927=$E1111,IF($X$620:$X$927&gt;0,$X$620:$X$927)))</f>
        <v>0</v>
      </c>
      <c r="I1131" s="452" t="str">
        <f t="array" ref="I1131">IF(H1131=0,"",MEDIAN(IF($E$620:$E$927=$E1111,IF($X$620:$X$927&gt;0,$X$620:$X$927))))</f>
        <v/>
      </c>
      <c r="J1131" s="452" t="str">
        <f t="array" ref="J1131">IF(H1131&lt;2,"",MIN(IF($E$620:$E$927=$E1111,IF($X$620:$X$927&gt;0,$X$620:$X$927))))</f>
        <v/>
      </c>
      <c r="K1131" s="453" t="str">
        <f t="array" ref="K1131">IF(H1131&lt;2,"",MAX(IF($E$620:$E$927=$E1111,IF($X$620:$X$927&gt;0,$X$620:$X$927))))</f>
        <v/>
      </c>
      <c r="L1131" s="460">
        <f t="array" ref="L1131">COUNT(IF($E$620:$E$927=$E1111,IF($Z$620:$Z$927&lt;0,$Z$620:$Z$927)))</f>
        <v>0</v>
      </c>
      <c r="M1131" s="452" t="str">
        <f t="array" ref="M1131">IF(L1131=0,"",MEDIAN(IF($E$620:$E$927=$E1111,IF($Z$620:$Z$927&lt;0,$Z$620:$Z$927))))</f>
        <v/>
      </c>
      <c r="N1131" s="452" t="str">
        <f t="array" ref="N1131">IF(L1131&lt;2,"",MIN(IF($E$620:$E$927=$E1111,IF($Z$620:$Z$927&lt;0,$Z$620:$Z$927))))</f>
        <v/>
      </c>
      <c r="O1131" s="453" t="str">
        <f t="array" ref="O1131">IF(L1131&lt;2,"",MAX(IF($E$620:$E$927=$E1111,IF($Z$620:$Z$927&lt;0,$Z$620:$Z$927))))</f>
        <v/>
      </c>
    </row>
    <row r="1132" spans="7:15" x14ac:dyDescent="0.2">
      <c r="G1132" s="458" t="s">
        <v>1746</v>
      </c>
      <c r="H1132" s="461">
        <f t="array" ref="H1132">COUNT(IF($E$620:$E$927=$E1112,IF($X$620:$X$927&gt;0,$X$620:$X$927)))</f>
        <v>0</v>
      </c>
      <c r="I1132" s="454" t="str">
        <f t="array" ref="I1132">IF(H1132=0,"",MEDIAN(IF($E$620:$E$927=$E1112,IF($X$620:$X$927&gt;0,$X$620:$X$927))))</f>
        <v/>
      </c>
      <c r="J1132" s="454" t="str">
        <f t="array" ref="J1132">IF(H1132&lt;2,"",MIN(IF($E$620:$E$927=$E1112,IF($X$620:$X$927&gt;0,$X$620:$X$927))))</f>
        <v/>
      </c>
      <c r="K1132" s="455" t="str">
        <f t="array" ref="K1132">IF(H1132&lt;2,"",MAX(IF($E$620:$E$927=$E1112,IF($X$620:$X$927&gt;0,$X$620:$X$927))))</f>
        <v/>
      </c>
      <c r="L1132" s="461">
        <f t="array" ref="L1132">COUNT(IF($E$620:$E$927=$E1112,IF($Z$620:$Z$927&lt;0,$Z$620:$Z$927)))</f>
        <v>0</v>
      </c>
      <c r="M1132" s="454" t="str">
        <f t="array" ref="M1132">IF(L1132=0,"",MEDIAN(IF($E$620:$E$927=$E1112,IF($Z$620:$Z$927&lt;0,$Z$620:$Z$927))))</f>
        <v/>
      </c>
      <c r="N1132" s="454" t="str">
        <f t="array" ref="N1132">IF(L1132&lt;2,"",MIN(IF($E$620:$E$927=$E1112,IF($Z$620:$Z$927&lt;0,$Z$620:$Z$927))))</f>
        <v/>
      </c>
      <c r="O1132" s="455" t="str">
        <f t="array" ref="O1132">IF(L1132&lt;2,"",MAX(IF($E$620:$E$927=$E1112,IF($Z$620:$Z$927&lt;0,$Z$620:$Z$927))))</f>
        <v/>
      </c>
    </row>
  </sheetData>
  <autoFilter ref="A46:FL927" xr:uid="{00000000-0001-0000-0900-000000000000}">
    <filterColumn colId="3">
      <filters>
        <filter val="Benzene"/>
      </filters>
    </filterColumn>
    <filterColumn colId="11">
      <filters>
        <filter val="HDPE"/>
      </filters>
    </filterColumn>
  </autoFilter>
  <sortState xmlns:xlrd2="http://schemas.microsoft.com/office/spreadsheetml/2017/richdata2" ref="A26:AP947">
    <sortCondition descending="1" ref="L26:L947"/>
    <sortCondition ref="G26:G947"/>
    <sortCondition ref="B26:B947"/>
    <sortCondition ref="D26:D947"/>
    <sortCondition ref="O26:O947"/>
    <sortCondition ref="T26:T947"/>
  </sortState>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00000"/>
  </sheetPr>
  <dimension ref="A2:CY381"/>
  <sheetViews>
    <sheetView zoomScale="70" zoomScaleNormal="70" workbookViewId="0">
      <pane xSplit="4" ySplit="12" topLeftCell="E28" activePane="bottomRight" state="frozen"/>
      <selection activeCell="Z42" sqref="Z42"/>
      <selection pane="topRight" activeCell="Z42" sqref="Z42"/>
      <selection pane="bottomLeft" activeCell="Z42" sqref="Z42"/>
      <selection pane="bottomRight" activeCell="CZ15" sqref="CZ15"/>
    </sheetView>
  </sheetViews>
  <sheetFormatPr defaultRowHeight="12.75" x14ac:dyDescent="0.2"/>
  <cols>
    <col min="1" max="1" width="15.5703125" style="33" customWidth="1"/>
    <col min="2" max="3" width="9.140625" style="33"/>
    <col min="4" max="4" width="26.5703125" style="33" customWidth="1"/>
    <col min="5" max="6" width="11.42578125" style="33" customWidth="1"/>
    <col min="7" max="7" width="8.5703125" style="33" customWidth="1"/>
    <col min="8" max="8" width="14.28515625" style="34" customWidth="1"/>
    <col min="9" max="9" width="9.28515625" style="33" customWidth="1"/>
    <col min="10" max="10" width="11.42578125" style="33" customWidth="1"/>
    <col min="11" max="15" width="9.5703125" style="33" customWidth="1"/>
    <col min="16" max="16" width="9.7109375" style="33" customWidth="1"/>
    <col min="17" max="17" width="9.5703125" style="33" customWidth="1"/>
    <col min="18" max="18" width="6" style="33" customWidth="1"/>
    <col min="19" max="19" width="11.7109375" style="33" customWidth="1"/>
    <col min="20" max="20" width="9.5703125" style="33" customWidth="1"/>
    <col min="21" max="21" width="4.28515625" style="33" customWidth="1"/>
    <col min="22" max="22" width="10.28515625" style="33" customWidth="1"/>
    <col min="23" max="23" width="9.5703125" style="33" customWidth="1"/>
    <col min="24" max="24" width="4.28515625" style="33" customWidth="1"/>
    <col min="25" max="25" width="10.28515625" style="33" customWidth="1"/>
    <col min="26" max="26" width="9.5703125" style="33" customWidth="1"/>
    <col min="27" max="27" width="4" style="33" customWidth="1"/>
    <col min="28" max="28" width="10" style="33" customWidth="1"/>
    <col min="29" max="29" width="8" style="33" customWidth="1"/>
    <col min="30" max="30" width="4.7109375" style="33" customWidth="1"/>
    <col min="31" max="31" width="8.85546875" style="33" customWidth="1"/>
    <col min="32" max="32" width="8" style="33" customWidth="1"/>
    <col min="33" max="33" width="4.7109375" style="33" customWidth="1"/>
    <col min="34" max="34" width="8" style="33" customWidth="1"/>
    <col min="35" max="36" width="9.85546875" style="33" customWidth="1"/>
    <col min="37" max="37" width="6" style="33" customWidth="1"/>
    <col min="38" max="38" width="10.42578125" style="33" customWidth="1"/>
    <col min="39" max="39" width="9.5703125" style="33" customWidth="1"/>
    <col min="40" max="40" width="5" style="33" customWidth="1"/>
    <col min="41" max="41" width="10.42578125" style="33" customWidth="1"/>
    <col min="42" max="42" width="9.5703125" style="33" customWidth="1"/>
    <col min="43" max="43" width="5" style="33" customWidth="1"/>
    <col min="44" max="44" width="10.42578125" style="33" customWidth="1"/>
    <col min="45" max="45" width="9.140625" style="33"/>
    <col min="46" max="46" width="5" style="33" customWidth="1"/>
    <col min="47" max="47" width="9.140625" style="33"/>
    <col min="48" max="48" width="10.42578125" style="33" customWidth="1"/>
    <col min="49" max="50" width="6.85546875" style="33" customWidth="1"/>
    <col min="51" max="52" width="9.5703125" style="33" customWidth="1"/>
    <col min="53" max="53" width="5" style="33" customWidth="1"/>
    <col min="54" max="55" width="9.5703125" style="33" customWidth="1"/>
    <col min="56" max="56" width="5" style="33" customWidth="1"/>
    <col min="57" max="57" width="8" style="33" customWidth="1"/>
    <col min="58" max="58" width="9.5703125" style="33" customWidth="1"/>
    <col min="59" max="59" width="5" style="33" customWidth="1"/>
    <col min="60" max="60" width="8" style="33" customWidth="1"/>
    <col min="61" max="61" width="9.5703125" style="33" customWidth="1"/>
    <col min="62" max="62" width="5" style="33" customWidth="1"/>
    <col min="63" max="63" width="8" style="33" customWidth="1"/>
    <col min="64" max="64" width="9.5703125" style="33" customWidth="1"/>
    <col min="65" max="65" width="5" style="33" customWidth="1"/>
    <col min="66" max="75" width="8" style="33" customWidth="1"/>
    <col min="76" max="84" width="9.140625" style="33"/>
    <col min="85" max="85" width="10.7109375" style="33" customWidth="1"/>
    <col min="86" max="95" width="9.140625" style="33"/>
    <col min="96" max="96" width="21.42578125" style="33" customWidth="1"/>
    <col min="97" max="97" width="8.28515625" style="33" customWidth="1"/>
    <col min="98" max="98" width="7.28515625" style="33" customWidth="1"/>
    <col min="99" max="99" width="14.140625" style="33" customWidth="1"/>
    <col min="100" max="100" width="8" style="33" customWidth="1"/>
    <col min="101" max="101" width="10.5703125" customWidth="1"/>
    <col min="102" max="102" width="8.28515625" style="33" customWidth="1"/>
    <col min="103" max="103" width="13.5703125" style="33" customWidth="1"/>
    <col min="104" max="16384" width="9.140625" style="33"/>
  </cols>
  <sheetData>
    <row r="2" spans="1:103" x14ac:dyDescent="0.2">
      <c r="R2" s="33">
        <v>1000</v>
      </c>
    </row>
    <row r="6" spans="1:103" x14ac:dyDescent="0.2">
      <c r="P6" s="33" t="s">
        <v>1068</v>
      </c>
      <c r="CD6" s="33" t="s">
        <v>1651</v>
      </c>
      <c r="CG6" s="33" t="s">
        <v>1889</v>
      </c>
      <c r="CI6" s="33" t="s">
        <v>1767</v>
      </c>
      <c r="CR6" s="31" t="s">
        <v>1921</v>
      </c>
    </row>
    <row r="7" spans="1:103" s="34" customFormat="1" x14ac:dyDescent="0.2">
      <c r="A7" s="88" t="s">
        <v>372</v>
      </c>
      <c r="B7" s="89">
        <v>1</v>
      </c>
      <c r="C7" s="89">
        <v>2</v>
      </c>
      <c r="D7" s="89">
        <v>3</v>
      </c>
      <c r="E7" s="89">
        <v>4</v>
      </c>
      <c r="F7" s="89">
        <v>5</v>
      </c>
      <c r="G7" s="89">
        <v>6</v>
      </c>
      <c r="H7" s="89">
        <v>7</v>
      </c>
      <c r="I7" s="89">
        <v>8</v>
      </c>
      <c r="J7" s="89">
        <v>9</v>
      </c>
      <c r="K7" s="89">
        <v>10</v>
      </c>
      <c r="L7" s="89">
        <v>11</v>
      </c>
      <c r="M7" s="89">
        <v>12</v>
      </c>
      <c r="N7" s="89">
        <v>13</v>
      </c>
      <c r="O7" s="89">
        <v>14</v>
      </c>
      <c r="P7" s="88"/>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90"/>
      <c r="BV7" s="89"/>
      <c r="BW7" s="89"/>
      <c r="BX7" s="89"/>
      <c r="BY7" s="89"/>
      <c r="BZ7" s="89"/>
      <c r="CA7" s="89"/>
      <c r="CB7" s="90"/>
      <c r="CC7" s="90"/>
      <c r="CD7" s="90"/>
      <c r="CE7" s="90"/>
      <c r="CF7" s="90"/>
      <c r="CG7" s="90"/>
      <c r="CH7" s="90"/>
      <c r="CI7" s="90"/>
    </row>
    <row r="8" spans="1:103" ht="12.75" customHeight="1" x14ac:dyDescent="0.2">
      <c r="A8" s="75" t="s">
        <v>354</v>
      </c>
      <c r="B8" s="78" t="s">
        <v>37</v>
      </c>
      <c r="C8" s="53" t="s">
        <v>41</v>
      </c>
      <c r="D8" s="79" t="s">
        <v>1253</v>
      </c>
      <c r="E8" s="79" t="s">
        <v>1254</v>
      </c>
      <c r="F8" s="79" t="s">
        <v>1272</v>
      </c>
      <c r="G8" s="79" t="s">
        <v>1305</v>
      </c>
      <c r="H8" s="84" t="s">
        <v>260</v>
      </c>
      <c r="I8" s="73" t="s">
        <v>257</v>
      </c>
      <c r="J8" s="73" t="s">
        <v>256</v>
      </c>
      <c r="K8" s="86" t="s">
        <v>348</v>
      </c>
      <c r="L8" s="86" t="s">
        <v>965</v>
      </c>
      <c r="M8" s="86" t="s">
        <v>1555</v>
      </c>
      <c r="N8" s="86" t="s">
        <v>1556</v>
      </c>
      <c r="O8" s="86" t="s">
        <v>1667</v>
      </c>
      <c r="P8" s="86" t="s">
        <v>256</v>
      </c>
      <c r="Q8" s="87"/>
      <c r="R8" s="87"/>
      <c r="S8" s="87"/>
      <c r="T8" s="87"/>
      <c r="U8" s="87"/>
      <c r="V8" s="87"/>
      <c r="W8" s="87"/>
      <c r="X8" s="87"/>
      <c r="Y8" s="87"/>
      <c r="Z8" s="87"/>
      <c r="AA8" s="87"/>
      <c r="AB8" s="87"/>
      <c r="AC8" s="87"/>
      <c r="AD8" s="87"/>
      <c r="AE8" s="87"/>
      <c r="AF8" s="87"/>
      <c r="AG8" s="87"/>
      <c r="AH8" s="87"/>
      <c r="AI8" s="86" t="s">
        <v>257</v>
      </c>
      <c r="AJ8" s="87"/>
      <c r="AK8" s="87"/>
      <c r="AL8" s="87"/>
      <c r="AM8" s="87"/>
      <c r="AN8" s="87"/>
      <c r="AO8" s="87"/>
      <c r="AP8" s="87"/>
      <c r="AQ8" s="87"/>
      <c r="AR8" s="87"/>
      <c r="AS8" s="87"/>
      <c r="AT8" s="87"/>
      <c r="AU8" s="87"/>
      <c r="AV8" s="87"/>
      <c r="AW8" s="87"/>
      <c r="AX8" s="87"/>
      <c r="AY8" s="86" t="s">
        <v>348</v>
      </c>
      <c r="AZ8" s="87"/>
      <c r="BA8" s="87"/>
      <c r="BB8" s="87"/>
      <c r="BC8" s="87"/>
      <c r="BD8" s="87"/>
      <c r="BE8" s="87"/>
      <c r="BF8" s="87"/>
      <c r="BG8" s="87"/>
      <c r="BH8" s="87"/>
      <c r="BI8" s="87"/>
      <c r="BJ8" s="87"/>
      <c r="BK8" s="87"/>
      <c r="BL8" s="87"/>
      <c r="BM8" s="87"/>
      <c r="BN8" s="87"/>
      <c r="BO8" s="87"/>
      <c r="BP8" s="87"/>
      <c r="BQ8" s="87"/>
      <c r="BR8" s="87"/>
      <c r="BS8" s="87"/>
      <c r="BT8" s="87"/>
      <c r="BU8" s="87"/>
      <c r="BV8" s="77"/>
      <c r="BW8" s="87"/>
      <c r="BX8" s="86" t="s">
        <v>1069</v>
      </c>
      <c r="BY8" s="87"/>
      <c r="BZ8" s="87"/>
      <c r="CA8" s="87"/>
      <c r="CB8" s="87"/>
      <c r="CC8" s="87"/>
      <c r="CD8" s="73"/>
      <c r="CE8" s="73"/>
      <c r="CF8" s="73"/>
      <c r="CG8" s="73"/>
      <c r="CH8" s="73"/>
      <c r="CI8" s="73"/>
    </row>
    <row r="9" spans="1:103" ht="12.75" customHeight="1" x14ac:dyDescent="0.2">
      <c r="A9" s="75" t="s">
        <v>355</v>
      </c>
      <c r="B9" s="78"/>
      <c r="C9" s="53"/>
      <c r="D9" s="79"/>
      <c r="E9" s="79"/>
      <c r="F9" s="79"/>
      <c r="G9" s="79"/>
      <c r="H9" s="84"/>
      <c r="I9" s="73" t="s">
        <v>43</v>
      </c>
      <c r="J9" s="73" t="s">
        <v>2021</v>
      </c>
      <c r="K9" s="80" t="s">
        <v>33</v>
      </c>
      <c r="L9" s="80" t="s">
        <v>965</v>
      </c>
      <c r="M9" s="80"/>
      <c r="N9" s="80"/>
      <c r="O9" s="80"/>
      <c r="P9" s="80" t="s">
        <v>2021</v>
      </c>
      <c r="Q9" s="73"/>
      <c r="R9" s="73"/>
      <c r="S9" s="73" t="s">
        <v>2021</v>
      </c>
      <c r="T9" s="73"/>
      <c r="U9" s="73"/>
      <c r="V9" s="73" t="s">
        <v>2021</v>
      </c>
      <c r="W9" s="73"/>
      <c r="X9" s="73"/>
      <c r="Y9" s="73" t="s">
        <v>2021</v>
      </c>
      <c r="Z9" s="73"/>
      <c r="AA9" s="73"/>
      <c r="AB9" s="73" t="s">
        <v>2021</v>
      </c>
      <c r="AC9" s="73"/>
      <c r="AD9" s="73"/>
      <c r="AE9" s="73" t="s">
        <v>2021</v>
      </c>
      <c r="AF9" s="73"/>
      <c r="AG9" s="73"/>
      <c r="AH9" s="73"/>
      <c r="AI9" s="80" t="s">
        <v>43</v>
      </c>
      <c r="AJ9" s="73"/>
      <c r="AK9" s="73"/>
      <c r="AL9" s="73" t="s">
        <v>43</v>
      </c>
      <c r="AM9" s="73"/>
      <c r="AN9" s="73"/>
      <c r="AO9" s="73" t="s">
        <v>43</v>
      </c>
      <c r="AP9" s="73"/>
      <c r="AQ9" s="73"/>
      <c r="AR9" s="73" t="s">
        <v>43</v>
      </c>
      <c r="AS9" s="73"/>
      <c r="AT9" s="73"/>
      <c r="AU9" s="73" t="s">
        <v>43</v>
      </c>
      <c r="AV9" s="73"/>
      <c r="AW9" s="73"/>
      <c r="AX9" s="73" t="s">
        <v>346</v>
      </c>
      <c r="AY9" s="80" t="s">
        <v>350</v>
      </c>
      <c r="AZ9" s="73"/>
      <c r="BA9" s="73"/>
      <c r="BB9" s="73"/>
      <c r="BC9" s="73"/>
      <c r="BD9" s="73"/>
      <c r="BE9" s="73"/>
      <c r="BF9" s="73"/>
      <c r="BG9" s="73"/>
      <c r="BH9" s="73"/>
      <c r="BI9" s="73"/>
      <c r="BJ9" s="73"/>
      <c r="BK9" s="73"/>
      <c r="BL9" s="73"/>
      <c r="BM9" s="73"/>
      <c r="BN9" s="73"/>
      <c r="BO9" s="73"/>
      <c r="BP9" s="73"/>
      <c r="BQ9" s="73"/>
      <c r="BR9" s="73"/>
      <c r="BS9" s="73"/>
      <c r="BT9" s="73"/>
      <c r="BU9" s="73"/>
      <c r="BV9" s="79"/>
      <c r="BW9" s="73"/>
      <c r="BX9" s="80" t="s">
        <v>965</v>
      </c>
      <c r="BY9" s="80" t="s">
        <v>965</v>
      </c>
      <c r="BZ9" s="73"/>
      <c r="CA9" s="73"/>
      <c r="CB9" s="73"/>
      <c r="CC9" s="73"/>
      <c r="CD9" s="73" t="s">
        <v>965</v>
      </c>
      <c r="CE9" s="73" t="s">
        <v>1775</v>
      </c>
      <c r="CF9" s="73" t="s">
        <v>1742</v>
      </c>
      <c r="CG9" s="73" t="s">
        <v>351</v>
      </c>
      <c r="CH9" s="73" t="s">
        <v>33</v>
      </c>
      <c r="CI9" s="73" t="s">
        <v>1768</v>
      </c>
    </row>
    <row r="10" spans="1:103" ht="12.75" customHeight="1" x14ac:dyDescent="0.2">
      <c r="A10" s="75" t="s">
        <v>356</v>
      </c>
      <c r="B10" s="80"/>
      <c r="C10" s="73"/>
      <c r="D10" s="79"/>
      <c r="E10" s="79"/>
      <c r="F10" s="79"/>
      <c r="G10" s="79"/>
      <c r="H10" s="84"/>
      <c r="I10" s="73" t="s">
        <v>258</v>
      </c>
      <c r="J10" s="73" t="s">
        <v>393</v>
      </c>
      <c r="K10" s="80" t="s">
        <v>349</v>
      </c>
      <c r="L10" s="80" t="s">
        <v>614</v>
      </c>
      <c r="M10" s="80"/>
      <c r="N10" s="80"/>
      <c r="O10" s="80"/>
      <c r="P10" s="80" t="s">
        <v>393</v>
      </c>
      <c r="Q10" s="73"/>
      <c r="R10" s="73"/>
      <c r="S10" s="73" t="s">
        <v>393</v>
      </c>
      <c r="T10" s="73"/>
      <c r="U10" s="73"/>
      <c r="V10" s="73" t="s">
        <v>393</v>
      </c>
      <c r="W10" s="73"/>
      <c r="X10" s="73"/>
      <c r="Y10" s="73" t="s">
        <v>393</v>
      </c>
      <c r="Z10" s="73"/>
      <c r="AA10" s="73"/>
      <c r="AB10" s="73" t="s">
        <v>393</v>
      </c>
      <c r="AC10" s="73"/>
      <c r="AD10" s="73"/>
      <c r="AE10" s="73" t="s">
        <v>393</v>
      </c>
      <c r="AF10" s="73"/>
      <c r="AG10" s="73"/>
      <c r="AH10" s="73"/>
      <c r="AI10" s="80" t="s">
        <v>258</v>
      </c>
      <c r="AJ10" s="73"/>
      <c r="AK10" s="73"/>
      <c r="AL10" s="73" t="s">
        <v>258</v>
      </c>
      <c r="AM10" s="73"/>
      <c r="AN10" s="73"/>
      <c r="AO10" s="73" t="s">
        <v>258</v>
      </c>
      <c r="AP10" s="73"/>
      <c r="AQ10" s="73"/>
      <c r="AR10" s="73" t="s">
        <v>258</v>
      </c>
      <c r="AS10" s="73"/>
      <c r="AT10" s="73"/>
      <c r="AU10" s="73" t="s">
        <v>258</v>
      </c>
      <c r="AV10" s="73"/>
      <c r="AW10" s="73"/>
      <c r="AX10" s="73"/>
      <c r="AY10" s="80" t="s">
        <v>349</v>
      </c>
      <c r="AZ10" s="73"/>
      <c r="BA10" s="73"/>
      <c r="BB10" s="73"/>
      <c r="BC10" s="73"/>
      <c r="BD10" s="73"/>
      <c r="BE10" s="73"/>
      <c r="BF10" s="73"/>
      <c r="BG10" s="73"/>
      <c r="BH10" s="73"/>
      <c r="BI10" s="73"/>
      <c r="BJ10" s="73"/>
      <c r="BK10" s="73"/>
      <c r="BL10" s="73"/>
      <c r="BM10" s="73"/>
      <c r="BN10" s="73"/>
      <c r="BO10" s="73"/>
      <c r="BP10" s="73"/>
      <c r="BQ10" s="73"/>
      <c r="BR10" s="73"/>
      <c r="BS10" s="73"/>
      <c r="BT10" s="73"/>
      <c r="BU10" s="73"/>
      <c r="BV10" s="79"/>
      <c r="BW10" s="73"/>
      <c r="BX10" s="80" t="s">
        <v>614</v>
      </c>
      <c r="BY10" s="80" t="s">
        <v>614</v>
      </c>
      <c r="BZ10" s="73"/>
      <c r="CA10" s="73"/>
      <c r="CB10" s="73"/>
      <c r="CC10" s="73"/>
      <c r="CD10" s="73" t="s">
        <v>614</v>
      </c>
      <c r="CE10" s="73" t="s">
        <v>1776</v>
      </c>
      <c r="CF10" s="74">
        <v>0</v>
      </c>
      <c r="CG10" s="74" t="s">
        <v>342</v>
      </c>
      <c r="CH10" s="74" t="s">
        <v>349</v>
      </c>
      <c r="CI10" s="73" t="s">
        <v>742</v>
      </c>
    </row>
    <row r="11" spans="1:103" ht="12.75" customHeight="1" x14ac:dyDescent="0.2">
      <c r="A11" s="75" t="s">
        <v>357</v>
      </c>
      <c r="B11" s="80"/>
      <c r="C11" s="73"/>
      <c r="D11" s="79"/>
      <c r="E11" s="79"/>
      <c r="F11" s="79"/>
      <c r="G11" s="79"/>
      <c r="H11" s="75"/>
      <c r="I11" s="73" t="s">
        <v>353</v>
      </c>
      <c r="J11" s="73" t="s">
        <v>353</v>
      </c>
      <c r="K11" s="80" t="s">
        <v>353</v>
      </c>
      <c r="L11" s="80"/>
      <c r="M11" s="80"/>
      <c r="N11" s="80"/>
      <c r="O11" s="80"/>
      <c r="P11" s="80" t="s">
        <v>343</v>
      </c>
      <c r="Q11" s="73"/>
      <c r="R11" s="73"/>
      <c r="S11" s="73" t="s">
        <v>263</v>
      </c>
      <c r="T11" s="73"/>
      <c r="U11" s="73"/>
      <c r="V11" s="73" t="s">
        <v>264</v>
      </c>
      <c r="W11" s="73"/>
      <c r="X11" s="73"/>
      <c r="Y11" s="73" t="s">
        <v>1072</v>
      </c>
      <c r="Z11" s="73"/>
      <c r="AA11" s="73"/>
      <c r="AB11" s="73" t="s">
        <v>265</v>
      </c>
      <c r="AC11" s="73"/>
      <c r="AD11" s="73"/>
      <c r="AE11" s="73" t="s">
        <v>345</v>
      </c>
      <c r="AF11" s="73"/>
      <c r="AG11" s="73"/>
      <c r="AH11" s="73"/>
      <c r="AI11" s="80" t="s">
        <v>1914</v>
      </c>
      <c r="AJ11" s="73"/>
      <c r="AK11" s="73"/>
      <c r="AL11" s="73" t="s">
        <v>263</v>
      </c>
      <c r="AM11" s="73"/>
      <c r="AN11" s="73"/>
      <c r="AO11" s="73" t="s">
        <v>1072</v>
      </c>
      <c r="AP11" s="73"/>
      <c r="AQ11" s="73"/>
      <c r="AR11" s="73" t="s">
        <v>1640</v>
      </c>
      <c r="AS11" s="73" t="s">
        <v>1640</v>
      </c>
      <c r="AT11" s="73"/>
      <c r="AU11" s="73" t="s">
        <v>1641</v>
      </c>
      <c r="AV11" s="73" t="s">
        <v>1641</v>
      </c>
      <c r="AW11" s="73"/>
      <c r="AX11" s="73"/>
      <c r="AY11" s="80" t="s">
        <v>262</v>
      </c>
      <c r="AZ11" s="73"/>
      <c r="BA11" s="73"/>
      <c r="BB11" s="73" t="s">
        <v>263</v>
      </c>
      <c r="BC11" s="73"/>
      <c r="BD11" s="73"/>
      <c r="BE11" s="73" t="s">
        <v>264</v>
      </c>
      <c r="BF11" s="73"/>
      <c r="BG11" s="73"/>
      <c r="BH11" s="73" t="s">
        <v>1072</v>
      </c>
      <c r="BI11" s="73"/>
      <c r="BJ11" s="73"/>
      <c r="BK11" s="73" t="s">
        <v>266</v>
      </c>
      <c r="BL11" s="73"/>
      <c r="BM11" s="73"/>
      <c r="BN11" s="73" t="s">
        <v>1640</v>
      </c>
      <c r="BO11" s="73" t="s">
        <v>1640</v>
      </c>
      <c r="BP11" s="73"/>
      <c r="BQ11" s="73" t="s">
        <v>1641</v>
      </c>
      <c r="BR11" s="73" t="s">
        <v>1641</v>
      </c>
      <c r="BS11" s="73"/>
      <c r="BT11" s="73" t="s">
        <v>1642</v>
      </c>
      <c r="BU11" s="73" t="s">
        <v>1642</v>
      </c>
      <c r="BV11" s="79"/>
      <c r="BW11" s="73"/>
      <c r="BX11" s="80" t="s">
        <v>1019</v>
      </c>
      <c r="BY11" s="73" t="s">
        <v>1019</v>
      </c>
      <c r="BZ11" s="73" t="s">
        <v>1019</v>
      </c>
      <c r="CA11" s="73" t="s">
        <v>1730</v>
      </c>
      <c r="CB11" s="73" t="s">
        <v>1729</v>
      </c>
      <c r="CC11" s="73" t="s">
        <v>1733</v>
      </c>
      <c r="CD11" s="73"/>
      <c r="CE11" s="73"/>
      <c r="CF11" s="73">
        <v>700</v>
      </c>
      <c r="CG11" s="73" t="s">
        <v>353</v>
      </c>
      <c r="CH11" s="73" t="s">
        <v>353</v>
      </c>
      <c r="CI11" s="73"/>
      <c r="CR11" s="33" t="s">
        <v>2107</v>
      </c>
      <c r="CS11" s="33" t="s">
        <v>1913</v>
      </c>
      <c r="CT11" s="44" t="s">
        <v>43</v>
      </c>
      <c r="CU11" s="488" t="s">
        <v>2060</v>
      </c>
      <c r="CV11" s="33" t="s">
        <v>2068</v>
      </c>
      <c r="CW11" s="488" t="s">
        <v>2060</v>
      </c>
      <c r="CX11" s="44" t="s">
        <v>408</v>
      </c>
      <c r="CY11" s="488" t="s">
        <v>2060</v>
      </c>
    </row>
    <row r="12" spans="1:103" ht="12.75" customHeight="1" x14ac:dyDescent="0.2">
      <c r="A12" s="76" t="s">
        <v>358</v>
      </c>
      <c r="B12" s="81"/>
      <c r="C12" s="82"/>
      <c r="D12" s="83"/>
      <c r="E12" s="83"/>
      <c r="F12" s="83"/>
      <c r="G12" s="83"/>
      <c r="H12" s="85"/>
      <c r="I12" s="82"/>
      <c r="J12" s="82" t="s">
        <v>35</v>
      </c>
      <c r="K12" s="81"/>
      <c r="L12" s="81"/>
      <c r="M12" s="81"/>
      <c r="N12" s="81"/>
      <c r="O12" s="81"/>
      <c r="P12" s="81"/>
      <c r="Q12" s="82"/>
      <c r="R12" s="82"/>
      <c r="S12" s="82" t="s">
        <v>35</v>
      </c>
      <c r="T12" s="82"/>
      <c r="U12" s="82"/>
      <c r="V12" s="82" t="s">
        <v>35</v>
      </c>
      <c r="W12" s="82"/>
      <c r="X12" s="82"/>
      <c r="Y12" s="82"/>
      <c r="Z12" s="82"/>
      <c r="AA12" s="82"/>
      <c r="AB12" s="82" t="s">
        <v>259</v>
      </c>
      <c r="AC12" s="82"/>
      <c r="AD12" s="82"/>
      <c r="AE12" s="82" t="s">
        <v>35</v>
      </c>
      <c r="AF12" s="82"/>
      <c r="AG12" s="82"/>
      <c r="AH12" s="82" t="s">
        <v>346</v>
      </c>
      <c r="AI12" s="81"/>
      <c r="AJ12" s="82"/>
      <c r="AK12" s="82"/>
      <c r="AL12" s="82"/>
      <c r="AM12" s="82"/>
      <c r="AN12" s="82"/>
      <c r="AO12" s="82"/>
      <c r="AP12" s="82"/>
      <c r="AQ12" s="82"/>
      <c r="AR12" s="82"/>
      <c r="AS12" s="82" t="s">
        <v>346</v>
      </c>
      <c r="AT12" s="82"/>
      <c r="AU12" s="82"/>
      <c r="AV12" s="82" t="s">
        <v>346</v>
      </c>
      <c r="AW12" s="82"/>
      <c r="AX12" s="82"/>
      <c r="AY12" s="81"/>
      <c r="AZ12" s="82"/>
      <c r="BA12" s="82"/>
      <c r="BB12" s="82"/>
      <c r="BC12" s="82"/>
      <c r="BD12" s="82"/>
      <c r="BE12" s="82"/>
      <c r="BF12" s="82"/>
      <c r="BG12" s="82"/>
      <c r="BH12" s="82"/>
      <c r="BI12" s="82"/>
      <c r="BJ12" s="82"/>
      <c r="BK12" s="82"/>
      <c r="BL12" s="82"/>
      <c r="BM12" s="82"/>
      <c r="BN12" s="82"/>
      <c r="BO12" s="83" t="s">
        <v>346</v>
      </c>
      <c r="BP12" s="82"/>
      <c r="BQ12" s="82"/>
      <c r="BR12" s="83" t="s">
        <v>346</v>
      </c>
      <c r="BS12" s="82"/>
      <c r="BT12" s="82"/>
      <c r="BU12" s="82" t="s">
        <v>346</v>
      </c>
      <c r="BV12" s="83"/>
      <c r="BW12" s="82"/>
      <c r="BX12" s="81" t="s">
        <v>1731</v>
      </c>
      <c r="BY12" s="82" t="s">
        <v>1732</v>
      </c>
      <c r="BZ12" s="82" t="s">
        <v>1735</v>
      </c>
      <c r="CA12" s="82"/>
      <c r="CB12" s="82"/>
      <c r="CC12" s="82"/>
      <c r="CD12" s="73"/>
      <c r="CE12" s="73"/>
      <c r="CF12" s="73"/>
      <c r="CG12" s="73" t="s">
        <v>35</v>
      </c>
      <c r="CH12" s="73"/>
      <c r="CI12" s="73"/>
      <c r="CR12" s="488"/>
      <c r="CS12" s="488"/>
      <c r="CT12" s="44" t="s">
        <v>258</v>
      </c>
      <c r="CU12" s="488"/>
      <c r="CV12" s="33" t="s">
        <v>352</v>
      </c>
      <c r="CW12" s="488"/>
      <c r="CX12" s="44" t="s">
        <v>349</v>
      </c>
      <c r="CY12" s="488"/>
    </row>
    <row r="13" spans="1:103" ht="12.75" customHeight="1" x14ac:dyDescent="0.2">
      <c r="H13" s="32"/>
    </row>
    <row r="14" spans="1:103" ht="12.75" customHeight="1" x14ac:dyDescent="0.2">
      <c r="B14" s="33">
        <v>-1577</v>
      </c>
      <c r="D14" s="105" t="s">
        <v>1084</v>
      </c>
      <c r="E14" s="105" t="s">
        <v>1084</v>
      </c>
      <c r="F14" s="34"/>
      <c r="G14" s="34"/>
      <c r="I14" s="33" t="e">
        <f t="shared" ref="I14:I45" si="0">IF(ISNUMBER(AI14),AI14,AVERAGE(AL14:AU14))</f>
        <v>#DIV/0!</v>
      </c>
      <c r="J14" s="33" t="e">
        <f>IF(ISNUMBER(P14),P14,AVERAGE(S14:AE14))</f>
        <v>#DIV/0!</v>
      </c>
      <c r="K14" s="44">
        <f t="shared" ref="K14:K45" si="1">IF(ISNUMBER(AY14),AY14,AVERAGE(BB14,BE14,BH14,BK14,BN14,BQ14,BT14))</f>
        <v>4.46</v>
      </c>
      <c r="L14" s="33">
        <f t="shared" ref="L14:L45" si="2">AVERAGE(BX14:BY14)</f>
        <v>163.19999999999999</v>
      </c>
      <c r="M14" s="33" t="s">
        <v>1552</v>
      </c>
      <c r="Q14" s="44" t="str">
        <f t="shared" ref="Q14:Q45" si="3">IF(ISBLANK(P14)," ","Sanscrit")</f>
        <v xml:space="preserve"> </v>
      </c>
      <c r="R14" s="33" t="str">
        <f>IF(OR(ISBLANK(P14), ISBLANK(Q14)),"",CONCATENATE(" ",VLOOKUP(Q14,Literatuur!$A:$B,2,FALSE)," "))</f>
        <v/>
      </c>
      <c r="T14" s="44" t="str">
        <f t="shared" ref="T14:T45" si="4">IF(ISBLANK(S14)," ","Gestis")</f>
        <v xml:space="preserve"> </v>
      </c>
      <c r="U14" s="33" t="str">
        <f>IF(OR(ISBLANK(S14), ISBLANK(T14)),"",CONCATENATE(" ",VLOOKUP(T14,Literatuur!$A:$B,2,FALSE)," "))</f>
        <v/>
      </c>
      <c r="W14" s="44" t="str">
        <f t="shared" ref="W14:W45" si="5">IF(ISBLANK(V14)," ","US EPA 1995")</f>
        <v xml:space="preserve"> </v>
      </c>
      <c r="X14" s="33" t="str">
        <f>IF(OR(ISBLANK(V14), ISBLANK(W14)),"",CONCATENATE(" ",VLOOKUP(W14,Literatuur!$A:$B,2,FALSE)," "))</f>
        <v/>
      </c>
      <c r="Z14" s="44" t="str">
        <f t="shared" ref="Z14:Z45" si="6">IF(ISBLANK(Y14)," ","US EPA suite")</f>
        <v xml:space="preserve"> </v>
      </c>
      <c r="AA14" s="33" t="str">
        <f>IF(OR(ISBLANK(Y14), ISBLANK(Z14)),"",CONCATENATE(" ",VLOOKUP(Z14,Literatuur!$A:$B,2,FALSE)," "))</f>
        <v/>
      </c>
      <c r="AC14" s="186" t="str">
        <f t="shared" ref="AC14:AC45" si="7">IF(ISBLANK(AB14)," ","Vonk 1985")</f>
        <v xml:space="preserve"> </v>
      </c>
      <c r="AD14" s="33" t="str">
        <f>IF(OR(ISBLANK(AB14), ISBLANK(AC14)),"",CONCATENATE(" ",VLOOKUP(AC14,Literatuur!$A:$B,2,FALSE)," "))</f>
        <v/>
      </c>
      <c r="AG14" s="33" t="str">
        <f>IF(OR(ISBLANK(AE14), ISBLANK(AF14)),"",CONCATENATE(" ",VLOOKUP(AF14,Literatuur!$A:$B,2,FALSE)," "))</f>
        <v/>
      </c>
      <c r="AJ14" s="44" t="str">
        <f t="shared" ref="AJ14:AJ45" si="8">IF(ISBLANK(AI14)," ","Sanscrit")</f>
        <v xml:space="preserve"> </v>
      </c>
      <c r="AK14" s="33" t="str">
        <f>IF(OR(ISBLANK(AI14), ISBLANK(AJ14)),"",CONCATENATE(" ",VLOOKUP(AJ14,Literatuur!$A:$B,2,FALSE)," "))</f>
        <v/>
      </c>
      <c r="AM14" s="44" t="str">
        <f t="shared" ref="AM14:AM45" si="9">IF(ISBLANK(AL14)," ","Gestis")</f>
        <v xml:space="preserve"> </v>
      </c>
      <c r="AN14" s="33" t="str">
        <f>IF(OR(ISBLANK(AL14), ISBLANK(AM14)),"",CONCATENATE(" ",VLOOKUP(AM14,Literatuur!$A:$B,2,FALSE)," "))</f>
        <v/>
      </c>
      <c r="AP14" s="44" t="str">
        <f t="shared" ref="AP14:AP45" si="10">IF(ISBLANK(AO14)," ","US EPA suite")</f>
        <v xml:space="preserve"> </v>
      </c>
      <c r="AQ14" s="33" t="str">
        <f>IF(OR(ISBLANK(AO14), ISBLANK(AP14)),"",CONCATENATE(" ",VLOOKUP(AP14,Literatuur!$A:$B,2,FALSE)," "))</f>
        <v/>
      </c>
      <c r="AT14" s="33" t="str">
        <f>IF(OR(ISBLANK(AR14), ISBLANK(AS14)),"",CONCATENATE(" ",VLOOKUP(AS14,Literatuur!$A:$B,2,FALSE)," "))</f>
        <v/>
      </c>
      <c r="AW14" s="33" t="str">
        <f>IF(OR(ISBLANK(AU14), ISBLANK(AV14)),"",CONCATENATE(" ",VLOOKUP(AV14,Literatuur!$A:$B,2,FALSE)," "))</f>
        <v/>
      </c>
      <c r="AZ14" s="44" t="str">
        <f t="shared" ref="AZ14:AZ45" si="11">IF(ISBLANK(AY14)," ","Sanscrit")</f>
        <v xml:space="preserve"> </v>
      </c>
      <c r="BA14" s="33" t="str">
        <f>IF(OR(ISBLANK(AY14), ISBLANK(AZ14)),"",CONCATENATE(" ",VLOOKUP(AZ14,Literatuur!$A:$B,2,FALSE)," "))</f>
        <v/>
      </c>
      <c r="BC14" s="44" t="str">
        <f t="shared" ref="BC14:BC45" si="12">IF(ISBLANK(BB14)," ","Gestis")</f>
        <v xml:space="preserve"> </v>
      </c>
      <c r="BD14" s="33" t="str">
        <f>IF(OR(ISBLANK(BB14), ISBLANK(BC14)),"",CONCATENATE(" ",VLOOKUP(BC14,Literatuur!$A:$B,2,FALSE)," "))</f>
        <v/>
      </c>
      <c r="BF14" s="44" t="str">
        <f t="shared" ref="BF14:BF45" si="13">IF(ISBLANK(BE14)," ","US EPA 1995")</f>
        <v xml:space="preserve"> </v>
      </c>
      <c r="BG14" s="33" t="str">
        <f>IF(OR(ISBLANK(BE14), ISBLANK(BF14)),"",CONCATENATE(" ",VLOOKUP(BF14,Literatuur!$A:$B,2,FALSE)," "))</f>
        <v/>
      </c>
      <c r="BI14" s="44" t="str">
        <f t="shared" ref="BI14:BI45" si="14">IF(ISBLANK(BH14)," ","US EPA suite")</f>
        <v xml:space="preserve"> </v>
      </c>
      <c r="BJ14" s="33" t="str">
        <f>IF(OR(ISBLANK(BH14), ISBLANK(BI14)),"",CONCATENATE(" ",VLOOKUP(BI14,Literatuur!$A:$B,2,FALSE)," "))</f>
        <v/>
      </c>
      <c r="BL14" s="44" t="str">
        <f t="shared" ref="BL14:BL45" si="15">IF(ISBLANK(BK14)," ","Sangster 1989")</f>
        <v xml:space="preserve"> </v>
      </c>
      <c r="BM14" s="33" t="str">
        <f>IF(OR(ISBLANK(BK14), ISBLANK(BL14)),"",CONCATENATE(" ",VLOOKUP(BL14,Literatuur!$A:$B,2,FALSE)," "))</f>
        <v/>
      </c>
      <c r="BP14" s="33" t="str">
        <f>IF(OR(ISBLANK(BN14), ISBLANK(BO14)),"",CONCATENATE(" ",VLOOKUP(BO14,Literatuur!$A:$B,2,FALSE)," "))</f>
        <v/>
      </c>
      <c r="BS14" s="33" t="str">
        <f>IF(OR(ISBLANK(BQ14), ISBLANK(BR14)),"",CONCATENATE(" ",VLOOKUP(BR14,Literatuur!$A:$B,2,FALSE)," "))</f>
        <v/>
      </c>
      <c r="BT14" s="33">
        <v>4.46</v>
      </c>
      <c r="BU14" s="33" t="s">
        <v>2066</v>
      </c>
      <c r="BV14" s="33" t="str">
        <f>IF(OR(ISBLANK(BT14), ISBLANK(BU14)),"",CONCATENATE(" ",VLOOKUP(BU14,Literatuur!$A:$B,2,FALSE)," "))</f>
        <v xml:space="preserve"> 8 </v>
      </c>
      <c r="BY14" s="33">
        <v>163.19999999999999</v>
      </c>
      <c r="CB14" s="33" t="s">
        <v>2066</v>
      </c>
      <c r="CE14" s="37"/>
      <c r="CH14" s="33">
        <f t="shared" ref="CH14:CH45" si="16">K14</f>
        <v>4.46</v>
      </c>
      <c r="CR14" s="33" t="str">
        <f t="shared" ref="CR14:CR77" si="17">IF(ISBLANK(E14),"",E14)</f>
        <v>PCB #1</v>
      </c>
      <c r="CS14" s="33" t="str">
        <f t="shared" ref="CS14:CS77" si="18">IF(ISBLANK(M14),"",M14)</f>
        <v>PCB</v>
      </c>
      <c r="CT14" s="33" t="str">
        <f t="shared" ref="CT14:CT77" si="19">IF(OR(ISBLANK(I14),ISERROR(I14)),"",I14)</f>
        <v/>
      </c>
      <c r="CU14" s="33" t="str">
        <f t="shared" ref="CU14:CU77" si="20">IF(ISBLANK(AI14),CONCATENATE(AN14,AQ14,AT14,AW14,AX14),AK14)</f>
        <v/>
      </c>
      <c r="CV14" s="33" t="str">
        <f t="shared" ref="CV14:CV77" si="21">IF(OR(ISBLANK(J14),ISERROR(J14)),"",J14)</f>
        <v/>
      </c>
      <c r="CW14" s="33" t="str">
        <f t="shared" ref="CW14:CW77" si="22">IF(ISBLANK(P14),CONCATENATE(U14,X14,AA14,AD14,AG14),R14)</f>
        <v/>
      </c>
      <c r="CX14" s="33">
        <f t="shared" ref="CX14:CX77" si="23">IF(OR(ISBLANK(K14),ISERROR(K14)),"",K14)</f>
        <v>4.46</v>
      </c>
      <c r="CY14" s="33" t="str">
        <f t="shared" ref="CY14:CY77" si="24">IF(ISBLANK(AY14),CONCATENATE(BD14,BG14,BJ14,BM14,BP14,BS14,BV14,BW14),BA14)</f>
        <v xml:space="preserve"> 8 </v>
      </c>
    </row>
    <row r="15" spans="1:103" x14ac:dyDescent="0.2">
      <c r="B15" s="33">
        <v>-1615</v>
      </c>
      <c r="D15" s="105" t="s">
        <v>1122</v>
      </c>
      <c r="E15" s="105" t="s">
        <v>1122</v>
      </c>
      <c r="F15" s="34"/>
      <c r="G15" s="34"/>
      <c r="I15" s="33" t="e">
        <f t="shared" si="0"/>
        <v>#DIV/0!</v>
      </c>
      <c r="J15" s="33" t="e">
        <f t="shared" ref="J15:J78" si="25">IF(ISNUMBER(P15),P15,AVERAGE(S15:AE15))</f>
        <v>#DIV/0!</v>
      </c>
      <c r="K15" s="44">
        <f t="shared" si="1"/>
        <v>6.23</v>
      </c>
      <c r="L15" s="33">
        <f t="shared" si="2"/>
        <v>212.1</v>
      </c>
      <c r="M15" s="33" t="s">
        <v>1552</v>
      </c>
      <c r="Q15" s="44" t="str">
        <f t="shared" si="3"/>
        <v xml:space="preserve"> </v>
      </c>
      <c r="R15" s="33" t="str">
        <f>IF(OR(ISBLANK(P15), ISBLANK(Q15)),"",CONCATENATE(" ",VLOOKUP(Q15,Literatuur!$A:$B,2,FALSE)," "))</f>
        <v/>
      </c>
      <c r="T15" s="44" t="str">
        <f t="shared" si="4"/>
        <v xml:space="preserve"> </v>
      </c>
      <c r="U15" s="33" t="str">
        <f>IF(OR(ISBLANK(S15), ISBLANK(T15)),"",CONCATENATE(" ",VLOOKUP(T15,Literatuur!$A:$B,2,FALSE)," "))</f>
        <v/>
      </c>
      <c r="W15" s="44" t="str">
        <f t="shared" si="5"/>
        <v xml:space="preserve"> </v>
      </c>
      <c r="X15" s="33" t="str">
        <f>IF(OR(ISBLANK(V15), ISBLANK(W15)),"",CONCATENATE(" ",VLOOKUP(W15,Literatuur!$A:$B,2,FALSE)," "))</f>
        <v/>
      </c>
      <c r="Z15" s="44" t="str">
        <f t="shared" si="6"/>
        <v xml:space="preserve"> </v>
      </c>
      <c r="AA15" s="33" t="str">
        <f>IF(OR(ISBLANK(Y15), ISBLANK(Z15)),"",CONCATENATE(" ",VLOOKUP(Z15,Literatuur!$A:$B,2,FALSE)," "))</f>
        <v/>
      </c>
      <c r="AC15" s="36" t="str">
        <f t="shared" si="7"/>
        <v xml:space="preserve"> </v>
      </c>
      <c r="AD15" s="33" t="str">
        <f>IF(OR(ISBLANK(AB15), ISBLANK(AC15)),"",CONCATENATE(" ",VLOOKUP(AC15,Literatuur!$A:$B,2,FALSE)," "))</f>
        <v/>
      </c>
      <c r="AG15" s="33" t="str">
        <f>IF(OR(ISBLANK(AE15), ISBLANK(AF15)),"",CONCATENATE(" ",VLOOKUP(AF15,Literatuur!$A:$B,2,FALSE)," "))</f>
        <v/>
      </c>
      <c r="AJ15" s="44" t="str">
        <f t="shared" si="8"/>
        <v xml:space="preserve"> </v>
      </c>
      <c r="AK15" s="33" t="str">
        <f>IF(OR(ISBLANK(AI15), ISBLANK(AJ15)),"",CONCATENATE(" ",VLOOKUP(AJ15,Literatuur!$A:$B,2,FALSE)," "))</f>
        <v/>
      </c>
      <c r="AM15" s="44" t="str">
        <f t="shared" si="9"/>
        <v xml:space="preserve"> </v>
      </c>
      <c r="AN15" s="33" t="str">
        <f>IF(OR(ISBLANK(AL15), ISBLANK(AM15)),"",CONCATENATE(" ",VLOOKUP(AM15,Literatuur!$A:$B,2,FALSE)," "))</f>
        <v/>
      </c>
      <c r="AP15" s="44" t="str">
        <f t="shared" si="10"/>
        <v xml:space="preserve"> </v>
      </c>
      <c r="AQ15" s="33" t="str">
        <f>IF(OR(ISBLANK(AO15), ISBLANK(AP15)),"",CONCATENATE(" ",VLOOKUP(AP15,Literatuur!$A:$B,2,FALSE)," "))</f>
        <v/>
      </c>
      <c r="AT15" s="33" t="str">
        <f>IF(OR(ISBLANK(AR15), ISBLANK(AS15)),"",CONCATENATE(" ",VLOOKUP(AS15,Literatuur!$A:$B,2,FALSE)," "))</f>
        <v/>
      </c>
      <c r="AW15" s="33" t="str">
        <f>IF(OR(ISBLANK(AU15), ISBLANK(AV15)),"",CONCATENATE(" ",VLOOKUP(AV15,Literatuur!$A:$B,2,FALSE)," "))</f>
        <v/>
      </c>
      <c r="AZ15" s="44" t="str">
        <f t="shared" si="11"/>
        <v xml:space="preserve"> </v>
      </c>
      <c r="BA15" s="33" t="str">
        <f>IF(OR(ISBLANK(AY15), ISBLANK(AZ15)),"",CONCATENATE(" ",VLOOKUP(AZ15,Literatuur!$A:$B,2,FALSE)," "))</f>
        <v/>
      </c>
      <c r="BC15" s="44" t="str">
        <f t="shared" si="12"/>
        <v xml:space="preserve"> </v>
      </c>
      <c r="BD15" s="33" t="str">
        <f>IF(OR(ISBLANK(BB15), ISBLANK(BC15)),"",CONCATENATE(" ",VLOOKUP(BC15,Literatuur!$A:$B,2,FALSE)," "))</f>
        <v/>
      </c>
      <c r="BF15" s="44" t="str">
        <f t="shared" si="13"/>
        <v xml:space="preserve"> </v>
      </c>
      <c r="BG15" s="33" t="str">
        <f>IF(OR(ISBLANK(BE15), ISBLANK(BF15)),"",CONCATENATE(" ",VLOOKUP(BF15,Literatuur!$A:$B,2,FALSE)," "))</f>
        <v/>
      </c>
      <c r="BI15" s="44" t="str">
        <f t="shared" si="14"/>
        <v xml:space="preserve"> </v>
      </c>
      <c r="BJ15" s="33" t="str">
        <f>IF(OR(ISBLANK(BH15), ISBLANK(BI15)),"",CONCATENATE(" ",VLOOKUP(BI15,Literatuur!$A:$B,2,FALSE)," "))</f>
        <v/>
      </c>
      <c r="BL15" s="44" t="str">
        <f t="shared" si="15"/>
        <v xml:space="preserve"> </v>
      </c>
      <c r="BM15" s="33" t="str">
        <f>IF(OR(ISBLANK(BK15), ISBLANK(BL15)),"",CONCATENATE(" ",VLOOKUP(BL15,Literatuur!$A:$B,2,FALSE)," "))</f>
        <v/>
      </c>
      <c r="BP15" s="33" t="str">
        <f>IF(OR(ISBLANK(BN15), ISBLANK(BO15)),"",CONCATENATE(" ",VLOOKUP(BO15,Literatuur!$A:$B,2,FALSE)," "))</f>
        <v/>
      </c>
      <c r="BS15" s="33" t="str">
        <f>IF(OR(ISBLANK(BQ15), ISBLANK(BR15)),"",CONCATENATE(" ",VLOOKUP(BR15,Literatuur!$A:$B,2,FALSE)," "))</f>
        <v/>
      </c>
      <c r="BT15" s="33">
        <v>6.23</v>
      </c>
      <c r="BU15" s="33" t="s">
        <v>2066</v>
      </c>
      <c r="BV15" s="33" t="str">
        <f>IF(OR(ISBLANK(BT15), ISBLANK(BU15)),"",CONCATENATE(" ",VLOOKUP(BU15,Literatuur!$A:$B,2,FALSE)," "))</f>
        <v xml:space="preserve"> 8 </v>
      </c>
      <c r="BY15" s="33">
        <v>212.1</v>
      </c>
      <c r="CB15" s="33" t="s">
        <v>2066</v>
      </c>
      <c r="CD15" s="33">
        <f t="shared" ref="CD15:CD46" si="26">L15</f>
        <v>212.1</v>
      </c>
      <c r="CE15" s="37"/>
      <c r="CH15" s="33">
        <f t="shared" si="16"/>
        <v>6.23</v>
      </c>
      <c r="CR15" s="33" t="str">
        <f t="shared" si="17"/>
        <v>PCB #100</v>
      </c>
      <c r="CS15" s="33" t="str">
        <f t="shared" si="18"/>
        <v>PCB</v>
      </c>
      <c r="CT15" s="33" t="str">
        <f t="shared" si="19"/>
        <v/>
      </c>
      <c r="CU15" s="33" t="str">
        <f t="shared" si="20"/>
        <v/>
      </c>
      <c r="CV15" s="33" t="str">
        <f t="shared" si="21"/>
        <v/>
      </c>
      <c r="CW15" s="33" t="str">
        <f t="shared" si="22"/>
        <v/>
      </c>
      <c r="CX15" s="33">
        <f t="shared" si="23"/>
        <v>6.23</v>
      </c>
      <c r="CY15" s="33" t="str">
        <f t="shared" si="24"/>
        <v xml:space="preserve"> 8 </v>
      </c>
    </row>
    <row r="16" spans="1:103" ht="12.75" customHeight="1" x14ac:dyDescent="0.2">
      <c r="B16" s="33">
        <v>-1616</v>
      </c>
      <c r="D16" s="105" t="s">
        <v>1123</v>
      </c>
      <c r="E16" s="105" t="s">
        <v>1123</v>
      </c>
      <c r="F16" s="34"/>
      <c r="G16" s="34"/>
      <c r="I16" s="33">
        <f t="shared" si="0"/>
        <v>326.39999999999998</v>
      </c>
      <c r="J16" s="33">
        <f t="shared" si="25"/>
        <v>3.2640000000000002E-2</v>
      </c>
      <c r="K16" s="44">
        <f t="shared" si="1"/>
        <v>6.3933333333333335</v>
      </c>
      <c r="L16" s="33">
        <f t="shared" si="2"/>
        <v>212.15</v>
      </c>
      <c r="M16" s="33" t="s">
        <v>1552</v>
      </c>
      <c r="Q16" s="44" t="str">
        <f t="shared" si="3"/>
        <v xml:space="preserve"> </v>
      </c>
      <c r="R16" s="33" t="str">
        <f>IF(OR(ISBLANK(P16), ISBLANK(Q16)),"",CONCATENATE(" ",VLOOKUP(Q16,Literatuur!$A:$B,2,FALSE)," "))</f>
        <v/>
      </c>
      <c r="T16" s="44" t="str">
        <f t="shared" si="4"/>
        <v xml:space="preserve"> </v>
      </c>
      <c r="U16" s="33" t="str">
        <f>IF(OR(ISBLANK(S16), ISBLANK(T16)),"",CONCATENATE(" ",VLOOKUP(T16,Literatuur!$A:$B,2,FALSE)," "))</f>
        <v/>
      </c>
      <c r="W16" s="44" t="str">
        <f t="shared" si="5"/>
        <v xml:space="preserve"> </v>
      </c>
      <c r="X16" s="33" t="str">
        <f>IF(OR(ISBLANK(V16), ISBLANK(W16)),"",CONCATENATE(" ",VLOOKUP(W16,Literatuur!$A:$B,2,FALSE)," "))</f>
        <v/>
      </c>
      <c r="Z16" s="44" t="str">
        <f t="shared" si="6"/>
        <v xml:space="preserve"> </v>
      </c>
      <c r="AA16" s="33" t="str">
        <f>IF(OR(ISBLANK(Y16), ISBLANK(Z16)),"",CONCATENATE(" ",VLOOKUP(Z16,Literatuur!$A:$B,2,FALSE)," "))</f>
        <v/>
      </c>
      <c r="AC16" s="36" t="str">
        <f t="shared" si="7"/>
        <v xml:space="preserve"> </v>
      </c>
      <c r="AD16" s="33" t="str">
        <f>IF(OR(ISBLANK(AB16), ISBLANK(AC16)),"",CONCATENATE(" ",VLOOKUP(AC16,Literatuur!$A:$B,2,FALSE)," "))</f>
        <v/>
      </c>
      <c r="AE16" s="365">
        <v>3.2640000000000002E-2</v>
      </c>
      <c r="AF16" s="33" t="s">
        <v>1557</v>
      </c>
      <c r="AG16" s="33" t="str">
        <f>IF(OR(ISBLANK(AE16), ISBLANK(AF16)),"",CONCATENATE(" ",VLOOKUP(AF16,Literatuur!$A:$B,2,FALSE)," "))</f>
        <v xml:space="preserve"> 17 </v>
      </c>
      <c r="AJ16" s="44" t="str">
        <f t="shared" si="8"/>
        <v xml:space="preserve"> </v>
      </c>
      <c r="AK16" s="33" t="str">
        <f>IF(OR(ISBLANK(AI16), ISBLANK(AJ16)),"",CONCATENATE(" ",VLOOKUP(AJ16,Literatuur!$A:$B,2,FALSE)," "))</f>
        <v/>
      </c>
      <c r="AM16" s="44" t="str">
        <f t="shared" si="9"/>
        <v xml:space="preserve"> </v>
      </c>
      <c r="AN16" s="33" t="str">
        <f>IF(OR(ISBLANK(AL16), ISBLANK(AM16)),"",CONCATENATE(" ",VLOOKUP(AM16,Literatuur!$A:$B,2,FALSE)," "))</f>
        <v/>
      </c>
      <c r="AP16" s="44" t="str">
        <f t="shared" si="10"/>
        <v xml:space="preserve"> </v>
      </c>
      <c r="AQ16" s="33" t="str">
        <f>IF(OR(ISBLANK(AO16), ISBLANK(AP16)),"",CONCATENATE(" ",VLOOKUP(AP16,Literatuur!$A:$B,2,FALSE)," "))</f>
        <v/>
      </c>
      <c r="AT16" s="33" t="str">
        <f>IF(OR(ISBLANK(AR16), ISBLANK(AS16)),"",CONCATENATE(" ",VLOOKUP(AS16,Literatuur!$A:$B,2,FALSE)," "))</f>
        <v/>
      </c>
      <c r="AU16" s="33">
        <v>326.39999999999998</v>
      </c>
      <c r="AV16" s="33" t="s">
        <v>1557</v>
      </c>
      <c r="AW16" s="33" t="str">
        <f>IF(OR(ISBLANK(AU16), ISBLANK(AV16)),"",CONCATENATE(" ",VLOOKUP(AV16,Literatuur!$A:$B,2,FALSE)," "))</f>
        <v xml:space="preserve"> 17 </v>
      </c>
      <c r="AZ16" s="44" t="str">
        <f t="shared" si="11"/>
        <v xml:space="preserve"> </v>
      </c>
      <c r="BA16" s="33" t="str">
        <f>IF(OR(ISBLANK(AY16), ISBLANK(AZ16)),"",CONCATENATE(" ",VLOOKUP(AZ16,Literatuur!$A:$B,2,FALSE)," "))</f>
        <v/>
      </c>
      <c r="BC16" s="44" t="str">
        <f t="shared" si="12"/>
        <v xml:space="preserve"> </v>
      </c>
      <c r="BD16" s="33" t="str">
        <f>IF(OR(ISBLANK(BB16), ISBLANK(BC16)),"",CONCATENATE(" ",VLOOKUP(BC16,Literatuur!$A:$B,2,FALSE)," "))</f>
        <v/>
      </c>
      <c r="BF16" s="44" t="str">
        <f t="shared" si="13"/>
        <v xml:space="preserve"> </v>
      </c>
      <c r="BG16" s="33" t="str">
        <f>IF(OR(ISBLANK(BE16), ISBLANK(BF16)),"",CONCATENATE(" ",VLOOKUP(BF16,Literatuur!$A:$B,2,FALSE)," "))</f>
        <v/>
      </c>
      <c r="BI16" s="44" t="str">
        <f t="shared" si="14"/>
        <v xml:space="preserve"> </v>
      </c>
      <c r="BJ16" s="33" t="str">
        <f>IF(OR(ISBLANK(BH16), ISBLANK(BI16)),"",CONCATENATE(" ",VLOOKUP(BI16,Literatuur!$A:$B,2,FALSE)," "))</f>
        <v/>
      </c>
      <c r="BL16" s="44" t="str">
        <f t="shared" si="15"/>
        <v xml:space="preserve"> </v>
      </c>
      <c r="BM16" s="33" t="str">
        <f>IF(OR(ISBLANK(BK16), ISBLANK(BL16)),"",CONCATENATE(" ",VLOOKUP(BL16,Literatuur!$A:$B,2,FALSE)," "))</f>
        <v/>
      </c>
      <c r="BN16" s="33">
        <v>6.4</v>
      </c>
      <c r="BO16" s="33" t="s">
        <v>1557</v>
      </c>
      <c r="BP16" s="33" t="str">
        <f>IF(OR(ISBLANK(BN16), ISBLANK(BO16)),"",CONCATENATE(" ",VLOOKUP(BO16,Literatuur!$A:$B,2,FALSE)," "))</f>
        <v xml:space="preserve"> 17 </v>
      </c>
      <c r="BQ16" s="33">
        <v>6.4</v>
      </c>
      <c r="BR16" s="33" t="s">
        <v>1557</v>
      </c>
      <c r="BS16" s="33" t="str">
        <f>IF(OR(ISBLANK(BQ16), ISBLANK(BR16)),"",CONCATENATE(" ",VLOOKUP(BR16,Literatuur!$A:$B,2,FALSE)," "))</f>
        <v xml:space="preserve"> 17 </v>
      </c>
      <c r="BT16" s="33">
        <v>6.38</v>
      </c>
      <c r="BU16" s="33" t="s">
        <v>2066</v>
      </c>
      <c r="BV16" s="33" t="str">
        <f>IF(OR(ISBLANK(BT16), ISBLANK(BU16)),"",CONCATENATE(" ",VLOOKUP(BU16,Literatuur!$A:$B,2,FALSE)," "))</f>
        <v xml:space="preserve"> 8 </v>
      </c>
      <c r="BX16" s="33">
        <v>212.4</v>
      </c>
      <c r="BY16" s="33">
        <v>211.9</v>
      </c>
      <c r="BZ16" s="339">
        <v>187.6</v>
      </c>
      <c r="CA16" s="33" t="s">
        <v>1557</v>
      </c>
      <c r="CB16" s="33" t="s">
        <v>2066</v>
      </c>
      <c r="CC16" s="33" t="s">
        <v>1734</v>
      </c>
      <c r="CD16" s="33">
        <f t="shared" si="26"/>
        <v>212.15</v>
      </c>
      <c r="CE16" s="37">
        <f>I16</f>
        <v>326.39999999999998</v>
      </c>
      <c r="CG16" s="33">
        <f>LOG(J16)</f>
        <v>-1.4862498499181764</v>
      </c>
      <c r="CH16" s="33">
        <f t="shared" si="16"/>
        <v>6.3933333333333335</v>
      </c>
      <c r="CR16" s="33" t="str">
        <f t="shared" si="17"/>
        <v>PCB #101</v>
      </c>
      <c r="CS16" s="33" t="str">
        <f t="shared" si="18"/>
        <v>PCB</v>
      </c>
      <c r="CT16" s="33">
        <f t="shared" si="19"/>
        <v>326.39999999999998</v>
      </c>
      <c r="CU16" s="33" t="str">
        <f t="shared" si="20"/>
        <v xml:space="preserve"> 17 </v>
      </c>
      <c r="CV16" s="33">
        <f t="shared" si="21"/>
        <v>3.2640000000000002E-2</v>
      </c>
      <c r="CW16" s="33" t="str">
        <f t="shared" si="22"/>
        <v xml:space="preserve"> 17 </v>
      </c>
      <c r="CX16" s="33">
        <f t="shared" si="23"/>
        <v>6.3933333333333335</v>
      </c>
      <c r="CY16" s="33" t="str">
        <f t="shared" si="24"/>
        <v xml:space="preserve"> 17  17  8 </v>
      </c>
    </row>
    <row r="17" spans="2:103" ht="12" customHeight="1" x14ac:dyDescent="0.2">
      <c r="B17" s="33">
        <v>-1617</v>
      </c>
      <c r="D17" s="105" t="s">
        <v>1124</v>
      </c>
      <c r="E17" s="105" t="s">
        <v>1124</v>
      </c>
      <c r="F17" s="34"/>
      <c r="G17" s="34"/>
      <c r="I17" s="33" t="e">
        <f t="shared" si="0"/>
        <v>#DIV/0!</v>
      </c>
      <c r="J17" s="33" t="e">
        <f t="shared" si="25"/>
        <v>#DIV/0!</v>
      </c>
      <c r="K17" s="44">
        <f t="shared" si="1"/>
        <v>6.22</v>
      </c>
      <c r="L17" s="33">
        <f t="shared" si="2"/>
        <v>212</v>
      </c>
      <c r="M17" s="33" t="s">
        <v>1552</v>
      </c>
      <c r="Q17" s="44" t="str">
        <f t="shared" si="3"/>
        <v xml:space="preserve"> </v>
      </c>
      <c r="R17" s="33" t="str">
        <f>IF(OR(ISBLANK(P17), ISBLANK(Q17)),"",CONCATENATE(" ",VLOOKUP(Q17,Literatuur!$A:$B,2,FALSE)," "))</f>
        <v/>
      </c>
      <c r="T17" s="44" t="str">
        <f t="shared" si="4"/>
        <v xml:space="preserve"> </v>
      </c>
      <c r="U17" s="33" t="str">
        <f>IF(OR(ISBLANK(S17), ISBLANK(T17)),"",CONCATENATE(" ",VLOOKUP(T17,Literatuur!$A:$B,2,FALSE)," "))</f>
        <v/>
      </c>
      <c r="W17" s="44" t="str">
        <f t="shared" si="5"/>
        <v xml:space="preserve"> </v>
      </c>
      <c r="X17" s="33" t="str">
        <f>IF(OR(ISBLANK(V17), ISBLANK(W17)),"",CONCATENATE(" ",VLOOKUP(W17,Literatuur!$A:$B,2,FALSE)," "))</f>
        <v/>
      </c>
      <c r="Z17" s="44" t="str">
        <f t="shared" si="6"/>
        <v xml:space="preserve"> </v>
      </c>
      <c r="AA17" s="33" t="str">
        <f>IF(OR(ISBLANK(Y17), ISBLANK(Z17)),"",CONCATENATE(" ",VLOOKUP(Z17,Literatuur!$A:$B,2,FALSE)," "))</f>
        <v/>
      </c>
      <c r="AC17" s="36" t="str">
        <f t="shared" si="7"/>
        <v xml:space="preserve"> </v>
      </c>
      <c r="AD17" s="33" t="str">
        <f>IF(OR(ISBLANK(AB17), ISBLANK(AC17)),"",CONCATENATE(" ",VLOOKUP(AC17,Literatuur!$A:$B,2,FALSE)," "))</f>
        <v/>
      </c>
      <c r="AG17" s="33" t="str">
        <f>IF(OR(ISBLANK(AE17), ISBLANK(AF17)),"",CONCATENATE(" ",VLOOKUP(AF17,Literatuur!$A:$B,2,FALSE)," "))</f>
        <v/>
      </c>
      <c r="AJ17" s="44" t="str">
        <f t="shared" si="8"/>
        <v xml:space="preserve"> </v>
      </c>
      <c r="AK17" s="33" t="str">
        <f>IF(OR(ISBLANK(AI17), ISBLANK(AJ17)),"",CONCATENATE(" ",VLOOKUP(AJ17,Literatuur!$A:$B,2,FALSE)," "))</f>
        <v/>
      </c>
      <c r="AM17" s="44" t="str">
        <f t="shared" si="9"/>
        <v xml:space="preserve"> </v>
      </c>
      <c r="AN17" s="33" t="str">
        <f>IF(OR(ISBLANK(AL17), ISBLANK(AM17)),"",CONCATENATE(" ",VLOOKUP(AM17,Literatuur!$A:$B,2,FALSE)," "))</f>
        <v/>
      </c>
      <c r="AP17" s="44" t="str">
        <f t="shared" si="10"/>
        <v xml:space="preserve"> </v>
      </c>
      <c r="AQ17" s="33" t="str">
        <f>IF(OR(ISBLANK(AO17), ISBLANK(AP17)),"",CONCATENATE(" ",VLOOKUP(AP17,Literatuur!$A:$B,2,FALSE)," "))</f>
        <v/>
      </c>
      <c r="AT17" s="33" t="str">
        <f>IF(OR(ISBLANK(AR17), ISBLANK(AS17)),"",CONCATENATE(" ",VLOOKUP(AS17,Literatuur!$A:$B,2,FALSE)," "))</f>
        <v/>
      </c>
      <c r="AW17" s="33" t="str">
        <f>IF(OR(ISBLANK(AU17), ISBLANK(AV17)),"",CONCATENATE(" ",VLOOKUP(AV17,Literatuur!$A:$B,2,FALSE)," "))</f>
        <v/>
      </c>
      <c r="AZ17" s="44" t="str">
        <f t="shared" si="11"/>
        <v xml:space="preserve"> </v>
      </c>
      <c r="BA17" s="33" t="str">
        <f>IF(OR(ISBLANK(AY17), ISBLANK(AZ17)),"",CONCATENATE(" ",VLOOKUP(AZ17,Literatuur!$A:$B,2,FALSE)," "))</f>
        <v/>
      </c>
      <c r="BC17" s="44" t="str">
        <f t="shared" si="12"/>
        <v xml:space="preserve"> </v>
      </c>
      <c r="BD17" s="33" t="str">
        <f>IF(OR(ISBLANK(BB17), ISBLANK(BC17)),"",CONCATENATE(" ",VLOOKUP(BC17,Literatuur!$A:$B,2,FALSE)," "))</f>
        <v/>
      </c>
      <c r="BF17" s="44" t="str">
        <f t="shared" si="13"/>
        <v xml:space="preserve"> </v>
      </c>
      <c r="BG17" s="33" t="str">
        <f>IF(OR(ISBLANK(BE17), ISBLANK(BF17)),"",CONCATENATE(" ",VLOOKUP(BF17,Literatuur!$A:$B,2,FALSE)," "))</f>
        <v/>
      </c>
      <c r="BI17" s="44" t="str">
        <f t="shared" si="14"/>
        <v xml:space="preserve"> </v>
      </c>
      <c r="BJ17" s="33" t="str">
        <f>IF(OR(ISBLANK(BH17), ISBLANK(BI17)),"",CONCATENATE(" ",VLOOKUP(BI17,Literatuur!$A:$B,2,FALSE)," "))</f>
        <v/>
      </c>
      <c r="BL17" s="44" t="str">
        <f t="shared" si="15"/>
        <v xml:space="preserve"> </v>
      </c>
      <c r="BM17" s="33" t="str">
        <f>IF(OR(ISBLANK(BK17), ISBLANK(BL17)),"",CONCATENATE(" ",VLOOKUP(BL17,Literatuur!$A:$B,2,FALSE)," "))</f>
        <v/>
      </c>
      <c r="BP17" s="33" t="str">
        <f>IF(OR(ISBLANK(BN17), ISBLANK(BO17)),"",CONCATENATE(" ",VLOOKUP(BO17,Literatuur!$A:$B,2,FALSE)," "))</f>
        <v/>
      </c>
      <c r="BS17" s="33" t="str">
        <f>IF(OR(ISBLANK(BQ17), ISBLANK(BR17)),"",CONCATENATE(" ",VLOOKUP(BR17,Literatuur!$A:$B,2,FALSE)," "))</f>
        <v/>
      </c>
      <c r="BT17" s="33">
        <v>6.22</v>
      </c>
      <c r="BU17" s="33" t="s">
        <v>2066</v>
      </c>
      <c r="BV17" s="33" t="str">
        <f>IF(OR(ISBLANK(BT17), ISBLANK(BU17)),"",CONCATENATE(" ",VLOOKUP(BU17,Literatuur!$A:$B,2,FALSE)," "))</f>
        <v xml:space="preserve"> 8 </v>
      </c>
      <c r="BY17" s="33">
        <v>212</v>
      </c>
      <c r="CB17" s="33" t="s">
        <v>2066</v>
      </c>
      <c r="CD17" s="33">
        <f t="shared" si="26"/>
        <v>212</v>
      </c>
      <c r="CE17" s="37"/>
      <c r="CH17" s="33">
        <f t="shared" si="16"/>
        <v>6.22</v>
      </c>
      <c r="CR17" s="33" t="str">
        <f t="shared" si="17"/>
        <v>PCB #103</v>
      </c>
      <c r="CS17" s="33" t="str">
        <f t="shared" si="18"/>
        <v>PCB</v>
      </c>
      <c r="CT17" s="33" t="str">
        <f t="shared" si="19"/>
        <v/>
      </c>
      <c r="CU17" s="33" t="str">
        <f t="shared" si="20"/>
        <v/>
      </c>
      <c r="CV17" s="33" t="str">
        <f t="shared" si="21"/>
        <v/>
      </c>
      <c r="CW17" s="33" t="str">
        <f t="shared" si="22"/>
        <v/>
      </c>
      <c r="CX17" s="33">
        <f t="shared" si="23"/>
        <v>6.22</v>
      </c>
      <c r="CY17" s="33" t="str">
        <f t="shared" si="24"/>
        <v xml:space="preserve"> 8 </v>
      </c>
    </row>
    <row r="18" spans="2:103" x14ac:dyDescent="0.2">
      <c r="B18" s="33">
        <v>-1618</v>
      </c>
      <c r="D18" s="105" t="s">
        <v>1125</v>
      </c>
      <c r="E18" s="105" t="s">
        <v>1125</v>
      </c>
      <c r="F18" s="34"/>
      <c r="G18" s="34"/>
      <c r="I18" s="33">
        <f t="shared" si="0"/>
        <v>326.39999999999998</v>
      </c>
      <c r="J18" s="33">
        <f t="shared" si="25"/>
        <v>2.5926873581400549E-2</v>
      </c>
      <c r="K18" s="44">
        <f t="shared" si="1"/>
        <v>6.7166666666666659</v>
      </c>
      <c r="L18" s="33">
        <f t="shared" si="2"/>
        <v>209.9</v>
      </c>
      <c r="M18" s="33" t="s">
        <v>1552</v>
      </c>
      <c r="Q18" s="44" t="str">
        <f t="shared" si="3"/>
        <v xml:space="preserve"> </v>
      </c>
      <c r="R18" s="33" t="str">
        <f>IF(OR(ISBLANK(P18), ISBLANK(Q18)),"",CONCATENATE(" ",VLOOKUP(Q18,Literatuur!$A:$B,2,FALSE)," "))</f>
        <v/>
      </c>
      <c r="T18" s="44" t="str">
        <f t="shared" si="4"/>
        <v xml:space="preserve"> </v>
      </c>
      <c r="U18" s="33" t="str">
        <f>IF(OR(ISBLANK(S18), ISBLANK(T18)),"",CONCATENATE(" ",VLOOKUP(T18,Literatuur!$A:$B,2,FALSE)," "))</f>
        <v/>
      </c>
      <c r="W18" s="44" t="str">
        <f t="shared" si="5"/>
        <v xml:space="preserve"> </v>
      </c>
      <c r="X18" s="33" t="str">
        <f>IF(OR(ISBLANK(V18), ISBLANK(W18)),"",CONCATENATE(" ",VLOOKUP(W18,Literatuur!$A:$B,2,FALSE)," "))</f>
        <v/>
      </c>
      <c r="Z18" s="44" t="str">
        <f t="shared" si="6"/>
        <v xml:space="preserve"> </v>
      </c>
      <c r="AA18" s="33" t="str">
        <f>IF(OR(ISBLANK(Y18), ISBLANK(Z18)),"",CONCATENATE(" ",VLOOKUP(Z18,Literatuur!$A:$B,2,FALSE)," "))</f>
        <v/>
      </c>
      <c r="AC18" s="36" t="str">
        <f t="shared" si="7"/>
        <v xml:space="preserve"> </v>
      </c>
      <c r="AD18" s="33" t="str">
        <f>IF(OR(ISBLANK(AB18), ISBLANK(AC18)),"",CONCATENATE(" ",VLOOKUP(AC18,Literatuur!$A:$B,2,FALSE)," "))</f>
        <v/>
      </c>
      <c r="AE18" s="365">
        <v>2.5926873581400549E-2</v>
      </c>
      <c r="AF18" s="33" t="s">
        <v>1557</v>
      </c>
      <c r="AG18" s="33" t="str">
        <f>IF(OR(ISBLANK(AE18), ISBLANK(AF18)),"",CONCATENATE(" ",VLOOKUP(AF18,Literatuur!$A:$B,2,FALSE)," "))</f>
        <v xml:space="preserve"> 17 </v>
      </c>
      <c r="AJ18" s="44" t="str">
        <f t="shared" si="8"/>
        <v xml:space="preserve"> </v>
      </c>
      <c r="AK18" s="33" t="str">
        <f>IF(OR(ISBLANK(AI18), ISBLANK(AJ18)),"",CONCATENATE(" ",VLOOKUP(AJ18,Literatuur!$A:$B,2,FALSE)," "))</f>
        <v/>
      </c>
      <c r="AM18" s="44" t="str">
        <f t="shared" si="9"/>
        <v xml:space="preserve"> </v>
      </c>
      <c r="AN18" s="33" t="str">
        <f>IF(OR(ISBLANK(AL18), ISBLANK(AM18)),"",CONCATENATE(" ",VLOOKUP(AM18,Literatuur!$A:$B,2,FALSE)," "))</f>
        <v/>
      </c>
      <c r="AP18" s="44" t="str">
        <f t="shared" si="10"/>
        <v xml:space="preserve"> </v>
      </c>
      <c r="AQ18" s="33" t="str">
        <f>IF(OR(ISBLANK(AO18), ISBLANK(AP18)),"",CONCATENATE(" ",VLOOKUP(AP18,Literatuur!$A:$B,2,FALSE)," "))</f>
        <v/>
      </c>
      <c r="AT18" s="33" t="str">
        <f>IF(OR(ISBLANK(AR18), ISBLANK(AS18)),"",CONCATENATE(" ",VLOOKUP(AS18,Literatuur!$A:$B,2,FALSE)," "))</f>
        <v/>
      </c>
      <c r="AU18" s="33">
        <v>326.39999999999998</v>
      </c>
      <c r="AV18" s="33" t="s">
        <v>1557</v>
      </c>
      <c r="AW18" s="33" t="str">
        <f>IF(OR(ISBLANK(AU18), ISBLANK(AV18)),"",CONCATENATE(" ",VLOOKUP(AV18,Literatuur!$A:$B,2,FALSE)," "))</f>
        <v xml:space="preserve"> 17 </v>
      </c>
      <c r="AZ18" s="44" t="str">
        <f t="shared" si="11"/>
        <v xml:space="preserve"> </v>
      </c>
      <c r="BA18" s="33" t="str">
        <f>IF(OR(ISBLANK(AY18), ISBLANK(AZ18)),"",CONCATENATE(" ",VLOOKUP(AZ18,Literatuur!$A:$B,2,FALSE)," "))</f>
        <v/>
      </c>
      <c r="BC18" s="44" t="str">
        <f t="shared" si="12"/>
        <v xml:space="preserve"> </v>
      </c>
      <c r="BD18" s="33" t="str">
        <f>IF(OR(ISBLANK(BB18), ISBLANK(BC18)),"",CONCATENATE(" ",VLOOKUP(BC18,Literatuur!$A:$B,2,FALSE)," "))</f>
        <v/>
      </c>
      <c r="BF18" s="44" t="str">
        <f t="shared" si="13"/>
        <v xml:space="preserve"> </v>
      </c>
      <c r="BG18" s="33" t="str">
        <f>IF(OR(ISBLANK(BE18), ISBLANK(BF18)),"",CONCATENATE(" ",VLOOKUP(BF18,Literatuur!$A:$B,2,FALSE)," "))</f>
        <v/>
      </c>
      <c r="BI18" s="44" t="str">
        <f t="shared" si="14"/>
        <v xml:space="preserve"> </v>
      </c>
      <c r="BJ18" s="33" t="str">
        <f>IF(OR(ISBLANK(BH18), ISBLANK(BI18)),"",CONCATENATE(" ",VLOOKUP(BI18,Literatuur!$A:$B,2,FALSE)," "))</f>
        <v/>
      </c>
      <c r="BL18" s="44" t="str">
        <f t="shared" si="15"/>
        <v xml:space="preserve"> </v>
      </c>
      <c r="BM18" s="33" t="str">
        <f>IF(OR(ISBLANK(BK18), ISBLANK(BL18)),"",CONCATENATE(" ",VLOOKUP(BL18,Literatuur!$A:$B,2,FALSE)," "))</f>
        <v/>
      </c>
      <c r="BN18" s="33">
        <v>6.8</v>
      </c>
      <c r="BO18" s="33" t="s">
        <v>1557</v>
      </c>
      <c r="BP18" s="33" t="str">
        <f>IF(OR(ISBLANK(BN18), ISBLANK(BO18)),"",CONCATENATE(" ",VLOOKUP(BO18,Literatuur!$A:$B,2,FALSE)," "))</f>
        <v xml:space="preserve"> 17 </v>
      </c>
      <c r="BQ18" s="33">
        <v>6.7</v>
      </c>
      <c r="BR18" s="33" t="s">
        <v>1557</v>
      </c>
      <c r="BS18" s="33" t="str">
        <f>IF(OR(ISBLANK(BQ18), ISBLANK(BR18)),"",CONCATENATE(" ",VLOOKUP(BR18,Literatuur!$A:$B,2,FALSE)," "))</f>
        <v xml:space="preserve"> 17 </v>
      </c>
      <c r="BT18" s="33">
        <v>6.65</v>
      </c>
      <c r="BU18" s="33" t="s">
        <v>2066</v>
      </c>
      <c r="BV18" s="33" t="str">
        <f>IF(OR(ISBLANK(BT18), ISBLANK(BU18)),"",CONCATENATE(" ",VLOOKUP(BU18,Literatuur!$A:$B,2,FALSE)," "))</f>
        <v xml:space="preserve"> 8 </v>
      </c>
      <c r="BY18" s="33">
        <v>209.9</v>
      </c>
      <c r="BZ18" s="339">
        <v>200.2</v>
      </c>
      <c r="CA18" s="33" t="s">
        <v>1557</v>
      </c>
      <c r="CB18" s="33" t="s">
        <v>2066</v>
      </c>
      <c r="CC18" s="33" t="s">
        <v>1734</v>
      </c>
      <c r="CD18" s="33">
        <f t="shared" si="26"/>
        <v>209.9</v>
      </c>
      <c r="CE18" s="37">
        <f>I18</f>
        <v>326.39999999999998</v>
      </c>
      <c r="CG18" s="33">
        <f>LOG(J18)</f>
        <v>-1.5862498499181765</v>
      </c>
      <c r="CH18" s="33">
        <f t="shared" si="16"/>
        <v>6.7166666666666659</v>
      </c>
      <c r="CR18" s="33" t="str">
        <f t="shared" si="17"/>
        <v>PCB #105</v>
      </c>
      <c r="CS18" s="33" t="str">
        <f t="shared" si="18"/>
        <v>PCB</v>
      </c>
      <c r="CT18" s="33">
        <f t="shared" si="19"/>
        <v>326.39999999999998</v>
      </c>
      <c r="CU18" s="33" t="str">
        <f t="shared" si="20"/>
        <v xml:space="preserve"> 17 </v>
      </c>
      <c r="CV18" s="33">
        <f t="shared" si="21"/>
        <v>2.5926873581400549E-2</v>
      </c>
      <c r="CW18" s="33" t="str">
        <f t="shared" si="22"/>
        <v xml:space="preserve"> 17 </v>
      </c>
      <c r="CX18" s="33">
        <f t="shared" si="23"/>
        <v>6.7166666666666659</v>
      </c>
      <c r="CY18" s="33" t="str">
        <f t="shared" si="24"/>
        <v xml:space="preserve"> 17  17  8 </v>
      </c>
    </row>
    <row r="19" spans="2:103" ht="12.75" customHeight="1" x14ac:dyDescent="0.2">
      <c r="B19" s="33">
        <v>-1619</v>
      </c>
      <c r="D19" s="105" t="s">
        <v>1126</v>
      </c>
      <c r="E19" s="105" t="s">
        <v>1126</v>
      </c>
      <c r="F19" s="34"/>
      <c r="G19" s="34"/>
      <c r="I19" s="33" t="e">
        <f t="shared" si="0"/>
        <v>#DIV/0!</v>
      </c>
      <c r="J19" s="33" t="e">
        <f t="shared" si="25"/>
        <v>#DIV/0!</v>
      </c>
      <c r="K19" s="44">
        <f t="shared" si="1"/>
        <v>6.71</v>
      </c>
      <c r="L19" s="33">
        <f t="shared" si="2"/>
        <v>210.5</v>
      </c>
      <c r="M19" s="33" t="s">
        <v>1552</v>
      </c>
      <c r="Q19" s="44" t="str">
        <f t="shared" si="3"/>
        <v xml:space="preserve"> </v>
      </c>
      <c r="R19" s="33" t="str">
        <f>IF(OR(ISBLANK(P19), ISBLANK(Q19)),"",CONCATENATE(" ",VLOOKUP(Q19,Literatuur!$A:$B,2,FALSE)," "))</f>
        <v/>
      </c>
      <c r="T19" s="44" t="str">
        <f t="shared" si="4"/>
        <v xml:space="preserve"> </v>
      </c>
      <c r="U19" s="33" t="str">
        <f>IF(OR(ISBLANK(S19), ISBLANK(T19)),"",CONCATENATE(" ",VLOOKUP(T19,Literatuur!$A:$B,2,FALSE)," "))</f>
        <v/>
      </c>
      <c r="W19" s="44" t="str">
        <f t="shared" si="5"/>
        <v xml:space="preserve"> </v>
      </c>
      <c r="X19" s="33" t="str">
        <f>IF(OR(ISBLANK(V19), ISBLANK(W19)),"",CONCATENATE(" ",VLOOKUP(W19,Literatuur!$A:$B,2,FALSE)," "))</f>
        <v/>
      </c>
      <c r="Z19" s="44" t="str">
        <f t="shared" si="6"/>
        <v xml:space="preserve"> </v>
      </c>
      <c r="AA19" s="33" t="str">
        <f>IF(OR(ISBLANK(Y19), ISBLANK(Z19)),"",CONCATENATE(" ",VLOOKUP(Z19,Literatuur!$A:$B,2,FALSE)," "))</f>
        <v/>
      </c>
      <c r="AC19" s="36" t="str">
        <f t="shared" si="7"/>
        <v xml:space="preserve"> </v>
      </c>
      <c r="AD19" s="33" t="str">
        <f>IF(OR(ISBLANK(AB19), ISBLANK(AC19)),"",CONCATENATE(" ",VLOOKUP(AC19,Literatuur!$A:$B,2,FALSE)," "))</f>
        <v/>
      </c>
      <c r="AG19" s="33" t="str">
        <f>IF(OR(ISBLANK(AE19), ISBLANK(AF19)),"",CONCATENATE(" ",VLOOKUP(AF19,Literatuur!$A:$B,2,FALSE)," "))</f>
        <v/>
      </c>
      <c r="AJ19" s="44" t="str">
        <f t="shared" si="8"/>
        <v xml:space="preserve"> </v>
      </c>
      <c r="AK19" s="33" t="str">
        <f>IF(OR(ISBLANK(AI19), ISBLANK(AJ19)),"",CONCATENATE(" ",VLOOKUP(AJ19,Literatuur!$A:$B,2,FALSE)," "))</f>
        <v/>
      </c>
      <c r="AM19" s="44" t="str">
        <f t="shared" si="9"/>
        <v xml:space="preserve"> </v>
      </c>
      <c r="AN19" s="33" t="str">
        <f>IF(OR(ISBLANK(AL19), ISBLANK(AM19)),"",CONCATENATE(" ",VLOOKUP(AM19,Literatuur!$A:$B,2,FALSE)," "))</f>
        <v/>
      </c>
      <c r="AP19" s="44" t="str">
        <f t="shared" si="10"/>
        <v xml:space="preserve"> </v>
      </c>
      <c r="AQ19" s="33" t="str">
        <f>IF(OR(ISBLANK(AO19), ISBLANK(AP19)),"",CONCATENATE(" ",VLOOKUP(AP19,Literatuur!$A:$B,2,FALSE)," "))</f>
        <v/>
      </c>
      <c r="AT19" s="33" t="str">
        <f>IF(OR(ISBLANK(AR19), ISBLANK(AS19)),"",CONCATENATE(" ",VLOOKUP(AS19,Literatuur!$A:$B,2,FALSE)," "))</f>
        <v/>
      </c>
      <c r="AW19" s="33" t="str">
        <f>IF(OR(ISBLANK(AU19), ISBLANK(AV19)),"",CONCATENATE(" ",VLOOKUP(AV19,Literatuur!$A:$B,2,FALSE)," "))</f>
        <v/>
      </c>
      <c r="AZ19" s="44" t="str">
        <f t="shared" si="11"/>
        <v xml:space="preserve"> </v>
      </c>
      <c r="BA19" s="33" t="str">
        <f>IF(OR(ISBLANK(AY19), ISBLANK(AZ19)),"",CONCATENATE(" ",VLOOKUP(AZ19,Literatuur!$A:$B,2,FALSE)," "))</f>
        <v/>
      </c>
      <c r="BC19" s="44" t="str">
        <f t="shared" si="12"/>
        <v xml:space="preserve"> </v>
      </c>
      <c r="BD19" s="33" t="str">
        <f>IF(OR(ISBLANK(BB19), ISBLANK(BC19)),"",CONCATENATE(" ",VLOOKUP(BC19,Literatuur!$A:$B,2,FALSE)," "))</f>
        <v/>
      </c>
      <c r="BF19" s="44" t="str">
        <f t="shared" si="13"/>
        <v xml:space="preserve"> </v>
      </c>
      <c r="BG19" s="33" t="str">
        <f>IF(OR(ISBLANK(BE19), ISBLANK(BF19)),"",CONCATENATE(" ",VLOOKUP(BF19,Literatuur!$A:$B,2,FALSE)," "))</f>
        <v/>
      </c>
      <c r="BI19" s="44" t="str">
        <f t="shared" si="14"/>
        <v xml:space="preserve"> </v>
      </c>
      <c r="BJ19" s="33" t="str">
        <f>IF(OR(ISBLANK(BH19), ISBLANK(BI19)),"",CONCATENATE(" ",VLOOKUP(BI19,Literatuur!$A:$B,2,FALSE)," "))</f>
        <v/>
      </c>
      <c r="BL19" s="44" t="str">
        <f t="shared" si="15"/>
        <v xml:space="preserve"> </v>
      </c>
      <c r="BM19" s="33" t="str">
        <f>IF(OR(ISBLANK(BK19), ISBLANK(BL19)),"",CONCATENATE(" ",VLOOKUP(BL19,Literatuur!$A:$B,2,FALSE)," "))</f>
        <v/>
      </c>
      <c r="BP19" s="33" t="str">
        <f>IF(OR(ISBLANK(BN19), ISBLANK(BO19)),"",CONCATENATE(" ",VLOOKUP(BO19,Literatuur!$A:$B,2,FALSE)," "))</f>
        <v/>
      </c>
      <c r="BS19" s="33" t="str">
        <f>IF(OR(ISBLANK(BQ19), ISBLANK(BR19)),"",CONCATENATE(" ",VLOOKUP(BR19,Literatuur!$A:$B,2,FALSE)," "))</f>
        <v/>
      </c>
      <c r="BT19" s="33">
        <v>6.71</v>
      </c>
      <c r="BU19" s="33" t="s">
        <v>2066</v>
      </c>
      <c r="BV19" s="33" t="str">
        <f>IF(OR(ISBLANK(BT19), ISBLANK(BU19)),"",CONCATENATE(" ",VLOOKUP(BU19,Literatuur!$A:$B,2,FALSE)," "))</f>
        <v xml:space="preserve"> 8 </v>
      </c>
      <c r="BX19" s="33">
        <v>210.4</v>
      </c>
      <c r="BY19" s="33">
        <v>210.6</v>
      </c>
      <c r="CB19" s="33" t="s">
        <v>2066</v>
      </c>
      <c r="CD19" s="33">
        <f t="shared" si="26"/>
        <v>210.5</v>
      </c>
      <c r="CE19" s="37"/>
      <c r="CH19" s="33">
        <f t="shared" si="16"/>
        <v>6.71</v>
      </c>
      <c r="CR19" s="33" t="str">
        <f t="shared" si="17"/>
        <v>PCB #107</v>
      </c>
      <c r="CS19" s="33" t="str">
        <f t="shared" si="18"/>
        <v>PCB</v>
      </c>
      <c r="CT19" s="33" t="str">
        <f t="shared" si="19"/>
        <v/>
      </c>
      <c r="CU19" s="33" t="str">
        <f t="shared" si="20"/>
        <v/>
      </c>
      <c r="CV19" s="33" t="str">
        <f t="shared" si="21"/>
        <v/>
      </c>
      <c r="CW19" s="33" t="str">
        <f t="shared" si="22"/>
        <v/>
      </c>
      <c r="CX19" s="33">
        <f t="shared" si="23"/>
        <v>6.71</v>
      </c>
      <c r="CY19" s="33" t="str">
        <f t="shared" si="24"/>
        <v xml:space="preserve"> 8 </v>
      </c>
    </row>
    <row r="20" spans="2:103" x14ac:dyDescent="0.2">
      <c r="B20" s="33">
        <v>-1620</v>
      </c>
      <c r="D20" s="105" t="s">
        <v>1127</v>
      </c>
      <c r="E20" s="105" t="s">
        <v>1127</v>
      </c>
      <c r="F20" s="34"/>
      <c r="G20" s="34"/>
      <c r="I20" s="33">
        <f t="shared" si="0"/>
        <v>326.39999999999998</v>
      </c>
      <c r="J20" s="33">
        <f t="shared" si="25"/>
        <v>3.2640000000000002E-2</v>
      </c>
      <c r="K20" s="44">
        <f t="shared" si="1"/>
        <v>6.5266666666666664</v>
      </c>
      <c r="L20" s="33">
        <f t="shared" si="2"/>
        <v>209.7</v>
      </c>
      <c r="M20" s="33" t="s">
        <v>1552</v>
      </c>
      <c r="Q20" s="44" t="str">
        <f t="shared" si="3"/>
        <v xml:space="preserve"> </v>
      </c>
      <c r="R20" s="33" t="str">
        <f>IF(OR(ISBLANK(P20), ISBLANK(Q20)),"",CONCATENATE(" ",VLOOKUP(Q20,Literatuur!$A:$B,2,FALSE)," "))</f>
        <v/>
      </c>
      <c r="T20" s="44" t="str">
        <f t="shared" si="4"/>
        <v xml:space="preserve"> </v>
      </c>
      <c r="U20" s="33" t="str">
        <f>IF(OR(ISBLANK(S20), ISBLANK(T20)),"",CONCATENATE(" ",VLOOKUP(T20,Literatuur!$A:$B,2,FALSE)," "))</f>
        <v/>
      </c>
      <c r="W20" s="44" t="str">
        <f t="shared" si="5"/>
        <v xml:space="preserve"> </v>
      </c>
      <c r="X20" s="33" t="str">
        <f>IF(OR(ISBLANK(V20), ISBLANK(W20)),"",CONCATENATE(" ",VLOOKUP(W20,Literatuur!$A:$B,2,FALSE)," "))</f>
        <v/>
      </c>
      <c r="Z20" s="44" t="str">
        <f t="shared" si="6"/>
        <v xml:space="preserve"> </v>
      </c>
      <c r="AA20" s="33" t="str">
        <f>IF(OR(ISBLANK(Y20), ISBLANK(Z20)),"",CONCATENATE(" ",VLOOKUP(Z20,Literatuur!$A:$B,2,FALSE)," "))</f>
        <v/>
      </c>
      <c r="AC20" s="36" t="str">
        <f t="shared" si="7"/>
        <v xml:space="preserve"> </v>
      </c>
      <c r="AD20" s="33" t="str">
        <f>IF(OR(ISBLANK(AB20), ISBLANK(AC20)),"",CONCATENATE(" ",VLOOKUP(AC20,Literatuur!$A:$B,2,FALSE)," "))</f>
        <v/>
      </c>
      <c r="AE20" s="365">
        <v>3.2640000000000002E-2</v>
      </c>
      <c r="AF20" s="33" t="s">
        <v>1557</v>
      </c>
      <c r="AG20" s="33" t="str">
        <f>IF(OR(ISBLANK(AE20), ISBLANK(AF20)),"",CONCATENATE(" ",VLOOKUP(AF20,Literatuur!$A:$B,2,FALSE)," "))</f>
        <v xml:space="preserve"> 17 </v>
      </c>
      <c r="AJ20" s="44" t="str">
        <f t="shared" si="8"/>
        <v xml:space="preserve"> </v>
      </c>
      <c r="AK20" s="33" t="str">
        <f>IF(OR(ISBLANK(AI20), ISBLANK(AJ20)),"",CONCATENATE(" ",VLOOKUP(AJ20,Literatuur!$A:$B,2,FALSE)," "))</f>
        <v/>
      </c>
      <c r="AM20" s="44" t="str">
        <f t="shared" si="9"/>
        <v xml:space="preserve"> </v>
      </c>
      <c r="AN20" s="33" t="str">
        <f>IF(OR(ISBLANK(AL20), ISBLANK(AM20)),"",CONCATENATE(" ",VLOOKUP(AM20,Literatuur!$A:$B,2,FALSE)," "))</f>
        <v/>
      </c>
      <c r="AP20" s="44" t="str">
        <f t="shared" si="10"/>
        <v xml:space="preserve"> </v>
      </c>
      <c r="AQ20" s="33" t="str">
        <f>IF(OR(ISBLANK(AO20), ISBLANK(AP20)),"",CONCATENATE(" ",VLOOKUP(AP20,Literatuur!$A:$B,2,FALSE)," "))</f>
        <v/>
      </c>
      <c r="AT20" s="33" t="str">
        <f>IF(OR(ISBLANK(AR20), ISBLANK(AS20)),"",CONCATENATE(" ",VLOOKUP(AS20,Literatuur!$A:$B,2,FALSE)," "))</f>
        <v/>
      </c>
      <c r="AU20" s="33">
        <v>326.39999999999998</v>
      </c>
      <c r="AV20" s="33" t="s">
        <v>1557</v>
      </c>
      <c r="AW20" s="33" t="str">
        <f>IF(OR(ISBLANK(AU20), ISBLANK(AV20)),"",CONCATENATE(" ",VLOOKUP(AV20,Literatuur!$A:$B,2,FALSE)," "))</f>
        <v xml:space="preserve"> 17 </v>
      </c>
      <c r="AZ20" s="44" t="str">
        <f t="shared" si="11"/>
        <v xml:space="preserve"> </v>
      </c>
      <c r="BA20" s="33" t="str">
        <f>IF(OR(ISBLANK(AY20), ISBLANK(AZ20)),"",CONCATENATE(" ",VLOOKUP(AZ20,Literatuur!$A:$B,2,FALSE)," "))</f>
        <v/>
      </c>
      <c r="BC20" s="44" t="str">
        <f t="shared" si="12"/>
        <v xml:space="preserve"> </v>
      </c>
      <c r="BD20" s="33" t="str">
        <f>IF(OR(ISBLANK(BB20), ISBLANK(BC20)),"",CONCATENATE(" ",VLOOKUP(BC20,Literatuur!$A:$B,2,FALSE)," "))</f>
        <v/>
      </c>
      <c r="BF20" s="44" t="str">
        <f t="shared" si="13"/>
        <v xml:space="preserve"> </v>
      </c>
      <c r="BG20" s="33" t="str">
        <f>IF(OR(ISBLANK(BE20), ISBLANK(BF20)),"",CONCATENATE(" ",VLOOKUP(BF20,Literatuur!$A:$B,2,FALSE)," "))</f>
        <v/>
      </c>
      <c r="BI20" s="44" t="str">
        <f t="shared" si="14"/>
        <v xml:space="preserve"> </v>
      </c>
      <c r="BJ20" s="33" t="str">
        <f>IF(OR(ISBLANK(BH20), ISBLANK(BI20)),"",CONCATENATE(" ",VLOOKUP(BI20,Literatuur!$A:$B,2,FALSE)," "))</f>
        <v/>
      </c>
      <c r="BL20" s="44" t="str">
        <f t="shared" si="15"/>
        <v xml:space="preserve"> </v>
      </c>
      <c r="BM20" s="33" t="str">
        <f>IF(OR(ISBLANK(BK20), ISBLANK(BL20)),"",CONCATENATE(" ",VLOOKUP(BL20,Literatuur!$A:$B,2,FALSE)," "))</f>
        <v/>
      </c>
      <c r="BN20" s="33">
        <v>6.6</v>
      </c>
      <c r="BO20" s="33" t="s">
        <v>1557</v>
      </c>
      <c r="BP20" s="33" t="str">
        <f>IF(OR(ISBLANK(BN20), ISBLANK(BO20)),"",CONCATENATE(" ",VLOOKUP(BO20,Literatuur!$A:$B,2,FALSE)," "))</f>
        <v xml:space="preserve"> 17 </v>
      </c>
      <c r="BQ20" s="33">
        <v>6.5</v>
      </c>
      <c r="BR20" s="33" t="s">
        <v>1557</v>
      </c>
      <c r="BS20" s="33" t="str">
        <f>IF(OR(ISBLANK(BQ20), ISBLANK(BR20)),"",CONCATENATE(" ",VLOOKUP(BR20,Literatuur!$A:$B,2,FALSE)," "))</f>
        <v xml:space="preserve"> 17 </v>
      </c>
      <c r="BT20" s="33">
        <v>6.48</v>
      </c>
      <c r="BU20" s="33" t="s">
        <v>2066</v>
      </c>
      <c r="BV20" s="33" t="str">
        <f>IF(OR(ISBLANK(BT20), ISBLANK(BU20)),"",CONCATENATE(" ",VLOOKUP(BU20,Literatuur!$A:$B,2,FALSE)," "))</f>
        <v xml:space="preserve"> 8 </v>
      </c>
      <c r="BY20" s="33">
        <v>209.7</v>
      </c>
      <c r="BZ20" s="339">
        <v>201.1</v>
      </c>
      <c r="CA20" s="33" t="s">
        <v>1557</v>
      </c>
      <c r="CB20" s="33" t="s">
        <v>2066</v>
      </c>
      <c r="CC20" s="33" t="s">
        <v>1734</v>
      </c>
      <c r="CD20" s="33">
        <f t="shared" si="26"/>
        <v>209.7</v>
      </c>
      <c r="CE20" s="37">
        <f>I20</f>
        <v>326.39999999999998</v>
      </c>
      <c r="CG20" s="33">
        <f>LOG(J20)</f>
        <v>-1.4862498499181764</v>
      </c>
      <c r="CH20" s="33">
        <f t="shared" si="16"/>
        <v>6.5266666666666664</v>
      </c>
      <c r="CR20" s="33" t="str">
        <f t="shared" si="17"/>
        <v>PCB #110</v>
      </c>
      <c r="CS20" s="33" t="str">
        <f t="shared" si="18"/>
        <v>PCB</v>
      </c>
      <c r="CT20" s="33">
        <f t="shared" si="19"/>
        <v>326.39999999999998</v>
      </c>
      <c r="CU20" s="33" t="str">
        <f t="shared" si="20"/>
        <v xml:space="preserve"> 17 </v>
      </c>
      <c r="CV20" s="33">
        <f t="shared" si="21"/>
        <v>3.2640000000000002E-2</v>
      </c>
      <c r="CW20" s="33" t="str">
        <f t="shared" si="22"/>
        <v xml:space="preserve"> 17 </v>
      </c>
      <c r="CX20" s="33">
        <f t="shared" si="23"/>
        <v>6.5266666666666664</v>
      </c>
      <c r="CY20" s="33" t="str">
        <f t="shared" si="24"/>
        <v xml:space="preserve"> 17  17  8 </v>
      </c>
    </row>
    <row r="21" spans="2:103" ht="12.75" customHeight="1" x14ac:dyDescent="0.2">
      <c r="B21" s="33">
        <v>-1621</v>
      </c>
      <c r="D21" s="105" t="s">
        <v>1128</v>
      </c>
      <c r="E21" s="105" t="s">
        <v>1128</v>
      </c>
      <c r="F21" s="34"/>
      <c r="G21" s="34"/>
      <c r="I21" s="33">
        <f t="shared" si="0"/>
        <v>326.39999999999998</v>
      </c>
      <c r="J21" s="33">
        <f t="shared" si="25"/>
        <v>2.5926873581400549E-2</v>
      </c>
      <c r="K21" s="44">
        <f t="shared" si="1"/>
        <v>6.7133333333333338</v>
      </c>
      <c r="L21" s="33">
        <f t="shared" si="2"/>
        <v>210.25</v>
      </c>
      <c r="M21" s="33" t="s">
        <v>1552</v>
      </c>
      <c r="Q21" s="44" t="str">
        <f t="shared" si="3"/>
        <v xml:space="preserve"> </v>
      </c>
      <c r="R21" s="33" t="str">
        <f>IF(OR(ISBLANK(P21), ISBLANK(Q21)),"",CONCATENATE(" ",VLOOKUP(Q21,Literatuur!$A:$B,2,FALSE)," "))</f>
        <v/>
      </c>
      <c r="T21" s="44" t="str">
        <f t="shared" si="4"/>
        <v xml:space="preserve"> </v>
      </c>
      <c r="U21" s="33" t="str">
        <f>IF(OR(ISBLANK(S21), ISBLANK(T21)),"",CONCATENATE(" ",VLOOKUP(T21,Literatuur!$A:$B,2,FALSE)," "))</f>
        <v/>
      </c>
      <c r="W21" s="44" t="str">
        <f t="shared" si="5"/>
        <v xml:space="preserve"> </v>
      </c>
      <c r="X21" s="33" t="str">
        <f>IF(OR(ISBLANK(V21), ISBLANK(W21)),"",CONCATENATE(" ",VLOOKUP(W21,Literatuur!$A:$B,2,FALSE)," "))</f>
        <v/>
      </c>
      <c r="Z21" s="44" t="str">
        <f t="shared" si="6"/>
        <v xml:space="preserve"> </v>
      </c>
      <c r="AA21" s="33" t="str">
        <f>IF(OR(ISBLANK(Y21), ISBLANK(Z21)),"",CONCATENATE(" ",VLOOKUP(Z21,Literatuur!$A:$B,2,FALSE)," "))</f>
        <v/>
      </c>
      <c r="AC21" s="36" t="str">
        <f t="shared" si="7"/>
        <v xml:space="preserve"> </v>
      </c>
      <c r="AD21" s="33" t="str">
        <f>IF(OR(ISBLANK(AB21), ISBLANK(AC21)),"",CONCATENATE(" ",VLOOKUP(AC21,Literatuur!$A:$B,2,FALSE)," "))</f>
        <v/>
      </c>
      <c r="AE21" s="365">
        <v>2.5926873581400549E-2</v>
      </c>
      <c r="AF21" s="33" t="s">
        <v>1557</v>
      </c>
      <c r="AG21" s="33" t="str">
        <f>IF(OR(ISBLANK(AE21), ISBLANK(AF21)),"",CONCATENATE(" ",VLOOKUP(AF21,Literatuur!$A:$B,2,FALSE)," "))</f>
        <v xml:space="preserve"> 17 </v>
      </c>
      <c r="AJ21" s="44" t="str">
        <f t="shared" si="8"/>
        <v xml:space="preserve"> </v>
      </c>
      <c r="AK21" s="33" t="str">
        <f>IF(OR(ISBLANK(AI21), ISBLANK(AJ21)),"",CONCATENATE(" ",VLOOKUP(AJ21,Literatuur!$A:$B,2,FALSE)," "))</f>
        <v/>
      </c>
      <c r="AM21" s="44" t="str">
        <f t="shared" si="9"/>
        <v xml:space="preserve"> </v>
      </c>
      <c r="AN21" s="33" t="str">
        <f>IF(OR(ISBLANK(AL21), ISBLANK(AM21)),"",CONCATENATE(" ",VLOOKUP(AM21,Literatuur!$A:$B,2,FALSE)," "))</f>
        <v/>
      </c>
      <c r="AP21" s="44" t="str">
        <f t="shared" si="10"/>
        <v xml:space="preserve"> </v>
      </c>
      <c r="AQ21" s="33" t="str">
        <f>IF(OR(ISBLANK(AO21), ISBLANK(AP21)),"",CONCATENATE(" ",VLOOKUP(AP21,Literatuur!$A:$B,2,FALSE)," "))</f>
        <v/>
      </c>
      <c r="AT21" s="33" t="str">
        <f>IF(OR(ISBLANK(AR21), ISBLANK(AS21)),"",CONCATENATE(" ",VLOOKUP(AS21,Literatuur!$A:$B,2,FALSE)," "))</f>
        <v/>
      </c>
      <c r="AU21" s="33">
        <v>326.39999999999998</v>
      </c>
      <c r="AV21" s="33" t="s">
        <v>1557</v>
      </c>
      <c r="AW21" s="33" t="str">
        <f>IF(OR(ISBLANK(AU21), ISBLANK(AV21)),"",CONCATENATE(" ",VLOOKUP(AV21,Literatuur!$A:$B,2,FALSE)," "))</f>
        <v xml:space="preserve"> 17 </v>
      </c>
      <c r="AZ21" s="44" t="str">
        <f t="shared" si="11"/>
        <v xml:space="preserve"> </v>
      </c>
      <c r="BA21" s="33" t="str">
        <f>IF(OR(ISBLANK(AY21), ISBLANK(AZ21)),"",CONCATENATE(" ",VLOOKUP(AZ21,Literatuur!$A:$B,2,FALSE)," "))</f>
        <v/>
      </c>
      <c r="BC21" s="44" t="str">
        <f t="shared" si="12"/>
        <v xml:space="preserve"> </v>
      </c>
      <c r="BD21" s="33" t="str">
        <f>IF(OR(ISBLANK(BB21), ISBLANK(BC21)),"",CONCATENATE(" ",VLOOKUP(BC21,Literatuur!$A:$B,2,FALSE)," "))</f>
        <v/>
      </c>
      <c r="BF21" s="44" t="str">
        <f t="shared" si="13"/>
        <v xml:space="preserve"> </v>
      </c>
      <c r="BG21" s="33" t="str">
        <f>IF(OR(ISBLANK(BE21), ISBLANK(BF21)),"",CONCATENATE(" ",VLOOKUP(BF21,Literatuur!$A:$B,2,FALSE)," "))</f>
        <v/>
      </c>
      <c r="BI21" s="44" t="str">
        <f t="shared" si="14"/>
        <v xml:space="preserve"> </v>
      </c>
      <c r="BJ21" s="33" t="str">
        <f>IF(OR(ISBLANK(BH21), ISBLANK(BI21)),"",CONCATENATE(" ",VLOOKUP(BI21,Literatuur!$A:$B,2,FALSE)," "))</f>
        <v/>
      </c>
      <c r="BL21" s="44" t="str">
        <f t="shared" si="15"/>
        <v xml:space="preserve"> </v>
      </c>
      <c r="BM21" s="33" t="str">
        <f>IF(OR(ISBLANK(BK21), ISBLANK(BL21)),"",CONCATENATE(" ",VLOOKUP(BL21,Literatuur!$A:$B,2,FALSE)," "))</f>
        <v/>
      </c>
      <c r="BN21" s="33">
        <v>6.7</v>
      </c>
      <c r="BO21" s="33" t="s">
        <v>1557</v>
      </c>
      <c r="BP21" s="33" t="str">
        <f>IF(OR(ISBLANK(BN21), ISBLANK(BO21)),"",CONCATENATE(" ",VLOOKUP(BO21,Literatuur!$A:$B,2,FALSE)," "))</f>
        <v xml:space="preserve"> 17 </v>
      </c>
      <c r="BQ21" s="33">
        <v>6.7</v>
      </c>
      <c r="BR21" s="33" t="s">
        <v>1557</v>
      </c>
      <c r="BS21" s="33" t="str">
        <f>IF(OR(ISBLANK(BQ21), ISBLANK(BR21)),"",CONCATENATE(" ",VLOOKUP(BR21,Literatuur!$A:$B,2,FALSE)," "))</f>
        <v xml:space="preserve"> 17 </v>
      </c>
      <c r="BT21" s="33">
        <v>6.74</v>
      </c>
      <c r="BU21" s="33" t="s">
        <v>2066</v>
      </c>
      <c r="BV21" s="33" t="str">
        <f>IF(OR(ISBLANK(BT21), ISBLANK(BU21)),"",CONCATENATE(" ",VLOOKUP(BU21,Literatuur!$A:$B,2,FALSE)," "))</f>
        <v xml:space="preserve"> 8 </v>
      </c>
      <c r="BX21" s="33">
        <v>210.1</v>
      </c>
      <c r="BY21" s="33">
        <v>210.4</v>
      </c>
      <c r="BZ21" s="339">
        <v>201</v>
      </c>
      <c r="CA21" s="33" t="s">
        <v>1557</v>
      </c>
      <c r="CB21" s="33" t="s">
        <v>2066</v>
      </c>
      <c r="CC21" s="33" t="s">
        <v>1734</v>
      </c>
      <c r="CD21" s="33">
        <f t="shared" si="26"/>
        <v>210.25</v>
      </c>
      <c r="CE21" s="37">
        <f>I21</f>
        <v>326.39999999999998</v>
      </c>
      <c r="CG21" s="33">
        <f>LOG(J21)</f>
        <v>-1.5862498499181765</v>
      </c>
      <c r="CH21" s="33">
        <f t="shared" si="16"/>
        <v>6.7133333333333338</v>
      </c>
      <c r="CR21" s="33" t="str">
        <f t="shared" si="17"/>
        <v>PCB #118</v>
      </c>
      <c r="CS21" s="33" t="str">
        <f t="shared" si="18"/>
        <v>PCB</v>
      </c>
      <c r="CT21" s="33">
        <f t="shared" si="19"/>
        <v>326.39999999999998</v>
      </c>
      <c r="CU21" s="33" t="str">
        <f t="shared" si="20"/>
        <v xml:space="preserve"> 17 </v>
      </c>
      <c r="CV21" s="33">
        <f t="shared" si="21"/>
        <v>2.5926873581400549E-2</v>
      </c>
      <c r="CW21" s="33" t="str">
        <f t="shared" si="22"/>
        <v xml:space="preserve"> 17 </v>
      </c>
      <c r="CX21" s="33">
        <f t="shared" si="23"/>
        <v>6.7133333333333338</v>
      </c>
      <c r="CY21" s="33" t="str">
        <f t="shared" si="24"/>
        <v xml:space="preserve"> 17  17  8 </v>
      </c>
    </row>
    <row r="22" spans="2:103" ht="12.75" customHeight="1" x14ac:dyDescent="0.2">
      <c r="B22" s="33">
        <v>-1622</v>
      </c>
      <c r="D22" s="105" t="s">
        <v>1129</v>
      </c>
      <c r="E22" s="105" t="s">
        <v>1129</v>
      </c>
      <c r="F22" s="34"/>
      <c r="G22" s="34"/>
      <c r="I22" s="33" t="e">
        <f t="shared" si="0"/>
        <v>#DIV/0!</v>
      </c>
      <c r="J22" s="33" t="e">
        <f t="shared" si="25"/>
        <v>#DIV/0!</v>
      </c>
      <c r="K22" s="44">
        <f t="shared" si="1"/>
        <v>6.58</v>
      </c>
      <c r="L22" s="33">
        <f t="shared" si="2"/>
        <v>210.75</v>
      </c>
      <c r="M22" s="33" t="s">
        <v>1552</v>
      </c>
      <c r="Q22" s="44" t="str">
        <f t="shared" si="3"/>
        <v xml:space="preserve"> </v>
      </c>
      <c r="R22" s="33" t="str">
        <f>IF(OR(ISBLANK(P22), ISBLANK(Q22)),"",CONCATENATE(" ",VLOOKUP(Q22,Literatuur!$A:$B,2,FALSE)," "))</f>
        <v/>
      </c>
      <c r="T22" s="44" t="str">
        <f t="shared" si="4"/>
        <v xml:space="preserve"> </v>
      </c>
      <c r="U22" s="33" t="str">
        <f>IF(OR(ISBLANK(S22), ISBLANK(T22)),"",CONCATENATE(" ",VLOOKUP(T22,Literatuur!$A:$B,2,FALSE)," "))</f>
        <v/>
      </c>
      <c r="W22" s="44" t="str">
        <f t="shared" si="5"/>
        <v xml:space="preserve"> </v>
      </c>
      <c r="X22" s="33" t="str">
        <f>IF(OR(ISBLANK(V22), ISBLANK(W22)),"",CONCATENATE(" ",VLOOKUP(W22,Literatuur!$A:$B,2,FALSE)," "))</f>
        <v/>
      </c>
      <c r="Z22" s="44" t="str">
        <f t="shared" si="6"/>
        <v xml:space="preserve"> </v>
      </c>
      <c r="AA22" s="33" t="str">
        <f>IF(OR(ISBLANK(Y22), ISBLANK(Z22)),"",CONCATENATE(" ",VLOOKUP(Z22,Literatuur!$A:$B,2,FALSE)," "))</f>
        <v/>
      </c>
      <c r="AC22" s="36" t="str">
        <f t="shared" si="7"/>
        <v xml:space="preserve"> </v>
      </c>
      <c r="AD22" s="33" t="str">
        <f>IF(OR(ISBLANK(AB22), ISBLANK(AC22)),"",CONCATENATE(" ",VLOOKUP(AC22,Literatuur!$A:$B,2,FALSE)," "))</f>
        <v/>
      </c>
      <c r="AG22" s="33" t="str">
        <f>IF(OR(ISBLANK(AE22), ISBLANK(AF22)),"",CONCATENATE(" ",VLOOKUP(AF22,Literatuur!$A:$B,2,FALSE)," "))</f>
        <v/>
      </c>
      <c r="AJ22" s="44" t="str">
        <f t="shared" si="8"/>
        <v xml:space="preserve"> </v>
      </c>
      <c r="AK22" s="33" t="str">
        <f>IF(OR(ISBLANK(AI22), ISBLANK(AJ22)),"",CONCATENATE(" ",VLOOKUP(AJ22,Literatuur!$A:$B,2,FALSE)," "))</f>
        <v/>
      </c>
      <c r="AM22" s="44" t="str">
        <f t="shared" si="9"/>
        <v xml:space="preserve"> </v>
      </c>
      <c r="AN22" s="33" t="str">
        <f>IF(OR(ISBLANK(AL22), ISBLANK(AM22)),"",CONCATENATE(" ",VLOOKUP(AM22,Literatuur!$A:$B,2,FALSE)," "))</f>
        <v/>
      </c>
      <c r="AP22" s="44" t="str">
        <f t="shared" si="10"/>
        <v xml:space="preserve"> </v>
      </c>
      <c r="AQ22" s="33" t="str">
        <f>IF(OR(ISBLANK(AO22), ISBLANK(AP22)),"",CONCATENATE(" ",VLOOKUP(AP22,Literatuur!$A:$B,2,FALSE)," "))</f>
        <v/>
      </c>
      <c r="AT22" s="33" t="str">
        <f>IF(OR(ISBLANK(AR22), ISBLANK(AS22)),"",CONCATENATE(" ",VLOOKUP(AS22,Literatuur!$A:$B,2,FALSE)," "))</f>
        <v/>
      </c>
      <c r="AW22" s="33" t="str">
        <f>IF(OR(ISBLANK(AU22), ISBLANK(AV22)),"",CONCATENATE(" ",VLOOKUP(AV22,Literatuur!$A:$B,2,FALSE)," "))</f>
        <v/>
      </c>
      <c r="AZ22" s="44" t="str">
        <f t="shared" si="11"/>
        <v xml:space="preserve"> </v>
      </c>
      <c r="BA22" s="33" t="str">
        <f>IF(OR(ISBLANK(AY22), ISBLANK(AZ22)),"",CONCATENATE(" ",VLOOKUP(AZ22,Literatuur!$A:$B,2,FALSE)," "))</f>
        <v/>
      </c>
      <c r="BC22" s="44" t="str">
        <f t="shared" si="12"/>
        <v xml:space="preserve"> </v>
      </c>
      <c r="BD22" s="33" t="str">
        <f>IF(OR(ISBLANK(BB22), ISBLANK(BC22)),"",CONCATENATE(" ",VLOOKUP(BC22,Literatuur!$A:$B,2,FALSE)," "))</f>
        <v/>
      </c>
      <c r="BF22" s="44" t="str">
        <f t="shared" si="13"/>
        <v xml:space="preserve"> </v>
      </c>
      <c r="BG22" s="33" t="str">
        <f>IF(OR(ISBLANK(BE22), ISBLANK(BF22)),"",CONCATENATE(" ",VLOOKUP(BF22,Literatuur!$A:$B,2,FALSE)," "))</f>
        <v/>
      </c>
      <c r="BI22" s="44" t="str">
        <f t="shared" si="14"/>
        <v xml:space="preserve"> </v>
      </c>
      <c r="BJ22" s="33" t="str">
        <f>IF(OR(ISBLANK(BH22), ISBLANK(BI22)),"",CONCATENATE(" ",VLOOKUP(BI22,Literatuur!$A:$B,2,FALSE)," "))</f>
        <v/>
      </c>
      <c r="BL22" s="44" t="str">
        <f t="shared" si="15"/>
        <v xml:space="preserve"> </v>
      </c>
      <c r="BM22" s="33" t="str">
        <f>IF(OR(ISBLANK(BK22), ISBLANK(BL22)),"",CONCATENATE(" ",VLOOKUP(BL22,Literatuur!$A:$B,2,FALSE)," "))</f>
        <v/>
      </c>
      <c r="BP22" s="33" t="str">
        <f>IF(OR(ISBLANK(BN22), ISBLANK(BO22)),"",CONCATENATE(" ",VLOOKUP(BO22,Literatuur!$A:$B,2,FALSE)," "))</f>
        <v/>
      </c>
      <c r="BS22" s="33" t="str">
        <f>IF(OR(ISBLANK(BQ22), ISBLANK(BR22)),"",CONCATENATE(" ",VLOOKUP(BR22,Literatuur!$A:$B,2,FALSE)," "))</f>
        <v/>
      </c>
      <c r="BT22" s="33">
        <v>6.58</v>
      </c>
      <c r="BU22" s="33" t="s">
        <v>2066</v>
      </c>
      <c r="BV22" s="33" t="str">
        <f>IF(OR(ISBLANK(BT22), ISBLANK(BU22)),"",CONCATENATE(" ",VLOOKUP(BU22,Literatuur!$A:$B,2,FALSE)," "))</f>
        <v xml:space="preserve"> 8 </v>
      </c>
      <c r="BX22" s="33">
        <v>210.9</v>
      </c>
      <c r="BY22" s="33">
        <v>210.6</v>
      </c>
      <c r="CB22" s="33" t="s">
        <v>2066</v>
      </c>
      <c r="CD22" s="33">
        <f t="shared" si="26"/>
        <v>210.75</v>
      </c>
      <c r="CE22" s="37"/>
      <c r="CH22" s="33">
        <f t="shared" si="16"/>
        <v>6.58</v>
      </c>
      <c r="CR22" s="33" t="str">
        <f t="shared" si="17"/>
        <v>PCB #119</v>
      </c>
      <c r="CS22" s="33" t="str">
        <f t="shared" si="18"/>
        <v>PCB</v>
      </c>
      <c r="CT22" s="33" t="str">
        <f t="shared" si="19"/>
        <v/>
      </c>
      <c r="CU22" s="33" t="str">
        <f t="shared" si="20"/>
        <v/>
      </c>
      <c r="CV22" s="33" t="str">
        <f t="shared" si="21"/>
        <v/>
      </c>
      <c r="CW22" s="33" t="str">
        <f t="shared" si="22"/>
        <v/>
      </c>
      <c r="CX22" s="33">
        <f t="shared" si="23"/>
        <v>6.58</v>
      </c>
      <c r="CY22" s="33" t="str">
        <f t="shared" si="24"/>
        <v xml:space="preserve"> 8 </v>
      </c>
    </row>
    <row r="23" spans="2:103" x14ac:dyDescent="0.2">
      <c r="B23" s="33">
        <v>-1623</v>
      </c>
      <c r="D23" s="105" t="s">
        <v>1130</v>
      </c>
      <c r="E23" s="105" t="s">
        <v>1130</v>
      </c>
      <c r="F23" s="34"/>
      <c r="G23" s="34"/>
      <c r="H23" s="483"/>
      <c r="I23" s="33">
        <f t="shared" si="0"/>
        <v>360.9</v>
      </c>
      <c r="J23" s="33">
        <f t="shared" si="25"/>
        <v>1.808784726160826E-2</v>
      </c>
      <c r="K23" s="44">
        <f t="shared" si="1"/>
        <v>6.746666666666667</v>
      </c>
      <c r="L23" s="33">
        <f t="shared" si="2"/>
        <v>222.6</v>
      </c>
      <c r="M23" s="33" t="s">
        <v>1552</v>
      </c>
      <c r="Q23" s="44" t="str">
        <f t="shared" si="3"/>
        <v xml:space="preserve"> </v>
      </c>
      <c r="R23" s="33" t="str">
        <f>IF(OR(ISBLANK(P23), ISBLANK(Q23)),"",CONCATENATE(" ",VLOOKUP(Q23,Literatuur!$A:$B,2,FALSE)," "))</f>
        <v/>
      </c>
      <c r="T23" s="44" t="str">
        <f t="shared" si="4"/>
        <v xml:space="preserve"> </v>
      </c>
      <c r="U23" s="33" t="str">
        <f>IF(OR(ISBLANK(S23), ISBLANK(T23)),"",CONCATENATE(" ",VLOOKUP(T23,Literatuur!$A:$B,2,FALSE)," "))</f>
        <v/>
      </c>
      <c r="W23" s="44" t="str">
        <f t="shared" si="5"/>
        <v xml:space="preserve"> </v>
      </c>
      <c r="X23" s="33" t="str">
        <f>IF(OR(ISBLANK(V23), ISBLANK(W23)),"",CONCATENATE(" ",VLOOKUP(W23,Literatuur!$A:$B,2,FALSE)," "))</f>
        <v/>
      </c>
      <c r="Z23" s="44" t="str">
        <f t="shared" si="6"/>
        <v xml:space="preserve"> </v>
      </c>
      <c r="AA23" s="33" t="str">
        <f>IF(OR(ISBLANK(Y23), ISBLANK(Z23)),"",CONCATENATE(" ",VLOOKUP(Z23,Literatuur!$A:$B,2,FALSE)," "))</f>
        <v/>
      </c>
      <c r="AC23" s="36" t="str">
        <f t="shared" si="7"/>
        <v xml:space="preserve"> </v>
      </c>
      <c r="AD23" s="33" t="str">
        <f>IF(OR(ISBLANK(AB23), ISBLANK(AC23)),"",CONCATENATE(" ",VLOOKUP(AC23,Literatuur!$A:$B,2,FALSE)," "))</f>
        <v/>
      </c>
      <c r="AE23" s="365">
        <v>1.808784726160826E-2</v>
      </c>
      <c r="AF23" s="33" t="s">
        <v>1557</v>
      </c>
      <c r="AG23" s="33" t="str">
        <f>IF(OR(ISBLANK(AE23), ISBLANK(AF23)),"",CONCATENATE(" ",VLOOKUP(AF23,Literatuur!$A:$B,2,FALSE)," "))</f>
        <v xml:space="preserve"> 17 </v>
      </c>
      <c r="AJ23" s="44" t="str">
        <f t="shared" si="8"/>
        <v xml:space="preserve"> </v>
      </c>
      <c r="AK23" s="33" t="str">
        <f>IF(OR(ISBLANK(AI23), ISBLANK(AJ23)),"",CONCATENATE(" ",VLOOKUP(AJ23,Literatuur!$A:$B,2,FALSE)," "))</f>
        <v/>
      </c>
      <c r="AM23" s="44" t="str">
        <f t="shared" si="9"/>
        <v xml:space="preserve"> </v>
      </c>
      <c r="AN23" s="33" t="str">
        <f>IF(OR(ISBLANK(AL23), ISBLANK(AM23)),"",CONCATENATE(" ",VLOOKUP(AM23,Literatuur!$A:$B,2,FALSE)," "))</f>
        <v/>
      </c>
      <c r="AP23" s="44" t="str">
        <f t="shared" si="10"/>
        <v xml:space="preserve"> </v>
      </c>
      <c r="AQ23" s="33" t="str">
        <f>IF(OR(ISBLANK(AO23), ISBLANK(AP23)),"",CONCATENATE(" ",VLOOKUP(AP23,Literatuur!$A:$B,2,FALSE)," "))</f>
        <v/>
      </c>
      <c r="AT23" s="33" t="str">
        <f>IF(OR(ISBLANK(AR23), ISBLANK(AS23)),"",CONCATENATE(" ",VLOOKUP(AS23,Literatuur!$A:$B,2,FALSE)," "))</f>
        <v/>
      </c>
      <c r="AU23" s="33">
        <v>360.9</v>
      </c>
      <c r="AV23" s="33" t="s">
        <v>1557</v>
      </c>
      <c r="AW23" s="33" t="str">
        <f>IF(OR(ISBLANK(AU23), ISBLANK(AV23)),"",CONCATENATE(" ",VLOOKUP(AV23,Literatuur!$A:$B,2,FALSE)," "))</f>
        <v xml:space="preserve"> 17 </v>
      </c>
      <c r="AZ23" s="44" t="str">
        <f t="shared" si="11"/>
        <v xml:space="preserve"> </v>
      </c>
      <c r="BA23" s="33" t="str">
        <f>IF(OR(ISBLANK(AY23), ISBLANK(AZ23)),"",CONCATENATE(" ",VLOOKUP(AZ23,Literatuur!$A:$B,2,FALSE)," "))</f>
        <v/>
      </c>
      <c r="BC23" s="44" t="str">
        <f t="shared" si="12"/>
        <v xml:space="preserve"> </v>
      </c>
      <c r="BD23" s="33" t="str">
        <f>IF(OR(ISBLANK(BB23), ISBLANK(BC23)),"",CONCATENATE(" ",VLOOKUP(BC23,Literatuur!$A:$B,2,FALSE)," "))</f>
        <v/>
      </c>
      <c r="BF23" s="44" t="str">
        <f t="shared" si="13"/>
        <v xml:space="preserve"> </v>
      </c>
      <c r="BG23" s="33" t="str">
        <f>IF(OR(ISBLANK(BE23), ISBLANK(BF23)),"",CONCATENATE(" ",VLOOKUP(BF23,Literatuur!$A:$B,2,FALSE)," "))</f>
        <v/>
      </c>
      <c r="BI23" s="44" t="str">
        <f t="shared" si="14"/>
        <v xml:space="preserve"> </v>
      </c>
      <c r="BJ23" s="33" t="str">
        <f>IF(OR(ISBLANK(BH23), ISBLANK(BI23)),"",CONCATENATE(" ",VLOOKUP(BI23,Literatuur!$A:$B,2,FALSE)," "))</f>
        <v/>
      </c>
      <c r="BL23" s="44" t="str">
        <f t="shared" si="15"/>
        <v xml:space="preserve"> </v>
      </c>
      <c r="BM23" s="33" t="str">
        <f>IF(OR(ISBLANK(BK23), ISBLANK(BL23)),"",CONCATENATE(" ",VLOOKUP(BL23,Literatuur!$A:$B,2,FALSE)," "))</f>
        <v/>
      </c>
      <c r="BN23" s="33">
        <v>6.8</v>
      </c>
      <c r="BO23" s="33" t="s">
        <v>1557</v>
      </c>
      <c r="BP23" s="33" t="str">
        <f>IF(OR(ISBLANK(BN23), ISBLANK(BO23)),"",CONCATENATE(" ",VLOOKUP(BO23,Literatuur!$A:$B,2,FALSE)," "))</f>
        <v xml:space="preserve"> 17 </v>
      </c>
      <c r="BQ23" s="33">
        <v>6.7</v>
      </c>
      <c r="BR23" s="33" t="s">
        <v>1557</v>
      </c>
      <c r="BS23" s="33" t="str">
        <f>IF(OR(ISBLANK(BQ23), ISBLANK(BR23)),"",CONCATENATE(" ",VLOOKUP(BR23,Literatuur!$A:$B,2,FALSE)," "))</f>
        <v xml:space="preserve"> 17 </v>
      </c>
      <c r="BT23" s="33">
        <v>6.74</v>
      </c>
      <c r="BU23" s="33" t="s">
        <v>2066</v>
      </c>
      <c r="BV23" s="33" t="str">
        <f>IF(OR(ISBLANK(BT23), ISBLANK(BU23)),"",CONCATENATE(" ",VLOOKUP(BU23,Literatuur!$A:$B,2,FALSE)," "))</f>
        <v xml:space="preserve"> 8 </v>
      </c>
      <c r="BY23" s="33">
        <v>222.6</v>
      </c>
      <c r="BZ23" s="339">
        <v>200.3</v>
      </c>
      <c r="CA23" s="33" t="s">
        <v>1557</v>
      </c>
      <c r="CB23" s="33" t="s">
        <v>2066</v>
      </c>
      <c r="CC23" s="33" t="s">
        <v>1734</v>
      </c>
      <c r="CD23" s="33">
        <f t="shared" si="26"/>
        <v>222.6</v>
      </c>
      <c r="CE23" s="37">
        <f>I23</f>
        <v>360.9</v>
      </c>
      <c r="CG23" s="33">
        <f>LOG(J23)</f>
        <v>-1.7426131179404927</v>
      </c>
      <c r="CH23" s="33">
        <f t="shared" si="16"/>
        <v>6.746666666666667</v>
      </c>
      <c r="CR23" s="33" t="str">
        <f t="shared" si="17"/>
        <v>PCB #128</v>
      </c>
      <c r="CS23" s="33" t="str">
        <f t="shared" si="18"/>
        <v>PCB</v>
      </c>
      <c r="CT23" s="33">
        <f t="shared" si="19"/>
        <v>360.9</v>
      </c>
      <c r="CU23" s="33" t="str">
        <f t="shared" si="20"/>
        <v xml:space="preserve"> 17 </v>
      </c>
      <c r="CV23" s="33">
        <f t="shared" si="21"/>
        <v>1.808784726160826E-2</v>
      </c>
      <c r="CW23" s="33" t="str">
        <f t="shared" si="22"/>
        <v xml:space="preserve"> 17 </v>
      </c>
      <c r="CX23" s="33">
        <f t="shared" si="23"/>
        <v>6.746666666666667</v>
      </c>
      <c r="CY23" s="33" t="str">
        <f t="shared" si="24"/>
        <v xml:space="preserve"> 17  17  8 </v>
      </c>
    </row>
    <row r="24" spans="2:103" ht="15" customHeight="1" x14ac:dyDescent="0.2">
      <c r="B24" s="33">
        <v>-1624</v>
      </c>
      <c r="D24" s="105" t="s">
        <v>1131</v>
      </c>
      <c r="E24" s="105" t="s">
        <v>1131</v>
      </c>
      <c r="F24" s="34"/>
      <c r="G24" s="34"/>
      <c r="I24" s="33" t="e">
        <f t="shared" si="0"/>
        <v>#DIV/0!</v>
      </c>
      <c r="J24" s="33" t="e">
        <f t="shared" si="25"/>
        <v>#DIV/0!</v>
      </c>
      <c r="K24" s="44">
        <f t="shared" si="1"/>
        <v>6.58</v>
      </c>
      <c r="L24" s="33">
        <f t="shared" si="2"/>
        <v>222.64999999999998</v>
      </c>
      <c r="M24" s="33" t="s">
        <v>1552</v>
      </c>
      <c r="Q24" s="44" t="str">
        <f t="shared" si="3"/>
        <v xml:space="preserve"> </v>
      </c>
      <c r="R24" s="33" t="str">
        <f>IF(OR(ISBLANK(P24), ISBLANK(Q24)),"",CONCATENATE(" ",VLOOKUP(Q24,Literatuur!$A:$B,2,FALSE)," "))</f>
        <v/>
      </c>
      <c r="T24" s="44" t="str">
        <f t="shared" si="4"/>
        <v xml:space="preserve"> </v>
      </c>
      <c r="U24" s="33" t="str">
        <f>IF(OR(ISBLANK(S24), ISBLANK(T24)),"",CONCATENATE(" ",VLOOKUP(T24,Literatuur!$A:$B,2,FALSE)," "))</f>
        <v/>
      </c>
      <c r="W24" s="44" t="str">
        <f t="shared" si="5"/>
        <v xml:space="preserve"> </v>
      </c>
      <c r="X24" s="33" t="str">
        <f>IF(OR(ISBLANK(V24), ISBLANK(W24)),"",CONCATENATE(" ",VLOOKUP(W24,Literatuur!$A:$B,2,FALSE)," "))</f>
        <v/>
      </c>
      <c r="Z24" s="44" t="str">
        <f t="shared" si="6"/>
        <v xml:space="preserve"> </v>
      </c>
      <c r="AA24" s="33" t="str">
        <f>IF(OR(ISBLANK(Y24), ISBLANK(Z24)),"",CONCATENATE(" ",VLOOKUP(Z24,Literatuur!$A:$B,2,FALSE)," "))</f>
        <v/>
      </c>
      <c r="AC24" s="36" t="str">
        <f t="shared" si="7"/>
        <v xml:space="preserve"> </v>
      </c>
      <c r="AD24" s="33" t="str">
        <f>IF(OR(ISBLANK(AB24), ISBLANK(AC24)),"",CONCATENATE(" ",VLOOKUP(AC24,Literatuur!$A:$B,2,FALSE)," "))</f>
        <v/>
      </c>
      <c r="AG24" s="33" t="str">
        <f>IF(OR(ISBLANK(AE24), ISBLANK(AF24)),"",CONCATENATE(" ",VLOOKUP(AF24,Literatuur!$A:$B,2,FALSE)," "))</f>
        <v/>
      </c>
      <c r="AJ24" s="44" t="str">
        <f t="shared" si="8"/>
        <v xml:space="preserve"> </v>
      </c>
      <c r="AK24" s="33" t="str">
        <f>IF(OR(ISBLANK(AI24), ISBLANK(AJ24)),"",CONCATENATE(" ",VLOOKUP(AJ24,Literatuur!$A:$B,2,FALSE)," "))</f>
        <v/>
      </c>
      <c r="AM24" s="44" t="str">
        <f t="shared" si="9"/>
        <v xml:space="preserve"> </v>
      </c>
      <c r="AN24" s="33" t="str">
        <f>IF(OR(ISBLANK(AL24), ISBLANK(AM24)),"",CONCATENATE(" ",VLOOKUP(AM24,Literatuur!$A:$B,2,FALSE)," "))</f>
        <v/>
      </c>
      <c r="AP24" s="44" t="str">
        <f t="shared" si="10"/>
        <v xml:space="preserve"> </v>
      </c>
      <c r="AQ24" s="33" t="str">
        <f>IF(OR(ISBLANK(AO24), ISBLANK(AP24)),"",CONCATENATE(" ",VLOOKUP(AP24,Literatuur!$A:$B,2,FALSE)," "))</f>
        <v/>
      </c>
      <c r="AT24" s="33" t="str">
        <f>IF(OR(ISBLANK(AR24), ISBLANK(AS24)),"",CONCATENATE(" ",VLOOKUP(AS24,Literatuur!$A:$B,2,FALSE)," "))</f>
        <v/>
      </c>
      <c r="AW24" s="33" t="str">
        <f>IF(OR(ISBLANK(AU24), ISBLANK(AV24)),"",CONCATENATE(" ",VLOOKUP(AV24,Literatuur!$A:$B,2,FALSE)," "))</f>
        <v/>
      </c>
      <c r="AY24" s="484"/>
      <c r="AZ24" s="44" t="str">
        <f t="shared" si="11"/>
        <v xml:space="preserve"> </v>
      </c>
      <c r="BA24" s="33" t="str">
        <f>IF(OR(ISBLANK(AY24), ISBLANK(AZ24)),"",CONCATENATE(" ",VLOOKUP(AZ24,Literatuur!$A:$B,2,FALSE)," "))</f>
        <v/>
      </c>
      <c r="BC24" s="44" t="str">
        <f t="shared" si="12"/>
        <v xml:space="preserve"> </v>
      </c>
      <c r="BD24" s="33" t="str">
        <f>IF(OR(ISBLANK(BB24), ISBLANK(BC24)),"",CONCATENATE(" ",VLOOKUP(BC24,Literatuur!$A:$B,2,FALSE)," "))</f>
        <v/>
      </c>
      <c r="BF24" s="44" t="str">
        <f t="shared" si="13"/>
        <v xml:space="preserve"> </v>
      </c>
      <c r="BG24" s="33" t="str">
        <f>IF(OR(ISBLANK(BE24), ISBLANK(BF24)),"",CONCATENATE(" ",VLOOKUP(BF24,Literatuur!$A:$B,2,FALSE)," "))</f>
        <v/>
      </c>
      <c r="BI24" s="44" t="str">
        <f t="shared" si="14"/>
        <v xml:space="preserve"> </v>
      </c>
      <c r="BJ24" s="33" t="str">
        <f>IF(OR(ISBLANK(BH24), ISBLANK(BI24)),"",CONCATENATE(" ",VLOOKUP(BI24,Literatuur!$A:$B,2,FALSE)," "))</f>
        <v/>
      </c>
      <c r="BL24" s="44" t="str">
        <f t="shared" si="15"/>
        <v xml:space="preserve"> </v>
      </c>
      <c r="BM24" s="33" t="str">
        <f>IF(OR(ISBLANK(BK24), ISBLANK(BL24)),"",CONCATENATE(" ",VLOOKUP(BL24,Literatuur!$A:$B,2,FALSE)," "))</f>
        <v/>
      </c>
      <c r="BP24" s="33" t="str">
        <f>IF(OR(ISBLANK(BN24), ISBLANK(BO24)),"",CONCATENATE(" ",VLOOKUP(BO24,Literatuur!$A:$B,2,FALSE)," "))</f>
        <v/>
      </c>
      <c r="BS24" s="33" t="str">
        <f>IF(OR(ISBLANK(BQ24), ISBLANK(BR24)),"",CONCATENATE(" ",VLOOKUP(BR24,Literatuur!$A:$B,2,FALSE)," "))</f>
        <v/>
      </c>
      <c r="BT24" s="33">
        <v>6.58</v>
      </c>
      <c r="BU24" s="33" t="s">
        <v>2066</v>
      </c>
      <c r="BV24" s="33" t="str">
        <f>IF(OR(ISBLANK(BT24), ISBLANK(BU24)),"",CONCATENATE(" ",VLOOKUP(BU24,Literatuur!$A:$B,2,FALSE)," "))</f>
        <v xml:space="preserve"> 8 </v>
      </c>
      <c r="BX24" s="33">
        <v>223.1</v>
      </c>
      <c r="BY24" s="33">
        <v>222.2</v>
      </c>
      <c r="CB24" s="33" t="s">
        <v>2066</v>
      </c>
      <c r="CD24" s="33">
        <f t="shared" si="26"/>
        <v>222.64999999999998</v>
      </c>
      <c r="CE24" s="37"/>
      <c r="CH24" s="33">
        <f t="shared" si="16"/>
        <v>6.58</v>
      </c>
      <c r="CR24" s="33" t="str">
        <f t="shared" si="17"/>
        <v>PCB #132</v>
      </c>
      <c r="CS24" s="33" t="str">
        <f t="shared" si="18"/>
        <v>PCB</v>
      </c>
      <c r="CT24" s="33" t="str">
        <f t="shared" si="19"/>
        <v/>
      </c>
      <c r="CU24" s="33" t="str">
        <f t="shared" si="20"/>
        <v/>
      </c>
      <c r="CV24" s="33" t="str">
        <f t="shared" si="21"/>
        <v/>
      </c>
      <c r="CW24" s="33" t="str">
        <f t="shared" si="22"/>
        <v/>
      </c>
      <c r="CX24" s="33">
        <f t="shared" si="23"/>
        <v>6.58</v>
      </c>
      <c r="CY24" s="33" t="str">
        <f t="shared" si="24"/>
        <v xml:space="preserve"> 8 </v>
      </c>
    </row>
    <row r="25" spans="2:103" ht="15" customHeight="1" x14ac:dyDescent="0.2">
      <c r="B25" s="33">
        <v>-1625</v>
      </c>
      <c r="D25" s="105" t="s">
        <v>1132</v>
      </c>
      <c r="E25" s="105" t="s">
        <v>1132</v>
      </c>
      <c r="F25" s="34"/>
      <c r="G25" s="34"/>
      <c r="I25" s="33" t="e">
        <f t="shared" si="0"/>
        <v>#DIV/0!</v>
      </c>
      <c r="J25" s="33" t="e">
        <f t="shared" si="25"/>
        <v>#DIV/0!</v>
      </c>
      <c r="K25" s="44">
        <f t="shared" si="1"/>
        <v>6.55</v>
      </c>
      <c r="L25" s="33">
        <f t="shared" si="2"/>
        <v>222.2</v>
      </c>
      <c r="M25" s="33" t="s">
        <v>1552</v>
      </c>
      <c r="Q25" s="44" t="str">
        <f t="shared" si="3"/>
        <v xml:space="preserve"> </v>
      </c>
      <c r="R25" s="33" t="str">
        <f>IF(OR(ISBLANK(P25), ISBLANK(Q25)),"",CONCATENATE(" ",VLOOKUP(Q25,Literatuur!$A:$B,2,FALSE)," "))</f>
        <v/>
      </c>
      <c r="T25" s="44" t="str">
        <f t="shared" si="4"/>
        <v xml:space="preserve"> </v>
      </c>
      <c r="U25" s="33" t="str">
        <f>IF(OR(ISBLANK(S25), ISBLANK(T25)),"",CONCATENATE(" ",VLOOKUP(T25,Literatuur!$A:$B,2,FALSE)," "))</f>
        <v/>
      </c>
      <c r="W25" s="44" t="str">
        <f t="shared" si="5"/>
        <v xml:space="preserve"> </v>
      </c>
      <c r="X25" s="33" t="str">
        <f>IF(OR(ISBLANK(V25), ISBLANK(W25)),"",CONCATENATE(" ",VLOOKUP(W25,Literatuur!$A:$B,2,FALSE)," "))</f>
        <v/>
      </c>
      <c r="Z25" s="44" t="str">
        <f t="shared" si="6"/>
        <v xml:space="preserve"> </v>
      </c>
      <c r="AA25" s="33" t="str">
        <f>IF(OR(ISBLANK(Y25), ISBLANK(Z25)),"",CONCATENATE(" ",VLOOKUP(Z25,Literatuur!$A:$B,2,FALSE)," "))</f>
        <v/>
      </c>
      <c r="AC25" s="36" t="str">
        <f t="shared" si="7"/>
        <v xml:space="preserve"> </v>
      </c>
      <c r="AD25" s="33" t="str">
        <f>IF(OR(ISBLANK(AB25), ISBLANK(AC25)),"",CONCATENATE(" ",VLOOKUP(AC25,Literatuur!$A:$B,2,FALSE)," "))</f>
        <v/>
      </c>
      <c r="AG25" s="33" t="str">
        <f>IF(OR(ISBLANK(AE25), ISBLANK(AF25)),"",CONCATENATE(" ",VLOOKUP(AF25,Literatuur!$A:$B,2,FALSE)," "))</f>
        <v/>
      </c>
      <c r="AJ25" s="44" t="str">
        <f t="shared" si="8"/>
        <v xml:space="preserve"> </v>
      </c>
      <c r="AK25" s="33" t="str">
        <f>IF(OR(ISBLANK(AI25), ISBLANK(AJ25)),"",CONCATENATE(" ",VLOOKUP(AJ25,Literatuur!$A:$B,2,FALSE)," "))</f>
        <v/>
      </c>
      <c r="AM25" s="44" t="str">
        <f t="shared" si="9"/>
        <v xml:space="preserve"> </v>
      </c>
      <c r="AN25" s="33" t="str">
        <f>IF(OR(ISBLANK(AL25), ISBLANK(AM25)),"",CONCATENATE(" ",VLOOKUP(AM25,Literatuur!$A:$B,2,FALSE)," "))</f>
        <v/>
      </c>
      <c r="AP25" s="44" t="str">
        <f t="shared" si="10"/>
        <v xml:space="preserve"> </v>
      </c>
      <c r="AQ25" s="33" t="str">
        <f>IF(OR(ISBLANK(AO25), ISBLANK(AP25)),"",CONCATENATE(" ",VLOOKUP(AP25,Literatuur!$A:$B,2,FALSE)," "))</f>
        <v/>
      </c>
      <c r="AT25" s="33" t="str">
        <f>IF(OR(ISBLANK(AR25), ISBLANK(AS25)),"",CONCATENATE(" ",VLOOKUP(AS25,Literatuur!$A:$B,2,FALSE)," "))</f>
        <v/>
      </c>
      <c r="AW25" s="33" t="str">
        <f>IF(OR(ISBLANK(AU25), ISBLANK(AV25)),"",CONCATENATE(" ",VLOOKUP(AV25,Literatuur!$A:$B,2,FALSE)," "))</f>
        <v/>
      </c>
      <c r="AY25" s="484"/>
      <c r="AZ25" s="44" t="str">
        <f t="shared" si="11"/>
        <v xml:space="preserve"> </v>
      </c>
      <c r="BA25" s="33" t="str">
        <f>IF(OR(ISBLANK(AY25), ISBLANK(AZ25)),"",CONCATENATE(" ",VLOOKUP(AZ25,Literatuur!$A:$B,2,FALSE)," "))</f>
        <v/>
      </c>
      <c r="BC25" s="44" t="str">
        <f t="shared" si="12"/>
        <v xml:space="preserve"> </v>
      </c>
      <c r="BD25" s="33" t="str">
        <f>IF(OR(ISBLANK(BB25), ISBLANK(BC25)),"",CONCATENATE(" ",VLOOKUP(BC25,Literatuur!$A:$B,2,FALSE)," "))</f>
        <v/>
      </c>
      <c r="BF25" s="44" t="str">
        <f t="shared" si="13"/>
        <v xml:space="preserve"> </v>
      </c>
      <c r="BG25" s="33" t="str">
        <f>IF(OR(ISBLANK(BE25), ISBLANK(BF25)),"",CONCATENATE(" ",VLOOKUP(BF25,Literatuur!$A:$B,2,FALSE)," "))</f>
        <v/>
      </c>
      <c r="BI25" s="44" t="str">
        <f t="shared" si="14"/>
        <v xml:space="preserve"> </v>
      </c>
      <c r="BJ25" s="33" t="str">
        <f>IF(OR(ISBLANK(BH25), ISBLANK(BI25)),"",CONCATENATE(" ",VLOOKUP(BI25,Literatuur!$A:$B,2,FALSE)," "))</f>
        <v/>
      </c>
      <c r="BL25" s="44" t="str">
        <f t="shared" si="15"/>
        <v xml:space="preserve"> </v>
      </c>
      <c r="BM25" s="33" t="str">
        <f>IF(OR(ISBLANK(BK25), ISBLANK(BL25)),"",CONCATENATE(" ",VLOOKUP(BL25,Literatuur!$A:$B,2,FALSE)," "))</f>
        <v/>
      </c>
      <c r="BP25" s="33" t="str">
        <f>IF(OR(ISBLANK(BN25), ISBLANK(BO25)),"",CONCATENATE(" ",VLOOKUP(BO25,Literatuur!$A:$B,2,FALSE)," "))</f>
        <v/>
      </c>
      <c r="BS25" s="33" t="str">
        <f>IF(OR(ISBLANK(BQ25), ISBLANK(BR25)),"",CONCATENATE(" ",VLOOKUP(BR25,Literatuur!$A:$B,2,FALSE)," "))</f>
        <v/>
      </c>
      <c r="BT25" s="33">
        <v>6.55</v>
      </c>
      <c r="BU25" s="33" t="s">
        <v>2066</v>
      </c>
      <c r="BV25" s="33" t="str">
        <f>IF(OR(ISBLANK(BT25), ISBLANK(BU25)),"",CONCATENATE(" ",VLOOKUP(BU25,Literatuur!$A:$B,2,FALSE)," "))</f>
        <v xml:space="preserve"> 8 </v>
      </c>
      <c r="BY25" s="33">
        <v>222.2</v>
      </c>
      <c r="CB25" s="33" t="s">
        <v>2066</v>
      </c>
      <c r="CD25" s="33">
        <f t="shared" si="26"/>
        <v>222.2</v>
      </c>
      <c r="CE25" s="37"/>
      <c r="CH25" s="33">
        <f t="shared" si="16"/>
        <v>6.55</v>
      </c>
      <c r="CR25" s="33" t="str">
        <f t="shared" si="17"/>
        <v>PCB #134</v>
      </c>
      <c r="CS25" s="33" t="str">
        <f t="shared" si="18"/>
        <v>PCB</v>
      </c>
      <c r="CT25" s="33" t="str">
        <f t="shared" si="19"/>
        <v/>
      </c>
      <c r="CU25" s="33" t="str">
        <f t="shared" si="20"/>
        <v/>
      </c>
      <c r="CV25" s="33" t="str">
        <f t="shared" si="21"/>
        <v/>
      </c>
      <c r="CW25" s="33" t="str">
        <f t="shared" si="22"/>
        <v/>
      </c>
      <c r="CX25" s="33">
        <f t="shared" si="23"/>
        <v>6.55</v>
      </c>
      <c r="CY25" s="33" t="str">
        <f t="shared" si="24"/>
        <v xml:space="preserve"> 8 </v>
      </c>
    </row>
    <row r="26" spans="2:103" x14ac:dyDescent="0.2">
      <c r="B26" s="33">
        <v>-1626</v>
      </c>
      <c r="D26" s="105" t="s">
        <v>1133</v>
      </c>
      <c r="E26" s="105" t="s">
        <v>1133</v>
      </c>
      <c r="F26" s="34"/>
      <c r="G26" s="34"/>
      <c r="I26" s="33" t="e">
        <f t="shared" si="0"/>
        <v>#DIV/0!</v>
      </c>
      <c r="J26" s="33" t="e">
        <f t="shared" si="25"/>
        <v>#DIV/0!</v>
      </c>
      <c r="K26" s="44">
        <f t="shared" si="1"/>
        <v>6.64</v>
      </c>
      <c r="L26" s="33">
        <f t="shared" si="2"/>
        <v>222.9</v>
      </c>
      <c r="M26" s="33" t="s">
        <v>1552</v>
      </c>
      <c r="Q26" s="44" t="str">
        <f t="shared" si="3"/>
        <v xml:space="preserve"> </v>
      </c>
      <c r="R26" s="33" t="str">
        <f>IF(OR(ISBLANK(P26), ISBLANK(Q26)),"",CONCATENATE(" ",VLOOKUP(Q26,Literatuur!$A:$B,2,FALSE)," "))</f>
        <v/>
      </c>
      <c r="T26" s="44" t="str">
        <f t="shared" si="4"/>
        <v xml:space="preserve"> </v>
      </c>
      <c r="U26" s="33" t="str">
        <f>IF(OR(ISBLANK(S26), ISBLANK(T26)),"",CONCATENATE(" ",VLOOKUP(T26,Literatuur!$A:$B,2,FALSE)," "))</f>
        <v/>
      </c>
      <c r="W26" s="44" t="str">
        <f t="shared" si="5"/>
        <v xml:space="preserve"> </v>
      </c>
      <c r="X26" s="33" t="str">
        <f>IF(OR(ISBLANK(V26), ISBLANK(W26)),"",CONCATENATE(" ",VLOOKUP(W26,Literatuur!$A:$B,2,FALSE)," "))</f>
        <v/>
      </c>
      <c r="Z26" s="44" t="str">
        <f t="shared" si="6"/>
        <v xml:space="preserve"> </v>
      </c>
      <c r="AA26" s="33" t="str">
        <f>IF(OR(ISBLANK(Y26), ISBLANK(Z26)),"",CONCATENATE(" ",VLOOKUP(Z26,Literatuur!$A:$B,2,FALSE)," "))</f>
        <v/>
      </c>
      <c r="AC26" s="36" t="str">
        <f t="shared" si="7"/>
        <v xml:space="preserve"> </v>
      </c>
      <c r="AD26" s="33" t="str">
        <f>IF(OR(ISBLANK(AB26), ISBLANK(AC26)),"",CONCATENATE(" ",VLOOKUP(AC26,Literatuur!$A:$B,2,FALSE)," "))</f>
        <v/>
      </c>
      <c r="AG26" s="33" t="str">
        <f>IF(OR(ISBLANK(AE26), ISBLANK(AF26)),"",CONCATENATE(" ",VLOOKUP(AF26,Literatuur!$A:$B,2,FALSE)," "))</f>
        <v/>
      </c>
      <c r="AJ26" s="44" t="str">
        <f t="shared" si="8"/>
        <v xml:space="preserve"> </v>
      </c>
      <c r="AK26" s="33" t="str">
        <f>IF(OR(ISBLANK(AI26), ISBLANK(AJ26)),"",CONCATENATE(" ",VLOOKUP(AJ26,Literatuur!$A:$B,2,FALSE)," "))</f>
        <v/>
      </c>
      <c r="AM26" s="44" t="str">
        <f t="shared" si="9"/>
        <v xml:space="preserve"> </v>
      </c>
      <c r="AN26" s="33" t="str">
        <f>IF(OR(ISBLANK(AL26), ISBLANK(AM26)),"",CONCATENATE(" ",VLOOKUP(AM26,Literatuur!$A:$B,2,FALSE)," "))</f>
        <v/>
      </c>
      <c r="AP26" s="44" t="str">
        <f t="shared" si="10"/>
        <v xml:space="preserve"> </v>
      </c>
      <c r="AQ26" s="33" t="str">
        <f>IF(OR(ISBLANK(AO26), ISBLANK(AP26)),"",CONCATENATE(" ",VLOOKUP(AP26,Literatuur!$A:$B,2,FALSE)," "))</f>
        <v/>
      </c>
      <c r="AT26" s="33" t="str">
        <f>IF(OR(ISBLANK(AR26), ISBLANK(AS26)),"",CONCATENATE(" ",VLOOKUP(AS26,Literatuur!$A:$B,2,FALSE)," "))</f>
        <v/>
      </c>
      <c r="AW26" s="33" t="str">
        <f>IF(OR(ISBLANK(AU26), ISBLANK(AV26)),"",CONCATENATE(" ",VLOOKUP(AV26,Literatuur!$A:$B,2,FALSE)," "))</f>
        <v/>
      </c>
      <c r="AZ26" s="44" t="str">
        <f t="shared" si="11"/>
        <v xml:space="preserve"> </v>
      </c>
      <c r="BA26" s="33" t="str">
        <f>IF(OR(ISBLANK(AY26), ISBLANK(AZ26)),"",CONCATENATE(" ",VLOOKUP(AZ26,Literatuur!$A:$B,2,FALSE)," "))</f>
        <v/>
      </c>
      <c r="BC26" s="44" t="str">
        <f t="shared" si="12"/>
        <v xml:space="preserve"> </v>
      </c>
      <c r="BD26" s="33" t="str">
        <f>IF(OR(ISBLANK(BB26), ISBLANK(BC26)),"",CONCATENATE(" ",VLOOKUP(BC26,Literatuur!$A:$B,2,FALSE)," "))</f>
        <v/>
      </c>
      <c r="BF26" s="44" t="str">
        <f t="shared" si="13"/>
        <v xml:space="preserve"> </v>
      </c>
      <c r="BG26" s="33" t="str">
        <f>IF(OR(ISBLANK(BE26), ISBLANK(BF26)),"",CONCATENATE(" ",VLOOKUP(BF26,Literatuur!$A:$B,2,FALSE)," "))</f>
        <v/>
      </c>
      <c r="BI26" s="44" t="str">
        <f t="shared" si="14"/>
        <v xml:space="preserve"> </v>
      </c>
      <c r="BJ26" s="33" t="str">
        <f>IF(OR(ISBLANK(BH26), ISBLANK(BI26)),"",CONCATENATE(" ",VLOOKUP(BI26,Literatuur!$A:$B,2,FALSE)," "))</f>
        <v/>
      </c>
      <c r="BL26" s="44" t="str">
        <f t="shared" si="15"/>
        <v xml:space="preserve"> </v>
      </c>
      <c r="BM26" s="33" t="str">
        <f>IF(OR(ISBLANK(BK26), ISBLANK(BL26)),"",CONCATENATE(" ",VLOOKUP(BL26,Literatuur!$A:$B,2,FALSE)," "))</f>
        <v/>
      </c>
      <c r="BP26" s="33" t="str">
        <f>IF(OR(ISBLANK(BN26), ISBLANK(BO26)),"",CONCATENATE(" ",VLOOKUP(BO26,Literatuur!$A:$B,2,FALSE)," "))</f>
        <v/>
      </c>
      <c r="BS26" s="33" t="str">
        <f>IF(OR(ISBLANK(BQ26), ISBLANK(BR26)),"",CONCATENATE(" ",VLOOKUP(BR26,Literatuur!$A:$B,2,FALSE)," "))</f>
        <v/>
      </c>
      <c r="BT26" s="33">
        <v>6.64</v>
      </c>
      <c r="BU26" s="33" t="s">
        <v>2066</v>
      </c>
      <c r="BV26" s="33" t="str">
        <f>IF(OR(ISBLANK(BT26), ISBLANK(BU26)),"",CONCATENATE(" ",VLOOKUP(BU26,Literatuur!$A:$B,2,FALSE)," "))</f>
        <v xml:space="preserve"> 8 </v>
      </c>
      <c r="BY26" s="33">
        <v>222.9</v>
      </c>
      <c r="CB26" s="33" t="s">
        <v>2066</v>
      </c>
      <c r="CD26" s="33">
        <f t="shared" si="26"/>
        <v>222.9</v>
      </c>
      <c r="CE26" s="37"/>
      <c r="CH26" s="33">
        <f t="shared" si="16"/>
        <v>6.64</v>
      </c>
      <c r="CR26" s="33" t="str">
        <f t="shared" si="17"/>
        <v>PCB #135</v>
      </c>
      <c r="CS26" s="33" t="str">
        <f t="shared" si="18"/>
        <v>PCB</v>
      </c>
      <c r="CT26" s="33" t="str">
        <f t="shared" si="19"/>
        <v/>
      </c>
      <c r="CU26" s="33" t="str">
        <f t="shared" si="20"/>
        <v/>
      </c>
      <c r="CV26" s="33" t="str">
        <f t="shared" si="21"/>
        <v/>
      </c>
      <c r="CW26" s="33" t="str">
        <f t="shared" si="22"/>
        <v/>
      </c>
      <c r="CX26" s="33">
        <f t="shared" si="23"/>
        <v>6.64</v>
      </c>
      <c r="CY26" s="33" t="str">
        <f t="shared" si="24"/>
        <v xml:space="preserve"> 8 </v>
      </c>
    </row>
    <row r="27" spans="2:103" ht="12.75" customHeight="1" x14ac:dyDescent="0.2">
      <c r="B27" s="33">
        <v>-1627</v>
      </c>
      <c r="D27" s="105" t="s">
        <v>1134</v>
      </c>
      <c r="E27" s="105" t="s">
        <v>1134</v>
      </c>
      <c r="F27" s="34"/>
      <c r="G27" s="34"/>
      <c r="I27" s="33" t="e">
        <f t="shared" si="0"/>
        <v>#DIV/0!</v>
      </c>
      <c r="J27" s="33" t="e">
        <f t="shared" si="25"/>
        <v>#DIV/0!</v>
      </c>
      <c r="K27" s="44">
        <f t="shared" si="1"/>
        <v>6.22</v>
      </c>
      <c r="L27" s="33">
        <f t="shared" si="2"/>
        <v>221.7</v>
      </c>
      <c r="M27" s="33" t="s">
        <v>1552</v>
      </c>
      <c r="Q27" s="44" t="str">
        <f t="shared" si="3"/>
        <v xml:space="preserve"> </v>
      </c>
      <c r="R27" s="33" t="str">
        <f>IF(OR(ISBLANK(P27), ISBLANK(Q27)),"",CONCATENATE(" ",VLOOKUP(Q27,Literatuur!$A:$B,2,FALSE)," "))</f>
        <v/>
      </c>
      <c r="T27" s="44" t="str">
        <f t="shared" si="4"/>
        <v xml:space="preserve"> </v>
      </c>
      <c r="U27" s="33" t="str">
        <f>IF(OR(ISBLANK(S27), ISBLANK(T27)),"",CONCATENATE(" ",VLOOKUP(T27,Literatuur!$A:$B,2,FALSE)," "))</f>
        <v/>
      </c>
      <c r="W27" s="44" t="str">
        <f t="shared" si="5"/>
        <v xml:space="preserve"> </v>
      </c>
      <c r="X27" s="33" t="str">
        <f>IF(OR(ISBLANK(V27), ISBLANK(W27)),"",CONCATENATE(" ",VLOOKUP(W27,Literatuur!$A:$B,2,FALSE)," "))</f>
        <v/>
      </c>
      <c r="Z27" s="44" t="str">
        <f t="shared" si="6"/>
        <v xml:space="preserve"> </v>
      </c>
      <c r="AA27" s="33" t="str">
        <f>IF(OR(ISBLANK(Y27), ISBLANK(Z27)),"",CONCATENATE(" ",VLOOKUP(Z27,Literatuur!$A:$B,2,FALSE)," "))</f>
        <v/>
      </c>
      <c r="AC27" s="36" t="str">
        <f t="shared" si="7"/>
        <v xml:space="preserve"> </v>
      </c>
      <c r="AD27" s="33" t="str">
        <f>IF(OR(ISBLANK(AB27), ISBLANK(AC27)),"",CONCATENATE(" ",VLOOKUP(AC27,Literatuur!$A:$B,2,FALSE)," "))</f>
        <v/>
      </c>
      <c r="AG27" s="33" t="str">
        <f>IF(OR(ISBLANK(AE27), ISBLANK(AF27)),"",CONCATENATE(" ",VLOOKUP(AF27,Literatuur!$A:$B,2,FALSE)," "))</f>
        <v/>
      </c>
      <c r="AJ27" s="44" t="str">
        <f t="shared" si="8"/>
        <v xml:space="preserve"> </v>
      </c>
      <c r="AK27" s="33" t="str">
        <f>IF(OR(ISBLANK(AI27), ISBLANK(AJ27)),"",CONCATENATE(" ",VLOOKUP(AJ27,Literatuur!$A:$B,2,FALSE)," "))</f>
        <v/>
      </c>
      <c r="AM27" s="44" t="str">
        <f t="shared" si="9"/>
        <v xml:space="preserve"> </v>
      </c>
      <c r="AN27" s="33" t="str">
        <f>IF(OR(ISBLANK(AL27), ISBLANK(AM27)),"",CONCATENATE(" ",VLOOKUP(AM27,Literatuur!$A:$B,2,FALSE)," "))</f>
        <v/>
      </c>
      <c r="AP27" s="44" t="str">
        <f t="shared" si="10"/>
        <v xml:space="preserve"> </v>
      </c>
      <c r="AQ27" s="33" t="str">
        <f>IF(OR(ISBLANK(AO27), ISBLANK(AP27)),"",CONCATENATE(" ",VLOOKUP(AP27,Literatuur!$A:$B,2,FALSE)," "))</f>
        <v/>
      </c>
      <c r="AT27" s="33" t="str">
        <f>IF(OR(ISBLANK(AR27), ISBLANK(AS27)),"",CONCATENATE(" ",VLOOKUP(AS27,Literatuur!$A:$B,2,FALSE)," "))</f>
        <v/>
      </c>
      <c r="AW27" s="33" t="str">
        <f>IF(OR(ISBLANK(AU27), ISBLANK(AV27)),"",CONCATENATE(" ",VLOOKUP(AV27,Literatuur!$A:$B,2,FALSE)," "))</f>
        <v/>
      </c>
      <c r="AZ27" s="44" t="str">
        <f t="shared" si="11"/>
        <v xml:space="preserve"> </v>
      </c>
      <c r="BA27" s="33" t="str">
        <f>IF(OR(ISBLANK(AY27), ISBLANK(AZ27)),"",CONCATENATE(" ",VLOOKUP(AZ27,Literatuur!$A:$B,2,FALSE)," "))</f>
        <v/>
      </c>
      <c r="BC27" s="44" t="str">
        <f t="shared" si="12"/>
        <v xml:space="preserve"> </v>
      </c>
      <c r="BD27" s="33" t="str">
        <f>IF(OR(ISBLANK(BB27), ISBLANK(BC27)),"",CONCATENATE(" ",VLOOKUP(BC27,Literatuur!$A:$B,2,FALSE)," "))</f>
        <v/>
      </c>
      <c r="BF27" s="44" t="str">
        <f t="shared" si="13"/>
        <v xml:space="preserve"> </v>
      </c>
      <c r="BG27" s="33" t="str">
        <f>IF(OR(ISBLANK(BE27), ISBLANK(BF27)),"",CONCATENATE(" ",VLOOKUP(BF27,Literatuur!$A:$B,2,FALSE)," "))</f>
        <v/>
      </c>
      <c r="BI27" s="44" t="str">
        <f t="shared" si="14"/>
        <v xml:space="preserve"> </v>
      </c>
      <c r="BJ27" s="33" t="str">
        <f>IF(OR(ISBLANK(BH27), ISBLANK(BI27)),"",CONCATENATE(" ",VLOOKUP(BI27,Literatuur!$A:$B,2,FALSE)," "))</f>
        <v/>
      </c>
      <c r="BL27" s="44" t="str">
        <f t="shared" si="15"/>
        <v xml:space="preserve"> </v>
      </c>
      <c r="BM27" s="33" t="str">
        <f>IF(OR(ISBLANK(BK27), ISBLANK(BL27)),"",CONCATENATE(" ",VLOOKUP(BL27,Literatuur!$A:$B,2,FALSE)," "))</f>
        <v/>
      </c>
      <c r="BP27" s="33" t="str">
        <f>IF(OR(ISBLANK(BN27), ISBLANK(BO27)),"",CONCATENATE(" ",VLOOKUP(BO27,Literatuur!$A:$B,2,FALSE)," "))</f>
        <v/>
      </c>
      <c r="BS27" s="33" t="str">
        <f>IF(OR(ISBLANK(BQ27), ISBLANK(BR27)),"",CONCATENATE(" ",VLOOKUP(BR27,Literatuur!$A:$B,2,FALSE)," "))</f>
        <v/>
      </c>
      <c r="BT27" s="33">
        <v>6.22</v>
      </c>
      <c r="BU27" s="33" t="s">
        <v>2066</v>
      </c>
      <c r="BV27" s="33" t="str">
        <f>IF(OR(ISBLANK(BT27), ISBLANK(BU27)),"",CONCATENATE(" ",VLOOKUP(BU27,Literatuur!$A:$B,2,FALSE)," "))</f>
        <v xml:space="preserve"> 8 </v>
      </c>
      <c r="BY27" s="33">
        <v>221.7</v>
      </c>
      <c r="CB27" s="33" t="s">
        <v>2066</v>
      </c>
      <c r="CD27" s="33">
        <f t="shared" si="26"/>
        <v>221.7</v>
      </c>
      <c r="CE27" s="37"/>
      <c r="CH27" s="33">
        <f t="shared" si="16"/>
        <v>6.22</v>
      </c>
      <c r="CR27" s="33" t="str">
        <f t="shared" si="17"/>
        <v>PCB #136</v>
      </c>
      <c r="CS27" s="33" t="str">
        <f t="shared" si="18"/>
        <v>PCB</v>
      </c>
      <c r="CT27" s="33" t="str">
        <f t="shared" si="19"/>
        <v/>
      </c>
      <c r="CU27" s="33" t="str">
        <f t="shared" si="20"/>
        <v/>
      </c>
      <c r="CV27" s="33" t="str">
        <f t="shared" si="21"/>
        <v/>
      </c>
      <c r="CW27" s="33" t="str">
        <f t="shared" si="22"/>
        <v/>
      </c>
      <c r="CX27" s="33">
        <f t="shared" si="23"/>
        <v>6.22</v>
      </c>
      <c r="CY27" s="33" t="str">
        <f t="shared" si="24"/>
        <v xml:space="preserve"> 8 </v>
      </c>
    </row>
    <row r="28" spans="2:103" ht="12.75" customHeight="1" x14ac:dyDescent="0.2">
      <c r="B28" s="33">
        <v>-1628</v>
      </c>
      <c r="D28" s="105" t="s">
        <v>1135</v>
      </c>
      <c r="E28" s="105" t="s">
        <v>1135</v>
      </c>
      <c r="F28" s="34"/>
      <c r="G28" s="34"/>
      <c r="I28" s="33">
        <f t="shared" si="0"/>
        <v>360.9</v>
      </c>
      <c r="J28" s="33">
        <f t="shared" si="25"/>
        <v>7.2009016947226761E-3</v>
      </c>
      <c r="K28" s="44">
        <f t="shared" si="1"/>
        <v>6.9433333333333325</v>
      </c>
      <c r="L28" s="33">
        <f t="shared" si="2"/>
        <v>223.25</v>
      </c>
      <c r="M28" s="33" t="s">
        <v>1552</v>
      </c>
      <c r="Q28" s="44" t="str">
        <f t="shared" si="3"/>
        <v xml:space="preserve"> </v>
      </c>
      <c r="R28" s="33" t="str">
        <f>IF(OR(ISBLANK(P28), ISBLANK(Q28)),"",CONCATENATE(" ",VLOOKUP(Q28,Literatuur!$A:$B,2,FALSE)," "))</f>
        <v/>
      </c>
      <c r="T28" s="44" t="str">
        <f t="shared" si="4"/>
        <v xml:space="preserve"> </v>
      </c>
      <c r="U28" s="33" t="str">
        <f>IF(OR(ISBLANK(S28), ISBLANK(T28)),"",CONCATENATE(" ",VLOOKUP(T28,Literatuur!$A:$B,2,FALSE)," "))</f>
        <v/>
      </c>
      <c r="W28" s="44" t="str">
        <f t="shared" si="5"/>
        <v xml:space="preserve"> </v>
      </c>
      <c r="X28" s="33" t="str">
        <f>IF(OR(ISBLANK(V28), ISBLANK(W28)),"",CONCATENATE(" ",VLOOKUP(W28,Literatuur!$A:$B,2,FALSE)," "))</f>
        <v/>
      </c>
      <c r="Z28" s="44" t="str">
        <f t="shared" si="6"/>
        <v xml:space="preserve"> </v>
      </c>
      <c r="AA28" s="33" t="str">
        <f>IF(OR(ISBLANK(Y28), ISBLANK(Z28)),"",CONCATENATE(" ",VLOOKUP(Z28,Literatuur!$A:$B,2,FALSE)," "))</f>
        <v/>
      </c>
      <c r="AC28" s="36" t="str">
        <f t="shared" si="7"/>
        <v xml:space="preserve"> </v>
      </c>
      <c r="AD28" s="33" t="str">
        <f>IF(OR(ISBLANK(AB28), ISBLANK(AC28)),"",CONCATENATE(" ",VLOOKUP(AC28,Literatuur!$A:$B,2,FALSE)," "))</f>
        <v/>
      </c>
      <c r="AE28" s="365">
        <v>7.2009016947226761E-3</v>
      </c>
      <c r="AF28" s="33" t="s">
        <v>1557</v>
      </c>
      <c r="AG28" s="33" t="str">
        <f>IF(OR(ISBLANK(AE28), ISBLANK(AF28)),"",CONCATENATE(" ",VLOOKUP(AF28,Literatuur!$A:$B,2,FALSE)," "))</f>
        <v xml:space="preserve"> 17 </v>
      </c>
      <c r="AJ28" s="44" t="str">
        <f t="shared" si="8"/>
        <v xml:space="preserve"> </v>
      </c>
      <c r="AK28" s="33" t="str">
        <f>IF(OR(ISBLANK(AI28), ISBLANK(AJ28)),"",CONCATENATE(" ",VLOOKUP(AJ28,Literatuur!$A:$B,2,FALSE)," "))</f>
        <v/>
      </c>
      <c r="AM28" s="44" t="str">
        <f t="shared" si="9"/>
        <v xml:space="preserve"> </v>
      </c>
      <c r="AN28" s="33" t="str">
        <f>IF(OR(ISBLANK(AL28), ISBLANK(AM28)),"",CONCATENATE(" ",VLOOKUP(AM28,Literatuur!$A:$B,2,FALSE)," "))</f>
        <v/>
      </c>
      <c r="AP28" s="44" t="str">
        <f t="shared" si="10"/>
        <v xml:space="preserve"> </v>
      </c>
      <c r="AQ28" s="33" t="str">
        <f>IF(OR(ISBLANK(AO28), ISBLANK(AP28)),"",CONCATENATE(" ",VLOOKUP(AP28,Literatuur!$A:$B,2,FALSE)," "))</f>
        <v/>
      </c>
      <c r="AT28" s="33" t="str">
        <f>IF(OR(ISBLANK(AR28), ISBLANK(AS28)),"",CONCATENATE(" ",VLOOKUP(AS28,Literatuur!$A:$B,2,FALSE)," "))</f>
        <v/>
      </c>
      <c r="AU28" s="33">
        <v>360.9</v>
      </c>
      <c r="AV28" s="33" t="s">
        <v>1557</v>
      </c>
      <c r="AW28" s="33" t="str">
        <f>IF(OR(ISBLANK(AU28), ISBLANK(AV28)),"",CONCATENATE(" ",VLOOKUP(AV28,Literatuur!$A:$B,2,FALSE)," "))</f>
        <v xml:space="preserve"> 17 </v>
      </c>
      <c r="AZ28" s="44" t="str">
        <f t="shared" si="11"/>
        <v xml:space="preserve"> </v>
      </c>
      <c r="BA28" s="33" t="str">
        <f>IF(OR(ISBLANK(AY28), ISBLANK(AZ28)),"",CONCATENATE(" ",VLOOKUP(AZ28,Literatuur!$A:$B,2,FALSE)," "))</f>
        <v/>
      </c>
      <c r="BC28" s="44" t="str">
        <f t="shared" si="12"/>
        <v xml:space="preserve"> </v>
      </c>
      <c r="BD28" s="33" t="str">
        <f>IF(OR(ISBLANK(BB28), ISBLANK(BC28)),"",CONCATENATE(" ",VLOOKUP(BC28,Literatuur!$A:$B,2,FALSE)," "))</f>
        <v/>
      </c>
      <c r="BF28" s="44" t="str">
        <f t="shared" si="13"/>
        <v xml:space="preserve"> </v>
      </c>
      <c r="BG28" s="33" t="str">
        <f>IF(OR(ISBLANK(BE28), ISBLANK(BF28)),"",CONCATENATE(" ",VLOOKUP(BF28,Literatuur!$A:$B,2,FALSE)," "))</f>
        <v/>
      </c>
      <c r="BI28" s="44" t="str">
        <f t="shared" si="14"/>
        <v xml:space="preserve"> </v>
      </c>
      <c r="BJ28" s="33" t="str">
        <f>IF(OR(ISBLANK(BH28), ISBLANK(BI28)),"",CONCATENATE(" ",VLOOKUP(BI28,Literatuur!$A:$B,2,FALSE)," "))</f>
        <v/>
      </c>
      <c r="BL28" s="44" t="str">
        <f t="shared" si="15"/>
        <v xml:space="preserve"> </v>
      </c>
      <c r="BM28" s="33" t="str">
        <f>IF(OR(ISBLANK(BK28), ISBLANK(BL28)),"",CONCATENATE(" ",VLOOKUP(BL28,Literatuur!$A:$B,2,FALSE)," "))</f>
        <v/>
      </c>
      <c r="BN28" s="33">
        <v>7.2</v>
      </c>
      <c r="BO28" s="33" t="s">
        <v>1557</v>
      </c>
      <c r="BP28" s="33" t="str">
        <f>IF(OR(ISBLANK(BN28), ISBLANK(BO28)),"",CONCATENATE(" ",VLOOKUP(BO28,Literatuur!$A:$B,2,FALSE)," "))</f>
        <v xml:space="preserve"> 17 </v>
      </c>
      <c r="BQ28" s="33">
        <v>6.8</v>
      </c>
      <c r="BR28" s="33" t="s">
        <v>1557</v>
      </c>
      <c r="BS28" s="33" t="str">
        <f>IF(OR(ISBLANK(BQ28), ISBLANK(BR28)),"",CONCATENATE(" ",VLOOKUP(BR28,Literatuur!$A:$B,2,FALSE)," "))</f>
        <v xml:space="preserve"> 17 </v>
      </c>
      <c r="BT28" s="33">
        <v>6.83</v>
      </c>
      <c r="BU28" s="33" t="s">
        <v>2066</v>
      </c>
      <c r="BV28" s="33" t="str">
        <f>IF(OR(ISBLANK(BT28), ISBLANK(BU28)),"",CONCATENATE(" ",VLOOKUP(BU28,Literatuur!$A:$B,2,FALSE)," "))</f>
        <v xml:space="preserve"> 8 </v>
      </c>
      <c r="BX28" s="33">
        <v>223.5</v>
      </c>
      <c r="BY28" s="33">
        <v>223</v>
      </c>
      <c r="BZ28" s="339">
        <v>198.6</v>
      </c>
      <c r="CA28" s="33" t="s">
        <v>1557</v>
      </c>
      <c r="CB28" s="33" t="s">
        <v>2066</v>
      </c>
      <c r="CC28" s="33" t="s">
        <v>1734</v>
      </c>
      <c r="CD28" s="33">
        <f t="shared" si="26"/>
        <v>223.25</v>
      </c>
      <c r="CE28" s="37">
        <f>I28</f>
        <v>360.9</v>
      </c>
      <c r="CG28" s="33">
        <f>LOG(J28)</f>
        <v>-2.1426131179404933</v>
      </c>
      <c r="CH28" s="33">
        <f t="shared" si="16"/>
        <v>6.9433333333333325</v>
      </c>
      <c r="CR28" s="33" t="str">
        <f t="shared" si="17"/>
        <v>PCB #138</v>
      </c>
      <c r="CS28" s="33" t="str">
        <f t="shared" si="18"/>
        <v>PCB</v>
      </c>
      <c r="CT28" s="33">
        <f t="shared" si="19"/>
        <v>360.9</v>
      </c>
      <c r="CU28" s="33" t="str">
        <f t="shared" si="20"/>
        <v xml:space="preserve"> 17 </v>
      </c>
      <c r="CV28" s="33">
        <f t="shared" si="21"/>
        <v>7.2009016947226761E-3</v>
      </c>
      <c r="CW28" s="33" t="str">
        <f t="shared" si="22"/>
        <v xml:space="preserve"> 17 </v>
      </c>
      <c r="CX28" s="33">
        <f t="shared" si="23"/>
        <v>6.9433333333333325</v>
      </c>
      <c r="CY28" s="33" t="str">
        <f t="shared" si="24"/>
        <v xml:space="preserve"> 17  17  8 </v>
      </c>
    </row>
    <row r="29" spans="2:103" ht="12.75" customHeight="1" x14ac:dyDescent="0.2">
      <c r="B29" s="33">
        <v>-1629</v>
      </c>
      <c r="D29" s="105" t="s">
        <v>1136</v>
      </c>
      <c r="E29" s="105" t="s">
        <v>1136</v>
      </c>
      <c r="F29" s="34"/>
      <c r="G29" s="34"/>
      <c r="I29" s="33">
        <f t="shared" si="0"/>
        <v>360.9</v>
      </c>
      <c r="J29" s="33">
        <f t="shared" si="25"/>
        <v>1.4367687785275682E-2</v>
      </c>
      <c r="K29" s="44">
        <f t="shared" si="1"/>
        <v>6.84</v>
      </c>
      <c r="L29" s="33">
        <f t="shared" si="2"/>
        <v>223.55</v>
      </c>
      <c r="M29" s="33" t="s">
        <v>1552</v>
      </c>
      <c r="Q29" s="44" t="str">
        <f t="shared" si="3"/>
        <v xml:space="preserve"> </v>
      </c>
      <c r="R29" s="33" t="str">
        <f>IF(OR(ISBLANK(P29), ISBLANK(Q29)),"",CONCATENATE(" ",VLOOKUP(Q29,Literatuur!$A:$B,2,FALSE)," "))</f>
        <v/>
      </c>
      <c r="T29" s="44" t="str">
        <f t="shared" si="4"/>
        <v xml:space="preserve"> </v>
      </c>
      <c r="U29" s="33" t="str">
        <f>IF(OR(ISBLANK(S29), ISBLANK(T29)),"",CONCATENATE(" ",VLOOKUP(T29,Literatuur!$A:$B,2,FALSE)," "))</f>
        <v/>
      </c>
      <c r="W29" s="44" t="str">
        <f t="shared" si="5"/>
        <v xml:space="preserve"> </v>
      </c>
      <c r="X29" s="33" t="str">
        <f>IF(OR(ISBLANK(V29), ISBLANK(W29)),"",CONCATENATE(" ",VLOOKUP(W29,Literatuur!$A:$B,2,FALSE)," "))</f>
        <v/>
      </c>
      <c r="Z29" s="44" t="str">
        <f t="shared" si="6"/>
        <v xml:space="preserve"> </v>
      </c>
      <c r="AA29" s="33" t="str">
        <f>IF(OR(ISBLANK(Y29), ISBLANK(Z29)),"",CONCATENATE(" ",VLOOKUP(Z29,Literatuur!$A:$B,2,FALSE)," "))</f>
        <v/>
      </c>
      <c r="AC29" s="36" t="str">
        <f t="shared" si="7"/>
        <v xml:space="preserve"> </v>
      </c>
      <c r="AD29" s="33" t="str">
        <f>IF(OR(ISBLANK(AB29), ISBLANK(AC29)),"",CONCATENATE(" ",VLOOKUP(AC29,Literatuur!$A:$B,2,FALSE)," "))</f>
        <v/>
      </c>
      <c r="AE29" s="365">
        <v>1.4367687785275682E-2</v>
      </c>
      <c r="AF29" s="33" t="s">
        <v>1557</v>
      </c>
      <c r="AG29" s="33" t="str">
        <f>IF(OR(ISBLANK(AE29), ISBLANK(AF29)),"",CONCATENATE(" ",VLOOKUP(AF29,Literatuur!$A:$B,2,FALSE)," "))</f>
        <v xml:space="preserve"> 17 </v>
      </c>
      <c r="AJ29" s="44" t="str">
        <f t="shared" si="8"/>
        <v xml:space="preserve"> </v>
      </c>
      <c r="AK29" s="33" t="str">
        <f>IF(OR(ISBLANK(AI29), ISBLANK(AJ29)),"",CONCATENATE(" ",VLOOKUP(AJ29,Literatuur!$A:$B,2,FALSE)," "))</f>
        <v/>
      </c>
      <c r="AM29" s="44" t="str">
        <f t="shared" si="9"/>
        <v xml:space="preserve"> </v>
      </c>
      <c r="AN29" s="33" t="str">
        <f>IF(OR(ISBLANK(AL29), ISBLANK(AM29)),"",CONCATENATE(" ",VLOOKUP(AM29,Literatuur!$A:$B,2,FALSE)," "))</f>
        <v/>
      </c>
      <c r="AP29" s="44" t="str">
        <f t="shared" si="10"/>
        <v xml:space="preserve"> </v>
      </c>
      <c r="AQ29" s="33" t="str">
        <f>IF(OR(ISBLANK(AO29), ISBLANK(AP29)),"",CONCATENATE(" ",VLOOKUP(AP29,Literatuur!$A:$B,2,FALSE)," "))</f>
        <v/>
      </c>
      <c r="AT29" s="33" t="str">
        <f>IF(OR(ISBLANK(AR29), ISBLANK(AS29)),"",CONCATENATE(" ",VLOOKUP(AS29,Literatuur!$A:$B,2,FALSE)," "))</f>
        <v/>
      </c>
      <c r="AU29" s="33">
        <v>360.9</v>
      </c>
      <c r="AV29" s="33" t="s">
        <v>1557</v>
      </c>
      <c r="AW29" s="33" t="str">
        <f>IF(OR(ISBLANK(AU29), ISBLANK(AV29)),"",CONCATENATE(" ",VLOOKUP(AV29,Literatuur!$A:$B,2,FALSE)," "))</f>
        <v xml:space="preserve"> 17 </v>
      </c>
      <c r="AZ29" s="44" t="str">
        <f t="shared" si="11"/>
        <v xml:space="preserve"> </v>
      </c>
      <c r="BA29" s="33" t="str">
        <f>IF(OR(ISBLANK(AY29), ISBLANK(AZ29)),"",CONCATENATE(" ",VLOOKUP(AZ29,Literatuur!$A:$B,2,FALSE)," "))</f>
        <v/>
      </c>
      <c r="BC29" s="44" t="str">
        <f t="shared" si="12"/>
        <v xml:space="preserve"> </v>
      </c>
      <c r="BD29" s="33" t="str">
        <f>IF(OR(ISBLANK(BB29), ISBLANK(BC29)),"",CONCATENATE(" ",VLOOKUP(BC29,Literatuur!$A:$B,2,FALSE)," "))</f>
        <v/>
      </c>
      <c r="BF29" s="44" t="str">
        <f t="shared" si="13"/>
        <v xml:space="preserve"> </v>
      </c>
      <c r="BG29" s="33" t="str">
        <f>IF(OR(ISBLANK(BE29), ISBLANK(BF29)),"",CONCATENATE(" ",VLOOKUP(BF29,Literatuur!$A:$B,2,FALSE)," "))</f>
        <v/>
      </c>
      <c r="BI29" s="44" t="str">
        <f t="shared" si="14"/>
        <v xml:space="preserve"> </v>
      </c>
      <c r="BJ29" s="33" t="str">
        <f>IF(OR(ISBLANK(BH29), ISBLANK(BI29)),"",CONCATENATE(" ",VLOOKUP(BI29,Literatuur!$A:$B,2,FALSE)," "))</f>
        <v/>
      </c>
      <c r="BL29" s="44" t="str">
        <f t="shared" si="15"/>
        <v xml:space="preserve"> </v>
      </c>
      <c r="BM29" s="33" t="str">
        <f>IF(OR(ISBLANK(BK29), ISBLANK(BL29)),"",CONCATENATE(" ",VLOOKUP(BL29,Literatuur!$A:$B,2,FALSE)," "))</f>
        <v/>
      </c>
      <c r="BN29" s="33">
        <v>6.9</v>
      </c>
      <c r="BO29" s="33" t="s">
        <v>1557</v>
      </c>
      <c r="BP29" s="33" t="str">
        <f>IF(OR(ISBLANK(BN29), ISBLANK(BO29)),"",CONCATENATE(" ",VLOOKUP(BO29,Literatuur!$A:$B,2,FALSE)," "))</f>
        <v xml:space="preserve"> 17 </v>
      </c>
      <c r="BQ29" s="33">
        <v>6.8</v>
      </c>
      <c r="BR29" s="33" t="s">
        <v>1557</v>
      </c>
      <c r="BS29" s="33" t="str">
        <f>IF(OR(ISBLANK(BQ29), ISBLANK(BR29)),"",CONCATENATE(" ",VLOOKUP(BR29,Literatuur!$A:$B,2,FALSE)," "))</f>
        <v xml:space="preserve"> 17 </v>
      </c>
      <c r="BT29" s="33">
        <v>6.82</v>
      </c>
      <c r="BU29" s="33" t="s">
        <v>2066</v>
      </c>
      <c r="BV29" s="33" t="str">
        <f>IF(OR(ISBLANK(BT29), ISBLANK(BU29)),"",CONCATENATE(" ",VLOOKUP(BU29,Literatuur!$A:$B,2,FALSE)," "))</f>
        <v xml:space="preserve"> 8 </v>
      </c>
      <c r="BX29" s="33">
        <v>223.8</v>
      </c>
      <c r="BY29" s="33">
        <v>223.3</v>
      </c>
      <c r="BZ29" s="339">
        <v>199.4</v>
      </c>
      <c r="CA29" s="33" t="s">
        <v>1557</v>
      </c>
      <c r="CB29" s="33" t="s">
        <v>2066</v>
      </c>
      <c r="CC29" s="33" t="s">
        <v>1734</v>
      </c>
      <c r="CD29" s="33">
        <f t="shared" si="26"/>
        <v>223.55</v>
      </c>
      <c r="CE29" s="37">
        <f>I29</f>
        <v>360.9</v>
      </c>
      <c r="CG29" s="33">
        <f>LOG(J29)</f>
        <v>-1.8426131179404939</v>
      </c>
      <c r="CH29" s="33">
        <f t="shared" si="16"/>
        <v>6.84</v>
      </c>
      <c r="CR29" s="33" t="str">
        <f t="shared" si="17"/>
        <v>PCB #141</v>
      </c>
      <c r="CS29" s="33" t="str">
        <f t="shared" si="18"/>
        <v>PCB</v>
      </c>
      <c r="CT29" s="33">
        <f t="shared" si="19"/>
        <v>360.9</v>
      </c>
      <c r="CU29" s="33" t="str">
        <f t="shared" si="20"/>
        <v xml:space="preserve"> 17 </v>
      </c>
      <c r="CV29" s="33">
        <f t="shared" si="21"/>
        <v>1.4367687785275682E-2</v>
      </c>
      <c r="CW29" s="33" t="str">
        <f t="shared" si="22"/>
        <v xml:space="preserve"> 17 </v>
      </c>
      <c r="CX29" s="33">
        <f t="shared" si="23"/>
        <v>6.84</v>
      </c>
      <c r="CY29" s="33" t="str">
        <f t="shared" si="24"/>
        <v xml:space="preserve"> 17  17  8 </v>
      </c>
    </row>
    <row r="30" spans="2:103" ht="12.75" customHeight="1" x14ac:dyDescent="0.2">
      <c r="B30" s="33">
        <v>-1630</v>
      </c>
      <c r="D30" s="105" t="s">
        <v>1137</v>
      </c>
      <c r="E30" s="105" t="s">
        <v>1137</v>
      </c>
      <c r="F30" s="34"/>
      <c r="G30" s="34"/>
      <c r="I30" s="33" t="e">
        <f t="shared" si="0"/>
        <v>#DIV/0!</v>
      </c>
      <c r="J30" s="33" t="e">
        <f t="shared" si="25"/>
        <v>#DIV/0!</v>
      </c>
      <c r="K30" s="44">
        <f t="shared" si="1"/>
        <v>6.89</v>
      </c>
      <c r="L30" s="33">
        <f t="shared" si="2"/>
        <v>223.7</v>
      </c>
      <c r="M30" s="33" t="s">
        <v>1552</v>
      </c>
      <c r="Q30" s="44" t="str">
        <f t="shared" si="3"/>
        <v xml:space="preserve"> </v>
      </c>
      <c r="R30" s="33" t="str">
        <f>IF(OR(ISBLANK(P30), ISBLANK(Q30)),"",CONCATENATE(" ",VLOOKUP(Q30,Literatuur!$A:$B,2,FALSE)," "))</f>
        <v/>
      </c>
      <c r="T30" s="44" t="str">
        <f t="shared" si="4"/>
        <v xml:space="preserve"> </v>
      </c>
      <c r="U30" s="33" t="str">
        <f>IF(OR(ISBLANK(S30), ISBLANK(T30)),"",CONCATENATE(" ",VLOOKUP(T30,Literatuur!$A:$B,2,FALSE)," "))</f>
        <v/>
      </c>
      <c r="W30" s="44" t="str">
        <f t="shared" si="5"/>
        <v xml:space="preserve"> </v>
      </c>
      <c r="X30" s="33" t="str">
        <f>IF(OR(ISBLANK(V30), ISBLANK(W30)),"",CONCATENATE(" ",VLOOKUP(W30,Literatuur!$A:$B,2,FALSE)," "))</f>
        <v/>
      </c>
      <c r="Z30" s="44" t="str">
        <f t="shared" si="6"/>
        <v xml:space="preserve"> </v>
      </c>
      <c r="AA30" s="33" t="str">
        <f>IF(OR(ISBLANK(Y30), ISBLANK(Z30)),"",CONCATENATE(" ",VLOOKUP(Z30,Literatuur!$A:$B,2,FALSE)," "))</f>
        <v/>
      </c>
      <c r="AC30" s="36" t="str">
        <f t="shared" si="7"/>
        <v xml:space="preserve"> </v>
      </c>
      <c r="AD30" s="33" t="str">
        <f>IF(OR(ISBLANK(AB30), ISBLANK(AC30)),"",CONCATENATE(" ",VLOOKUP(AC30,Literatuur!$A:$B,2,FALSE)," "))</f>
        <v/>
      </c>
      <c r="AG30" s="33" t="str">
        <f>IF(OR(ISBLANK(AE30), ISBLANK(AF30)),"",CONCATENATE(" ",VLOOKUP(AF30,Literatuur!$A:$B,2,FALSE)," "))</f>
        <v/>
      </c>
      <c r="AJ30" s="44" t="str">
        <f t="shared" si="8"/>
        <v xml:space="preserve"> </v>
      </c>
      <c r="AK30" s="33" t="str">
        <f>IF(OR(ISBLANK(AI30), ISBLANK(AJ30)),"",CONCATENATE(" ",VLOOKUP(AJ30,Literatuur!$A:$B,2,FALSE)," "))</f>
        <v/>
      </c>
      <c r="AM30" s="44" t="str">
        <f t="shared" si="9"/>
        <v xml:space="preserve"> </v>
      </c>
      <c r="AN30" s="33" t="str">
        <f>IF(OR(ISBLANK(AL30), ISBLANK(AM30)),"",CONCATENATE(" ",VLOOKUP(AM30,Literatuur!$A:$B,2,FALSE)," "))</f>
        <v/>
      </c>
      <c r="AP30" s="44" t="str">
        <f t="shared" si="10"/>
        <v xml:space="preserve"> </v>
      </c>
      <c r="AQ30" s="33" t="str">
        <f>IF(OR(ISBLANK(AO30), ISBLANK(AP30)),"",CONCATENATE(" ",VLOOKUP(AP30,Literatuur!$A:$B,2,FALSE)," "))</f>
        <v/>
      </c>
      <c r="AT30" s="33" t="str">
        <f>IF(OR(ISBLANK(AR30), ISBLANK(AS30)),"",CONCATENATE(" ",VLOOKUP(AS30,Literatuur!$A:$B,2,FALSE)," "))</f>
        <v/>
      </c>
      <c r="AW30" s="33" t="str">
        <f>IF(OR(ISBLANK(AU30), ISBLANK(AV30)),"",CONCATENATE(" ",VLOOKUP(AV30,Literatuur!$A:$B,2,FALSE)," "))</f>
        <v/>
      </c>
      <c r="AZ30" s="44" t="str">
        <f t="shared" si="11"/>
        <v xml:space="preserve"> </v>
      </c>
      <c r="BA30" s="33" t="str">
        <f>IF(OR(ISBLANK(AY30), ISBLANK(AZ30)),"",CONCATENATE(" ",VLOOKUP(AZ30,Literatuur!$A:$B,2,FALSE)," "))</f>
        <v/>
      </c>
      <c r="BC30" s="44" t="str">
        <f t="shared" si="12"/>
        <v xml:space="preserve"> </v>
      </c>
      <c r="BD30" s="33" t="str">
        <f>IF(OR(ISBLANK(BB30), ISBLANK(BC30)),"",CONCATENATE(" ",VLOOKUP(BC30,Literatuur!$A:$B,2,FALSE)," "))</f>
        <v/>
      </c>
      <c r="BF30" s="44" t="str">
        <f t="shared" si="13"/>
        <v xml:space="preserve"> </v>
      </c>
      <c r="BG30" s="33" t="str">
        <f>IF(OR(ISBLANK(BE30), ISBLANK(BF30)),"",CONCATENATE(" ",VLOOKUP(BF30,Literatuur!$A:$B,2,FALSE)," "))</f>
        <v/>
      </c>
      <c r="BI30" s="44" t="str">
        <f t="shared" si="14"/>
        <v xml:space="preserve"> </v>
      </c>
      <c r="BJ30" s="33" t="str">
        <f>IF(OR(ISBLANK(BH30), ISBLANK(BI30)),"",CONCATENATE(" ",VLOOKUP(BI30,Literatuur!$A:$B,2,FALSE)," "))</f>
        <v/>
      </c>
      <c r="BL30" s="44" t="str">
        <f t="shared" si="15"/>
        <v xml:space="preserve"> </v>
      </c>
      <c r="BM30" s="33" t="str">
        <f>IF(OR(ISBLANK(BK30), ISBLANK(BL30)),"",CONCATENATE(" ",VLOOKUP(BL30,Literatuur!$A:$B,2,FALSE)," "))</f>
        <v/>
      </c>
      <c r="BP30" s="33" t="str">
        <f>IF(OR(ISBLANK(BN30), ISBLANK(BO30)),"",CONCATENATE(" ",VLOOKUP(BO30,Literatuur!$A:$B,2,FALSE)," "))</f>
        <v/>
      </c>
      <c r="BS30" s="33" t="str">
        <f>IF(OR(ISBLANK(BQ30), ISBLANK(BR30)),"",CONCATENATE(" ",VLOOKUP(BR30,Literatuur!$A:$B,2,FALSE)," "))</f>
        <v/>
      </c>
      <c r="BT30" s="33">
        <v>6.89</v>
      </c>
      <c r="BU30" s="33" t="s">
        <v>2066</v>
      </c>
      <c r="BV30" s="33" t="str">
        <f>IF(OR(ISBLANK(BT30), ISBLANK(BU30)),"",CONCATENATE(" ",VLOOKUP(BU30,Literatuur!$A:$B,2,FALSE)," "))</f>
        <v xml:space="preserve"> 8 </v>
      </c>
      <c r="BY30" s="33">
        <v>223.7</v>
      </c>
      <c r="CB30" s="33" t="s">
        <v>2066</v>
      </c>
      <c r="CD30" s="33">
        <f t="shared" si="26"/>
        <v>223.7</v>
      </c>
      <c r="CE30" s="37"/>
      <c r="CH30" s="33">
        <f t="shared" si="16"/>
        <v>6.89</v>
      </c>
      <c r="CR30" s="33" t="str">
        <f t="shared" si="17"/>
        <v>PCB #146</v>
      </c>
      <c r="CS30" s="33" t="str">
        <f t="shared" si="18"/>
        <v>PCB</v>
      </c>
      <c r="CT30" s="33" t="str">
        <f t="shared" si="19"/>
        <v/>
      </c>
      <c r="CU30" s="33" t="str">
        <f t="shared" si="20"/>
        <v/>
      </c>
      <c r="CV30" s="33" t="str">
        <f t="shared" si="21"/>
        <v/>
      </c>
      <c r="CW30" s="33" t="str">
        <f t="shared" si="22"/>
        <v/>
      </c>
      <c r="CX30" s="33">
        <f t="shared" si="23"/>
        <v>6.89</v>
      </c>
      <c r="CY30" s="33" t="str">
        <f t="shared" si="24"/>
        <v xml:space="preserve"> 8 </v>
      </c>
    </row>
    <row r="31" spans="2:103" ht="12.75" customHeight="1" x14ac:dyDescent="0.2">
      <c r="B31" s="33">
        <v>-1631</v>
      </c>
      <c r="D31" s="105" t="s">
        <v>1138</v>
      </c>
      <c r="E31" s="105" t="s">
        <v>1138</v>
      </c>
      <c r="F31" s="34"/>
      <c r="G31" s="34"/>
      <c r="I31" s="33">
        <f t="shared" si="0"/>
        <v>360.9</v>
      </c>
      <c r="J31" s="33">
        <f t="shared" si="25"/>
        <v>2.2771250562290155E-2</v>
      </c>
      <c r="K31" s="44">
        <f t="shared" si="1"/>
        <v>6.6466666666666674</v>
      </c>
      <c r="L31" s="33">
        <f t="shared" si="2"/>
        <v>223.15</v>
      </c>
      <c r="M31" s="33" t="s">
        <v>1552</v>
      </c>
      <c r="Q31" s="44" t="str">
        <f t="shared" si="3"/>
        <v xml:space="preserve"> </v>
      </c>
      <c r="R31" s="33" t="str">
        <f>IF(OR(ISBLANK(P31), ISBLANK(Q31)),"",CONCATENATE(" ",VLOOKUP(Q31,Literatuur!$A:$B,2,FALSE)," "))</f>
        <v/>
      </c>
      <c r="T31" s="44" t="str">
        <f t="shared" si="4"/>
        <v xml:space="preserve"> </v>
      </c>
      <c r="U31" s="33" t="str">
        <f>IF(OR(ISBLANK(S31), ISBLANK(T31)),"",CONCATENATE(" ",VLOOKUP(T31,Literatuur!$A:$B,2,FALSE)," "))</f>
        <v/>
      </c>
      <c r="W31" s="44" t="str">
        <f t="shared" si="5"/>
        <v xml:space="preserve"> </v>
      </c>
      <c r="X31" s="33" t="str">
        <f>IF(OR(ISBLANK(V31), ISBLANK(W31)),"",CONCATENATE(" ",VLOOKUP(W31,Literatuur!$A:$B,2,FALSE)," "))</f>
        <v/>
      </c>
      <c r="Z31" s="44" t="str">
        <f t="shared" si="6"/>
        <v xml:space="preserve"> </v>
      </c>
      <c r="AA31" s="33" t="str">
        <f>IF(OR(ISBLANK(Y31), ISBLANK(Z31)),"",CONCATENATE(" ",VLOOKUP(Z31,Literatuur!$A:$B,2,FALSE)," "))</f>
        <v/>
      </c>
      <c r="AC31" s="36" t="str">
        <f t="shared" si="7"/>
        <v xml:space="preserve"> </v>
      </c>
      <c r="AD31" s="33" t="str">
        <f>IF(OR(ISBLANK(AB31), ISBLANK(AC31)),"",CONCATENATE(" ",VLOOKUP(AC31,Literatuur!$A:$B,2,FALSE)," "))</f>
        <v/>
      </c>
      <c r="AE31" s="365">
        <v>2.2771250562290155E-2</v>
      </c>
      <c r="AF31" s="33" t="s">
        <v>1557</v>
      </c>
      <c r="AG31" s="33" t="str">
        <f>IF(OR(ISBLANK(AE31), ISBLANK(AF31)),"",CONCATENATE(" ",VLOOKUP(AF31,Literatuur!$A:$B,2,FALSE)," "))</f>
        <v xml:space="preserve"> 17 </v>
      </c>
      <c r="AJ31" s="44" t="str">
        <f t="shared" si="8"/>
        <v xml:space="preserve"> </v>
      </c>
      <c r="AK31" s="33" t="str">
        <f>IF(OR(ISBLANK(AI31), ISBLANK(AJ31)),"",CONCATENATE(" ",VLOOKUP(AJ31,Literatuur!$A:$B,2,FALSE)," "))</f>
        <v/>
      </c>
      <c r="AM31" s="44" t="str">
        <f t="shared" si="9"/>
        <v xml:space="preserve"> </v>
      </c>
      <c r="AN31" s="33" t="str">
        <f>IF(OR(ISBLANK(AL31), ISBLANK(AM31)),"",CONCATENATE(" ",VLOOKUP(AM31,Literatuur!$A:$B,2,FALSE)," "))</f>
        <v/>
      </c>
      <c r="AP31" s="44" t="str">
        <f t="shared" si="10"/>
        <v xml:space="preserve"> </v>
      </c>
      <c r="AQ31" s="33" t="str">
        <f>IF(OR(ISBLANK(AO31), ISBLANK(AP31)),"",CONCATENATE(" ",VLOOKUP(AP31,Literatuur!$A:$B,2,FALSE)," "))</f>
        <v/>
      </c>
      <c r="AT31" s="33" t="str">
        <f>IF(OR(ISBLANK(AR31), ISBLANK(AS31)),"",CONCATENATE(" ",VLOOKUP(AS31,Literatuur!$A:$B,2,FALSE)," "))</f>
        <v/>
      </c>
      <c r="AU31" s="33">
        <v>360.9</v>
      </c>
      <c r="AV31" s="33" t="s">
        <v>1557</v>
      </c>
      <c r="AW31" s="33" t="str">
        <f>IF(OR(ISBLANK(AU31), ISBLANK(AV31)),"",CONCATENATE(" ",VLOOKUP(AV31,Literatuur!$A:$B,2,FALSE)," "))</f>
        <v xml:space="preserve"> 17 </v>
      </c>
      <c r="AZ31" s="44" t="str">
        <f t="shared" si="11"/>
        <v xml:space="preserve"> </v>
      </c>
      <c r="BA31" s="33" t="str">
        <f>IF(OR(ISBLANK(AY31), ISBLANK(AZ31)),"",CONCATENATE(" ",VLOOKUP(AZ31,Literatuur!$A:$B,2,FALSE)," "))</f>
        <v/>
      </c>
      <c r="BC31" s="44" t="str">
        <f t="shared" si="12"/>
        <v xml:space="preserve"> </v>
      </c>
      <c r="BD31" s="33" t="str">
        <f>IF(OR(ISBLANK(BB31), ISBLANK(BC31)),"",CONCATENATE(" ",VLOOKUP(BC31,Literatuur!$A:$B,2,FALSE)," "))</f>
        <v/>
      </c>
      <c r="BF31" s="44" t="str">
        <f t="shared" si="13"/>
        <v xml:space="preserve"> </v>
      </c>
      <c r="BG31" s="33" t="str">
        <f>IF(OR(ISBLANK(BE31), ISBLANK(BF31)),"",CONCATENATE(" ",VLOOKUP(BF31,Literatuur!$A:$B,2,FALSE)," "))</f>
        <v/>
      </c>
      <c r="BI31" s="44" t="str">
        <f t="shared" si="14"/>
        <v xml:space="preserve"> </v>
      </c>
      <c r="BJ31" s="33" t="str">
        <f>IF(OR(ISBLANK(BH31), ISBLANK(BI31)),"",CONCATENATE(" ",VLOOKUP(BI31,Literatuur!$A:$B,2,FALSE)," "))</f>
        <v/>
      </c>
      <c r="BL31" s="44" t="str">
        <f t="shared" si="15"/>
        <v xml:space="preserve"> </v>
      </c>
      <c r="BM31" s="33" t="str">
        <f>IF(OR(ISBLANK(BK31), ISBLANK(BL31)),"",CONCATENATE(" ",VLOOKUP(BL31,Literatuur!$A:$B,2,FALSE)," "))</f>
        <v/>
      </c>
      <c r="BN31" s="33">
        <v>6.7</v>
      </c>
      <c r="BO31" s="33" t="s">
        <v>1557</v>
      </c>
      <c r="BP31" s="33" t="str">
        <f>IF(OR(ISBLANK(BN31), ISBLANK(BO31)),"",CONCATENATE(" ",VLOOKUP(BO31,Literatuur!$A:$B,2,FALSE)," "))</f>
        <v xml:space="preserve"> 17 </v>
      </c>
      <c r="BQ31" s="33">
        <v>6.6</v>
      </c>
      <c r="BR31" s="33" t="s">
        <v>1557</v>
      </c>
      <c r="BS31" s="33" t="str">
        <f>IF(OR(ISBLANK(BQ31), ISBLANK(BR31)),"",CONCATENATE(" ",VLOOKUP(BR31,Literatuur!$A:$B,2,FALSE)," "))</f>
        <v xml:space="preserve"> 17 </v>
      </c>
      <c r="BT31" s="33">
        <v>6.64</v>
      </c>
      <c r="BU31" s="33" t="s">
        <v>2066</v>
      </c>
      <c r="BV31" s="33" t="str">
        <f>IF(OR(ISBLANK(BT31), ISBLANK(BU31)),"",CONCATENATE(" ",VLOOKUP(BU31,Literatuur!$A:$B,2,FALSE)," "))</f>
        <v xml:space="preserve"> 8 </v>
      </c>
      <c r="BX31" s="33">
        <v>223.4</v>
      </c>
      <c r="BY31" s="33">
        <v>222.9</v>
      </c>
      <c r="BZ31" s="339">
        <v>211.7</v>
      </c>
      <c r="CA31" s="33" t="s">
        <v>1557</v>
      </c>
      <c r="CB31" s="33" t="s">
        <v>2066</v>
      </c>
      <c r="CC31" s="33" t="s">
        <v>1734</v>
      </c>
      <c r="CD31" s="33">
        <f t="shared" si="26"/>
        <v>223.15</v>
      </c>
      <c r="CE31" s="37">
        <f>I31</f>
        <v>360.9</v>
      </c>
      <c r="CG31" s="33">
        <f>LOG(J31)</f>
        <v>-1.6426131179404933</v>
      </c>
      <c r="CH31" s="33">
        <f t="shared" si="16"/>
        <v>6.6466666666666674</v>
      </c>
      <c r="CR31" s="33" t="str">
        <f t="shared" si="17"/>
        <v>PCB #151</v>
      </c>
      <c r="CS31" s="33" t="str">
        <f t="shared" si="18"/>
        <v>PCB</v>
      </c>
      <c r="CT31" s="33">
        <f t="shared" si="19"/>
        <v>360.9</v>
      </c>
      <c r="CU31" s="33" t="str">
        <f t="shared" si="20"/>
        <v xml:space="preserve"> 17 </v>
      </c>
      <c r="CV31" s="33">
        <f t="shared" si="21"/>
        <v>2.2771250562290155E-2</v>
      </c>
      <c r="CW31" s="33" t="str">
        <f t="shared" si="22"/>
        <v xml:space="preserve"> 17 </v>
      </c>
      <c r="CX31" s="33">
        <f t="shared" si="23"/>
        <v>6.6466666666666674</v>
      </c>
      <c r="CY31" s="33" t="str">
        <f t="shared" si="24"/>
        <v xml:space="preserve"> 17  17  8 </v>
      </c>
    </row>
    <row r="32" spans="2:103" ht="12.75" customHeight="1" x14ac:dyDescent="0.2">
      <c r="B32" s="33">
        <v>-1632</v>
      </c>
      <c r="D32" s="105" t="s">
        <v>1139</v>
      </c>
      <c r="E32" s="105" t="s">
        <v>1139</v>
      </c>
      <c r="F32" s="34"/>
      <c r="G32" s="34"/>
      <c r="I32" s="33">
        <f t="shared" si="0"/>
        <v>360.9</v>
      </c>
      <c r="J32" s="33">
        <f t="shared" si="25"/>
        <v>1.1412660075547663E-2</v>
      </c>
      <c r="K32" s="44">
        <f t="shared" si="1"/>
        <v>6.9066666666666663</v>
      </c>
      <c r="L32" s="33">
        <f t="shared" si="2"/>
        <v>223.75</v>
      </c>
      <c r="M32" s="33" t="s">
        <v>1552</v>
      </c>
      <c r="Q32" s="44" t="str">
        <f t="shared" si="3"/>
        <v xml:space="preserve"> </v>
      </c>
      <c r="R32" s="33" t="str">
        <f>IF(OR(ISBLANK(P32), ISBLANK(Q32)),"",CONCATENATE(" ",VLOOKUP(Q32,Literatuur!$A:$B,2,FALSE)," "))</f>
        <v/>
      </c>
      <c r="T32" s="44" t="str">
        <f t="shared" si="4"/>
        <v xml:space="preserve"> </v>
      </c>
      <c r="U32" s="33" t="str">
        <f>IF(OR(ISBLANK(S32), ISBLANK(T32)),"",CONCATENATE(" ",VLOOKUP(T32,Literatuur!$A:$B,2,FALSE)," "))</f>
        <v/>
      </c>
      <c r="W32" s="44" t="str">
        <f t="shared" si="5"/>
        <v xml:space="preserve"> </v>
      </c>
      <c r="X32" s="33" t="str">
        <f>IF(OR(ISBLANK(V32), ISBLANK(W32)),"",CONCATENATE(" ",VLOOKUP(W32,Literatuur!$A:$B,2,FALSE)," "))</f>
        <v/>
      </c>
      <c r="Z32" s="44" t="str">
        <f t="shared" si="6"/>
        <v xml:space="preserve"> </v>
      </c>
      <c r="AA32" s="33" t="str">
        <f>IF(OR(ISBLANK(Y32), ISBLANK(Z32)),"",CONCATENATE(" ",VLOOKUP(Z32,Literatuur!$A:$B,2,FALSE)," "))</f>
        <v/>
      </c>
      <c r="AC32" s="36" t="str">
        <f t="shared" si="7"/>
        <v xml:space="preserve"> </v>
      </c>
      <c r="AD32" s="33" t="str">
        <f>IF(OR(ISBLANK(AB32), ISBLANK(AC32)),"",CONCATENATE(" ",VLOOKUP(AC32,Literatuur!$A:$B,2,FALSE)," "))</f>
        <v/>
      </c>
      <c r="AE32" s="365">
        <v>1.1412660075547663E-2</v>
      </c>
      <c r="AF32" s="33" t="s">
        <v>1557</v>
      </c>
      <c r="AG32" s="33" t="str">
        <f>IF(OR(ISBLANK(AE32), ISBLANK(AF32)),"",CONCATENATE(" ",VLOOKUP(AF32,Literatuur!$A:$B,2,FALSE)," "))</f>
        <v xml:space="preserve"> 17 </v>
      </c>
      <c r="AJ32" s="44" t="str">
        <f t="shared" si="8"/>
        <v xml:space="preserve"> </v>
      </c>
      <c r="AK32" s="33" t="str">
        <f>IF(OR(ISBLANK(AI32), ISBLANK(AJ32)),"",CONCATENATE(" ",VLOOKUP(AJ32,Literatuur!$A:$B,2,FALSE)," "))</f>
        <v/>
      </c>
      <c r="AM32" s="44" t="str">
        <f t="shared" si="9"/>
        <v xml:space="preserve"> </v>
      </c>
      <c r="AN32" s="33" t="str">
        <f>IF(OR(ISBLANK(AL32), ISBLANK(AM32)),"",CONCATENATE(" ",VLOOKUP(AM32,Literatuur!$A:$B,2,FALSE)," "))</f>
        <v/>
      </c>
      <c r="AP32" s="44" t="str">
        <f t="shared" si="10"/>
        <v xml:space="preserve"> </v>
      </c>
      <c r="AQ32" s="33" t="str">
        <f>IF(OR(ISBLANK(AO32), ISBLANK(AP32)),"",CONCATENATE(" ",VLOOKUP(AP32,Literatuur!$A:$B,2,FALSE)," "))</f>
        <v/>
      </c>
      <c r="AT32" s="33" t="str">
        <f>IF(OR(ISBLANK(AR32), ISBLANK(AS32)),"",CONCATENATE(" ",VLOOKUP(AS32,Literatuur!$A:$B,2,FALSE)," "))</f>
        <v/>
      </c>
      <c r="AU32" s="33">
        <v>360.9</v>
      </c>
      <c r="AV32" s="33" t="s">
        <v>1557</v>
      </c>
      <c r="AW32" s="33" t="str">
        <f>IF(OR(ISBLANK(AU32), ISBLANK(AV32)),"",CONCATENATE(" ",VLOOKUP(AV32,Literatuur!$A:$B,2,FALSE)," "))</f>
        <v xml:space="preserve"> 17 </v>
      </c>
      <c r="AZ32" s="44" t="str">
        <f t="shared" si="11"/>
        <v xml:space="preserve"> </v>
      </c>
      <c r="BA32" s="33" t="str">
        <f>IF(OR(ISBLANK(AY32), ISBLANK(AZ32)),"",CONCATENATE(" ",VLOOKUP(AZ32,Literatuur!$A:$B,2,FALSE)," "))</f>
        <v/>
      </c>
      <c r="BC32" s="44" t="str">
        <f t="shared" si="12"/>
        <v xml:space="preserve"> </v>
      </c>
      <c r="BD32" s="33" t="str">
        <f>IF(OR(ISBLANK(BB32), ISBLANK(BC32)),"",CONCATENATE(" ",VLOOKUP(BC32,Literatuur!$A:$B,2,FALSE)," "))</f>
        <v/>
      </c>
      <c r="BF32" s="44" t="str">
        <f t="shared" si="13"/>
        <v xml:space="preserve"> </v>
      </c>
      <c r="BG32" s="33" t="str">
        <f>IF(OR(ISBLANK(BE32), ISBLANK(BF32)),"",CONCATENATE(" ",VLOOKUP(BF32,Literatuur!$A:$B,2,FALSE)," "))</f>
        <v/>
      </c>
      <c r="BI32" s="44" t="str">
        <f t="shared" si="14"/>
        <v xml:space="preserve"> </v>
      </c>
      <c r="BJ32" s="33" t="str">
        <f>IF(OR(ISBLANK(BH32), ISBLANK(BI32)),"",CONCATENATE(" ",VLOOKUP(BI32,Literatuur!$A:$B,2,FALSE)," "))</f>
        <v/>
      </c>
      <c r="BL32" s="44" t="str">
        <f t="shared" si="15"/>
        <v xml:space="preserve"> </v>
      </c>
      <c r="BM32" s="33" t="str">
        <f>IF(OR(ISBLANK(BK32), ISBLANK(BL32)),"",CONCATENATE(" ",VLOOKUP(BL32,Literatuur!$A:$B,2,FALSE)," "))</f>
        <v/>
      </c>
      <c r="BN32" s="33">
        <v>6.9</v>
      </c>
      <c r="BO32" s="33" t="s">
        <v>1557</v>
      </c>
      <c r="BP32" s="33" t="str">
        <f>IF(OR(ISBLANK(BN32), ISBLANK(BO32)),"",CONCATENATE(" ",VLOOKUP(BO32,Literatuur!$A:$B,2,FALSE)," "))</f>
        <v xml:space="preserve"> 17 </v>
      </c>
      <c r="BQ32" s="33">
        <v>6.9</v>
      </c>
      <c r="BR32" s="33" t="s">
        <v>1557</v>
      </c>
      <c r="BS32" s="33" t="str">
        <f>IF(OR(ISBLANK(BQ32), ISBLANK(BR32)),"",CONCATENATE(" ",VLOOKUP(BR32,Literatuur!$A:$B,2,FALSE)," "))</f>
        <v xml:space="preserve"> 17 </v>
      </c>
      <c r="BT32" s="33">
        <v>6.92</v>
      </c>
      <c r="BU32" s="33" t="s">
        <v>2066</v>
      </c>
      <c r="BV32" s="33" t="str">
        <f>IF(OR(ISBLANK(BT32), ISBLANK(BU32)),"",CONCATENATE(" ",VLOOKUP(BU32,Literatuur!$A:$B,2,FALSE)," "))</f>
        <v xml:space="preserve"> 8 </v>
      </c>
      <c r="BX32" s="33">
        <v>224</v>
      </c>
      <c r="BY32" s="33">
        <v>223.5</v>
      </c>
      <c r="BZ32" s="339">
        <v>212.4</v>
      </c>
      <c r="CA32" s="33" t="s">
        <v>1557</v>
      </c>
      <c r="CB32" s="33" t="s">
        <v>2066</v>
      </c>
      <c r="CC32" s="33" t="s">
        <v>1734</v>
      </c>
      <c r="CD32" s="33">
        <f t="shared" si="26"/>
        <v>223.75</v>
      </c>
      <c r="CE32" s="37">
        <f>I32</f>
        <v>360.9</v>
      </c>
      <c r="CG32" s="33">
        <f>LOG(J32)</f>
        <v>-1.9426131179404935</v>
      </c>
      <c r="CH32" s="33">
        <f t="shared" si="16"/>
        <v>6.9066666666666663</v>
      </c>
      <c r="CR32" s="33" t="str">
        <f t="shared" si="17"/>
        <v>PCB #153</v>
      </c>
      <c r="CS32" s="33" t="str">
        <f t="shared" si="18"/>
        <v>PCB</v>
      </c>
      <c r="CT32" s="33">
        <f t="shared" si="19"/>
        <v>360.9</v>
      </c>
      <c r="CU32" s="33" t="str">
        <f t="shared" si="20"/>
        <v xml:space="preserve"> 17 </v>
      </c>
      <c r="CV32" s="33">
        <f t="shared" si="21"/>
        <v>1.1412660075547663E-2</v>
      </c>
      <c r="CW32" s="33" t="str">
        <f t="shared" si="22"/>
        <v xml:space="preserve"> 17 </v>
      </c>
      <c r="CX32" s="33">
        <f t="shared" si="23"/>
        <v>6.9066666666666663</v>
      </c>
      <c r="CY32" s="33" t="str">
        <f t="shared" si="24"/>
        <v xml:space="preserve"> 17  17  8 </v>
      </c>
    </row>
    <row r="33" spans="2:103" x14ac:dyDescent="0.2">
      <c r="B33" s="33">
        <v>-1633</v>
      </c>
      <c r="D33" s="105" t="s">
        <v>1140</v>
      </c>
      <c r="E33" s="105" t="s">
        <v>1140</v>
      </c>
      <c r="F33" s="34"/>
      <c r="G33" s="34"/>
      <c r="I33" s="33">
        <f t="shared" si="0"/>
        <v>360.9</v>
      </c>
      <c r="J33" s="33">
        <f t="shared" si="25"/>
        <v>1.1412660075547663E-2</v>
      </c>
      <c r="K33" s="44">
        <f t="shared" si="1"/>
        <v>6.6700000000000008</v>
      </c>
      <c r="L33" s="33">
        <f t="shared" si="2"/>
        <v>223.85</v>
      </c>
      <c r="M33" s="33" t="s">
        <v>1552</v>
      </c>
      <c r="Q33" s="44" t="str">
        <f t="shared" si="3"/>
        <v xml:space="preserve"> </v>
      </c>
      <c r="R33" s="33" t="str">
        <f>IF(OR(ISBLANK(P33), ISBLANK(Q33)),"",CONCATENATE(" ",VLOOKUP(Q33,Literatuur!$A:$B,2,FALSE)," "))</f>
        <v/>
      </c>
      <c r="T33" s="44" t="str">
        <f t="shared" si="4"/>
        <v xml:space="preserve"> </v>
      </c>
      <c r="U33" s="33" t="str">
        <f>IF(OR(ISBLANK(S33), ISBLANK(T33)),"",CONCATENATE(" ",VLOOKUP(T33,Literatuur!$A:$B,2,FALSE)," "))</f>
        <v/>
      </c>
      <c r="W33" s="44" t="str">
        <f t="shared" si="5"/>
        <v xml:space="preserve"> </v>
      </c>
      <c r="X33" s="33" t="str">
        <f>IF(OR(ISBLANK(V33), ISBLANK(W33)),"",CONCATENATE(" ",VLOOKUP(W33,Literatuur!$A:$B,2,FALSE)," "))</f>
        <v/>
      </c>
      <c r="Z33" s="44" t="str">
        <f t="shared" si="6"/>
        <v xml:space="preserve"> </v>
      </c>
      <c r="AA33" s="33" t="str">
        <f>IF(OR(ISBLANK(Y33), ISBLANK(Z33)),"",CONCATENATE(" ",VLOOKUP(Z33,Literatuur!$A:$B,2,FALSE)," "))</f>
        <v/>
      </c>
      <c r="AC33" s="36" t="str">
        <f t="shared" si="7"/>
        <v xml:space="preserve"> </v>
      </c>
      <c r="AD33" s="33" t="str">
        <f>IF(OR(ISBLANK(AB33), ISBLANK(AC33)),"",CONCATENATE(" ",VLOOKUP(AC33,Literatuur!$A:$B,2,FALSE)," "))</f>
        <v/>
      </c>
      <c r="AE33" s="365">
        <v>1.1412660075547663E-2</v>
      </c>
      <c r="AF33" s="33" t="s">
        <v>1557</v>
      </c>
      <c r="AG33" s="33" t="str">
        <f>IF(OR(ISBLANK(AE33), ISBLANK(AF33)),"",CONCATENATE(" ",VLOOKUP(AF33,Literatuur!$A:$B,2,FALSE)," "))</f>
        <v xml:space="preserve"> 17 </v>
      </c>
      <c r="AJ33" s="44" t="str">
        <f t="shared" si="8"/>
        <v xml:space="preserve"> </v>
      </c>
      <c r="AK33" s="33" t="str">
        <f>IF(OR(ISBLANK(AI33), ISBLANK(AJ33)),"",CONCATENATE(" ",VLOOKUP(AJ33,Literatuur!$A:$B,2,FALSE)," "))</f>
        <v/>
      </c>
      <c r="AM33" s="44" t="str">
        <f t="shared" si="9"/>
        <v xml:space="preserve"> </v>
      </c>
      <c r="AN33" s="33" t="str">
        <f>IF(OR(ISBLANK(AL33), ISBLANK(AM33)),"",CONCATENATE(" ",VLOOKUP(AM33,Literatuur!$A:$B,2,FALSE)," "))</f>
        <v/>
      </c>
      <c r="AP33" s="44" t="str">
        <f t="shared" si="10"/>
        <v xml:space="preserve"> </v>
      </c>
      <c r="AQ33" s="33" t="str">
        <f>IF(OR(ISBLANK(AO33), ISBLANK(AP33)),"",CONCATENATE(" ",VLOOKUP(AP33,Literatuur!$A:$B,2,FALSE)," "))</f>
        <v/>
      </c>
      <c r="AT33" s="33" t="str">
        <f>IF(OR(ISBLANK(AR33), ISBLANK(AS33)),"",CONCATENATE(" ",VLOOKUP(AS33,Literatuur!$A:$B,2,FALSE)," "))</f>
        <v/>
      </c>
      <c r="AU33" s="33">
        <v>360.9</v>
      </c>
      <c r="AV33" s="33" t="s">
        <v>1557</v>
      </c>
      <c r="AW33" s="33" t="str">
        <f>IF(OR(ISBLANK(AU33), ISBLANK(AV33)),"",CONCATENATE(" ",VLOOKUP(AV33,Literatuur!$A:$B,2,FALSE)," "))</f>
        <v xml:space="preserve"> 17 </v>
      </c>
      <c r="AZ33" s="44" t="str">
        <f t="shared" si="11"/>
        <v xml:space="preserve"> </v>
      </c>
      <c r="BA33" s="33" t="str">
        <f>IF(OR(ISBLANK(AY33), ISBLANK(AZ33)),"",CONCATENATE(" ",VLOOKUP(AZ33,Literatuur!$A:$B,2,FALSE)," "))</f>
        <v/>
      </c>
      <c r="BC33" s="44" t="str">
        <f t="shared" si="12"/>
        <v xml:space="preserve"> </v>
      </c>
      <c r="BD33" s="33" t="str">
        <f>IF(OR(ISBLANK(BB33), ISBLANK(BC33)),"",CONCATENATE(" ",VLOOKUP(BC33,Literatuur!$A:$B,2,FALSE)," "))</f>
        <v/>
      </c>
      <c r="BF33" s="44" t="str">
        <f t="shared" si="13"/>
        <v xml:space="preserve"> </v>
      </c>
      <c r="BG33" s="33" t="str">
        <f>IF(OR(ISBLANK(BE33), ISBLANK(BF33)),"",CONCATENATE(" ",VLOOKUP(BF33,Literatuur!$A:$B,2,FALSE)," "))</f>
        <v/>
      </c>
      <c r="BI33" s="44" t="str">
        <f t="shared" si="14"/>
        <v xml:space="preserve"> </v>
      </c>
      <c r="BJ33" s="33" t="str">
        <f>IF(OR(ISBLANK(BH33), ISBLANK(BI33)),"",CONCATENATE(" ",VLOOKUP(BI33,Literatuur!$A:$B,2,FALSE)," "))</f>
        <v/>
      </c>
      <c r="BL33" s="44" t="str">
        <f t="shared" si="15"/>
        <v xml:space="preserve"> </v>
      </c>
      <c r="BM33" s="33" t="str">
        <f>IF(OR(ISBLANK(BK33), ISBLANK(BL33)),"",CONCATENATE(" ",VLOOKUP(BL33,Literatuur!$A:$B,2,FALSE)," "))</f>
        <v/>
      </c>
      <c r="BN33" s="33">
        <v>7.2</v>
      </c>
      <c r="BO33" s="33" t="s">
        <v>1557</v>
      </c>
      <c r="BP33" s="33" t="str">
        <f>IF(OR(ISBLANK(BN33), ISBLANK(BO33)),"",CONCATENATE(" ",VLOOKUP(BO33,Literatuur!$A:$B,2,FALSE)," "))</f>
        <v xml:space="preserve"> 17 </v>
      </c>
      <c r="BQ33" s="33">
        <v>6.4</v>
      </c>
      <c r="BR33" s="33" t="s">
        <v>1557</v>
      </c>
      <c r="BS33" s="33" t="str">
        <f>IF(OR(ISBLANK(BQ33), ISBLANK(BR33)),"",CONCATENATE(" ",VLOOKUP(BR33,Literatuur!$A:$B,2,FALSE)," "))</f>
        <v xml:space="preserve"> 17 </v>
      </c>
      <c r="BT33" s="33">
        <v>6.41</v>
      </c>
      <c r="BU33" s="33" t="s">
        <v>2066</v>
      </c>
      <c r="BV33" s="33" t="str">
        <f>IF(OR(ISBLANK(BT33), ISBLANK(BU33)),"",CONCATENATE(" ",VLOOKUP(BU33,Literatuur!$A:$B,2,FALSE)," "))</f>
        <v xml:space="preserve"> 8 </v>
      </c>
      <c r="BX33" s="33">
        <v>224.1</v>
      </c>
      <c r="BY33" s="33">
        <v>223.6</v>
      </c>
      <c r="BZ33" s="339">
        <v>211.5</v>
      </c>
      <c r="CA33" s="33" t="s">
        <v>1557</v>
      </c>
      <c r="CB33" s="33" t="s">
        <v>2066</v>
      </c>
      <c r="CC33" s="33" t="s">
        <v>1734</v>
      </c>
      <c r="CD33" s="33">
        <f t="shared" si="26"/>
        <v>223.85</v>
      </c>
      <c r="CE33" s="37">
        <f>I33</f>
        <v>360.9</v>
      </c>
      <c r="CG33" s="33">
        <f>LOG(J33)</f>
        <v>-1.9426131179404935</v>
      </c>
      <c r="CH33" s="33">
        <f t="shared" si="16"/>
        <v>6.6700000000000008</v>
      </c>
      <c r="CR33" s="33" t="str">
        <f t="shared" si="17"/>
        <v>PCB #155</v>
      </c>
      <c r="CS33" s="33" t="str">
        <f t="shared" si="18"/>
        <v>PCB</v>
      </c>
      <c r="CT33" s="33">
        <f t="shared" si="19"/>
        <v>360.9</v>
      </c>
      <c r="CU33" s="33" t="str">
        <f t="shared" si="20"/>
        <v xml:space="preserve"> 17 </v>
      </c>
      <c r="CV33" s="33">
        <f t="shared" si="21"/>
        <v>1.1412660075547663E-2</v>
      </c>
      <c r="CW33" s="33" t="str">
        <f t="shared" si="22"/>
        <v xml:space="preserve"> 17 </v>
      </c>
      <c r="CX33" s="33">
        <f t="shared" si="23"/>
        <v>6.6700000000000008</v>
      </c>
      <c r="CY33" s="33" t="str">
        <f t="shared" si="24"/>
        <v xml:space="preserve"> 17  17  8 </v>
      </c>
    </row>
    <row r="34" spans="2:103" x14ac:dyDescent="0.2">
      <c r="B34" s="33">
        <v>-1634</v>
      </c>
      <c r="D34" s="105" t="s">
        <v>1141</v>
      </c>
      <c r="E34" s="105" t="s">
        <v>1141</v>
      </c>
      <c r="F34" s="34"/>
      <c r="G34" s="34"/>
      <c r="I34" s="33">
        <f t="shared" si="0"/>
        <v>360.9</v>
      </c>
      <c r="J34" s="33">
        <f t="shared" si="25"/>
        <v>5.7198795315921572E-3</v>
      </c>
      <c r="K34" s="44">
        <f t="shared" si="1"/>
        <v>7.2266666666666666</v>
      </c>
      <c r="L34" s="33">
        <f t="shared" si="2"/>
        <v>222.05</v>
      </c>
      <c r="M34" s="33" t="s">
        <v>1552</v>
      </c>
      <c r="Q34" s="44" t="str">
        <f t="shared" si="3"/>
        <v xml:space="preserve"> </v>
      </c>
      <c r="R34" s="33" t="str">
        <f>IF(OR(ISBLANK(P34), ISBLANK(Q34)),"",CONCATENATE(" ",VLOOKUP(Q34,Literatuur!$A:$B,2,FALSE)," "))</f>
        <v/>
      </c>
      <c r="T34" s="44" t="str">
        <f t="shared" si="4"/>
        <v xml:space="preserve"> </v>
      </c>
      <c r="U34" s="33" t="str">
        <f>IF(OR(ISBLANK(S34), ISBLANK(T34)),"",CONCATENATE(" ",VLOOKUP(T34,Literatuur!$A:$B,2,FALSE)," "))</f>
        <v/>
      </c>
      <c r="W34" s="44" t="str">
        <f t="shared" si="5"/>
        <v xml:space="preserve"> </v>
      </c>
      <c r="X34" s="33" t="str">
        <f>IF(OR(ISBLANK(V34), ISBLANK(W34)),"",CONCATENATE(" ",VLOOKUP(W34,Literatuur!$A:$B,2,FALSE)," "))</f>
        <v/>
      </c>
      <c r="Z34" s="44" t="str">
        <f t="shared" si="6"/>
        <v xml:space="preserve"> </v>
      </c>
      <c r="AA34" s="33" t="str">
        <f>IF(OR(ISBLANK(Y34), ISBLANK(Z34)),"",CONCATENATE(" ",VLOOKUP(Z34,Literatuur!$A:$B,2,FALSE)," "))</f>
        <v/>
      </c>
      <c r="AC34" s="36" t="str">
        <f t="shared" si="7"/>
        <v xml:space="preserve"> </v>
      </c>
      <c r="AD34" s="33" t="str">
        <f>IF(OR(ISBLANK(AB34), ISBLANK(AC34)),"",CONCATENATE(" ",VLOOKUP(AC34,Literatuur!$A:$B,2,FALSE)," "))</f>
        <v/>
      </c>
      <c r="AE34" s="365">
        <v>5.7198795315921572E-3</v>
      </c>
      <c r="AF34" s="33" t="s">
        <v>1557</v>
      </c>
      <c r="AG34" s="33" t="str">
        <f>IF(OR(ISBLANK(AE34), ISBLANK(AF34)),"",CONCATENATE(" ",VLOOKUP(AF34,Literatuur!$A:$B,2,FALSE)," "))</f>
        <v xml:space="preserve"> 17 </v>
      </c>
      <c r="AJ34" s="44" t="str">
        <f t="shared" si="8"/>
        <v xml:space="preserve"> </v>
      </c>
      <c r="AK34" s="33" t="str">
        <f>IF(OR(ISBLANK(AI34), ISBLANK(AJ34)),"",CONCATENATE(" ",VLOOKUP(AJ34,Literatuur!$A:$B,2,FALSE)," "))</f>
        <v/>
      </c>
      <c r="AM34" s="44" t="str">
        <f t="shared" si="9"/>
        <v xml:space="preserve"> </v>
      </c>
      <c r="AN34" s="33" t="str">
        <f>IF(OR(ISBLANK(AL34), ISBLANK(AM34)),"",CONCATENATE(" ",VLOOKUP(AM34,Literatuur!$A:$B,2,FALSE)," "))</f>
        <v/>
      </c>
      <c r="AP34" s="44" t="str">
        <f t="shared" si="10"/>
        <v xml:space="preserve"> </v>
      </c>
      <c r="AQ34" s="33" t="str">
        <f>IF(OR(ISBLANK(AO34), ISBLANK(AP34)),"",CONCATENATE(" ",VLOOKUP(AP34,Literatuur!$A:$B,2,FALSE)," "))</f>
        <v/>
      </c>
      <c r="AT34" s="33" t="str">
        <f>IF(OR(ISBLANK(AR34), ISBLANK(AS34)),"",CONCATENATE(" ",VLOOKUP(AS34,Literatuur!$A:$B,2,FALSE)," "))</f>
        <v/>
      </c>
      <c r="AU34" s="33">
        <v>360.9</v>
      </c>
      <c r="AV34" s="33" t="s">
        <v>1557</v>
      </c>
      <c r="AW34" s="33" t="str">
        <f>IF(OR(ISBLANK(AU34), ISBLANK(AV34)),"",CONCATENATE(" ",VLOOKUP(AV34,Literatuur!$A:$B,2,FALSE)," "))</f>
        <v xml:space="preserve"> 17 </v>
      </c>
      <c r="AZ34" s="44" t="str">
        <f t="shared" si="11"/>
        <v xml:space="preserve"> </v>
      </c>
      <c r="BA34" s="33" t="str">
        <f>IF(OR(ISBLANK(AY34), ISBLANK(AZ34)),"",CONCATENATE(" ",VLOOKUP(AZ34,Literatuur!$A:$B,2,FALSE)," "))</f>
        <v/>
      </c>
      <c r="BC34" s="44" t="str">
        <f t="shared" si="12"/>
        <v xml:space="preserve"> </v>
      </c>
      <c r="BD34" s="33" t="str">
        <f>IF(OR(ISBLANK(BB34), ISBLANK(BC34)),"",CONCATENATE(" ",VLOOKUP(BC34,Literatuur!$A:$B,2,FALSE)," "))</f>
        <v/>
      </c>
      <c r="BF34" s="44" t="str">
        <f t="shared" si="13"/>
        <v xml:space="preserve"> </v>
      </c>
      <c r="BG34" s="33" t="str">
        <f>IF(OR(ISBLANK(BE34), ISBLANK(BF34)),"",CONCATENATE(" ",VLOOKUP(BF34,Literatuur!$A:$B,2,FALSE)," "))</f>
        <v/>
      </c>
      <c r="BI34" s="44" t="str">
        <f t="shared" si="14"/>
        <v xml:space="preserve"> </v>
      </c>
      <c r="BJ34" s="33" t="str">
        <f>IF(OR(ISBLANK(BH34), ISBLANK(BI34)),"",CONCATENATE(" ",VLOOKUP(BI34,Literatuur!$A:$B,2,FALSE)," "))</f>
        <v/>
      </c>
      <c r="BL34" s="44" t="str">
        <f t="shared" si="15"/>
        <v xml:space="preserve"> </v>
      </c>
      <c r="BM34" s="33" t="str">
        <f>IF(OR(ISBLANK(BK34), ISBLANK(BL34)),"",CONCATENATE(" ",VLOOKUP(BL34,Literatuur!$A:$B,2,FALSE)," "))</f>
        <v/>
      </c>
      <c r="BN34" s="33">
        <v>7.3</v>
      </c>
      <c r="BO34" s="33" t="s">
        <v>1557</v>
      </c>
      <c r="BP34" s="33" t="str">
        <f>IF(OR(ISBLANK(BN34), ISBLANK(BO34)),"",CONCATENATE(" ",VLOOKUP(BO34,Literatuur!$A:$B,2,FALSE)," "))</f>
        <v xml:space="preserve"> 17 </v>
      </c>
      <c r="BQ34" s="33">
        <v>7.2</v>
      </c>
      <c r="BR34" s="33" t="s">
        <v>1557</v>
      </c>
      <c r="BS34" s="33" t="str">
        <f>IF(OR(ISBLANK(BQ34), ISBLANK(BR34)),"",CONCATENATE(" ",VLOOKUP(BR34,Literatuur!$A:$B,2,FALSE)," "))</f>
        <v xml:space="preserve"> 17 </v>
      </c>
      <c r="BT34" s="33">
        <v>7.18</v>
      </c>
      <c r="BU34" s="33" t="s">
        <v>2066</v>
      </c>
      <c r="BV34" s="33" t="str">
        <f>IF(OR(ISBLANK(BT34), ISBLANK(BU34)),"",CONCATENATE(" ",VLOOKUP(BU34,Literatuur!$A:$B,2,FALSE)," "))</f>
        <v xml:space="preserve"> 8 </v>
      </c>
      <c r="BX34" s="33">
        <v>222.3</v>
      </c>
      <c r="BY34" s="33">
        <v>221.8</v>
      </c>
      <c r="BZ34" s="339">
        <v>210.4</v>
      </c>
      <c r="CA34" s="33" t="s">
        <v>1557</v>
      </c>
      <c r="CB34" s="33" t="s">
        <v>2066</v>
      </c>
      <c r="CC34" s="33" t="s">
        <v>1734</v>
      </c>
      <c r="CD34" s="33">
        <f t="shared" si="26"/>
        <v>222.05</v>
      </c>
      <c r="CE34" s="37">
        <f>I34</f>
        <v>360.9</v>
      </c>
      <c r="CG34" s="33">
        <f>LOG(J34)</f>
        <v>-2.2426131179404929</v>
      </c>
      <c r="CH34" s="33">
        <f t="shared" si="16"/>
        <v>7.2266666666666666</v>
      </c>
      <c r="CR34" s="33" t="str">
        <f t="shared" si="17"/>
        <v>PCB #156</v>
      </c>
      <c r="CS34" s="33" t="str">
        <f t="shared" si="18"/>
        <v>PCB</v>
      </c>
      <c r="CT34" s="33">
        <f t="shared" si="19"/>
        <v>360.9</v>
      </c>
      <c r="CU34" s="33" t="str">
        <f t="shared" si="20"/>
        <v xml:space="preserve"> 17 </v>
      </c>
      <c r="CV34" s="33">
        <f t="shared" si="21"/>
        <v>5.7198795315921572E-3</v>
      </c>
      <c r="CW34" s="33" t="str">
        <f t="shared" si="22"/>
        <v xml:space="preserve"> 17 </v>
      </c>
      <c r="CX34" s="33">
        <f t="shared" si="23"/>
        <v>7.2266666666666666</v>
      </c>
      <c r="CY34" s="33" t="str">
        <f t="shared" si="24"/>
        <v xml:space="preserve"> 17  17  8 </v>
      </c>
    </row>
    <row r="35" spans="2:103" x14ac:dyDescent="0.2">
      <c r="B35" s="33">
        <v>-1635</v>
      </c>
      <c r="D35" s="105" t="s">
        <v>1142</v>
      </c>
      <c r="E35" s="105" t="s">
        <v>1142</v>
      </c>
      <c r="F35" s="34"/>
      <c r="G35" s="34"/>
      <c r="I35" s="33" t="e">
        <f t="shared" si="0"/>
        <v>#DIV/0!</v>
      </c>
      <c r="J35" s="33" t="e">
        <f t="shared" si="25"/>
        <v>#DIV/0!</v>
      </c>
      <c r="K35" s="44">
        <f t="shared" si="1"/>
        <v>7.02</v>
      </c>
      <c r="L35" s="33">
        <f t="shared" si="2"/>
        <v>221.6</v>
      </c>
      <c r="M35" s="33" t="s">
        <v>1552</v>
      </c>
      <c r="Q35" s="44" t="str">
        <f t="shared" si="3"/>
        <v xml:space="preserve"> </v>
      </c>
      <c r="R35" s="33" t="str">
        <f>IF(OR(ISBLANK(P35), ISBLANK(Q35)),"",CONCATENATE(" ",VLOOKUP(Q35,Literatuur!$A:$B,2,FALSE)," "))</f>
        <v/>
      </c>
      <c r="T35" s="44" t="str">
        <f t="shared" si="4"/>
        <v xml:space="preserve"> </v>
      </c>
      <c r="U35" s="33" t="str">
        <f>IF(OR(ISBLANK(S35), ISBLANK(T35)),"",CONCATENATE(" ",VLOOKUP(T35,Literatuur!$A:$B,2,FALSE)," "))</f>
        <v/>
      </c>
      <c r="W35" s="44" t="str">
        <f t="shared" si="5"/>
        <v xml:space="preserve"> </v>
      </c>
      <c r="X35" s="33" t="str">
        <f>IF(OR(ISBLANK(V35), ISBLANK(W35)),"",CONCATENATE(" ",VLOOKUP(W35,Literatuur!$A:$B,2,FALSE)," "))</f>
        <v/>
      </c>
      <c r="Z35" s="44" t="str">
        <f t="shared" si="6"/>
        <v xml:space="preserve"> </v>
      </c>
      <c r="AA35" s="33" t="str">
        <f>IF(OR(ISBLANK(Y35), ISBLANK(Z35)),"",CONCATENATE(" ",VLOOKUP(Z35,Literatuur!$A:$B,2,FALSE)," "))</f>
        <v/>
      </c>
      <c r="AC35" s="36" t="str">
        <f t="shared" si="7"/>
        <v xml:space="preserve"> </v>
      </c>
      <c r="AD35" s="33" t="str">
        <f>IF(OR(ISBLANK(AB35), ISBLANK(AC35)),"",CONCATENATE(" ",VLOOKUP(AC35,Literatuur!$A:$B,2,FALSE)," "))</f>
        <v/>
      </c>
      <c r="AG35" s="33" t="str">
        <f>IF(OR(ISBLANK(AE35), ISBLANK(AF35)),"",CONCATENATE(" ",VLOOKUP(AF35,Literatuur!$A:$B,2,FALSE)," "))</f>
        <v/>
      </c>
      <c r="AJ35" s="44" t="str">
        <f t="shared" si="8"/>
        <v xml:space="preserve"> </v>
      </c>
      <c r="AK35" s="33" t="str">
        <f>IF(OR(ISBLANK(AI35), ISBLANK(AJ35)),"",CONCATENATE(" ",VLOOKUP(AJ35,Literatuur!$A:$B,2,FALSE)," "))</f>
        <v/>
      </c>
      <c r="AM35" s="44" t="str">
        <f t="shared" si="9"/>
        <v xml:space="preserve"> </v>
      </c>
      <c r="AN35" s="33" t="str">
        <f>IF(OR(ISBLANK(AL35), ISBLANK(AM35)),"",CONCATENATE(" ",VLOOKUP(AM35,Literatuur!$A:$B,2,FALSE)," "))</f>
        <v/>
      </c>
      <c r="AP35" s="44" t="str">
        <f t="shared" si="10"/>
        <v xml:space="preserve"> </v>
      </c>
      <c r="AQ35" s="33" t="str">
        <f>IF(OR(ISBLANK(AO35), ISBLANK(AP35)),"",CONCATENATE(" ",VLOOKUP(AP35,Literatuur!$A:$B,2,FALSE)," "))</f>
        <v/>
      </c>
      <c r="AT35" s="33" t="str">
        <f>IF(OR(ISBLANK(AR35), ISBLANK(AS35)),"",CONCATENATE(" ",VLOOKUP(AS35,Literatuur!$A:$B,2,FALSE)," "))</f>
        <v/>
      </c>
      <c r="AW35" s="33" t="str">
        <f>IF(OR(ISBLANK(AU35), ISBLANK(AV35)),"",CONCATENATE(" ",VLOOKUP(AV35,Literatuur!$A:$B,2,FALSE)," "))</f>
        <v/>
      </c>
      <c r="AZ35" s="44" t="str">
        <f t="shared" si="11"/>
        <v xml:space="preserve"> </v>
      </c>
      <c r="BA35" s="33" t="str">
        <f>IF(OR(ISBLANK(AY35), ISBLANK(AZ35)),"",CONCATENATE(" ",VLOOKUP(AZ35,Literatuur!$A:$B,2,FALSE)," "))</f>
        <v/>
      </c>
      <c r="BC35" s="44" t="str">
        <f t="shared" si="12"/>
        <v xml:space="preserve"> </v>
      </c>
      <c r="BD35" s="33" t="str">
        <f>IF(OR(ISBLANK(BB35), ISBLANK(BC35)),"",CONCATENATE(" ",VLOOKUP(BC35,Literatuur!$A:$B,2,FALSE)," "))</f>
        <v/>
      </c>
      <c r="BF35" s="44" t="str">
        <f t="shared" si="13"/>
        <v xml:space="preserve"> </v>
      </c>
      <c r="BG35" s="33" t="str">
        <f>IF(OR(ISBLANK(BE35), ISBLANK(BF35)),"",CONCATENATE(" ",VLOOKUP(BF35,Literatuur!$A:$B,2,FALSE)," "))</f>
        <v/>
      </c>
      <c r="BI35" s="44" t="str">
        <f t="shared" si="14"/>
        <v xml:space="preserve"> </v>
      </c>
      <c r="BJ35" s="33" t="str">
        <f>IF(OR(ISBLANK(BH35), ISBLANK(BI35)),"",CONCATENATE(" ",VLOOKUP(BI35,Literatuur!$A:$B,2,FALSE)," "))</f>
        <v/>
      </c>
      <c r="BL35" s="44" t="str">
        <f t="shared" si="15"/>
        <v xml:space="preserve"> </v>
      </c>
      <c r="BM35" s="33" t="str">
        <f>IF(OR(ISBLANK(BK35), ISBLANK(BL35)),"",CONCATENATE(" ",VLOOKUP(BL35,Literatuur!$A:$B,2,FALSE)," "))</f>
        <v/>
      </c>
      <c r="BP35" s="33" t="str">
        <f>IF(OR(ISBLANK(BN35), ISBLANK(BO35)),"",CONCATENATE(" ",VLOOKUP(BO35,Literatuur!$A:$B,2,FALSE)," "))</f>
        <v/>
      </c>
      <c r="BS35" s="33" t="str">
        <f>IF(OR(ISBLANK(BQ35), ISBLANK(BR35)),"",CONCATENATE(" ",VLOOKUP(BR35,Literatuur!$A:$B,2,FALSE)," "))</f>
        <v/>
      </c>
      <c r="BT35" s="33">
        <v>7.02</v>
      </c>
      <c r="BU35" s="33" t="s">
        <v>2066</v>
      </c>
      <c r="BV35" s="33" t="str">
        <f>IF(OR(ISBLANK(BT35), ISBLANK(BU35)),"",CONCATENATE(" ",VLOOKUP(BU35,Literatuur!$A:$B,2,FALSE)," "))</f>
        <v xml:space="preserve"> 8 </v>
      </c>
      <c r="BY35" s="33">
        <v>221.6</v>
      </c>
      <c r="CB35" s="33" t="s">
        <v>2066</v>
      </c>
      <c r="CD35" s="33">
        <f t="shared" si="26"/>
        <v>221.6</v>
      </c>
      <c r="CE35" s="37"/>
      <c r="CH35" s="33">
        <f t="shared" si="16"/>
        <v>7.02</v>
      </c>
      <c r="CR35" s="33" t="str">
        <f t="shared" si="17"/>
        <v>PCB #158</v>
      </c>
      <c r="CS35" s="33" t="str">
        <f t="shared" si="18"/>
        <v>PCB</v>
      </c>
      <c r="CT35" s="33" t="str">
        <f t="shared" si="19"/>
        <v/>
      </c>
      <c r="CU35" s="33" t="str">
        <f t="shared" si="20"/>
        <v/>
      </c>
      <c r="CV35" s="33" t="str">
        <f t="shared" si="21"/>
        <v/>
      </c>
      <c r="CW35" s="33" t="str">
        <f t="shared" si="22"/>
        <v/>
      </c>
      <c r="CX35" s="33">
        <f t="shared" si="23"/>
        <v>7.02</v>
      </c>
      <c r="CY35" s="33" t="str">
        <f t="shared" si="24"/>
        <v xml:space="preserve"> 8 </v>
      </c>
    </row>
    <row r="36" spans="2:103" x14ac:dyDescent="0.2">
      <c r="B36" s="33">
        <v>-1580</v>
      </c>
      <c r="D36" s="105" t="s">
        <v>1087</v>
      </c>
      <c r="E36" s="105" t="s">
        <v>1087</v>
      </c>
      <c r="F36" s="34"/>
      <c r="G36" s="34"/>
      <c r="I36" s="33" t="e">
        <f t="shared" si="0"/>
        <v>#DIV/0!</v>
      </c>
      <c r="J36" s="33" t="e">
        <f t="shared" si="25"/>
        <v>#DIV/0!</v>
      </c>
      <c r="K36" s="44">
        <f t="shared" si="1"/>
        <v>5.16</v>
      </c>
      <c r="L36" s="33">
        <f t="shared" si="2"/>
        <v>187.4</v>
      </c>
      <c r="M36" s="33" t="s">
        <v>1552</v>
      </c>
      <c r="Q36" s="44" t="str">
        <f t="shared" si="3"/>
        <v xml:space="preserve"> </v>
      </c>
      <c r="R36" s="33" t="str">
        <f>IF(OR(ISBLANK(P36), ISBLANK(Q36)),"",CONCATENATE(" ",VLOOKUP(Q36,Literatuur!$A:$B,2,FALSE)," "))</f>
        <v/>
      </c>
      <c r="T36" s="44" t="str">
        <f t="shared" si="4"/>
        <v xml:space="preserve"> </v>
      </c>
      <c r="U36" s="33" t="str">
        <f>IF(OR(ISBLANK(S36), ISBLANK(T36)),"",CONCATENATE(" ",VLOOKUP(T36,Literatuur!$A:$B,2,FALSE)," "))</f>
        <v/>
      </c>
      <c r="W36" s="44" t="str">
        <f t="shared" si="5"/>
        <v xml:space="preserve"> </v>
      </c>
      <c r="X36" s="33" t="str">
        <f>IF(OR(ISBLANK(V36), ISBLANK(W36)),"",CONCATENATE(" ",VLOOKUP(W36,Literatuur!$A:$B,2,FALSE)," "))</f>
        <v/>
      </c>
      <c r="Z36" s="44" t="str">
        <f t="shared" si="6"/>
        <v xml:space="preserve"> </v>
      </c>
      <c r="AA36" s="33" t="str">
        <f>IF(OR(ISBLANK(Y36), ISBLANK(Z36)),"",CONCATENATE(" ",VLOOKUP(Z36,Literatuur!$A:$B,2,FALSE)," "))</f>
        <v/>
      </c>
      <c r="AC36" s="186" t="str">
        <f t="shared" si="7"/>
        <v xml:space="preserve"> </v>
      </c>
      <c r="AD36" s="33" t="str">
        <f>IF(OR(ISBLANK(AB36), ISBLANK(AC36)),"",CONCATENATE(" ",VLOOKUP(AC36,Literatuur!$A:$B,2,FALSE)," "))</f>
        <v/>
      </c>
      <c r="AG36" s="33" t="str">
        <f>IF(OR(ISBLANK(AE36), ISBLANK(AF36)),"",CONCATENATE(" ",VLOOKUP(AF36,Literatuur!$A:$B,2,FALSE)," "))</f>
        <v/>
      </c>
      <c r="AJ36" s="44" t="str">
        <f t="shared" si="8"/>
        <v xml:space="preserve"> </v>
      </c>
      <c r="AK36" s="33" t="str">
        <f>IF(OR(ISBLANK(AI36), ISBLANK(AJ36)),"",CONCATENATE(" ",VLOOKUP(AJ36,Literatuur!$A:$B,2,FALSE)," "))</f>
        <v/>
      </c>
      <c r="AM36" s="44" t="str">
        <f t="shared" si="9"/>
        <v xml:space="preserve"> </v>
      </c>
      <c r="AN36" s="33" t="str">
        <f>IF(OR(ISBLANK(AL36), ISBLANK(AM36)),"",CONCATENATE(" ",VLOOKUP(AM36,Literatuur!$A:$B,2,FALSE)," "))</f>
        <v/>
      </c>
      <c r="AP36" s="44" t="str">
        <f t="shared" si="10"/>
        <v xml:space="preserve"> </v>
      </c>
      <c r="AQ36" s="33" t="str">
        <f>IF(OR(ISBLANK(AO36), ISBLANK(AP36)),"",CONCATENATE(" ",VLOOKUP(AP36,Literatuur!$A:$B,2,FALSE)," "))</f>
        <v/>
      </c>
      <c r="AT36" s="33" t="str">
        <f>IF(OR(ISBLANK(AR36), ISBLANK(AS36)),"",CONCATENATE(" ",VLOOKUP(AS36,Literatuur!$A:$B,2,FALSE)," "))</f>
        <v/>
      </c>
      <c r="AW36" s="33" t="str">
        <f>IF(OR(ISBLANK(AU36), ISBLANK(AV36)),"",CONCATENATE(" ",VLOOKUP(AV36,Literatuur!$A:$B,2,FALSE)," "))</f>
        <v/>
      </c>
      <c r="AZ36" s="44" t="str">
        <f t="shared" si="11"/>
        <v xml:space="preserve"> </v>
      </c>
      <c r="BA36" s="33" t="str">
        <f>IF(OR(ISBLANK(AY36), ISBLANK(AZ36)),"",CONCATENATE(" ",VLOOKUP(AZ36,Literatuur!$A:$B,2,FALSE)," "))</f>
        <v/>
      </c>
      <c r="BC36" s="44" t="str">
        <f t="shared" si="12"/>
        <v xml:space="preserve"> </v>
      </c>
      <c r="BD36" s="33" t="str">
        <f>IF(OR(ISBLANK(BB36), ISBLANK(BC36)),"",CONCATENATE(" ",VLOOKUP(BC36,Literatuur!$A:$B,2,FALSE)," "))</f>
        <v/>
      </c>
      <c r="BF36" s="44" t="str">
        <f t="shared" si="13"/>
        <v xml:space="preserve"> </v>
      </c>
      <c r="BG36" s="33" t="str">
        <f>IF(OR(ISBLANK(BE36), ISBLANK(BF36)),"",CONCATENATE(" ",VLOOKUP(BF36,Literatuur!$A:$B,2,FALSE)," "))</f>
        <v/>
      </c>
      <c r="BI36" s="44" t="str">
        <f t="shared" si="14"/>
        <v xml:space="preserve"> </v>
      </c>
      <c r="BJ36" s="33" t="str">
        <f>IF(OR(ISBLANK(BH36), ISBLANK(BI36)),"",CONCATENATE(" ",VLOOKUP(BI36,Literatuur!$A:$B,2,FALSE)," "))</f>
        <v/>
      </c>
      <c r="BL36" s="44" t="str">
        <f t="shared" si="15"/>
        <v xml:space="preserve"> </v>
      </c>
      <c r="BM36" s="33" t="str">
        <f>IF(OR(ISBLANK(BK36), ISBLANK(BL36)),"",CONCATENATE(" ",VLOOKUP(BL36,Literatuur!$A:$B,2,FALSE)," "))</f>
        <v/>
      </c>
      <c r="BP36" s="33" t="str">
        <f>IF(OR(ISBLANK(BN36), ISBLANK(BO36)),"",CONCATENATE(" ",VLOOKUP(BO36,Literatuur!$A:$B,2,FALSE)," "))</f>
        <v/>
      </c>
      <c r="BS36" s="33" t="str">
        <f>IF(OR(ISBLANK(BQ36), ISBLANK(BR36)),"",CONCATENATE(" ",VLOOKUP(BR36,Literatuur!$A:$B,2,FALSE)," "))</f>
        <v/>
      </c>
      <c r="BT36" s="33">
        <v>5.16</v>
      </c>
      <c r="BU36" s="33" t="s">
        <v>2066</v>
      </c>
      <c r="BV36" s="33" t="str">
        <f>IF(OR(ISBLANK(BT36), ISBLANK(BU36)),"",CONCATENATE(" ",VLOOKUP(BU36,Literatuur!$A:$B,2,FALSE)," "))</f>
        <v xml:space="preserve"> 8 </v>
      </c>
      <c r="BY36" s="33">
        <v>187.4</v>
      </c>
      <c r="CB36" s="33" t="s">
        <v>2066</v>
      </c>
      <c r="CD36" s="33">
        <f t="shared" si="26"/>
        <v>187.4</v>
      </c>
      <c r="CE36" s="37"/>
      <c r="CH36" s="33">
        <f t="shared" si="16"/>
        <v>5.16</v>
      </c>
      <c r="CR36" s="33" t="str">
        <f t="shared" si="17"/>
        <v>PCB #16</v>
      </c>
      <c r="CS36" s="33" t="str">
        <f t="shared" si="18"/>
        <v>PCB</v>
      </c>
      <c r="CT36" s="33" t="str">
        <f t="shared" si="19"/>
        <v/>
      </c>
      <c r="CU36" s="33" t="str">
        <f t="shared" si="20"/>
        <v/>
      </c>
      <c r="CV36" s="33" t="str">
        <f t="shared" si="21"/>
        <v/>
      </c>
      <c r="CW36" s="33" t="str">
        <f t="shared" si="22"/>
        <v/>
      </c>
      <c r="CX36" s="33">
        <f t="shared" si="23"/>
        <v>5.16</v>
      </c>
      <c r="CY36" s="33" t="str">
        <f t="shared" si="24"/>
        <v xml:space="preserve"> 8 </v>
      </c>
    </row>
    <row r="37" spans="2:103" x14ac:dyDescent="0.2">
      <c r="B37" s="33">
        <v>-1636</v>
      </c>
      <c r="D37" s="105" t="s">
        <v>1143</v>
      </c>
      <c r="E37" s="105" t="s">
        <v>1143</v>
      </c>
      <c r="F37" s="34"/>
      <c r="G37" s="34"/>
      <c r="I37" s="33" t="e">
        <f t="shared" si="0"/>
        <v>#DIV/0!</v>
      </c>
      <c r="J37" s="33" t="e">
        <f t="shared" si="25"/>
        <v>#DIV/0!</v>
      </c>
      <c r="K37" s="44">
        <f t="shared" si="1"/>
        <v>6.99</v>
      </c>
      <c r="L37" s="33">
        <f t="shared" si="2"/>
        <v>221.5</v>
      </c>
      <c r="M37" s="33" t="s">
        <v>1552</v>
      </c>
      <c r="Q37" s="44" t="str">
        <f t="shared" si="3"/>
        <v xml:space="preserve"> </v>
      </c>
      <c r="R37" s="33" t="str">
        <f>IF(OR(ISBLANK(P37), ISBLANK(Q37)),"",CONCATENATE(" ",VLOOKUP(Q37,Literatuur!$A:$B,2,FALSE)," "))</f>
        <v/>
      </c>
      <c r="T37" s="44" t="str">
        <f t="shared" si="4"/>
        <v xml:space="preserve"> </v>
      </c>
      <c r="U37" s="33" t="str">
        <f>IF(OR(ISBLANK(S37), ISBLANK(T37)),"",CONCATENATE(" ",VLOOKUP(T37,Literatuur!$A:$B,2,FALSE)," "))</f>
        <v/>
      </c>
      <c r="W37" s="44" t="str">
        <f t="shared" si="5"/>
        <v xml:space="preserve"> </v>
      </c>
      <c r="X37" s="33" t="str">
        <f>IF(OR(ISBLANK(V37), ISBLANK(W37)),"",CONCATENATE(" ",VLOOKUP(W37,Literatuur!$A:$B,2,FALSE)," "))</f>
        <v/>
      </c>
      <c r="Z37" s="44" t="str">
        <f t="shared" si="6"/>
        <v xml:space="preserve"> </v>
      </c>
      <c r="AA37" s="33" t="str">
        <f>IF(OR(ISBLANK(Y37), ISBLANK(Z37)),"",CONCATENATE(" ",VLOOKUP(Z37,Literatuur!$A:$B,2,FALSE)," "))</f>
        <v/>
      </c>
      <c r="AC37" s="36" t="str">
        <f t="shared" si="7"/>
        <v xml:space="preserve"> </v>
      </c>
      <c r="AD37" s="33" t="str">
        <f>IF(OR(ISBLANK(AB37), ISBLANK(AC37)),"",CONCATENATE(" ",VLOOKUP(AC37,Literatuur!$A:$B,2,FALSE)," "))</f>
        <v/>
      </c>
      <c r="AG37" s="33" t="str">
        <f>IF(OR(ISBLANK(AE37), ISBLANK(AF37)),"",CONCATENATE(" ",VLOOKUP(AF37,Literatuur!$A:$B,2,FALSE)," "))</f>
        <v/>
      </c>
      <c r="AJ37" s="44" t="str">
        <f t="shared" si="8"/>
        <v xml:space="preserve"> </v>
      </c>
      <c r="AK37" s="33" t="str">
        <f>IF(OR(ISBLANK(AI37), ISBLANK(AJ37)),"",CONCATENATE(" ",VLOOKUP(AJ37,Literatuur!$A:$B,2,FALSE)," "))</f>
        <v/>
      </c>
      <c r="AM37" s="44" t="str">
        <f t="shared" si="9"/>
        <v xml:space="preserve"> </v>
      </c>
      <c r="AN37" s="33" t="str">
        <f>IF(OR(ISBLANK(AL37), ISBLANK(AM37)),"",CONCATENATE(" ",VLOOKUP(AM37,Literatuur!$A:$B,2,FALSE)," "))</f>
        <v/>
      </c>
      <c r="AP37" s="44" t="str">
        <f t="shared" si="10"/>
        <v xml:space="preserve"> </v>
      </c>
      <c r="AQ37" s="33" t="str">
        <f>IF(OR(ISBLANK(AO37), ISBLANK(AP37)),"",CONCATENATE(" ",VLOOKUP(AP37,Literatuur!$A:$B,2,FALSE)," "))</f>
        <v/>
      </c>
      <c r="AT37" s="33" t="str">
        <f>IF(OR(ISBLANK(AR37), ISBLANK(AS37)),"",CONCATENATE(" ",VLOOKUP(AS37,Literatuur!$A:$B,2,FALSE)," "))</f>
        <v/>
      </c>
      <c r="AW37" s="33" t="str">
        <f>IF(OR(ISBLANK(AU37), ISBLANK(AV37)),"",CONCATENATE(" ",VLOOKUP(AV37,Literatuur!$A:$B,2,FALSE)," "))</f>
        <v/>
      </c>
      <c r="AZ37" s="44" t="str">
        <f t="shared" si="11"/>
        <v xml:space="preserve"> </v>
      </c>
      <c r="BA37" s="33" t="str">
        <f>IF(OR(ISBLANK(AY37), ISBLANK(AZ37)),"",CONCATENATE(" ",VLOOKUP(AZ37,Literatuur!$A:$B,2,FALSE)," "))</f>
        <v/>
      </c>
      <c r="BC37" s="44" t="str">
        <f t="shared" si="12"/>
        <v xml:space="preserve"> </v>
      </c>
      <c r="BD37" s="33" t="str">
        <f>IF(OR(ISBLANK(BB37), ISBLANK(BC37)),"",CONCATENATE(" ",VLOOKUP(BC37,Literatuur!$A:$B,2,FALSE)," "))</f>
        <v/>
      </c>
      <c r="BF37" s="44" t="str">
        <f t="shared" si="13"/>
        <v xml:space="preserve"> </v>
      </c>
      <c r="BG37" s="33" t="str">
        <f>IF(OR(ISBLANK(BE37), ISBLANK(BF37)),"",CONCATENATE(" ",VLOOKUP(BF37,Literatuur!$A:$B,2,FALSE)," "))</f>
        <v/>
      </c>
      <c r="BI37" s="44" t="str">
        <f t="shared" si="14"/>
        <v xml:space="preserve"> </v>
      </c>
      <c r="BJ37" s="33" t="str">
        <f>IF(OR(ISBLANK(BH37), ISBLANK(BI37)),"",CONCATENATE(" ",VLOOKUP(BI37,Literatuur!$A:$B,2,FALSE)," "))</f>
        <v/>
      </c>
      <c r="BL37" s="44" t="str">
        <f t="shared" si="15"/>
        <v xml:space="preserve"> </v>
      </c>
      <c r="BM37" s="33" t="str">
        <f>IF(OR(ISBLANK(BK37), ISBLANK(BL37)),"",CONCATENATE(" ",VLOOKUP(BL37,Literatuur!$A:$B,2,FALSE)," "))</f>
        <v/>
      </c>
      <c r="BP37" s="33" t="str">
        <f>IF(OR(ISBLANK(BN37), ISBLANK(BO37)),"",CONCATENATE(" ",VLOOKUP(BO37,Literatuur!$A:$B,2,FALSE)," "))</f>
        <v/>
      </c>
      <c r="BS37" s="33" t="str">
        <f>IF(OR(ISBLANK(BQ37), ISBLANK(BR37)),"",CONCATENATE(" ",VLOOKUP(BR37,Literatuur!$A:$B,2,FALSE)," "))</f>
        <v/>
      </c>
      <c r="BT37" s="33">
        <v>6.99</v>
      </c>
      <c r="BU37" s="33" t="s">
        <v>2066</v>
      </c>
      <c r="BV37" s="33" t="str">
        <f>IF(OR(ISBLANK(BT37), ISBLANK(BU37)),"",CONCATENATE(" ",VLOOKUP(BU37,Literatuur!$A:$B,2,FALSE)," "))</f>
        <v xml:space="preserve"> 8 </v>
      </c>
      <c r="BY37" s="33">
        <v>221.5</v>
      </c>
      <c r="CB37" s="33" t="s">
        <v>2066</v>
      </c>
      <c r="CD37" s="33">
        <f t="shared" si="26"/>
        <v>221.5</v>
      </c>
      <c r="CE37" s="37"/>
      <c r="CH37" s="33">
        <f t="shared" si="16"/>
        <v>6.99</v>
      </c>
      <c r="CR37" s="33" t="str">
        <f t="shared" si="17"/>
        <v>PCB #163</v>
      </c>
      <c r="CS37" s="33" t="str">
        <f t="shared" si="18"/>
        <v>PCB</v>
      </c>
      <c r="CT37" s="33" t="str">
        <f t="shared" si="19"/>
        <v/>
      </c>
      <c r="CU37" s="33" t="str">
        <f t="shared" si="20"/>
        <v/>
      </c>
      <c r="CV37" s="33" t="str">
        <f t="shared" si="21"/>
        <v/>
      </c>
      <c r="CW37" s="33" t="str">
        <f t="shared" si="22"/>
        <v/>
      </c>
      <c r="CX37" s="33">
        <f t="shared" si="23"/>
        <v>6.99</v>
      </c>
      <c r="CY37" s="33" t="str">
        <f t="shared" si="24"/>
        <v xml:space="preserve"> 8 </v>
      </c>
    </row>
    <row r="38" spans="2:103" x14ac:dyDescent="0.2">
      <c r="B38" s="33">
        <v>-1637</v>
      </c>
      <c r="D38" s="105" t="s">
        <v>1144</v>
      </c>
      <c r="E38" s="105" t="s">
        <v>1144</v>
      </c>
      <c r="F38" s="34"/>
      <c r="G38" s="34"/>
      <c r="I38" s="33" t="e">
        <f t="shared" si="0"/>
        <v>#DIV/0!</v>
      </c>
      <c r="J38" s="33" t="e">
        <f t="shared" si="25"/>
        <v>#DIV/0!</v>
      </c>
      <c r="K38" s="44">
        <f t="shared" si="1"/>
        <v>7.11</v>
      </c>
      <c r="L38" s="33">
        <f t="shared" si="2"/>
        <v>234.1</v>
      </c>
      <c r="M38" s="33" t="s">
        <v>1552</v>
      </c>
      <c r="Q38" s="44" t="str">
        <f t="shared" si="3"/>
        <v xml:space="preserve"> </v>
      </c>
      <c r="R38" s="33" t="str">
        <f>IF(OR(ISBLANK(P38), ISBLANK(Q38)),"",CONCATENATE(" ",VLOOKUP(Q38,Literatuur!$A:$B,2,FALSE)," "))</f>
        <v/>
      </c>
      <c r="T38" s="44" t="str">
        <f t="shared" si="4"/>
        <v xml:space="preserve"> </v>
      </c>
      <c r="U38" s="33" t="str">
        <f>IF(OR(ISBLANK(S38), ISBLANK(T38)),"",CONCATENATE(" ",VLOOKUP(T38,Literatuur!$A:$B,2,FALSE)," "))</f>
        <v/>
      </c>
      <c r="W38" s="44" t="str">
        <f t="shared" si="5"/>
        <v xml:space="preserve"> </v>
      </c>
      <c r="X38" s="33" t="str">
        <f>IF(OR(ISBLANK(V38), ISBLANK(W38)),"",CONCATENATE(" ",VLOOKUP(W38,Literatuur!$A:$B,2,FALSE)," "))</f>
        <v/>
      </c>
      <c r="Z38" s="44" t="str">
        <f t="shared" si="6"/>
        <v xml:space="preserve"> </v>
      </c>
      <c r="AA38" s="33" t="str">
        <f>IF(OR(ISBLANK(Y38), ISBLANK(Z38)),"",CONCATENATE(" ",VLOOKUP(Z38,Literatuur!$A:$B,2,FALSE)," "))</f>
        <v/>
      </c>
      <c r="AC38" s="36" t="str">
        <f t="shared" si="7"/>
        <v xml:space="preserve"> </v>
      </c>
      <c r="AD38" s="33" t="str">
        <f>IF(OR(ISBLANK(AB38), ISBLANK(AC38)),"",CONCATENATE(" ",VLOOKUP(AC38,Literatuur!$A:$B,2,FALSE)," "))</f>
        <v/>
      </c>
      <c r="AG38" s="33" t="str">
        <f>IF(OR(ISBLANK(AE38), ISBLANK(AF38)),"",CONCATENATE(" ",VLOOKUP(AF38,Literatuur!$A:$B,2,FALSE)," "))</f>
        <v/>
      </c>
      <c r="AJ38" s="44" t="str">
        <f t="shared" si="8"/>
        <v xml:space="preserve"> </v>
      </c>
      <c r="AK38" s="33" t="str">
        <f>IF(OR(ISBLANK(AI38), ISBLANK(AJ38)),"",CONCATENATE(" ",VLOOKUP(AJ38,Literatuur!$A:$B,2,FALSE)," "))</f>
        <v/>
      </c>
      <c r="AM38" s="44" t="str">
        <f t="shared" si="9"/>
        <v xml:space="preserve"> </v>
      </c>
      <c r="AN38" s="33" t="str">
        <f>IF(OR(ISBLANK(AL38), ISBLANK(AM38)),"",CONCATENATE(" ",VLOOKUP(AM38,Literatuur!$A:$B,2,FALSE)," "))</f>
        <v/>
      </c>
      <c r="AP38" s="44" t="str">
        <f t="shared" si="10"/>
        <v xml:space="preserve"> </v>
      </c>
      <c r="AQ38" s="33" t="str">
        <f>IF(OR(ISBLANK(AO38), ISBLANK(AP38)),"",CONCATENATE(" ",VLOOKUP(AP38,Literatuur!$A:$B,2,FALSE)," "))</f>
        <v/>
      </c>
      <c r="AT38" s="33" t="str">
        <f>IF(OR(ISBLANK(AR38), ISBLANK(AS38)),"",CONCATENATE(" ",VLOOKUP(AS38,Literatuur!$A:$B,2,FALSE)," "))</f>
        <v/>
      </c>
      <c r="AW38" s="33" t="str">
        <f>IF(OR(ISBLANK(AU38), ISBLANK(AV38)),"",CONCATENATE(" ",VLOOKUP(AV38,Literatuur!$A:$B,2,FALSE)," "))</f>
        <v/>
      </c>
      <c r="AZ38" s="44" t="str">
        <f t="shared" si="11"/>
        <v xml:space="preserve"> </v>
      </c>
      <c r="BA38" s="33" t="str">
        <f>IF(OR(ISBLANK(AY38), ISBLANK(AZ38)),"",CONCATENATE(" ",VLOOKUP(AZ38,Literatuur!$A:$B,2,FALSE)," "))</f>
        <v/>
      </c>
      <c r="BC38" s="44" t="str">
        <f t="shared" si="12"/>
        <v xml:space="preserve"> </v>
      </c>
      <c r="BD38" s="33" t="str">
        <f>IF(OR(ISBLANK(BB38), ISBLANK(BC38)),"",CONCATENATE(" ",VLOOKUP(BC38,Literatuur!$A:$B,2,FALSE)," "))</f>
        <v/>
      </c>
      <c r="BF38" s="44" t="str">
        <f t="shared" si="13"/>
        <v xml:space="preserve"> </v>
      </c>
      <c r="BG38" s="33" t="str">
        <f>IF(OR(ISBLANK(BE38), ISBLANK(BF38)),"",CONCATENATE(" ",VLOOKUP(BF38,Literatuur!$A:$B,2,FALSE)," "))</f>
        <v/>
      </c>
      <c r="BI38" s="44" t="str">
        <f t="shared" si="14"/>
        <v xml:space="preserve"> </v>
      </c>
      <c r="BJ38" s="33" t="str">
        <f>IF(OR(ISBLANK(BH38), ISBLANK(BI38)),"",CONCATENATE(" ",VLOOKUP(BI38,Literatuur!$A:$B,2,FALSE)," "))</f>
        <v/>
      </c>
      <c r="BL38" s="44" t="str">
        <f t="shared" si="15"/>
        <v xml:space="preserve"> </v>
      </c>
      <c r="BM38" s="33" t="str">
        <f>IF(OR(ISBLANK(BK38), ISBLANK(BL38)),"",CONCATENATE(" ",VLOOKUP(BL38,Literatuur!$A:$B,2,FALSE)," "))</f>
        <v/>
      </c>
      <c r="BP38" s="33" t="str">
        <f>IF(OR(ISBLANK(BN38), ISBLANK(BO38)),"",CONCATENATE(" ",VLOOKUP(BO38,Literatuur!$A:$B,2,FALSE)," "))</f>
        <v/>
      </c>
      <c r="BS38" s="33" t="str">
        <f>IF(OR(ISBLANK(BQ38), ISBLANK(BR38)),"",CONCATENATE(" ",VLOOKUP(BR38,Literatuur!$A:$B,2,FALSE)," "))</f>
        <v/>
      </c>
      <c r="BT38" s="33">
        <v>7.11</v>
      </c>
      <c r="BU38" s="33" t="s">
        <v>2066</v>
      </c>
      <c r="BV38" s="33" t="str">
        <f>IF(OR(ISBLANK(BT38), ISBLANK(BU38)),"",CONCATENATE(" ",VLOOKUP(BU38,Literatuur!$A:$B,2,FALSE)," "))</f>
        <v xml:space="preserve"> 8 </v>
      </c>
      <c r="BY38" s="33">
        <v>234.1</v>
      </c>
      <c r="CB38" s="33" t="s">
        <v>2066</v>
      </c>
      <c r="CD38" s="33">
        <f t="shared" si="26"/>
        <v>234.1</v>
      </c>
      <c r="CE38" s="37"/>
      <c r="CH38" s="33">
        <f t="shared" si="16"/>
        <v>7.11</v>
      </c>
      <c r="CR38" s="33" t="str">
        <f t="shared" si="17"/>
        <v>PCB #171</v>
      </c>
      <c r="CS38" s="33" t="str">
        <f t="shared" si="18"/>
        <v>PCB</v>
      </c>
      <c r="CT38" s="33" t="str">
        <f t="shared" si="19"/>
        <v/>
      </c>
      <c r="CU38" s="33" t="str">
        <f t="shared" si="20"/>
        <v/>
      </c>
      <c r="CV38" s="33" t="str">
        <f t="shared" si="21"/>
        <v/>
      </c>
      <c r="CW38" s="33" t="str">
        <f t="shared" si="22"/>
        <v/>
      </c>
      <c r="CX38" s="33">
        <f t="shared" si="23"/>
        <v>7.11</v>
      </c>
      <c r="CY38" s="33" t="str">
        <f t="shared" si="24"/>
        <v xml:space="preserve"> 8 </v>
      </c>
    </row>
    <row r="39" spans="2:103" x14ac:dyDescent="0.2">
      <c r="B39" s="33">
        <v>-1638</v>
      </c>
      <c r="D39" s="105" t="s">
        <v>1145</v>
      </c>
      <c r="E39" s="105" t="s">
        <v>1145</v>
      </c>
      <c r="F39" s="34"/>
      <c r="G39" s="34"/>
      <c r="I39" s="33" t="e">
        <f t="shared" si="0"/>
        <v>#DIV/0!</v>
      </c>
      <c r="J39" s="33" t="e">
        <f t="shared" si="25"/>
        <v>#DIV/0!</v>
      </c>
      <c r="K39" s="44">
        <f t="shared" si="1"/>
        <v>7.33</v>
      </c>
      <c r="L39" s="33">
        <f t="shared" si="2"/>
        <v>235.1</v>
      </c>
      <c r="M39" s="33" t="s">
        <v>1552</v>
      </c>
      <c r="Q39" s="44" t="str">
        <f t="shared" si="3"/>
        <v xml:space="preserve"> </v>
      </c>
      <c r="R39" s="33" t="str">
        <f>IF(OR(ISBLANK(P39), ISBLANK(Q39)),"",CONCATENATE(" ",VLOOKUP(Q39,Literatuur!$A:$B,2,FALSE)," "))</f>
        <v/>
      </c>
      <c r="T39" s="44" t="str">
        <f t="shared" si="4"/>
        <v xml:space="preserve"> </v>
      </c>
      <c r="U39" s="33" t="str">
        <f>IF(OR(ISBLANK(S39), ISBLANK(T39)),"",CONCATENATE(" ",VLOOKUP(T39,Literatuur!$A:$B,2,FALSE)," "))</f>
        <v/>
      </c>
      <c r="W39" s="44" t="str">
        <f t="shared" si="5"/>
        <v xml:space="preserve"> </v>
      </c>
      <c r="X39" s="33" t="str">
        <f>IF(OR(ISBLANK(V39), ISBLANK(W39)),"",CONCATENATE(" ",VLOOKUP(W39,Literatuur!$A:$B,2,FALSE)," "))</f>
        <v/>
      </c>
      <c r="Z39" s="44" t="str">
        <f t="shared" si="6"/>
        <v xml:space="preserve"> </v>
      </c>
      <c r="AA39" s="33" t="str">
        <f>IF(OR(ISBLANK(Y39), ISBLANK(Z39)),"",CONCATENATE(" ",VLOOKUP(Z39,Literatuur!$A:$B,2,FALSE)," "))</f>
        <v/>
      </c>
      <c r="AC39" s="36" t="str">
        <f t="shared" si="7"/>
        <v xml:space="preserve"> </v>
      </c>
      <c r="AD39" s="33" t="str">
        <f>IF(OR(ISBLANK(AB39), ISBLANK(AC39)),"",CONCATENATE(" ",VLOOKUP(AC39,Literatuur!$A:$B,2,FALSE)," "))</f>
        <v/>
      </c>
      <c r="AG39" s="33" t="str">
        <f>IF(OR(ISBLANK(AE39), ISBLANK(AF39)),"",CONCATENATE(" ",VLOOKUP(AF39,Literatuur!$A:$B,2,FALSE)," "))</f>
        <v/>
      </c>
      <c r="AJ39" s="44" t="str">
        <f t="shared" si="8"/>
        <v xml:space="preserve"> </v>
      </c>
      <c r="AK39" s="33" t="str">
        <f>IF(OR(ISBLANK(AI39), ISBLANK(AJ39)),"",CONCATENATE(" ",VLOOKUP(AJ39,Literatuur!$A:$B,2,FALSE)," "))</f>
        <v/>
      </c>
      <c r="AM39" s="44" t="str">
        <f t="shared" si="9"/>
        <v xml:space="preserve"> </v>
      </c>
      <c r="AN39" s="33" t="str">
        <f>IF(OR(ISBLANK(AL39), ISBLANK(AM39)),"",CONCATENATE(" ",VLOOKUP(AM39,Literatuur!$A:$B,2,FALSE)," "))</f>
        <v/>
      </c>
      <c r="AP39" s="44" t="str">
        <f t="shared" si="10"/>
        <v xml:space="preserve"> </v>
      </c>
      <c r="AQ39" s="33" t="str">
        <f>IF(OR(ISBLANK(AO39), ISBLANK(AP39)),"",CONCATENATE(" ",VLOOKUP(AP39,Literatuur!$A:$B,2,FALSE)," "))</f>
        <v/>
      </c>
      <c r="AT39" s="33" t="str">
        <f>IF(OR(ISBLANK(AR39), ISBLANK(AS39)),"",CONCATENATE(" ",VLOOKUP(AS39,Literatuur!$A:$B,2,FALSE)," "))</f>
        <v/>
      </c>
      <c r="AW39" s="33" t="str">
        <f>IF(OR(ISBLANK(AU39), ISBLANK(AV39)),"",CONCATENATE(" ",VLOOKUP(AV39,Literatuur!$A:$B,2,FALSE)," "))</f>
        <v/>
      </c>
      <c r="AZ39" s="44" t="str">
        <f t="shared" si="11"/>
        <v xml:space="preserve"> </v>
      </c>
      <c r="BA39" s="33" t="str">
        <f>IF(OR(ISBLANK(AY39), ISBLANK(AZ39)),"",CONCATENATE(" ",VLOOKUP(AZ39,Literatuur!$A:$B,2,FALSE)," "))</f>
        <v/>
      </c>
      <c r="BC39" s="44" t="str">
        <f t="shared" si="12"/>
        <v xml:space="preserve"> </v>
      </c>
      <c r="BD39" s="33" t="str">
        <f>IF(OR(ISBLANK(BB39), ISBLANK(BC39)),"",CONCATENATE(" ",VLOOKUP(BC39,Literatuur!$A:$B,2,FALSE)," "))</f>
        <v/>
      </c>
      <c r="BF39" s="44" t="str">
        <f t="shared" si="13"/>
        <v xml:space="preserve"> </v>
      </c>
      <c r="BG39" s="33" t="str">
        <f>IF(OR(ISBLANK(BE39), ISBLANK(BF39)),"",CONCATENATE(" ",VLOOKUP(BF39,Literatuur!$A:$B,2,FALSE)," "))</f>
        <v/>
      </c>
      <c r="BI39" s="44" t="str">
        <f t="shared" si="14"/>
        <v xml:space="preserve"> </v>
      </c>
      <c r="BJ39" s="33" t="str">
        <f>IF(OR(ISBLANK(BH39), ISBLANK(BI39)),"",CONCATENATE(" ",VLOOKUP(BI39,Literatuur!$A:$B,2,FALSE)," "))</f>
        <v/>
      </c>
      <c r="BL39" s="44" t="str">
        <f t="shared" si="15"/>
        <v xml:space="preserve"> </v>
      </c>
      <c r="BM39" s="33" t="str">
        <f>IF(OR(ISBLANK(BK39), ISBLANK(BL39)),"",CONCATENATE(" ",VLOOKUP(BL39,Literatuur!$A:$B,2,FALSE)," "))</f>
        <v/>
      </c>
      <c r="BP39" s="33" t="str">
        <f>IF(OR(ISBLANK(BN39), ISBLANK(BO39)),"",CONCATENATE(" ",VLOOKUP(BO39,Literatuur!$A:$B,2,FALSE)," "))</f>
        <v/>
      </c>
      <c r="BS39" s="33" t="str">
        <f>IF(OR(ISBLANK(BQ39), ISBLANK(BR39)),"",CONCATENATE(" ",VLOOKUP(BR39,Literatuur!$A:$B,2,FALSE)," "))</f>
        <v/>
      </c>
      <c r="BT39" s="33">
        <v>7.33</v>
      </c>
      <c r="BU39" s="33" t="s">
        <v>2066</v>
      </c>
      <c r="BV39" s="33" t="str">
        <f>IF(OR(ISBLANK(BT39), ISBLANK(BU39)),"",CONCATENATE(" ",VLOOKUP(BU39,Literatuur!$A:$B,2,FALSE)," "))</f>
        <v xml:space="preserve"> 8 </v>
      </c>
      <c r="BY39" s="33">
        <v>235.1</v>
      </c>
      <c r="CB39" s="33" t="s">
        <v>2066</v>
      </c>
      <c r="CD39" s="33">
        <f t="shared" si="26"/>
        <v>235.1</v>
      </c>
      <c r="CE39" s="37"/>
      <c r="CH39" s="33">
        <f t="shared" si="16"/>
        <v>7.33</v>
      </c>
      <c r="CR39" s="33" t="str">
        <f t="shared" si="17"/>
        <v>PCB #172</v>
      </c>
      <c r="CS39" s="33" t="str">
        <f t="shared" si="18"/>
        <v>PCB</v>
      </c>
      <c r="CT39" s="33" t="str">
        <f t="shared" si="19"/>
        <v/>
      </c>
      <c r="CU39" s="33" t="str">
        <f t="shared" si="20"/>
        <v/>
      </c>
      <c r="CV39" s="33" t="str">
        <f t="shared" si="21"/>
        <v/>
      </c>
      <c r="CW39" s="33" t="str">
        <f t="shared" si="22"/>
        <v/>
      </c>
      <c r="CX39" s="33">
        <f t="shared" si="23"/>
        <v>7.33</v>
      </c>
      <c r="CY39" s="33" t="str">
        <f t="shared" si="24"/>
        <v xml:space="preserve"> 8 </v>
      </c>
    </row>
    <row r="40" spans="2:103" ht="12.75" customHeight="1" x14ac:dyDescent="0.2">
      <c r="B40" s="33">
        <v>-1639</v>
      </c>
      <c r="D40" s="105" t="s">
        <v>1146</v>
      </c>
      <c r="E40" s="105" t="s">
        <v>1146</v>
      </c>
      <c r="F40" s="34"/>
      <c r="G40" s="34"/>
      <c r="I40" s="33" t="e">
        <f t="shared" si="0"/>
        <v>#DIV/0!</v>
      </c>
      <c r="J40" s="33" t="e">
        <f t="shared" si="25"/>
        <v>#DIV/0!</v>
      </c>
      <c r="K40" s="44">
        <f t="shared" si="1"/>
        <v>7.11</v>
      </c>
      <c r="L40" s="33">
        <f t="shared" si="2"/>
        <v>234</v>
      </c>
      <c r="M40" s="33" t="s">
        <v>1552</v>
      </c>
      <c r="Q40" s="44" t="str">
        <f t="shared" si="3"/>
        <v xml:space="preserve"> </v>
      </c>
      <c r="R40" s="33" t="str">
        <f>IF(OR(ISBLANK(P40), ISBLANK(Q40)),"",CONCATENATE(" ",VLOOKUP(Q40,Literatuur!$A:$B,2,FALSE)," "))</f>
        <v/>
      </c>
      <c r="T40" s="44" t="str">
        <f t="shared" si="4"/>
        <v xml:space="preserve"> </v>
      </c>
      <c r="U40" s="33" t="str">
        <f>IF(OR(ISBLANK(S40), ISBLANK(T40)),"",CONCATENATE(" ",VLOOKUP(T40,Literatuur!$A:$B,2,FALSE)," "))</f>
        <v/>
      </c>
      <c r="W40" s="44" t="str">
        <f t="shared" si="5"/>
        <v xml:space="preserve"> </v>
      </c>
      <c r="X40" s="33" t="str">
        <f>IF(OR(ISBLANK(V40), ISBLANK(W40)),"",CONCATENATE(" ",VLOOKUP(W40,Literatuur!$A:$B,2,FALSE)," "))</f>
        <v/>
      </c>
      <c r="Z40" s="44" t="str">
        <f t="shared" si="6"/>
        <v xml:space="preserve"> </v>
      </c>
      <c r="AA40" s="33" t="str">
        <f>IF(OR(ISBLANK(Y40), ISBLANK(Z40)),"",CONCATENATE(" ",VLOOKUP(Z40,Literatuur!$A:$B,2,FALSE)," "))</f>
        <v/>
      </c>
      <c r="AC40" s="36" t="str">
        <f t="shared" si="7"/>
        <v xml:space="preserve"> </v>
      </c>
      <c r="AD40" s="33" t="str">
        <f>IF(OR(ISBLANK(AB40), ISBLANK(AC40)),"",CONCATENATE(" ",VLOOKUP(AC40,Literatuur!$A:$B,2,FALSE)," "))</f>
        <v/>
      </c>
      <c r="AG40" s="33" t="str">
        <f>IF(OR(ISBLANK(AE40), ISBLANK(AF40)),"",CONCATENATE(" ",VLOOKUP(AF40,Literatuur!$A:$B,2,FALSE)," "))</f>
        <v/>
      </c>
      <c r="AJ40" s="44" t="str">
        <f t="shared" si="8"/>
        <v xml:space="preserve"> </v>
      </c>
      <c r="AK40" s="33" t="str">
        <f>IF(OR(ISBLANK(AI40), ISBLANK(AJ40)),"",CONCATENATE(" ",VLOOKUP(AJ40,Literatuur!$A:$B,2,FALSE)," "))</f>
        <v/>
      </c>
      <c r="AM40" s="44" t="str">
        <f t="shared" si="9"/>
        <v xml:space="preserve"> </v>
      </c>
      <c r="AN40" s="33" t="str">
        <f>IF(OR(ISBLANK(AL40), ISBLANK(AM40)),"",CONCATENATE(" ",VLOOKUP(AM40,Literatuur!$A:$B,2,FALSE)," "))</f>
        <v/>
      </c>
      <c r="AP40" s="44" t="str">
        <f t="shared" si="10"/>
        <v xml:space="preserve"> </v>
      </c>
      <c r="AQ40" s="33" t="str">
        <f>IF(OR(ISBLANK(AO40), ISBLANK(AP40)),"",CONCATENATE(" ",VLOOKUP(AP40,Literatuur!$A:$B,2,FALSE)," "))</f>
        <v/>
      </c>
      <c r="AT40" s="33" t="str">
        <f>IF(OR(ISBLANK(AR40), ISBLANK(AS40)),"",CONCATENATE(" ",VLOOKUP(AS40,Literatuur!$A:$B,2,FALSE)," "))</f>
        <v/>
      </c>
      <c r="AW40" s="33" t="str">
        <f>IF(OR(ISBLANK(AU40), ISBLANK(AV40)),"",CONCATENATE(" ",VLOOKUP(AV40,Literatuur!$A:$B,2,FALSE)," "))</f>
        <v/>
      </c>
      <c r="AZ40" s="44" t="str">
        <f t="shared" si="11"/>
        <v xml:space="preserve"> </v>
      </c>
      <c r="BA40" s="33" t="str">
        <f>IF(OR(ISBLANK(AY40), ISBLANK(AZ40)),"",CONCATENATE(" ",VLOOKUP(AZ40,Literatuur!$A:$B,2,FALSE)," "))</f>
        <v/>
      </c>
      <c r="BC40" s="44" t="str">
        <f t="shared" si="12"/>
        <v xml:space="preserve"> </v>
      </c>
      <c r="BD40" s="33" t="str">
        <f>IF(OR(ISBLANK(BB40), ISBLANK(BC40)),"",CONCATENATE(" ",VLOOKUP(BC40,Literatuur!$A:$B,2,FALSE)," "))</f>
        <v/>
      </c>
      <c r="BF40" s="44" t="str">
        <f t="shared" si="13"/>
        <v xml:space="preserve"> </v>
      </c>
      <c r="BG40" s="33" t="str">
        <f>IF(OR(ISBLANK(BE40), ISBLANK(BF40)),"",CONCATENATE(" ",VLOOKUP(BF40,Literatuur!$A:$B,2,FALSE)," "))</f>
        <v/>
      </c>
      <c r="BI40" s="44" t="str">
        <f t="shared" si="14"/>
        <v xml:space="preserve"> </v>
      </c>
      <c r="BJ40" s="33" t="str">
        <f>IF(OR(ISBLANK(BH40), ISBLANK(BI40)),"",CONCATENATE(" ",VLOOKUP(BI40,Literatuur!$A:$B,2,FALSE)," "))</f>
        <v/>
      </c>
      <c r="BL40" s="44" t="str">
        <f t="shared" si="15"/>
        <v xml:space="preserve"> </v>
      </c>
      <c r="BM40" s="33" t="str">
        <f>IF(OR(ISBLANK(BK40), ISBLANK(BL40)),"",CONCATENATE(" ",VLOOKUP(BL40,Literatuur!$A:$B,2,FALSE)," "))</f>
        <v/>
      </c>
      <c r="BP40" s="33" t="str">
        <f>IF(OR(ISBLANK(BN40), ISBLANK(BO40)),"",CONCATENATE(" ",VLOOKUP(BO40,Literatuur!$A:$B,2,FALSE)," "))</f>
        <v/>
      </c>
      <c r="BS40" s="33" t="str">
        <f>IF(OR(ISBLANK(BQ40), ISBLANK(BR40)),"",CONCATENATE(" ",VLOOKUP(BR40,Literatuur!$A:$B,2,FALSE)," "))</f>
        <v/>
      </c>
      <c r="BT40" s="33">
        <v>7.11</v>
      </c>
      <c r="BU40" s="33" t="s">
        <v>2066</v>
      </c>
      <c r="BV40" s="33" t="str">
        <f>IF(OR(ISBLANK(BT40), ISBLANK(BU40)),"",CONCATENATE(" ",VLOOKUP(BU40,Literatuur!$A:$B,2,FALSE)," "))</f>
        <v xml:space="preserve"> 8 </v>
      </c>
      <c r="BY40" s="33">
        <v>234</v>
      </c>
      <c r="CB40" s="33" t="s">
        <v>2066</v>
      </c>
      <c r="CD40" s="33">
        <f t="shared" si="26"/>
        <v>234</v>
      </c>
      <c r="CE40" s="37"/>
      <c r="CH40" s="33">
        <f t="shared" si="16"/>
        <v>7.11</v>
      </c>
      <c r="CR40" s="33" t="str">
        <f t="shared" si="17"/>
        <v>PCB #174</v>
      </c>
      <c r="CS40" s="33" t="str">
        <f t="shared" si="18"/>
        <v>PCB</v>
      </c>
      <c r="CT40" s="33" t="str">
        <f t="shared" si="19"/>
        <v/>
      </c>
      <c r="CU40" s="33" t="str">
        <f t="shared" si="20"/>
        <v/>
      </c>
      <c r="CV40" s="33" t="str">
        <f t="shared" si="21"/>
        <v/>
      </c>
      <c r="CW40" s="33" t="str">
        <f t="shared" si="22"/>
        <v/>
      </c>
      <c r="CX40" s="33">
        <f t="shared" si="23"/>
        <v>7.11</v>
      </c>
      <c r="CY40" s="33" t="str">
        <f t="shared" si="24"/>
        <v xml:space="preserve"> 8 </v>
      </c>
    </row>
    <row r="41" spans="2:103" ht="12.75" customHeight="1" x14ac:dyDescent="0.2">
      <c r="B41" s="33">
        <v>-1640</v>
      </c>
      <c r="D41" s="105" t="s">
        <v>1147</v>
      </c>
      <c r="E41" s="105" t="s">
        <v>1147</v>
      </c>
      <c r="F41" s="34"/>
      <c r="G41" s="34"/>
      <c r="I41" s="33" t="e">
        <f t="shared" si="0"/>
        <v>#DIV/0!</v>
      </c>
      <c r="J41" s="33" t="e">
        <f t="shared" si="25"/>
        <v>#DIV/0!</v>
      </c>
      <c r="K41" s="44">
        <f t="shared" si="1"/>
        <v>7.08</v>
      </c>
      <c r="L41" s="33">
        <f t="shared" si="2"/>
        <v>234</v>
      </c>
      <c r="M41" s="33" t="s">
        <v>1552</v>
      </c>
      <c r="Q41" s="44" t="str">
        <f t="shared" si="3"/>
        <v xml:space="preserve"> </v>
      </c>
      <c r="R41" s="33" t="str">
        <f>IF(OR(ISBLANK(P41), ISBLANK(Q41)),"",CONCATENATE(" ",VLOOKUP(Q41,Literatuur!$A:$B,2,FALSE)," "))</f>
        <v/>
      </c>
      <c r="T41" s="44" t="str">
        <f t="shared" si="4"/>
        <v xml:space="preserve"> </v>
      </c>
      <c r="U41" s="33" t="str">
        <f>IF(OR(ISBLANK(S41), ISBLANK(T41)),"",CONCATENATE(" ",VLOOKUP(T41,Literatuur!$A:$B,2,FALSE)," "))</f>
        <v/>
      </c>
      <c r="W41" s="44" t="str">
        <f t="shared" si="5"/>
        <v xml:space="preserve"> </v>
      </c>
      <c r="X41" s="33" t="str">
        <f>IF(OR(ISBLANK(V41), ISBLANK(W41)),"",CONCATENATE(" ",VLOOKUP(W41,Literatuur!$A:$B,2,FALSE)," "))</f>
        <v/>
      </c>
      <c r="Z41" s="44" t="str">
        <f t="shared" si="6"/>
        <v xml:space="preserve"> </v>
      </c>
      <c r="AA41" s="33" t="str">
        <f>IF(OR(ISBLANK(Y41), ISBLANK(Z41)),"",CONCATENATE(" ",VLOOKUP(Z41,Literatuur!$A:$B,2,FALSE)," "))</f>
        <v/>
      </c>
      <c r="AC41" s="36" t="str">
        <f t="shared" si="7"/>
        <v xml:space="preserve"> </v>
      </c>
      <c r="AD41" s="33" t="str">
        <f>IF(OR(ISBLANK(AB41), ISBLANK(AC41)),"",CONCATENATE(" ",VLOOKUP(AC41,Literatuur!$A:$B,2,FALSE)," "))</f>
        <v/>
      </c>
      <c r="AG41" s="33" t="str">
        <f>IF(OR(ISBLANK(AE41), ISBLANK(AF41)),"",CONCATENATE(" ",VLOOKUP(AF41,Literatuur!$A:$B,2,FALSE)," "))</f>
        <v/>
      </c>
      <c r="AJ41" s="44" t="str">
        <f t="shared" si="8"/>
        <v xml:space="preserve"> </v>
      </c>
      <c r="AK41" s="33" t="str">
        <f>IF(OR(ISBLANK(AI41), ISBLANK(AJ41)),"",CONCATENATE(" ",VLOOKUP(AJ41,Literatuur!$A:$B,2,FALSE)," "))</f>
        <v/>
      </c>
      <c r="AM41" s="44" t="str">
        <f t="shared" si="9"/>
        <v xml:space="preserve"> </v>
      </c>
      <c r="AN41" s="33" t="str">
        <f>IF(OR(ISBLANK(AL41), ISBLANK(AM41)),"",CONCATENATE(" ",VLOOKUP(AM41,Literatuur!$A:$B,2,FALSE)," "))</f>
        <v/>
      </c>
      <c r="AP41" s="44" t="str">
        <f t="shared" si="10"/>
        <v xml:space="preserve"> </v>
      </c>
      <c r="AQ41" s="33" t="str">
        <f>IF(OR(ISBLANK(AO41), ISBLANK(AP41)),"",CONCATENATE(" ",VLOOKUP(AP41,Literatuur!$A:$B,2,FALSE)," "))</f>
        <v/>
      </c>
      <c r="AT41" s="33" t="str">
        <f>IF(OR(ISBLANK(AR41), ISBLANK(AS41)),"",CONCATENATE(" ",VLOOKUP(AS41,Literatuur!$A:$B,2,FALSE)," "))</f>
        <v/>
      </c>
      <c r="AW41" s="33" t="str">
        <f>IF(OR(ISBLANK(AU41), ISBLANK(AV41)),"",CONCATENATE(" ",VLOOKUP(AV41,Literatuur!$A:$B,2,FALSE)," "))</f>
        <v/>
      </c>
      <c r="AZ41" s="44" t="str">
        <f t="shared" si="11"/>
        <v xml:space="preserve"> </v>
      </c>
      <c r="BA41" s="33" t="str">
        <f>IF(OR(ISBLANK(AY41), ISBLANK(AZ41)),"",CONCATENATE(" ",VLOOKUP(AZ41,Literatuur!$A:$B,2,FALSE)," "))</f>
        <v/>
      </c>
      <c r="BC41" s="44" t="str">
        <f t="shared" si="12"/>
        <v xml:space="preserve"> </v>
      </c>
      <c r="BD41" s="33" t="str">
        <f>IF(OR(ISBLANK(BB41), ISBLANK(BC41)),"",CONCATENATE(" ",VLOOKUP(BC41,Literatuur!$A:$B,2,FALSE)," "))</f>
        <v/>
      </c>
      <c r="BF41" s="44" t="str">
        <f t="shared" si="13"/>
        <v xml:space="preserve"> </v>
      </c>
      <c r="BG41" s="33" t="str">
        <f>IF(OR(ISBLANK(BE41), ISBLANK(BF41)),"",CONCATENATE(" ",VLOOKUP(BF41,Literatuur!$A:$B,2,FALSE)," "))</f>
        <v/>
      </c>
      <c r="BI41" s="44" t="str">
        <f t="shared" si="14"/>
        <v xml:space="preserve"> </v>
      </c>
      <c r="BJ41" s="33" t="str">
        <f>IF(OR(ISBLANK(BH41), ISBLANK(BI41)),"",CONCATENATE(" ",VLOOKUP(BI41,Literatuur!$A:$B,2,FALSE)," "))</f>
        <v/>
      </c>
      <c r="BL41" s="44" t="str">
        <f t="shared" si="15"/>
        <v xml:space="preserve"> </v>
      </c>
      <c r="BM41" s="33" t="str">
        <f>IF(OR(ISBLANK(BK41), ISBLANK(BL41)),"",CONCATENATE(" ",VLOOKUP(BL41,Literatuur!$A:$B,2,FALSE)," "))</f>
        <v/>
      </c>
      <c r="BP41" s="33" t="str">
        <f>IF(OR(ISBLANK(BN41), ISBLANK(BO41)),"",CONCATENATE(" ",VLOOKUP(BO41,Literatuur!$A:$B,2,FALSE)," "))</f>
        <v/>
      </c>
      <c r="BS41" s="33" t="str">
        <f>IF(OR(ISBLANK(BQ41), ISBLANK(BR41)),"",CONCATENATE(" ",VLOOKUP(BR41,Literatuur!$A:$B,2,FALSE)," "))</f>
        <v/>
      </c>
      <c r="BT41" s="33">
        <v>7.08</v>
      </c>
      <c r="BU41" s="33" t="s">
        <v>2066</v>
      </c>
      <c r="BV41" s="33" t="str">
        <f>IF(OR(ISBLANK(BT41), ISBLANK(BU41)),"",CONCATENATE(" ",VLOOKUP(BU41,Literatuur!$A:$B,2,FALSE)," "))</f>
        <v xml:space="preserve"> 8 </v>
      </c>
      <c r="BY41" s="33">
        <v>234</v>
      </c>
      <c r="CB41" s="33" t="s">
        <v>2066</v>
      </c>
      <c r="CD41" s="33">
        <f t="shared" si="26"/>
        <v>234</v>
      </c>
      <c r="CE41" s="37"/>
      <c r="CH41" s="33">
        <f t="shared" si="16"/>
        <v>7.08</v>
      </c>
      <c r="CR41" s="33" t="str">
        <f t="shared" si="17"/>
        <v>PCB #177</v>
      </c>
      <c r="CS41" s="33" t="str">
        <f t="shared" si="18"/>
        <v>PCB</v>
      </c>
      <c r="CT41" s="33" t="str">
        <f t="shared" si="19"/>
        <v/>
      </c>
      <c r="CU41" s="33" t="str">
        <f t="shared" si="20"/>
        <v/>
      </c>
      <c r="CV41" s="33" t="str">
        <f t="shared" si="21"/>
        <v/>
      </c>
      <c r="CW41" s="33" t="str">
        <f t="shared" si="22"/>
        <v/>
      </c>
      <c r="CX41" s="33">
        <f t="shared" si="23"/>
        <v>7.08</v>
      </c>
      <c r="CY41" s="33" t="str">
        <f t="shared" si="24"/>
        <v xml:space="preserve"> 8 </v>
      </c>
    </row>
    <row r="42" spans="2:103" x14ac:dyDescent="0.2">
      <c r="B42" s="33">
        <v>-1641</v>
      </c>
      <c r="D42" s="105" t="s">
        <v>1148</v>
      </c>
      <c r="E42" s="105" t="s">
        <v>1148</v>
      </c>
      <c r="F42" s="34"/>
      <c r="G42" s="34"/>
      <c r="I42" s="33" t="e">
        <f t="shared" si="0"/>
        <v>#DIV/0!</v>
      </c>
      <c r="J42" s="33" t="e">
        <f t="shared" si="25"/>
        <v>#DIV/0!</v>
      </c>
      <c r="K42" s="44">
        <f t="shared" si="1"/>
        <v>7.14</v>
      </c>
      <c r="L42" s="33">
        <f t="shared" si="2"/>
        <v>234.7</v>
      </c>
      <c r="M42" s="33" t="s">
        <v>1552</v>
      </c>
      <c r="Q42" s="44" t="str">
        <f t="shared" si="3"/>
        <v xml:space="preserve"> </v>
      </c>
      <c r="R42" s="33" t="str">
        <f>IF(OR(ISBLANK(P42), ISBLANK(Q42)),"",CONCATENATE(" ",VLOOKUP(Q42,Literatuur!$A:$B,2,FALSE)," "))</f>
        <v/>
      </c>
      <c r="T42" s="44" t="str">
        <f t="shared" si="4"/>
        <v xml:space="preserve"> </v>
      </c>
      <c r="U42" s="33" t="str">
        <f>IF(OR(ISBLANK(S42), ISBLANK(T42)),"",CONCATENATE(" ",VLOOKUP(T42,Literatuur!$A:$B,2,FALSE)," "))</f>
        <v/>
      </c>
      <c r="W42" s="44" t="str">
        <f t="shared" si="5"/>
        <v xml:space="preserve"> </v>
      </c>
      <c r="X42" s="33" t="str">
        <f>IF(OR(ISBLANK(V42), ISBLANK(W42)),"",CONCATENATE(" ",VLOOKUP(W42,Literatuur!$A:$B,2,FALSE)," "))</f>
        <v/>
      </c>
      <c r="Z42" s="44" t="str">
        <f t="shared" si="6"/>
        <v xml:space="preserve"> </v>
      </c>
      <c r="AA42" s="33" t="str">
        <f>IF(OR(ISBLANK(Y42), ISBLANK(Z42)),"",CONCATENATE(" ",VLOOKUP(Z42,Literatuur!$A:$B,2,FALSE)," "))</f>
        <v/>
      </c>
      <c r="AC42" s="36" t="str">
        <f t="shared" si="7"/>
        <v xml:space="preserve"> </v>
      </c>
      <c r="AD42" s="33" t="str">
        <f>IF(OR(ISBLANK(AB42), ISBLANK(AC42)),"",CONCATENATE(" ",VLOOKUP(AC42,Literatuur!$A:$B,2,FALSE)," "))</f>
        <v/>
      </c>
      <c r="AG42" s="33" t="str">
        <f>IF(OR(ISBLANK(AE42), ISBLANK(AF42)),"",CONCATENATE(" ",VLOOKUP(AF42,Literatuur!$A:$B,2,FALSE)," "))</f>
        <v/>
      </c>
      <c r="AJ42" s="44" t="str">
        <f t="shared" si="8"/>
        <v xml:space="preserve"> </v>
      </c>
      <c r="AK42" s="33" t="str">
        <f>IF(OR(ISBLANK(AI42), ISBLANK(AJ42)),"",CONCATENATE(" ",VLOOKUP(AJ42,Literatuur!$A:$B,2,FALSE)," "))</f>
        <v/>
      </c>
      <c r="AM42" s="44" t="str">
        <f t="shared" si="9"/>
        <v xml:space="preserve"> </v>
      </c>
      <c r="AN42" s="33" t="str">
        <f>IF(OR(ISBLANK(AL42), ISBLANK(AM42)),"",CONCATENATE(" ",VLOOKUP(AM42,Literatuur!$A:$B,2,FALSE)," "))</f>
        <v/>
      </c>
      <c r="AP42" s="44" t="str">
        <f t="shared" si="10"/>
        <v xml:space="preserve"> </v>
      </c>
      <c r="AQ42" s="33" t="str">
        <f>IF(OR(ISBLANK(AO42), ISBLANK(AP42)),"",CONCATENATE(" ",VLOOKUP(AP42,Literatuur!$A:$B,2,FALSE)," "))</f>
        <v/>
      </c>
      <c r="AT42" s="33" t="str">
        <f>IF(OR(ISBLANK(AR42), ISBLANK(AS42)),"",CONCATENATE(" ",VLOOKUP(AS42,Literatuur!$A:$B,2,FALSE)," "))</f>
        <v/>
      </c>
      <c r="AW42" s="33" t="str">
        <f>IF(OR(ISBLANK(AU42), ISBLANK(AV42)),"",CONCATENATE(" ",VLOOKUP(AV42,Literatuur!$A:$B,2,FALSE)," "))</f>
        <v/>
      </c>
      <c r="AZ42" s="44" t="str">
        <f t="shared" si="11"/>
        <v xml:space="preserve"> </v>
      </c>
      <c r="BA42" s="33" t="str">
        <f>IF(OR(ISBLANK(AY42), ISBLANK(AZ42)),"",CONCATENATE(" ",VLOOKUP(AZ42,Literatuur!$A:$B,2,FALSE)," "))</f>
        <v/>
      </c>
      <c r="BC42" s="44" t="str">
        <f t="shared" si="12"/>
        <v xml:space="preserve"> </v>
      </c>
      <c r="BD42" s="33" t="str">
        <f>IF(OR(ISBLANK(BB42), ISBLANK(BC42)),"",CONCATENATE(" ",VLOOKUP(BC42,Literatuur!$A:$B,2,FALSE)," "))</f>
        <v/>
      </c>
      <c r="BF42" s="44" t="str">
        <f t="shared" si="13"/>
        <v xml:space="preserve"> </v>
      </c>
      <c r="BG42" s="33" t="str">
        <f>IF(OR(ISBLANK(BE42), ISBLANK(BF42)),"",CONCATENATE(" ",VLOOKUP(BF42,Literatuur!$A:$B,2,FALSE)," "))</f>
        <v/>
      </c>
      <c r="BI42" s="44" t="str">
        <f t="shared" si="14"/>
        <v xml:space="preserve"> </v>
      </c>
      <c r="BJ42" s="33" t="str">
        <f>IF(OR(ISBLANK(BH42), ISBLANK(BI42)),"",CONCATENATE(" ",VLOOKUP(BI42,Literatuur!$A:$B,2,FALSE)," "))</f>
        <v/>
      </c>
      <c r="BL42" s="44" t="str">
        <f t="shared" si="15"/>
        <v xml:space="preserve"> </v>
      </c>
      <c r="BM42" s="33" t="str">
        <f>IF(OR(ISBLANK(BK42), ISBLANK(BL42)),"",CONCATENATE(" ",VLOOKUP(BL42,Literatuur!$A:$B,2,FALSE)," "))</f>
        <v/>
      </c>
      <c r="BP42" s="33" t="str">
        <f>IF(OR(ISBLANK(BN42), ISBLANK(BO42)),"",CONCATENATE(" ",VLOOKUP(BO42,Literatuur!$A:$B,2,FALSE)," "))</f>
        <v/>
      </c>
      <c r="BS42" s="33" t="str">
        <f>IF(OR(ISBLANK(BQ42), ISBLANK(BR42)),"",CONCATENATE(" ",VLOOKUP(BR42,Literatuur!$A:$B,2,FALSE)," "))</f>
        <v/>
      </c>
      <c r="BT42" s="33">
        <v>7.14</v>
      </c>
      <c r="BU42" s="33" t="s">
        <v>2066</v>
      </c>
      <c r="BV42" s="33" t="str">
        <f>IF(OR(ISBLANK(BT42), ISBLANK(BU42)),"",CONCATENATE(" ",VLOOKUP(BU42,Literatuur!$A:$B,2,FALSE)," "))</f>
        <v xml:space="preserve"> 8 </v>
      </c>
      <c r="BY42" s="33">
        <v>234.7</v>
      </c>
      <c r="CB42" s="33" t="s">
        <v>2066</v>
      </c>
      <c r="CD42" s="33">
        <f t="shared" si="26"/>
        <v>234.7</v>
      </c>
      <c r="CE42" s="37"/>
      <c r="CH42" s="33">
        <f t="shared" si="16"/>
        <v>7.14</v>
      </c>
      <c r="CR42" s="33" t="str">
        <f t="shared" si="17"/>
        <v>PCB #178</v>
      </c>
      <c r="CS42" s="33" t="str">
        <f t="shared" si="18"/>
        <v>PCB</v>
      </c>
      <c r="CT42" s="33" t="str">
        <f t="shared" si="19"/>
        <v/>
      </c>
      <c r="CU42" s="33" t="str">
        <f t="shared" si="20"/>
        <v/>
      </c>
      <c r="CV42" s="33" t="str">
        <f t="shared" si="21"/>
        <v/>
      </c>
      <c r="CW42" s="33" t="str">
        <f t="shared" si="22"/>
        <v/>
      </c>
      <c r="CX42" s="33">
        <f t="shared" si="23"/>
        <v>7.14</v>
      </c>
      <c r="CY42" s="33" t="str">
        <f t="shared" si="24"/>
        <v xml:space="preserve"> 8 </v>
      </c>
    </row>
    <row r="43" spans="2:103" x14ac:dyDescent="0.2">
      <c r="B43" s="33">
        <v>-1581</v>
      </c>
      <c r="D43" s="105" t="s">
        <v>1088</v>
      </c>
      <c r="E43" s="105" t="s">
        <v>1088</v>
      </c>
      <c r="F43" s="34"/>
      <c r="G43" s="34"/>
      <c r="I43" s="33">
        <f t="shared" si="0"/>
        <v>257.5</v>
      </c>
      <c r="J43" s="33">
        <f t="shared" si="25"/>
        <v>0.81428649749335691</v>
      </c>
      <c r="K43" s="44">
        <f t="shared" si="1"/>
        <v>5.246666666666667</v>
      </c>
      <c r="L43" s="33">
        <f t="shared" si="2"/>
        <v>188.35</v>
      </c>
      <c r="M43" s="33" t="s">
        <v>1552</v>
      </c>
      <c r="Q43" s="44" t="str">
        <f t="shared" si="3"/>
        <v xml:space="preserve"> </v>
      </c>
      <c r="R43" s="33" t="str">
        <f>IF(OR(ISBLANK(P43), ISBLANK(Q43)),"",CONCATENATE(" ",VLOOKUP(Q43,Literatuur!$A:$B,2,FALSE)," "))</f>
        <v/>
      </c>
      <c r="T43" s="44" t="str">
        <f t="shared" si="4"/>
        <v xml:space="preserve"> </v>
      </c>
      <c r="U43" s="33" t="str">
        <f>IF(OR(ISBLANK(S43), ISBLANK(T43)),"",CONCATENATE(" ",VLOOKUP(T43,Literatuur!$A:$B,2,FALSE)," "))</f>
        <v/>
      </c>
      <c r="W43" s="44" t="str">
        <f t="shared" si="5"/>
        <v xml:space="preserve"> </v>
      </c>
      <c r="X43" s="33" t="str">
        <f>IF(OR(ISBLANK(V43), ISBLANK(W43)),"",CONCATENATE(" ",VLOOKUP(W43,Literatuur!$A:$B,2,FALSE)," "))</f>
        <v/>
      </c>
      <c r="Z43" s="44" t="str">
        <f t="shared" si="6"/>
        <v xml:space="preserve"> </v>
      </c>
      <c r="AA43" s="33" t="str">
        <f>IF(OR(ISBLANK(Y43), ISBLANK(Z43)),"",CONCATENATE(" ",VLOOKUP(Z43,Literatuur!$A:$B,2,FALSE)," "))</f>
        <v/>
      </c>
      <c r="AC43" s="186" t="str">
        <f t="shared" si="7"/>
        <v xml:space="preserve"> </v>
      </c>
      <c r="AD43" s="33" t="str">
        <f>IF(OR(ISBLANK(AB43), ISBLANK(AC43)),"",CONCATENATE(" ",VLOOKUP(AC43,Literatuur!$A:$B,2,FALSE)," "))</f>
        <v/>
      </c>
      <c r="AE43" s="39">
        <v>0.81428649749335691</v>
      </c>
      <c r="AF43" s="33" t="s">
        <v>1557</v>
      </c>
      <c r="AG43" s="33" t="str">
        <f>IF(OR(ISBLANK(AE43), ISBLANK(AF43)),"",CONCATENATE(" ",VLOOKUP(AF43,Literatuur!$A:$B,2,FALSE)," "))</f>
        <v xml:space="preserve"> 17 </v>
      </c>
      <c r="AJ43" s="44" t="str">
        <f t="shared" si="8"/>
        <v xml:space="preserve"> </v>
      </c>
      <c r="AK43" s="33" t="str">
        <f>IF(OR(ISBLANK(AI43), ISBLANK(AJ43)),"",CONCATENATE(" ",VLOOKUP(AJ43,Literatuur!$A:$B,2,FALSE)," "))</f>
        <v/>
      </c>
      <c r="AM43" s="44" t="str">
        <f t="shared" si="9"/>
        <v xml:space="preserve"> </v>
      </c>
      <c r="AN43" s="33" t="str">
        <f>IF(OR(ISBLANK(AL43), ISBLANK(AM43)),"",CONCATENATE(" ",VLOOKUP(AM43,Literatuur!$A:$B,2,FALSE)," "))</f>
        <v/>
      </c>
      <c r="AP43" s="44" t="str">
        <f t="shared" si="10"/>
        <v xml:space="preserve"> </v>
      </c>
      <c r="AQ43" s="33" t="str">
        <f>IF(OR(ISBLANK(AO43), ISBLANK(AP43)),"",CONCATENATE(" ",VLOOKUP(AP43,Literatuur!$A:$B,2,FALSE)," "))</f>
        <v/>
      </c>
      <c r="AT43" s="33" t="str">
        <f>IF(OR(ISBLANK(AR43), ISBLANK(AS43)),"",CONCATENATE(" ",VLOOKUP(AS43,Literatuur!$A:$B,2,FALSE)," "))</f>
        <v/>
      </c>
      <c r="AU43" s="33">
        <v>257.5</v>
      </c>
      <c r="AV43" s="33" t="s">
        <v>1557</v>
      </c>
      <c r="AW43" s="33" t="str">
        <f>IF(OR(ISBLANK(AU43), ISBLANK(AV43)),"",CONCATENATE(" ",VLOOKUP(AV43,Literatuur!$A:$B,2,FALSE)," "))</f>
        <v xml:space="preserve"> 17 </v>
      </c>
      <c r="AZ43" s="44" t="str">
        <f t="shared" si="11"/>
        <v xml:space="preserve"> </v>
      </c>
      <c r="BA43" s="33" t="str">
        <f>IF(OR(ISBLANK(AY43), ISBLANK(AZ43)),"",CONCATENATE(" ",VLOOKUP(AZ43,Literatuur!$A:$B,2,FALSE)," "))</f>
        <v/>
      </c>
      <c r="BC43" s="44" t="str">
        <f t="shared" si="12"/>
        <v xml:space="preserve"> </v>
      </c>
      <c r="BD43" s="33" t="str">
        <f>IF(OR(ISBLANK(BB43), ISBLANK(BC43)),"",CONCATENATE(" ",VLOOKUP(BC43,Literatuur!$A:$B,2,FALSE)," "))</f>
        <v/>
      </c>
      <c r="BF43" s="44" t="str">
        <f t="shared" si="13"/>
        <v xml:space="preserve"> </v>
      </c>
      <c r="BG43" s="33" t="str">
        <f>IF(OR(ISBLANK(BE43), ISBLANK(BF43)),"",CONCATENATE(" ",VLOOKUP(BF43,Literatuur!$A:$B,2,FALSE)," "))</f>
        <v/>
      </c>
      <c r="BI43" s="44" t="str">
        <f t="shared" si="14"/>
        <v xml:space="preserve"> </v>
      </c>
      <c r="BJ43" s="33" t="str">
        <f>IF(OR(ISBLANK(BH43), ISBLANK(BI43)),"",CONCATENATE(" ",VLOOKUP(BI43,Literatuur!$A:$B,2,FALSE)," "))</f>
        <v/>
      </c>
      <c r="BL43" s="44" t="str">
        <f t="shared" si="15"/>
        <v xml:space="preserve"> </v>
      </c>
      <c r="BM43" s="33" t="str">
        <f>IF(OR(ISBLANK(BK43), ISBLANK(BL43)),"",CONCATENATE(" ",VLOOKUP(BL43,Literatuur!$A:$B,2,FALSE)," "))</f>
        <v/>
      </c>
      <c r="BN43" s="33">
        <v>5.3</v>
      </c>
      <c r="BO43" s="33" t="s">
        <v>1557</v>
      </c>
      <c r="BP43" s="33" t="str">
        <f>IF(OR(ISBLANK(BN43), ISBLANK(BO43)),"",CONCATENATE(" ",VLOOKUP(BO43,Literatuur!$A:$B,2,FALSE)," "))</f>
        <v xml:space="preserve"> 17 </v>
      </c>
      <c r="BQ43" s="33">
        <v>5.2</v>
      </c>
      <c r="BR43" s="33" t="s">
        <v>1557</v>
      </c>
      <c r="BS43" s="33" t="str">
        <f>IF(OR(ISBLANK(BQ43), ISBLANK(BR43)),"",CONCATENATE(" ",VLOOKUP(BR43,Literatuur!$A:$B,2,FALSE)," "))</f>
        <v xml:space="preserve"> 17 </v>
      </c>
      <c r="BT43" s="33">
        <v>5.24</v>
      </c>
      <c r="BU43" s="33" t="s">
        <v>2066</v>
      </c>
      <c r="BV43" s="33" t="str">
        <f>IF(OR(ISBLANK(BT43), ISBLANK(BU43)),"",CONCATENATE(" ",VLOOKUP(BU43,Literatuur!$A:$B,2,FALSE)," "))</f>
        <v xml:space="preserve"> 8 </v>
      </c>
      <c r="BX43" s="33">
        <v>188.6</v>
      </c>
      <c r="BY43" s="33">
        <v>188.1</v>
      </c>
      <c r="BZ43" s="33">
        <v>199.4</v>
      </c>
      <c r="CA43" s="33" t="s">
        <v>1557</v>
      </c>
      <c r="CB43" s="33" t="s">
        <v>2066</v>
      </c>
      <c r="CC43" s="33" t="s">
        <v>1734</v>
      </c>
      <c r="CD43" s="33">
        <f t="shared" si="26"/>
        <v>188.35</v>
      </c>
      <c r="CE43" s="37">
        <f>I43</f>
        <v>257.5</v>
      </c>
      <c r="CG43" s="33">
        <f>LOG(J43)</f>
        <v>-8.9222766622790592E-2</v>
      </c>
      <c r="CH43" s="33">
        <f t="shared" si="16"/>
        <v>5.246666666666667</v>
      </c>
      <c r="CR43" s="33" t="str">
        <f t="shared" si="17"/>
        <v>PCB #18</v>
      </c>
      <c r="CS43" s="33" t="str">
        <f t="shared" si="18"/>
        <v>PCB</v>
      </c>
      <c r="CT43" s="33">
        <f t="shared" si="19"/>
        <v>257.5</v>
      </c>
      <c r="CU43" s="33" t="str">
        <f t="shared" si="20"/>
        <v xml:space="preserve"> 17 </v>
      </c>
      <c r="CV43" s="33">
        <f t="shared" si="21"/>
        <v>0.81428649749335691</v>
      </c>
      <c r="CW43" s="33" t="str">
        <f t="shared" si="22"/>
        <v xml:space="preserve"> 17 </v>
      </c>
      <c r="CX43" s="33">
        <f t="shared" si="23"/>
        <v>5.246666666666667</v>
      </c>
      <c r="CY43" s="33" t="str">
        <f t="shared" si="24"/>
        <v xml:space="preserve"> 17  17  8 </v>
      </c>
    </row>
    <row r="44" spans="2:103" x14ac:dyDescent="0.2">
      <c r="B44" s="33">
        <v>-1642</v>
      </c>
      <c r="D44" s="105" t="s">
        <v>1149</v>
      </c>
      <c r="E44" s="105" t="s">
        <v>1149</v>
      </c>
      <c r="F44" s="34"/>
      <c r="G44" s="34"/>
      <c r="I44" s="33" t="e">
        <f t="shared" si="0"/>
        <v>#DIV/0!</v>
      </c>
      <c r="J44" s="33" t="e">
        <f t="shared" si="25"/>
        <v>#DIV/0!</v>
      </c>
      <c r="K44" s="44">
        <f t="shared" si="1"/>
        <v>7.36</v>
      </c>
      <c r="L44" s="33">
        <f t="shared" si="2"/>
        <v>234.9</v>
      </c>
      <c r="M44" s="33" t="s">
        <v>1552</v>
      </c>
      <c r="Q44" s="44" t="str">
        <f t="shared" si="3"/>
        <v xml:space="preserve"> </v>
      </c>
      <c r="R44" s="33" t="str">
        <f>IF(OR(ISBLANK(P44), ISBLANK(Q44)),"",CONCATENATE(" ",VLOOKUP(Q44,Literatuur!$A:$B,2,FALSE)," "))</f>
        <v/>
      </c>
      <c r="T44" s="44" t="str">
        <f t="shared" si="4"/>
        <v xml:space="preserve"> </v>
      </c>
      <c r="U44" s="33" t="str">
        <f>IF(OR(ISBLANK(S44), ISBLANK(T44)),"",CONCATENATE(" ",VLOOKUP(T44,Literatuur!$A:$B,2,FALSE)," "))</f>
        <v/>
      </c>
      <c r="W44" s="44" t="str">
        <f t="shared" si="5"/>
        <v xml:space="preserve"> </v>
      </c>
      <c r="X44" s="33" t="str">
        <f>IF(OR(ISBLANK(V44), ISBLANK(W44)),"",CONCATENATE(" ",VLOOKUP(W44,Literatuur!$A:$B,2,FALSE)," "))</f>
        <v/>
      </c>
      <c r="Z44" s="44" t="str">
        <f t="shared" si="6"/>
        <v xml:space="preserve"> </v>
      </c>
      <c r="AA44" s="33" t="str">
        <f>IF(OR(ISBLANK(Y44), ISBLANK(Z44)),"",CONCATENATE(" ",VLOOKUP(Z44,Literatuur!$A:$B,2,FALSE)," "))</f>
        <v/>
      </c>
      <c r="AC44" s="36" t="str">
        <f t="shared" si="7"/>
        <v xml:space="preserve"> </v>
      </c>
      <c r="AD44" s="33" t="str">
        <f>IF(OR(ISBLANK(AB44), ISBLANK(AC44)),"",CONCATENATE(" ",VLOOKUP(AC44,Literatuur!$A:$B,2,FALSE)," "))</f>
        <v/>
      </c>
      <c r="AG44" s="33" t="str">
        <f>IF(OR(ISBLANK(AE44), ISBLANK(AF44)),"",CONCATENATE(" ",VLOOKUP(AF44,Literatuur!$A:$B,2,FALSE)," "))</f>
        <v/>
      </c>
      <c r="AJ44" s="44" t="str">
        <f t="shared" si="8"/>
        <v xml:space="preserve"> </v>
      </c>
      <c r="AK44" s="33" t="str">
        <f>IF(OR(ISBLANK(AI44), ISBLANK(AJ44)),"",CONCATENATE(" ",VLOOKUP(AJ44,Literatuur!$A:$B,2,FALSE)," "))</f>
        <v/>
      </c>
      <c r="AM44" s="44" t="str">
        <f t="shared" si="9"/>
        <v xml:space="preserve"> </v>
      </c>
      <c r="AN44" s="33" t="str">
        <f>IF(OR(ISBLANK(AL44), ISBLANK(AM44)),"",CONCATENATE(" ",VLOOKUP(AM44,Literatuur!$A:$B,2,FALSE)," "))</f>
        <v/>
      </c>
      <c r="AP44" s="44" t="str">
        <f t="shared" si="10"/>
        <v xml:space="preserve"> </v>
      </c>
      <c r="AQ44" s="33" t="str">
        <f>IF(OR(ISBLANK(AO44), ISBLANK(AP44)),"",CONCATENATE(" ",VLOOKUP(AP44,Literatuur!$A:$B,2,FALSE)," "))</f>
        <v/>
      </c>
      <c r="AT44" s="33" t="str">
        <f>IF(OR(ISBLANK(AR44), ISBLANK(AS44)),"",CONCATENATE(" ",VLOOKUP(AS44,Literatuur!$A:$B,2,FALSE)," "))</f>
        <v/>
      </c>
      <c r="AW44" s="33" t="str">
        <f>IF(OR(ISBLANK(AU44), ISBLANK(AV44)),"",CONCATENATE(" ",VLOOKUP(AV44,Literatuur!$A:$B,2,FALSE)," "))</f>
        <v/>
      </c>
      <c r="AZ44" s="44" t="str">
        <f t="shared" si="11"/>
        <v xml:space="preserve"> </v>
      </c>
      <c r="BA44" s="33" t="str">
        <f>IF(OR(ISBLANK(AY44), ISBLANK(AZ44)),"",CONCATENATE(" ",VLOOKUP(AZ44,Literatuur!$A:$B,2,FALSE)," "))</f>
        <v/>
      </c>
      <c r="BC44" s="44" t="str">
        <f t="shared" si="12"/>
        <v xml:space="preserve"> </v>
      </c>
      <c r="BD44" s="33" t="str">
        <f>IF(OR(ISBLANK(BB44), ISBLANK(BC44)),"",CONCATENATE(" ",VLOOKUP(BC44,Literatuur!$A:$B,2,FALSE)," "))</f>
        <v/>
      </c>
      <c r="BF44" s="44" t="str">
        <f t="shared" si="13"/>
        <v xml:space="preserve"> </v>
      </c>
      <c r="BG44" s="33" t="str">
        <f>IF(OR(ISBLANK(BE44), ISBLANK(BF44)),"",CONCATENATE(" ",VLOOKUP(BF44,Literatuur!$A:$B,2,FALSE)," "))</f>
        <v/>
      </c>
      <c r="BI44" s="44" t="str">
        <f t="shared" si="14"/>
        <v xml:space="preserve"> </v>
      </c>
      <c r="BJ44" s="33" t="str">
        <f>IF(OR(ISBLANK(BH44), ISBLANK(BI44)),"",CONCATENATE(" ",VLOOKUP(BI44,Literatuur!$A:$B,2,FALSE)," "))</f>
        <v/>
      </c>
      <c r="BL44" s="44" t="str">
        <f t="shared" si="15"/>
        <v xml:space="preserve"> </v>
      </c>
      <c r="BM44" s="33" t="str">
        <f>IF(OR(ISBLANK(BK44), ISBLANK(BL44)),"",CONCATENATE(" ",VLOOKUP(BL44,Literatuur!$A:$B,2,FALSE)," "))</f>
        <v/>
      </c>
      <c r="BP44" s="33" t="str">
        <f>IF(OR(ISBLANK(BN44), ISBLANK(BO44)),"",CONCATENATE(" ",VLOOKUP(BO44,Literatuur!$A:$B,2,FALSE)," "))</f>
        <v/>
      </c>
      <c r="BS44" s="33" t="str">
        <f>IF(OR(ISBLANK(BQ44), ISBLANK(BR44)),"",CONCATENATE(" ",VLOOKUP(BR44,Literatuur!$A:$B,2,FALSE)," "))</f>
        <v/>
      </c>
      <c r="BT44" s="33">
        <v>7.36</v>
      </c>
      <c r="BU44" s="33" t="s">
        <v>2066</v>
      </c>
      <c r="BV44" s="33" t="str">
        <f>IF(OR(ISBLANK(BT44), ISBLANK(BU44)),"",CONCATENATE(" ",VLOOKUP(BU44,Literatuur!$A:$B,2,FALSE)," "))</f>
        <v xml:space="preserve"> 8 </v>
      </c>
      <c r="BY44" s="33">
        <v>234.9</v>
      </c>
      <c r="CB44" s="33" t="s">
        <v>2066</v>
      </c>
      <c r="CD44" s="33">
        <f t="shared" si="26"/>
        <v>234.9</v>
      </c>
      <c r="CE44" s="37"/>
      <c r="CH44" s="33">
        <f t="shared" si="16"/>
        <v>7.36</v>
      </c>
      <c r="CR44" s="33" t="str">
        <f t="shared" si="17"/>
        <v>PCB #180</v>
      </c>
      <c r="CS44" s="33" t="str">
        <f t="shared" si="18"/>
        <v>PCB</v>
      </c>
      <c r="CT44" s="33" t="str">
        <f t="shared" si="19"/>
        <v/>
      </c>
      <c r="CU44" s="33" t="str">
        <f t="shared" si="20"/>
        <v/>
      </c>
      <c r="CV44" s="33" t="str">
        <f t="shared" si="21"/>
        <v/>
      </c>
      <c r="CW44" s="33" t="str">
        <f t="shared" si="22"/>
        <v/>
      </c>
      <c r="CX44" s="33">
        <f t="shared" si="23"/>
        <v>7.36</v>
      </c>
      <c r="CY44" s="33" t="str">
        <f t="shared" si="24"/>
        <v xml:space="preserve"> 8 </v>
      </c>
    </row>
    <row r="45" spans="2:103" ht="12.75" customHeight="1" x14ac:dyDescent="0.2">
      <c r="B45" s="33">
        <v>-1643</v>
      </c>
      <c r="D45" s="105" t="s">
        <v>1150</v>
      </c>
      <c r="E45" s="105" t="s">
        <v>1150</v>
      </c>
      <c r="F45" s="34"/>
      <c r="G45" s="34"/>
      <c r="I45" s="33" t="e">
        <f t="shared" si="0"/>
        <v>#DIV/0!</v>
      </c>
      <c r="J45" s="33" t="e">
        <f t="shared" si="25"/>
        <v>#DIV/0!</v>
      </c>
      <c r="K45" s="44">
        <f t="shared" si="1"/>
        <v>7.2</v>
      </c>
      <c r="L45" s="33">
        <f t="shared" si="2"/>
        <v>234.6</v>
      </c>
      <c r="M45" s="33" t="s">
        <v>1552</v>
      </c>
      <c r="Q45" s="44" t="str">
        <f t="shared" si="3"/>
        <v xml:space="preserve"> </v>
      </c>
      <c r="R45" s="33" t="str">
        <f>IF(OR(ISBLANK(P45), ISBLANK(Q45)),"",CONCATENATE(" ",VLOOKUP(Q45,Literatuur!$A:$B,2,FALSE)," "))</f>
        <v/>
      </c>
      <c r="T45" s="44" t="str">
        <f t="shared" si="4"/>
        <v xml:space="preserve"> </v>
      </c>
      <c r="U45" s="33" t="str">
        <f>IF(OR(ISBLANK(S45), ISBLANK(T45)),"",CONCATENATE(" ",VLOOKUP(T45,Literatuur!$A:$B,2,FALSE)," "))</f>
        <v/>
      </c>
      <c r="W45" s="44" t="str">
        <f t="shared" si="5"/>
        <v xml:space="preserve"> </v>
      </c>
      <c r="X45" s="33" t="str">
        <f>IF(OR(ISBLANK(V45), ISBLANK(W45)),"",CONCATENATE(" ",VLOOKUP(W45,Literatuur!$A:$B,2,FALSE)," "))</f>
        <v/>
      </c>
      <c r="Z45" s="44" t="str">
        <f t="shared" si="6"/>
        <v xml:space="preserve"> </v>
      </c>
      <c r="AA45" s="33" t="str">
        <f>IF(OR(ISBLANK(Y45), ISBLANK(Z45)),"",CONCATENATE(" ",VLOOKUP(Z45,Literatuur!$A:$B,2,FALSE)," "))</f>
        <v/>
      </c>
      <c r="AC45" s="36" t="str">
        <f t="shared" si="7"/>
        <v xml:space="preserve"> </v>
      </c>
      <c r="AD45" s="33" t="str">
        <f>IF(OR(ISBLANK(AB45), ISBLANK(AC45)),"",CONCATENATE(" ",VLOOKUP(AC45,Literatuur!$A:$B,2,FALSE)," "))</f>
        <v/>
      </c>
      <c r="AG45" s="33" t="str">
        <f>IF(OR(ISBLANK(AE45), ISBLANK(AF45)),"",CONCATENATE(" ",VLOOKUP(AF45,Literatuur!$A:$B,2,FALSE)," "))</f>
        <v/>
      </c>
      <c r="AJ45" s="44" t="str">
        <f t="shared" si="8"/>
        <v xml:space="preserve"> </v>
      </c>
      <c r="AK45" s="33" t="str">
        <f>IF(OR(ISBLANK(AI45), ISBLANK(AJ45)),"",CONCATENATE(" ",VLOOKUP(AJ45,Literatuur!$A:$B,2,FALSE)," "))</f>
        <v/>
      </c>
      <c r="AM45" s="44" t="str">
        <f t="shared" si="9"/>
        <v xml:space="preserve"> </v>
      </c>
      <c r="AN45" s="33" t="str">
        <f>IF(OR(ISBLANK(AL45), ISBLANK(AM45)),"",CONCATENATE(" ",VLOOKUP(AM45,Literatuur!$A:$B,2,FALSE)," "))</f>
        <v/>
      </c>
      <c r="AP45" s="44" t="str">
        <f t="shared" si="10"/>
        <v xml:space="preserve"> </v>
      </c>
      <c r="AQ45" s="33" t="str">
        <f>IF(OR(ISBLANK(AO45), ISBLANK(AP45)),"",CONCATENATE(" ",VLOOKUP(AP45,Literatuur!$A:$B,2,FALSE)," "))</f>
        <v/>
      </c>
      <c r="AT45" s="33" t="str">
        <f>IF(OR(ISBLANK(AR45), ISBLANK(AS45)),"",CONCATENATE(" ",VLOOKUP(AS45,Literatuur!$A:$B,2,FALSE)," "))</f>
        <v/>
      </c>
      <c r="AW45" s="33" t="str">
        <f>IF(OR(ISBLANK(AU45), ISBLANK(AV45)),"",CONCATENATE(" ",VLOOKUP(AV45,Literatuur!$A:$B,2,FALSE)," "))</f>
        <v/>
      </c>
      <c r="AZ45" s="44" t="str">
        <f t="shared" si="11"/>
        <v xml:space="preserve"> </v>
      </c>
      <c r="BA45" s="33" t="str">
        <f>IF(OR(ISBLANK(AY45), ISBLANK(AZ45)),"",CONCATENATE(" ",VLOOKUP(AZ45,Literatuur!$A:$B,2,FALSE)," "))</f>
        <v/>
      </c>
      <c r="BC45" s="44" t="str">
        <f t="shared" si="12"/>
        <v xml:space="preserve"> </v>
      </c>
      <c r="BD45" s="33" t="str">
        <f>IF(OR(ISBLANK(BB45), ISBLANK(BC45)),"",CONCATENATE(" ",VLOOKUP(BC45,Literatuur!$A:$B,2,FALSE)," "))</f>
        <v/>
      </c>
      <c r="BF45" s="44" t="str">
        <f t="shared" si="13"/>
        <v xml:space="preserve"> </v>
      </c>
      <c r="BG45" s="33" t="str">
        <f>IF(OR(ISBLANK(BE45), ISBLANK(BF45)),"",CONCATENATE(" ",VLOOKUP(BF45,Literatuur!$A:$B,2,FALSE)," "))</f>
        <v/>
      </c>
      <c r="BI45" s="44" t="str">
        <f t="shared" si="14"/>
        <v xml:space="preserve"> </v>
      </c>
      <c r="BJ45" s="33" t="str">
        <f>IF(OR(ISBLANK(BH45), ISBLANK(BI45)),"",CONCATENATE(" ",VLOOKUP(BI45,Literatuur!$A:$B,2,FALSE)," "))</f>
        <v/>
      </c>
      <c r="BL45" s="44" t="str">
        <f t="shared" si="15"/>
        <v xml:space="preserve"> </v>
      </c>
      <c r="BM45" s="33" t="str">
        <f>IF(OR(ISBLANK(BK45), ISBLANK(BL45)),"",CONCATENATE(" ",VLOOKUP(BL45,Literatuur!$A:$B,2,FALSE)," "))</f>
        <v/>
      </c>
      <c r="BP45" s="33" t="str">
        <f>IF(OR(ISBLANK(BN45), ISBLANK(BO45)),"",CONCATENATE(" ",VLOOKUP(BO45,Literatuur!$A:$B,2,FALSE)," "))</f>
        <v/>
      </c>
      <c r="BS45" s="33" t="str">
        <f>IF(OR(ISBLANK(BQ45), ISBLANK(BR45)),"",CONCATENATE(" ",VLOOKUP(BR45,Literatuur!$A:$B,2,FALSE)," "))</f>
        <v/>
      </c>
      <c r="BT45" s="33">
        <v>7.2</v>
      </c>
      <c r="BU45" s="33" t="s">
        <v>2066</v>
      </c>
      <c r="BV45" s="33" t="str">
        <f>IF(OR(ISBLANK(BT45), ISBLANK(BU45)),"",CONCATENATE(" ",VLOOKUP(BU45,Literatuur!$A:$B,2,FALSE)," "))</f>
        <v xml:space="preserve"> 8 </v>
      </c>
      <c r="BY45" s="33">
        <v>234.6</v>
      </c>
      <c r="CB45" s="33" t="s">
        <v>2066</v>
      </c>
      <c r="CD45" s="33">
        <f t="shared" si="26"/>
        <v>234.6</v>
      </c>
      <c r="CE45" s="37"/>
      <c r="CH45" s="33">
        <f t="shared" si="16"/>
        <v>7.2</v>
      </c>
      <c r="CR45" s="33" t="str">
        <f t="shared" si="17"/>
        <v>PCB #183</v>
      </c>
      <c r="CS45" s="33" t="str">
        <f t="shared" si="18"/>
        <v>PCB</v>
      </c>
      <c r="CT45" s="33" t="str">
        <f t="shared" si="19"/>
        <v/>
      </c>
      <c r="CU45" s="33" t="str">
        <f t="shared" si="20"/>
        <v/>
      </c>
      <c r="CV45" s="33" t="str">
        <f t="shared" si="21"/>
        <v/>
      </c>
      <c r="CW45" s="33" t="str">
        <f t="shared" si="22"/>
        <v/>
      </c>
      <c r="CX45" s="33">
        <f t="shared" si="23"/>
        <v>7.2</v>
      </c>
      <c r="CY45" s="33" t="str">
        <f t="shared" si="24"/>
        <v xml:space="preserve"> 8 </v>
      </c>
    </row>
    <row r="46" spans="2:103" ht="12.75" customHeight="1" x14ac:dyDescent="0.2">
      <c r="B46" s="33">
        <v>-1644</v>
      </c>
      <c r="D46" s="105" t="s">
        <v>1151</v>
      </c>
      <c r="E46" s="105" t="s">
        <v>1151</v>
      </c>
      <c r="F46" s="34"/>
      <c r="G46" s="34"/>
      <c r="I46" s="33" t="e">
        <f t="shared" ref="I46:I77" si="27">IF(ISNUMBER(AI46),AI46,AVERAGE(AL46:AU46))</f>
        <v>#DIV/0!</v>
      </c>
      <c r="J46" s="33" t="e">
        <f t="shared" si="25"/>
        <v>#DIV/0!</v>
      </c>
      <c r="K46" s="44">
        <f t="shared" ref="K46:K77" si="28">IF(ISNUMBER(AY46),AY46,AVERAGE(BB46,BE46,BH46,BK46,BN46,BQ46,BT46))</f>
        <v>7.11</v>
      </c>
      <c r="L46" s="33">
        <f t="shared" ref="L46:L77" si="29">AVERAGE(BX46:BY46)</f>
        <v>234.4</v>
      </c>
      <c r="M46" s="33" t="s">
        <v>1552</v>
      </c>
      <c r="Q46" s="44" t="str">
        <f t="shared" ref="Q46:Q77" si="30">IF(ISBLANK(P46)," ","Sanscrit")</f>
        <v xml:space="preserve"> </v>
      </c>
      <c r="R46" s="33" t="str">
        <f>IF(OR(ISBLANK(P46), ISBLANK(Q46)),"",CONCATENATE(" ",VLOOKUP(Q46,Literatuur!$A:$B,2,FALSE)," "))</f>
        <v/>
      </c>
      <c r="T46" s="44" t="str">
        <f t="shared" ref="T46:T77" si="31">IF(ISBLANK(S46)," ","Gestis")</f>
        <v xml:space="preserve"> </v>
      </c>
      <c r="U46" s="33" t="str">
        <f>IF(OR(ISBLANK(S46), ISBLANK(T46)),"",CONCATENATE(" ",VLOOKUP(T46,Literatuur!$A:$B,2,FALSE)," "))</f>
        <v/>
      </c>
      <c r="W46" s="44" t="str">
        <f t="shared" ref="W46:W77" si="32">IF(ISBLANK(V46)," ","US EPA 1995")</f>
        <v xml:space="preserve"> </v>
      </c>
      <c r="X46" s="33" t="str">
        <f>IF(OR(ISBLANK(V46), ISBLANK(W46)),"",CONCATENATE(" ",VLOOKUP(W46,Literatuur!$A:$B,2,FALSE)," "))</f>
        <v/>
      </c>
      <c r="Z46" s="44" t="str">
        <f t="shared" ref="Z46:Z77" si="33">IF(ISBLANK(Y46)," ","US EPA suite")</f>
        <v xml:space="preserve"> </v>
      </c>
      <c r="AA46" s="33" t="str">
        <f>IF(OR(ISBLANK(Y46), ISBLANK(Z46)),"",CONCATENATE(" ",VLOOKUP(Z46,Literatuur!$A:$B,2,FALSE)," "))</f>
        <v/>
      </c>
      <c r="AC46" s="36" t="str">
        <f t="shared" ref="AC46:AC77" si="34">IF(ISBLANK(AB46)," ","Vonk 1985")</f>
        <v xml:space="preserve"> </v>
      </c>
      <c r="AD46" s="33" t="str">
        <f>IF(OR(ISBLANK(AB46), ISBLANK(AC46)),"",CONCATENATE(" ",VLOOKUP(AC46,Literatuur!$A:$B,2,FALSE)," "))</f>
        <v/>
      </c>
      <c r="AG46" s="33" t="str">
        <f>IF(OR(ISBLANK(AE46), ISBLANK(AF46)),"",CONCATENATE(" ",VLOOKUP(AF46,Literatuur!$A:$B,2,FALSE)," "))</f>
        <v/>
      </c>
      <c r="AJ46" s="44" t="str">
        <f t="shared" ref="AJ46:AJ77" si="35">IF(ISBLANK(AI46)," ","Sanscrit")</f>
        <v xml:space="preserve"> </v>
      </c>
      <c r="AK46" s="33" t="str">
        <f>IF(OR(ISBLANK(AI46), ISBLANK(AJ46)),"",CONCATENATE(" ",VLOOKUP(AJ46,Literatuur!$A:$B,2,FALSE)," "))</f>
        <v/>
      </c>
      <c r="AM46" s="44" t="str">
        <f t="shared" ref="AM46:AM77" si="36">IF(ISBLANK(AL46)," ","Gestis")</f>
        <v xml:space="preserve"> </v>
      </c>
      <c r="AN46" s="33" t="str">
        <f>IF(OR(ISBLANK(AL46), ISBLANK(AM46)),"",CONCATENATE(" ",VLOOKUP(AM46,Literatuur!$A:$B,2,FALSE)," "))</f>
        <v/>
      </c>
      <c r="AP46" s="44" t="str">
        <f t="shared" ref="AP46:AP77" si="37">IF(ISBLANK(AO46)," ","US EPA suite")</f>
        <v xml:space="preserve"> </v>
      </c>
      <c r="AQ46" s="33" t="str">
        <f>IF(OR(ISBLANK(AO46), ISBLANK(AP46)),"",CONCATENATE(" ",VLOOKUP(AP46,Literatuur!$A:$B,2,FALSE)," "))</f>
        <v/>
      </c>
      <c r="AT46" s="33" t="str">
        <f>IF(OR(ISBLANK(AR46), ISBLANK(AS46)),"",CONCATENATE(" ",VLOOKUP(AS46,Literatuur!$A:$B,2,FALSE)," "))</f>
        <v/>
      </c>
      <c r="AW46" s="33" t="str">
        <f>IF(OR(ISBLANK(AU46), ISBLANK(AV46)),"",CONCATENATE(" ",VLOOKUP(AV46,Literatuur!$A:$B,2,FALSE)," "))</f>
        <v/>
      </c>
      <c r="AZ46" s="44" t="str">
        <f t="shared" ref="AZ46:AZ77" si="38">IF(ISBLANK(AY46)," ","Sanscrit")</f>
        <v xml:space="preserve"> </v>
      </c>
      <c r="BA46" s="33" t="str">
        <f>IF(OR(ISBLANK(AY46), ISBLANK(AZ46)),"",CONCATENATE(" ",VLOOKUP(AZ46,Literatuur!$A:$B,2,FALSE)," "))</f>
        <v/>
      </c>
      <c r="BC46" s="44" t="str">
        <f t="shared" ref="BC46:BC77" si="39">IF(ISBLANK(BB46)," ","Gestis")</f>
        <v xml:space="preserve"> </v>
      </c>
      <c r="BD46" s="33" t="str">
        <f>IF(OR(ISBLANK(BB46), ISBLANK(BC46)),"",CONCATENATE(" ",VLOOKUP(BC46,Literatuur!$A:$B,2,FALSE)," "))</f>
        <v/>
      </c>
      <c r="BF46" s="44" t="str">
        <f t="shared" ref="BF46:BF77" si="40">IF(ISBLANK(BE46)," ","US EPA 1995")</f>
        <v xml:space="preserve"> </v>
      </c>
      <c r="BG46" s="33" t="str">
        <f>IF(OR(ISBLANK(BE46), ISBLANK(BF46)),"",CONCATENATE(" ",VLOOKUP(BF46,Literatuur!$A:$B,2,FALSE)," "))</f>
        <v/>
      </c>
      <c r="BI46" s="44" t="str">
        <f t="shared" ref="BI46:BI77" si="41">IF(ISBLANK(BH46)," ","US EPA suite")</f>
        <v xml:space="preserve"> </v>
      </c>
      <c r="BJ46" s="33" t="str">
        <f>IF(OR(ISBLANK(BH46), ISBLANK(BI46)),"",CONCATENATE(" ",VLOOKUP(BI46,Literatuur!$A:$B,2,FALSE)," "))</f>
        <v/>
      </c>
      <c r="BL46" s="44" t="str">
        <f t="shared" ref="BL46:BL77" si="42">IF(ISBLANK(BK46)," ","Sangster 1989")</f>
        <v xml:space="preserve"> </v>
      </c>
      <c r="BM46" s="33" t="str">
        <f>IF(OR(ISBLANK(BK46), ISBLANK(BL46)),"",CONCATENATE(" ",VLOOKUP(BL46,Literatuur!$A:$B,2,FALSE)," "))</f>
        <v/>
      </c>
      <c r="BP46" s="33" t="str">
        <f>IF(OR(ISBLANK(BN46), ISBLANK(BO46)),"",CONCATENATE(" ",VLOOKUP(BO46,Literatuur!$A:$B,2,FALSE)," "))</f>
        <v/>
      </c>
      <c r="BS46" s="33" t="str">
        <f>IF(OR(ISBLANK(BQ46), ISBLANK(BR46)),"",CONCATENATE(" ",VLOOKUP(BR46,Literatuur!$A:$B,2,FALSE)," "))</f>
        <v/>
      </c>
      <c r="BT46" s="33">
        <v>7.11</v>
      </c>
      <c r="BU46" s="33" t="s">
        <v>2066</v>
      </c>
      <c r="BV46" s="33" t="str">
        <f>IF(OR(ISBLANK(BT46), ISBLANK(BU46)),"",CONCATENATE(" ",VLOOKUP(BU46,Literatuur!$A:$B,2,FALSE)," "))</f>
        <v xml:space="preserve"> 8 </v>
      </c>
      <c r="BY46" s="33">
        <v>234.4</v>
      </c>
      <c r="CB46" s="33" t="s">
        <v>2066</v>
      </c>
      <c r="CD46" s="33">
        <f t="shared" si="26"/>
        <v>234.4</v>
      </c>
      <c r="CE46" s="37"/>
      <c r="CH46" s="33">
        <f t="shared" ref="CH46:CH77" si="43">K46</f>
        <v>7.11</v>
      </c>
      <c r="CR46" s="33" t="str">
        <f t="shared" si="17"/>
        <v>PCB #185</v>
      </c>
      <c r="CS46" s="33" t="str">
        <f t="shared" si="18"/>
        <v>PCB</v>
      </c>
      <c r="CT46" s="33" t="str">
        <f t="shared" si="19"/>
        <v/>
      </c>
      <c r="CU46" s="33" t="str">
        <f t="shared" si="20"/>
        <v/>
      </c>
      <c r="CV46" s="33" t="str">
        <f t="shared" si="21"/>
        <v/>
      </c>
      <c r="CW46" s="33" t="str">
        <f t="shared" si="22"/>
        <v/>
      </c>
      <c r="CX46" s="33">
        <f t="shared" si="23"/>
        <v>7.11</v>
      </c>
      <c r="CY46" s="33" t="str">
        <f t="shared" si="24"/>
        <v xml:space="preserve"> 8 </v>
      </c>
    </row>
    <row r="47" spans="2:103" ht="12.75" customHeight="1" x14ac:dyDescent="0.2">
      <c r="B47" s="33">
        <v>-1645</v>
      </c>
      <c r="D47" s="105" t="s">
        <v>1152</v>
      </c>
      <c r="E47" s="105" t="s">
        <v>1152</v>
      </c>
      <c r="F47" s="34"/>
      <c r="G47" s="34"/>
      <c r="I47" s="33" t="e">
        <f t="shared" si="27"/>
        <v>#DIV/0!</v>
      </c>
      <c r="J47" s="33" t="e">
        <f t="shared" si="25"/>
        <v>#DIV/0!</v>
      </c>
      <c r="K47" s="44">
        <f t="shared" si="28"/>
        <v>7.52</v>
      </c>
      <c r="L47" s="33">
        <f t="shared" si="29"/>
        <v>234</v>
      </c>
      <c r="M47" s="33" t="s">
        <v>1552</v>
      </c>
      <c r="Q47" s="44" t="str">
        <f t="shared" si="30"/>
        <v xml:space="preserve"> </v>
      </c>
      <c r="R47" s="33" t="str">
        <f>IF(OR(ISBLANK(P47), ISBLANK(Q47)),"",CONCATENATE(" ",VLOOKUP(Q47,Literatuur!$A:$B,2,FALSE)," "))</f>
        <v/>
      </c>
      <c r="T47" s="44" t="str">
        <f t="shared" si="31"/>
        <v xml:space="preserve"> </v>
      </c>
      <c r="U47" s="33" t="str">
        <f>IF(OR(ISBLANK(S47), ISBLANK(T47)),"",CONCATENATE(" ",VLOOKUP(T47,Literatuur!$A:$B,2,FALSE)," "))</f>
        <v/>
      </c>
      <c r="W47" s="44" t="str">
        <f t="shared" si="32"/>
        <v xml:space="preserve"> </v>
      </c>
      <c r="X47" s="33" t="str">
        <f>IF(OR(ISBLANK(V47), ISBLANK(W47)),"",CONCATENATE(" ",VLOOKUP(W47,Literatuur!$A:$B,2,FALSE)," "))</f>
        <v/>
      </c>
      <c r="Z47" s="44" t="str">
        <f t="shared" si="33"/>
        <v xml:space="preserve"> </v>
      </c>
      <c r="AA47" s="33" t="str">
        <f>IF(OR(ISBLANK(Y47), ISBLANK(Z47)),"",CONCATENATE(" ",VLOOKUP(Z47,Literatuur!$A:$B,2,FALSE)," "))</f>
        <v/>
      </c>
      <c r="AC47" s="36" t="str">
        <f t="shared" si="34"/>
        <v xml:space="preserve"> </v>
      </c>
      <c r="AD47" s="33" t="str">
        <f>IF(OR(ISBLANK(AB47), ISBLANK(AC47)),"",CONCATENATE(" ",VLOOKUP(AC47,Literatuur!$A:$B,2,FALSE)," "))</f>
        <v/>
      </c>
      <c r="AG47" s="33" t="str">
        <f>IF(OR(ISBLANK(AE47), ISBLANK(AF47)),"",CONCATENATE(" ",VLOOKUP(AF47,Literatuur!$A:$B,2,FALSE)," "))</f>
        <v/>
      </c>
      <c r="AJ47" s="44" t="str">
        <f t="shared" si="35"/>
        <v xml:space="preserve"> </v>
      </c>
      <c r="AK47" s="33" t="str">
        <f>IF(OR(ISBLANK(AI47), ISBLANK(AJ47)),"",CONCATENATE(" ",VLOOKUP(AJ47,Literatuur!$A:$B,2,FALSE)," "))</f>
        <v/>
      </c>
      <c r="AM47" s="44" t="str">
        <f t="shared" si="36"/>
        <v xml:space="preserve"> </v>
      </c>
      <c r="AN47" s="33" t="str">
        <f>IF(OR(ISBLANK(AL47), ISBLANK(AM47)),"",CONCATENATE(" ",VLOOKUP(AM47,Literatuur!$A:$B,2,FALSE)," "))</f>
        <v/>
      </c>
      <c r="AP47" s="44" t="str">
        <f t="shared" si="37"/>
        <v xml:space="preserve"> </v>
      </c>
      <c r="AQ47" s="33" t="str">
        <f>IF(OR(ISBLANK(AO47), ISBLANK(AP47)),"",CONCATENATE(" ",VLOOKUP(AP47,Literatuur!$A:$B,2,FALSE)," "))</f>
        <v/>
      </c>
      <c r="AT47" s="33" t="str">
        <f>IF(OR(ISBLANK(AR47), ISBLANK(AS47)),"",CONCATENATE(" ",VLOOKUP(AS47,Literatuur!$A:$B,2,FALSE)," "))</f>
        <v/>
      </c>
      <c r="AW47" s="33" t="str">
        <f>IF(OR(ISBLANK(AU47), ISBLANK(AV47)),"",CONCATENATE(" ",VLOOKUP(AV47,Literatuur!$A:$B,2,FALSE)," "))</f>
        <v/>
      </c>
      <c r="AZ47" s="44" t="str">
        <f t="shared" si="38"/>
        <v xml:space="preserve"> </v>
      </c>
      <c r="BA47" s="33" t="str">
        <f>IF(OR(ISBLANK(AY47), ISBLANK(AZ47)),"",CONCATENATE(" ",VLOOKUP(AZ47,Literatuur!$A:$B,2,FALSE)," "))</f>
        <v/>
      </c>
      <c r="BC47" s="44" t="str">
        <f t="shared" si="39"/>
        <v xml:space="preserve"> </v>
      </c>
      <c r="BD47" s="33" t="str">
        <f>IF(OR(ISBLANK(BB47), ISBLANK(BC47)),"",CONCATENATE(" ",VLOOKUP(BC47,Literatuur!$A:$B,2,FALSE)," "))</f>
        <v/>
      </c>
      <c r="BF47" s="44" t="str">
        <f t="shared" si="40"/>
        <v xml:space="preserve"> </v>
      </c>
      <c r="BG47" s="33" t="str">
        <f>IF(OR(ISBLANK(BE47), ISBLANK(BF47)),"",CONCATENATE(" ",VLOOKUP(BF47,Literatuur!$A:$B,2,FALSE)," "))</f>
        <v/>
      </c>
      <c r="BI47" s="44" t="str">
        <f t="shared" si="41"/>
        <v xml:space="preserve"> </v>
      </c>
      <c r="BJ47" s="33" t="str">
        <f>IF(OR(ISBLANK(BH47), ISBLANK(BI47)),"",CONCATENATE(" ",VLOOKUP(BI47,Literatuur!$A:$B,2,FALSE)," "))</f>
        <v/>
      </c>
      <c r="BL47" s="44" t="str">
        <f t="shared" si="42"/>
        <v xml:space="preserve"> </v>
      </c>
      <c r="BM47" s="33" t="str">
        <f>IF(OR(ISBLANK(BK47), ISBLANK(BL47)),"",CONCATENATE(" ",VLOOKUP(BL47,Literatuur!$A:$B,2,FALSE)," "))</f>
        <v/>
      </c>
      <c r="BP47" s="33" t="str">
        <f>IF(OR(ISBLANK(BN47), ISBLANK(BO47)),"",CONCATENATE(" ",VLOOKUP(BO47,Literatuur!$A:$B,2,FALSE)," "))</f>
        <v/>
      </c>
      <c r="BS47" s="33" t="str">
        <f>IF(OR(ISBLANK(BQ47), ISBLANK(BR47)),"",CONCATENATE(" ",VLOOKUP(BR47,Literatuur!$A:$B,2,FALSE)," "))</f>
        <v/>
      </c>
      <c r="BT47" s="33">
        <v>7.52</v>
      </c>
      <c r="BU47" s="33" t="s">
        <v>2066</v>
      </c>
      <c r="BV47" s="33" t="str">
        <f>IF(OR(ISBLANK(BT47), ISBLANK(BU47)),"",CONCATENATE(" ",VLOOKUP(BU47,Literatuur!$A:$B,2,FALSE)," "))</f>
        <v xml:space="preserve"> 8 </v>
      </c>
      <c r="BY47" s="33">
        <v>234</v>
      </c>
      <c r="CB47" s="33" t="s">
        <v>2066</v>
      </c>
      <c r="CD47" s="33">
        <f t="shared" ref="CD47:CD78" si="44">L47</f>
        <v>234</v>
      </c>
      <c r="CE47" s="37"/>
      <c r="CH47" s="33">
        <f t="shared" si="43"/>
        <v>7.52</v>
      </c>
      <c r="CR47" s="33" t="str">
        <f t="shared" si="17"/>
        <v>PCB #192</v>
      </c>
      <c r="CS47" s="33" t="str">
        <f t="shared" si="18"/>
        <v>PCB</v>
      </c>
      <c r="CT47" s="33" t="str">
        <f t="shared" si="19"/>
        <v/>
      </c>
      <c r="CU47" s="33" t="str">
        <f t="shared" si="20"/>
        <v/>
      </c>
      <c r="CV47" s="33" t="str">
        <f t="shared" si="21"/>
        <v/>
      </c>
      <c r="CW47" s="33" t="str">
        <f t="shared" si="22"/>
        <v/>
      </c>
      <c r="CX47" s="33">
        <f t="shared" si="23"/>
        <v>7.52</v>
      </c>
      <c r="CY47" s="33" t="str">
        <f t="shared" si="24"/>
        <v xml:space="preserve"> 8 </v>
      </c>
    </row>
    <row r="48" spans="2:103" ht="12.75" customHeight="1" x14ac:dyDescent="0.2">
      <c r="B48" s="33">
        <v>-1646</v>
      </c>
      <c r="D48" s="105" t="s">
        <v>1153</v>
      </c>
      <c r="E48" s="105" t="s">
        <v>1153</v>
      </c>
      <c r="F48" s="34"/>
      <c r="G48" s="34"/>
      <c r="I48" s="33">
        <f t="shared" si="27"/>
        <v>429.8</v>
      </c>
      <c r="J48" s="33" t="e">
        <f t="shared" si="25"/>
        <v>#DIV/0!</v>
      </c>
      <c r="K48" s="44">
        <f t="shared" si="28"/>
        <v>7.8</v>
      </c>
      <c r="L48" s="33">
        <f t="shared" si="29"/>
        <v>246.55</v>
      </c>
      <c r="M48" s="33" t="s">
        <v>1552</v>
      </c>
      <c r="Q48" s="44" t="str">
        <f t="shared" si="30"/>
        <v xml:space="preserve"> </v>
      </c>
      <c r="R48" s="33" t="str">
        <f>IF(OR(ISBLANK(P48), ISBLANK(Q48)),"",CONCATENATE(" ",VLOOKUP(Q48,Literatuur!$A:$B,2,FALSE)," "))</f>
        <v/>
      </c>
      <c r="T48" s="44" t="str">
        <f t="shared" si="31"/>
        <v xml:space="preserve"> </v>
      </c>
      <c r="U48" s="33" t="str">
        <f>IF(OR(ISBLANK(S48), ISBLANK(T48)),"",CONCATENATE(" ",VLOOKUP(T48,Literatuur!$A:$B,2,FALSE)," "))</f>
        <v/>
      </c>
      <c r="W48" s="44" t="str">
        <f t="shared" si="32"/>
        <v xml:space="preserve"> </v>
      </c>
      <c r="X48" s="33" t="str">
        <f>IF(OR(ISBLANK(V48), ISBLANK(W48)),"",CONCATENATE(" ",VLOOKUP(W48,Literatuur!$A:$B,2,FALSE)," "))</f>
        <v/>
      </c>
      <c r="Z48" s="44" t="str">
        <f t="shared" si="33"/>
        <v xml:space="preserve"> </v>
      </c>
      <c r="AA48" s="33" t="str">
        <f>IF(OR(ISBLANK(Y48), ISBLANK(Z48)),"",CONCATENATE(" ",VLOOKUP(Z48,Literatuur!$A:$B,2,FALSE)," "))</f>
        <v/>
      </c>
      <c r="AC48" s="36" t="str">
        <f t="shared" si="34"/>
        <v xml:space="preserve"> </v>
      </c>
      <c r="AD48" s="33" t="str">
        <f>IF(OR(ISBLANK(AB48), ISBLANK(AC48)),"",CONCATENATE(" ",VLOOKUP(AC48,Literatuur!$A:$B,2,FALSE)," "))</f>
        <v/>
      </c>
      <c r="AG48" s="33" t="str">
        <f>IF(OR(ISBLANK(AE48), ISBLANK(AF48)),"",CONCATENATE(" ",VLOOKUP(AF48,Literatuur!$A:$B,2,FALSE)," "))</f>
        <v/>
      </c>
      <c r="AJ48" s="44" t="str">
        <f t="shared" si="35"/>
        <v xml:space="preserve"> </v>
      </c>
      <c r="AK48" s="33" t="str">
        <f>IF(OR(ISBLANK(AI48), ISBLANK(AJ48)),"",CONCATENATE(" ",VLOOKUP(AJ48,Literatuur!$A:$B,2,FALSE)," "))</f>
        <v/>
      </c>
      <c r="AM48" s="44" t="str">
        <f t="shared" si="36"/>
        <v xml:space="preserve"> </v>
      </c>
      <c r="AN48" s="33" t="str">
        <f>IF(OR(ISBLANK(AL48), ISBLANK(AM48)),"",CONCATENATE(" ",VLOOKUP(AM48,Literatuur!$A:$B,2,FALSE)," "))</f>
        <v/>
      </c>
      <c r="AP48" s="44" t="str">
        <f t="shared" si="37"/>
        <v xml:space="preserve"> </v>
      </c>
      <c r="AQ48" s="33" t="str">
        <f>IF(OR(ISBLANK(AO48), ISBLANK(AP48)),"",CONCATENATE(" ",VLOOKUP(AP48,Literatuur!$A:$B,2,FALSE)," "))</f>
        <v/>
      </c>
      <c r="AT48" s="33" t="str">
        <f>IF(OR(ISBLANK(AR48), ISBLANK(AS48)),"",CONCATENATE(" ",VLOOKUP(AS48,Literatuur!$A:$B,2,FALSE)," "))</f>
        <v/>
      </c>
      <c r="AU48" s="33">
        <v>429.8</v>
      </c>
      <c r="AV48" s="33" t="s">
        <v>1557</v>
      </c>
      <c r="AW48" s="33" t="str">
        <f>IF(OR(ISBLANK(AU48), ISBLANK(AV48)),"",CONCATENATE(" ",VLOOKUP(AV48,Literatuur!$A:$B,2,FALSE)," "))</f>
        <v xml:space="preserve"> 17 </v>
      </c>
      <c r="AZ48" s="44" t="str">
        <f t="shared" si="38"/>
        <v xml:space="preserve"> </v>
      </c>
      <c r="BA48" s="33" t="str">
        <f>IF(OR(ISBLANK(AY48), ISBLANK(AZ48)),"",CONCATENATE(" ",VLOOKUP(AZ48,Literatuur!$A:$B,2,FALSE)," "))</f>
        <v/>
      </c>
      <c r="BC48" s="44" t="str">
        <f t="shared" si="39"/>
        <v xml:space="preserve"> </v>
      </c>
      <c r="BD48" s="33" t="str">
        <f>IF(OR(ISBLANK(BB48), ISBLANK(BC48)),"",CONCATENATE(" ",VLOOKUP(BC48,Literatuur!$A:$B,2,FALSE)," "))</f>
        <v/>
      </c>
      <c r="BF48" s="44" t="str">
        <f t="shared" si="40"/>
        <v xml:space="preserve"> </v>
      </c>
      <c r="BG48" s="33" t="str">
        <f>IF(OR(ISBLANK(BE48), ISBLANK(BF48)),"",CONCATENATE(" ",VLOOKUP(BF48,Literatuur!$A:$B,2,FALSE)," "))</f>
        <v/>
      </c>
      <c r="BI48" s="44" t="str">
        <f t="shared" si="41"/>
        <v xml:space="preserve"> </v>
      </c>
      <c r="BJ48" s="33" t="str">
        <f>IF(OR(ISBLANK(BH48), ISBLANK(BI48)),"",CONCATENATE(" ",VLOOKUP(BI48,Literatuur!$A:$B,2,FALSE)," "))</f>
        <v/>
      </c>
      <c r="BL48" s="44" t="str">
        <f t="shared" si="42"/>
        <v xml:space="preserve"> </v>
      </c>
      <c r="BM48" s="33" t="str">
        <f>IF(OR(ISBLANK(BK48), ISBLANK(BL48)),"",CONCATENATE(" ",VLOOKUP(BL48,Literatuur!$A:$B,2,FALSE)," "))</f>
        <v/>
      </c>
      <c r="BP48" s="33" t="str">
        <f>IF(OR(ISBLANK(BN48), ISBLANK(BO48)),"",CONCATENATE(" ",VLOOKUP(BO48,Literatuur!$A:$B,2,FALSE)," "))</f>
        <v/>
      </c>
      <c r="BS48" s="33" t="str">
        <f>IF(OR(ISBLANK(BQ48), ISBLANK(BR48)),"",CONCATENATE(" ",VLOOKUP(BR48,Literatuur!$A:$B,2,FALSE)," "))</f>
        <v/>
      </c>
      <c r="BT48" s="33">
        <v>7.8</v>
      </c>
      <c r="BU48" s="33" t="s">
        <v>2066</v>
      </c>
      <c r="BV48" s="33" t="str">
        <f>IF(OR(ISBLANK(BT48), ISBLANK(BU48)),"",CONCATENATE(" ",VLOOKUP(BU48,Literatuur!$A:$B,2,FALSE)," "))</f>
        <v xml:space="preserve"> 8 </v>
      </c>
      <c r="BX48" s="33">
        <v>246.8</v>
      </c>
      <c r="BY48" s="33">
        <v>246.3</v>
      </c>
      <c r="CA48" s="33" t="s">
        <v>1557</v>
      </c>
      <c r="CB48" s="33" t="s">
        <v>2066</v>
      </c>
      <c r="CD48" s="33">
        <f t="shared" si="44"/>
        <v>246.55</v>
      </c>
      <c r="CE48" s="37">
        <f>I48</f>
        <v>429.8</v>
      </c>
      <c r="CH48" s="33">
        <f t="shared" si="43"/>
        <v>7.8</v>
      </c>
      <c r="CR48" s="33" t="str">
        <f t="shared" si="17"/>
        <v>PCB #194</v>
      </c>
      <c r="CS48" s="33" t="str">
        <f t="shared" si="18"/>
        <v>PCB</v>
      </c>
      <c r="CT48" s="33">
        <f t="shared" si="19"/>
        <v>429.8</v>
      </c>
      <c r="CU48" s="33" t="str">
        <f t="shared" si="20"/>
        <v xml:space="preserve"> 17 </v>
      </c>
      <c r="CV48" s="33" t="str">
        <f t="shared" si="21"/>
        <v/>
      </c>
      <c r="CW48" s="33" t="str">
        <f t="shared" si="22"/>
        <v/>
      </c>
      <c r="CX48" s="33">
        <f t="shared" si="23"/>
        <v>7.8</v>
      </c>
      <c r="CY48" s="33" t="str">
        <f t="shared" si="24"/>
        <v xml:space="preserve"> 8 </v>
      </c>
    </row>
    <row r="49" spans="2:103" ht="12.75" customHeight="1" x14ac:dyDescent="0.2">
      <c r="B49" s="33">
        <v>-1647</v>
      </c>
      <c r="D49" s="105" t="s">
        <v>1154</v>
      </c>
      <c r="E49" s="105" t="s">
        <v>1154</v>
      </c>
      <c r="F49" s="34"/>
      <c r="G49" s="34"/>
      <c r="I49" s="33" t="e">
        <f t="shared" si="27"/>
        <v>#DIV/0!</v>
      </c>
      <c r="J49" s="33" t="e">
        <f t="shared" si="25"/>
        <v>#DIV/0!</v>
      </c>
      <c r="K49" s="44">
        <f t="shared" si="28"/>
        <v>7.56</v>
      </c>
      <c r="L49" s="33">
        <f t="shared" si="29"/>
        <v>245.5</v>
      </c>
      <c r="M49" s="33" t="s">
        <v>1552</v>
      </c>
      <c r="Q49" s="44" t="str">
        <f t="shared" si="30"/>
        <v xml:space="preserve"> </v>
      </c>
      <c r="R49" s="33" t="str">
        <f>IF(OR(ISBLANK(P49), ISBLANK(Q49)),"",CONCATENATE(" ",VLOOKUP(Q49,Literatuur!$A:$B,2,FALSE)," "))</f>
        <v/>
      </c>
      <c r="T49" s="44" t="str">
        <f t="shared" si="31"/>
        <v xml:space="preserve"> </v>
      </c>
      <c r="U49" s="33" t="str">
        <f>IF(OR(ISBLANK(S49), ISBLANK(T49)),"",CONCATENATE(" ",VLOOKUP(T49,Literatuur!$A:$B,2,FALSE)," "))</f>
        <v/>
      </c>
      <c r="W49" s="44" t="str">
        <f t="shared" si="32"/>
        <v xml:space="preserve"> </v>
      </c>
      <c r="X49" s="33" t="str">
        <f>IF(OR(ISBLANK(V49), ISBLANK(W49)),"",CONCATENATE(" ",VLOOKUP(W49,Literatuur!$A:$B,2,FALSE)," "))</f>
        <v/>
      </c>
      <c r="Z49" s="44" t="str">
        <f t="shared" si="33"/>
        <v xml:space="preserve"> </v>
      </c>
      <c r="AA49" s="33" t="str">
        <f>IF(OR(ISBLANK(Y49), ISBLANK(Z49)),"",CONCATENATE(" ",VLOOKUP(Z49,Literatuur!$A:$B,2,FALSE)," "))</f>
        <v/>
      </c>
      <c r="AC49" s="36" t="str">
        <f t="shared" si="34"/>
        <v xml:space="preserve"> </v>
      </c>
      <c r="AD49" s="33" t="str">
        <f>IF(OR(ISBLANK(AB49), ISBLANK(AC49)),"",CONCATENATE(" ",VLOOKUP(AC49,Literatuur!$A:$B,2,FALSE)," "))</f>
        <v/>
      </c>
      <c r="AG49" s="33" t="str">
        <f>IF(OR(ISBLANK(AE49), ISBLANK(AF49)),"",CONCATENATE(" ",VLOOKUP(AF49,Literatuur!$A:$B,2,FALSE)," "))</f>
        <v/>
      </c>
      <c r="AJ49" s="44" t="str">
        <f t="shared" si="35"/>
        <v xml:space="preserve"> </v>
      </c>
      <c r="AK49" s="33" t="str">
        <f>IF(OR(ISBLANK(AI49), ISBLANK(AJ49)),"",CONCATENATE(" ",VLOOKUP(AJ49,Literatuur!$A:$B,2,FALSE)," "))</f>
        <v/>
      </c>
      <c r="AM49" s="44" t="str">
        <f t="shared" si="36"/>
        <v xml:space="preserve"> </v>
      </c>
      <c r="AN49" s="33" t="str">
        <f>IF(OR(ISBLANK(AL49), ISBLANK(AM49)),"",CONCATENATE(" ",VLOOKUP(AM49,Literatuur!$A:$B,2,FALSE)," "))</f>
        <v/>
      </c>
      <c r="AP49" s="44" t="str">
        <f t="shared" si="37"/>
        <v xml:space="preserve"> </v>
      </c>
      <c r="AQ49" s="33" t="str">
        <f>IF(OR(ISBLANK(AO49), ISBLANK(AP49)),"",CONCATENATE(" ",VLOOKUP(AP49,Literatuur!$A:$B,2,FALSE)," "))</f>
        <v/>
      </c>
      <c r="AT49" s="33" t="str">
        <f>IF(OR(ISBLANK(AR49), ISBLANK(AS49)),"",CONCATENATE(" ",VLOOKUP(AS49,Literatuur!$A:$B,2,FALSE)," "))</f>
        <v/>
      </c>
      <c r="AW49" s="33" t="str">
        <f>IF(OR(ISBLANK(AU49), ISBLANK(AV49)),"",CONCATENATE(" ",VLOOKUP(AV49,Literatuur!$A:$B,2,FALSE)," "))</f>
        <v/>
      </c>
      <c r="AZ49" s="44" t="str">
        <f t="shared" si="38"/>
        <v xml:space="preserve"> </v>
      </c>
      <c r="BA49" s="33" t="str">
        <f>IF(OR(ISBLANK(AY49), ISBLANK(AZ49)),"",CONCATENATE(" ",VLOOKUP(AZ49,Literatuur!$A:$B,2,FALSE)," "))</f>
        <v/>
      </c>
      <c r="BC49" s="44" t="str">
        <f t="shared" si="39"/>
        <v xml:space="preserve"> </v>
      </c>
      <c r="BD49" s="33" t="str">
        <f>IF(OR(ISBLANK(BB49), ISBLANK(BC49)),"",CONCATENATE(" ",VLOOKUP(BC49,Literatuur!$A:$B,2,FALSE)," "))</f>
        <v/>
      </c>
      <c r="BF49" s="44" t="str">
        <f t="shared" si="40"/>
        <v xml:space="preserve"> </v>
      </c>
      <c r="BG49" s="33" t="str">
        <f>IF(OR(ISBLANK(BE49), ISBLANK(BF49)),"",CONCATENATE(" ",VLOOKUP(BF49,Literatuur!$A:$B,2,FALSE)," "))</f>
        <v/>
      </c>
      <c r="BI49" s="44" t="str">
        <f t="shared" si="41"/>
        <v xml:space="preserve"> </v>
      </c>
      <c r="BJ49" s="33" t="str">
        <f>IF(OR(ISBLANK(BH49), ISBLANK(BI49)),"",CONCATENATE(" ",VLOOKUP(BI49,Literatuur!$A:$B,2,FALSE)," "))</f>
        <v/>
      </c>
      <c r="BL49" s="44" t="str">
        <f t="shared" si="42"/>
        <v xml:space="preserve"> </v>
      </c>
      <c r="BM49" s="33" t="str">
        <f>IF(OR(ISBLANK(BK49), ISBLANK(BL49)),"",CONCATENATE(" ",VLOOKUP(BL49,Literatuur!$A:$B,2,FALSE)," "))</f>
        <v/>
      </c>
      <c r="BP49" s="33" t="str">
        <f>IF(OR(ISBLANK(BN49), ISBLANK(BO49)),"",CONCATENATE(" ",VLOOKUP(BO49,Literatuur!$A:$B,2,FALSE)," "))</f>
        <v/>
      </c>
      <c r="BS49" s="33" t="str">
        <f>IF(OR(ISBLANK(BQ49), ISBLANK(BR49)),"",CONCATENATE(" ",VLOOKUP(BR49,Literatuur!$A:$B,2,FALSE)," "))</f>
        <v/>
      </c>
      <c r="BT49" s="33">
        <v>7.56</v>
      </c>
      <c r="BU49" s="33" t="s">
        <v>2066</v>
      </c>
      <c r="BV49" s="33" t="str">
        <f>IF(OR(ISBLANK(BT49), ISBLANK(BU49)),"",CONCATENATE(" ",VLOOKUP(BU49,Literatuur!$A:$B,2,FALSE)," "))</f>
        <v xml:space="preserve"> 8 </v>
      </c>
      <c r="BY49" s="33">
        <v>245.5</v>
      </c>
      <c r="CB49" s="33" t="s">
        <v>2066</v>
      </c>
      <c r="CD49" s="33">
        <f t="shared" si="44"/>
        <v>245.5</v>
      </c>
      <c r="CE49" s="37"/>
      <c r="CH49" s="33">
        <f t="shared" si="43"/>
        <v>7.56</v>
      </c>
      <c r="CR49" s="33" t="str">
        <f t="shared" si="17"/>
        <v>PCB #195</v>
      </c>
      <c r="CS49" s="33" t="str">
        <f t="shared" si="18"/>
        <v>PCB</v>
      </c>
      <c r="CT49" s="33" t="str">
        <f t="shared" si="19"/>
        <v/>
      </c>
      <c r="CU49" s="33" t="str">
        <f t="shared" si="20"/>
        <v/>
      </c>
      <c r="CV49" s="33" t="str">
        <f t="shared" si="21"/>
        <v/>
      </c>
      <c r="CW49" s="33" t="str">
        <f t="shared" si="22"/>
        <v/>
      </c>
      <c r="CX49" s="33">
        <f t="shared" si="23"/>
        <v>7.56</v>
      </c>
      <c r="CY49" s="33" t="str">
        <f t="shared" si="24"/>
        <v xml:space="preserve"> 8 </v>
      </c>
    </row>
    <row r="50" spans="2:103" ht="12.75" customHeight="1" x14ac:dyDescent="0.2">
      <c r="B50" s="33">
        <v>-1648</v>
      </c>
      <c r="D50" s="105" t="s">
        <v>1155</v>
      </c>
      <c r="E50" s="105" t="s">
        <v>1155</v>
      </c>
      <c r="F50" s="34"/>
      <c r="G50" s="34"/>
      <c r="I50" s="33" t="e">
        <f t="shared" si="27"/>
        <v>#DIV/0!</v>
      </c>
      <c r="J50" s="33" t="e">
        <f t="shared" si="25"/>
        <v>#DIV/0!</v>
      </c>
      <c r="K50" s="44">
        <f t="shared" si="28"/>
        <v>7.3</v>
      </c>
      <c r="L50" s="33">
        <f t="shared" si="29"/>
        <v>245.6</v>
      </c>
      <c r="M50" s="33" t="s">
        <v>1552</v>
      </c>
      <c r="Q50" s="44" t="str">
        <f t="shared" si="30"/>
        <v xml:space="preserve"> </v>
      </c>
      <c r="R50" s="33" t="str">
        <f>IF(OR(ISBLANK(P50), ISBLANK(Q50)),"",CONCATENATE(" ",VLOOKUP(Q50,Literatuur!$A:$B,2,FALSE)," "))</f>
        <v/>
      </c>
      <c r="T50" s="44" t="str">
        <f t="shared" si="31"/>
        <v xml:space="preserve"> </v>
      </c>
      <c r="U50" s="33" t="str">
        <f>IF(OR(ISBLANK(S50), ISBLANK(T50)),"",CONCATENATE(" ",VLOOKUP(T50,Literatuur!$A:$B,2,FALSE)," "))</f>
        <v/>
      </c>
      <c r="W50" s="44" t="str">
        <f t="shared" si="32"/>
        <v xml:space="preserve"> </v>
      </c>
      <c r="X50" s="33" t="str">
        <f>IF(OR(ISBLANK(V50), ISBLANK(W50)),"",CONCATENATE(" ",VLOOKUP(W50,Literatuur!$A:$B,2,FALSE)," "))</f>
        <v/>
      </c>
      <c r="Z50" s="44" t="str">
        <f t="shared" si="33"/>
        <v xml:space="preserve"> </v>
      </c>
      <c r="AA50" s="33" t="str">
        <f>IF(OR(ISBLANK(Y50), ISBLANK(Z50)),"",CONCATENATE(" ",VLOOKUP(Z50,Literatuur!$A:$B,2,FALSE)," "))</f>
        <v/>
      </c>
      <c r="AC50" s="36" t="str">
        <f t="shared" si="34"/>
        <v xml:space="preserve"> </v>
      </c>
      <c r="AD50" s="33" t="str">
        <f>IF(OR(ISBLANK(AB50), ISBLANK(AC50)),"",CONCATENATE(" ",VLOOKUP(AC50,Literatuur!$A:$B,2,FALSE)," "))</f>
        <v/>
      </c>
      <c r="AG50" s="33" t="str">
        <f>IF(OR(ISBLANK(AE50), ISBLANK(AF50)),"",CONCATENATE(" ",VLOOKUP(AF50,Literatuur!$A:$B,2,FALSE)," "))</f>
        <v/>
      </c>
      <c r="AJ50" s="44" t="str">
        <f t="shared" si="35"/>
        <v xml:space="preserve"> </v>
      </c>
      <c r="AK50" s="33" t="str">
        <f>IF(OR(ISBLANK(AI50), ISBLANK(AJ50)),"",CONCATENATE(" ",VLOOKUP(AJ50,Literatuur!$A:$B,2,FALSE)," "))</f>
        <v/>
      </c>
      <c r="AM50" s="44" t="str">
        <f t="shared" si="36"/>
        <v xml:space="preserve"> </v>
      </c>
      <c r="AN50" s="33" t="str">
        <f>IF(OR(ISBLANK(AL50), ISBLANK(AM50)),"",CONCATENATE(" ",VLOOKUP(AM50,Literatuur!$A:$B,2,FALSE)," "))</f>
        <v/>
      </c>
      <c r="AP50" s="44" t="str">
        <f t="shared" si="37"/>
        <v xml:space="preserve"> </v>
      </c>
      <c r="AQ50" s="33" t="str">
        <f>IF(OR(ISBLANK(AO50), ISBLANK(AP50)),"",CONCATENATE(" ",VLOOKUP(AP50,Literatuur!$A:$B,2,FALSE)," "))</f>
        <v/>
      </c>
      <c r="AT50" s="33" t="str">
        <f>IF(OR(ISBLANK(AR50), ISBLANK(AS50)),"",CONCATENATE(" ",VLOOKUP(AS50,Literatuur!$A:$B,2,FALSE)," "))</f>
        <v/>
      </c>
      <c r="AW50" s="33" t="str">
        <f>IF(OR(ISBLANK(AU50), ISBLANK(AV50)),"",CONCATENATE(" ",VLOOKUP(AV50,Literatuur!$A:$B,2,FALSE)," "))</f>
        <v/>
      </c>
      <c r="AZ50" s="44" t="str">
        <f t="shared" si="38"/>
        <v xml:space="preserve"> </v>
      </c>
      <c r="BA50" s="33" t="str">
        <f>IF(OR(ISBLANK(AY50), ISBLANK(AZ50)),"",CONCATENATE(" ",VLOOKUP(AZ50,Literatuur!$A:$B,2,FALSE)," "))</f>
        <v/>
      </c>
      <c r="BC50" s="44" t="str">
        <f t="shared" si="39"/>
        <v xml:space="preserve"> </v>
      </c>
      <c r="BD50" s="33" t="str">
        <f>IF(OR(ISBLANK(BB50), ISBLANK(BC50)),"",CONCATENATE(" ",VLOOKUP(BC50,Literatuur!$A:$B,2,FALSE)," "))</f>
        <v/>
      </c>
      <c r="BF50" s="44" t="str">
        <f t="shared" si="40"/>
        <v xml:space="preserve"> </v>
      </c>
      <c r="BG50" s="33" t="str">
        <f>IF(OR(ISBLANK(BE50), ISBLANK(BF50)),"",CONCATENATE(" ",VLOOKUP(BF50,Literatuur!$A:$B,2,FALSE)," "))</f>
        <v/>
      </c>
      <c r="BI50" s="44" t="str">
        <f t="shared" si="41"/>
        <v xml:space="preserve"> </v>
      </c>
      <c r="BJ50" s="33" t="str">
        <f>IF(OR(ISBLANK(BH50), ISBLANK(BI50)),"",CONCATENATE(" ",VLOOKUP(BI50,Literatuur!$A:$B,2,FALSE)," "))</f>
        <v/>
      </c>
      <c r="BL50" s="44" t="str">
        <f t="shared" si="42"/>
        <v xml:space="preserve"> </v>
      </c>
      <c r="BM50" s="33" t="str">
        <f>IF(OR(ISBLANK(BK50), ISBLANK(BL50)),"",CONCATENATE(" ",VLOOKUP(BL50,Literatuur!$A:$B,2,FALSE)," "))</f>
        <v/>
      </c>
      <c r="BP50" s="33" t="str">
        <f>IF(OR(ISBLANK(BN50), ISBLANK(BO50)),"",CONCATENATE(" ",VLOOKUP(BO50,Literatuur!$A:$B,2,FALSE)," "))</f>
        <v/>
      </c>
      <c r="BS50" s="33" t="str">
        <f>IF(OR(ISBLANK(BQ50), ISBLANK(BR50)),"",CONCATENATE(" ",VLOOKUP(BR50,Literatuur!$A:$B,2,FALSE)," "))</f>
        <v/>
      </c>
      <c r="BT50" s="33">
        <v>7.3</v>
      </c>
      <c r="BU50" s="33" t="s">
        <v>2066</v>
      </c>
      <c r="BV50" s="33" t="str">
        <f>IF(OR(ISBLANK(BT50), ISBLANK(BU50)),"",CONCATENATE(" ",VLOOKUP(BU50,Literatuur!$A:$B,2,FALSE)," "))</f>
        <v xml:space="preserve"> 8 </v>
      </c>
      <c r="BY50" s="33">
        <v>245.6</v>
      </c>
      <c r="CB50" s="33" t="s">
        <v>2066</v>
      </c>
      <c r="CD50" s="33">
        <f t="shared" si="44"/>
        <v>245.6</v>
      </c>
      <c r="CE50" s="37"/>
      <c r="CH50" s="33">
        <f t="shared" si="43"/>
        <v>7.3</v>
      </c>
      <c r="CR50" s="33" t="str">
        <f t="shared" si="17"/>
        <v>PCB #197</v>
      </c>
      <c r="CS50" s="33" t="str">
        <f t="shared" si="18"/>
        <v>PCB</v>
      </c>
      <c r="CT50" s="33" t="str">
        <f t="shared" si="19"/>
        <v/>
      </c>
      <c r="CU50" s="33" t="str">
        <f t="shared" si="20"/>
        <v/>
      </c>
      <c r="CV50" s="33" t="str">
        <f t="shared" si="21"/>
        <v/>
      </c>
      <c r="CW50" s="33" t="str">
        <f t="shared" si="22"/>
        <v/>
      </c>
      <c r="CX50" s="33">
        <f t="shared" si="23"/>
        <v>7.3</v>
      </c>
      <c r="CY50" s="33" t="str">
        <f t="shared" si="24"/>
        <v xml:space="preserve"> 8 </v>
      </c>
    </row>
    <row r="51" spans="2:103" x14ac:dyDescent="0.2">
      <c r="B51" s="33">
        <v>-1649</v>
      </c>
      <c r="D51" s="105" t="s">
        <v>1156</v>
      </c>
      <c r="E51" s="105" t="s">
        <v>1156</v>
      </c>
      <c r="F51" s="34"/>
      <c r="G51" s="34"/>
      <c r="I51" s="33" t="e">
        <f t="shared" si="27"/>
        <v>#DIV/0!</v>
      </c>
      <c r="J51" s="33" t="e">
        <f t="shared" si="25"/>
        <v>#DIV/0!</v>
      </c>
      <c r="K51" s="44">
        <f t="shared" si="28"/>
        <v>7.2</v>
      </c>
      <c r="L51" s="33">
        <f t="shared" si="29"/>
        <v>246.2</v>
      </c>
      <c r="M51" s="33" t="s">
        <v>1552</v>
      </c>
      <c r="Q51" s="44" t="str">
        <f t="shared" si="30"/>
        <v xml:space="preserve"> </v>
      </c>
      <c r="R51" s="33" t="str">
        <f>IF(OR(ISBLANK(P51), ISBLANK(Q51)),"",CONCATENATE(" ",VLOOKUP(Q51,Literatuur!$A:$B,2,FALSE)," "))</f>
        <v/>
      </c>
      <c r="T51" s="44" t="str">
        <f t="shared" si="31"/>
        <v xml:space="preserve"> </v>
      </c>
      <c r="U51" s="33" t="str">
        <f>IF(OR(ISBLANK(S51), ISBLANK(T51)),"",CONCATENATE(" ",VLOOKUP(T51,Literatuur!$A:$B,2,FALSE)," "))</f>
        <v/>
      </c>
      <c r="W51" s="44" t="str">
        <f t="shared" si="32"/>
        <v xml:space="preserve"> </v>
      </c>
      <c r="X51" s="33" t="str">
        <f>IF(OR(ISBLANK(V51), ISBLANK(W51)),"",CONCATENATE(" ",VLOOKUP(W51,Literatuur!$A:$B,2,FALSE)," "))</f>
        <v/>
      </c>
      <c r="Z51" s="44" t="str">
        <f t="shared" si="33"/>
        <v xml:space="preserve"> </v>
      </c>
      <c r="AA51" s="33" t="str">
        <f>IF(OR(ISBLANK(Y51), ISBLANK(Z51)),"",CONCATENATE(" ",VLOOKUP(Z51,Literatuur!$A:$B,2,FALSE)," "))</f>
        <v/>
      </c>
      <c r="AC51" s="36" t="str">
        <f t="shared" si="34"/>
        <v xml:space="preserve"> </v>
      </c>
      <c r="AD51" s="33" t="str">
        <f>IF(OR(ISBLANK(AB51), ISBLANK(AC51)),"",CONCATENATE(" ",VLOOKUP(AC51,Literatuur!$A:$B,2,FALSE)," "))</f>
        <v/>
      </c>
      <c r="AG51" s="33" t="str">
        <f>IF(OR(ISBLANK(AE51), ISBLANK(AF51)),"",CONCATENATE(" ",VLOOKUP(AF51,Literatuur!$A:$B,2,FALSE)," "))</f>
        <v/>
      </c>
      <c r="AJ51" s="44" t="str">
        <f t="shared" si="35"/>
        <v xml:space="preserve"> </v>
      </c>
      <c r="AK51" s="33" t="str">
        <f>IF(OR(ISBLANK(AI51), ISBLANK(AJ51)),"",CONCATENATE(" ",VLOOKUP(AJ51,Literatuur!$A:$B,2,FALSE)," "))</f>
        <v/>
      </c>
      <c r="AM51" s="44" t="str">
        <f t="shared" si="36"/>
        <v xml:space="preserve"> </v>
      </c>
      <c r="AN51" s="33" t="str">
        <f>IF(OR(ISBLANK(AL51), ISBLANK(AM51)),"",CONCATENATE(" ",VLOOKUP(AM51,Literatuur!$A:$B,2,FALSE)," "))</f>
        <v/>
      </c>
      <c r="AP51" s="44" t="str">
        <f t="shared" si="37"/>
        <v xml:space="preserve"> </v>
      </c>
      <c r="AQ51" s="33" t="str">
        <f>IF(OR(ISBLANK(AO51), ISBLANK(AP51)),"",CONCATENATE(" ",VLOOKUP(AP51,Literatuur!$A:$B,2,FALSE)," "))</f>
        <v/>
      </c>
      <c r="AT51" s="33" t="str">
        <f>IF(OR(ISBLANK(AR51), ISBLANK(AS51)),"",CONCATENATE(" ",VLOOKUP(AS51,Literatuur!$A:$B,2,FALSE)," "))</f>
        <v/>
      </c>
      <c r="AW51" s="33" t="str">
        <f>IF(OR(ISBLANK(AU51), ISBLANK(AV51)),"",CONCATENATE(" ",VLOOKUP(AV51,Literatuur!$A:$B,2,FALSE)," "))</f>
        <v/>
      </c>
      <c r="AZ51" s="44" t="str">
        <f t="shared" si="38"/>
        <v xml:space="preserve"> </v>
      </c>
      <c r="BA51" s="33" t="str">
        <f>IF(OR(ISBLANK(AY51), ISBLANK(AZ51)),"",CONCATENATE(" ",VLOOKUP(AZ51,Literatuur!$A:$B,2,FALSE)," "))</f>
        <v/>
      </c>
      <c r="BC51" s="44" t="str">
        <f t="shared" si="39"/>
        <v xml:space="preserve"> </v>
      </c>
      <c r="BD51" s="33" t="str">
        <f>IF(OR(ISBLANK(BB51), ISBLANK(BC51)),"",CONCATENATE(" ",VLOOKUP(BC51,Literatuur!$A:$B,2,FALSE)," "))</f>
        <v/>
      </c>
      <c r="BF51" s="44" t="str">
        <f t="shared" si="40"/>
        <v xml:space="preserve"> </v>
      </c>
      <c r="BG51" s="33" t="str">
        <f>IF(OR(ISBLANK(BE51), ISBLANK(BF51)),"",CONCATENATE(" ",VLOOKUP(BF51,Literatuur!$A:$B,2,FALSE)," "))</f>
        <v/>
      </c>
      <c r="BI51" s="44" t="str">
        <f t="shared" si="41"/>
        <v xml:space="preserve"> </v>
      </c>
      <c r="BJ51" s="33" t="str">
        <f>IF(OR(ISBLANK(BH51), ISBLANK(BI51)),"",CONCATENATE(" ",VLOOKUP(BI51,Literatuur!$A:$B,2,FALSE)," "))</f>
        <v/>
      </c>
      <c r="BL51" s="44" t="str">
        <f t="shared" si="42"/>
        <v xml:space="preserve"> </v>
      </c>
      <c r="BM51" s="33" t="str">
        <f>IF(OR(ISBLANK(BK51), ISBLANK(BL51)),"",CONCATENATE(" ",VLOOKUP(BL51,Literatuur!$A:$B,2,FALSE)," "))</f>
        <v/>
      </c>
      <c r="BP51" s="33" t="str">
        <f>IF(OR(ISBLANK(BN51), ISBLANK(BO51)),"",CONCATENATE(" ",VLOOKUP(BO51,Literatuur!$A:$B,2,FALSE)," "))</f>
        <v/>
      </c>
      <c r="BS51" s="33" t="str">
        <f>IF(OR(ISBLANK(BQ51), ISBLANK(BR51)),"",CONCATENATE(" ",VLOOKUP(BR51,Literatuur!$A:$B,2,FALSE)," "))</f>
        <v/>
      </c>
      <c r="BT51" s="33">
        <v>7.2</v>
      </c>
      <c r="BU51" s="33" t="s">
        <v>2066</v>
      </c>
      <c r="BV51" s="33" t="str">
        <f>IF(OR(ISBLANK(BT51), ISBLANK(BU51)),"",CONCATENATE(" ",VLOOKUP(BU51,Literatuur!$A:$B,2,FALSE)," "))</f>
        <v xml:space="preserve"> 8 </v>
      </c>
      <c r="BY51" s="33">
        <v>246.2</v>
      </c>
      <c r="CB51" s="33" t="s">
        <v>2066</v>
      </c>
      <c r="CD51" s="33">
        <f t="shared" si="44"/>
        <v>246.2</v>
      </c>
      <c r="CE51" s="37"/>
      <c r="CH51" s="33">
        <f t="shared" si="43"/>
        <v>7.2</v>
      </c>
      <c r="CR51" s="33" t="str">
        <f t="shared" si="17"/>
        <v>PCB #199</v>
      </c>
      <c r="CS51" s="33" t="str">
        <f t="shared" si="18"/>
        <v>PCB</v>
      </c>
      <c r="CT51" s="33" t="str">
        <f t="shared" si="19"/>
        <v/>
      </c>
      <c r="CU51" s="33" t="str">
        <f t="shared" si="20"/>
        <v/>
      </c>
      <c r="CV51" s="33" t="str">
        <f t="shared" si="21"/>
        <v/>
      </c>
      <c r="CW51" s="33" t="str">
        <f t="shared" si="22"/>
        <v/>
      </c>
      <c r="CX51" s="33">
        <f t="shared" si="23"/>
        <v>7.2</v>
      </c>
      <c r="CY51" s="33" t="str">
        <f t="shared" si="24"/>
        <v xml:space="preserve"> 8 </v>
      </c>
    </row>
    <row r="52" spans="2:103" x14ac:dyDescent="0.2">
      <c r="B52" s="33">
        <v>-1650</v>
      </c>
      <c r="D52" s="105" t="s">
        <v>1157</v>
      </c>
      <c r="E52" s="105" t="s">
        <v>1157</v>
      </c>
      <c r="F52" s="34"/>
      <c r="G52" s="34"/>
      <c r="I52" s="33" t="e">
        <f t="shared" si="27"/>
        <v>#DIV/0!</v>
      </c>
      <c r="J52" s="33" t="e">
        <f t="shared" si="25"/>
        <v>#DIV/0!</v>
      </c>
      <c r="K52" s="44">
        <f t="shared" si="28"/>
        <v>7.62</v>
      </c>
      <c r="L52" s="33">
        <f t="shared" si="29"/>
        <v>245.5</v>
      </c>
      <c r="M52" s="33" t="s">
        <v>1552</v>
      </c>
      <c r="Q52" s="44" t="str">
        <f t="shared" si="30"/>
        <v xml:space="preserve"> </v>
      </c>
      <c r="R52" s="33" t="str">
        <f>IF(OR(ISBLANK(P52), ISBLANK(Q52)),"",CONCATENATE(" ",VLOOKUP(Q52,Literatuur!$A:$B,2,FALSE)," "))</f>
        <v/>
      </c>
      <c r="T52" s="44" t="str">
        <f t="shared" si="31"/>
        <v xml:space="preserve"> </v>
      </c>
      <c r="U52" s="33" t="str">
        <f>IF(OR(ISBLANK(S52), ISBLANK(T52)),"",CONCATENATE(" ",VLOOKUP(T52,Literatuur!$A:$B,2,FALSE)," "))</f>
        <v/>
      </c>
      <c r="W52" s="44" t="str">
        <f t="shared" si="32"/>
        <v xml:space="preserve"> </v>
      </c>
      <c r="X52" s="33" t="str">
        <f>IF(OR(ISBLANK(V52), ISBLANK(W52)),"",CONCATENATE(" ",VLOOKUP(W52,Literatuur!$A:$B,2,FALSE)," "))</f>
        <v/>
      </c>
      <c r="Z52" s="44" t="str">
        <f t="shared" si="33"/>
        <v xml:space="preserve"> </v>
      </c>
      <c r="AA52" s="33" t="str">
        <f>IF(OR(ISBLANK(Y52), ISBLANK(Z52)),"",CONCATENATE(" ",VLOOKUP(Z52,Literatuur!$A:$B,2,FALSE)," "))</f>
        <v/>
      </c>
      <c r="AC52" s="36" t="str">
        <f t="shared" si="34"/>
        <v xml:space="preserve"> </v>
      </c>
      <c r="AD52" s="33" t="str">
        <f>IF(OR(ISBLANK(AB52), ISBLANK(AC52)),"",CONCATENATE(" ",VLOOKUP(AC52,Literatuur!$A:$B,2,FALSE)," "))</f>
        <v/>
      </c>
      <c r="AG52" s="33" t="str">
        <f>IF(OR(ISBLANK(AE52), ISBLANK(AF52)),"",CONCATENATE(" ",VLOOKUP(AF52,Literatuur!$A:$B,2,FALSE)," "))</f>
        <v/>
      </c>
      <c r="AJ52" s="44" t="str">
        <f t="shared" si="35"/>
        <v xml:space="preserve"> </v>
      </c>
      <c r="AK52" s="33" t="str">
        <f>IF(OR(ISBLANK(AI52), ISBLANK(AJ52)),"",CONCATENATE(" ",VLOOKUP(AJ52,Literatuur!$A:$B,2,FALSE)," "))</f>
        <v/>
      </c>
      <c r="AM52" s="44" t="str">
        <f t="shared" si="36"/>
        <v xml:space="preserve"> </v>
      </c>
      <c r="AN52" s="33" t="str">
        <f>IF(OR(ISBLANK(AL52), ISBLANK(AM52)),"",CONCATENATE(" ",VLOOKUP(AM52,Literatuur!$A:$B,2,FALSE)," "))</f>
        <v/>
      </c>
      <c r="AP52" s="44" t="str">
        <f t="shared" si="37"/>
        <v xml:space="preserve"> </v>
      </c>
      <c r="AQ52" s="33" t="str">
        <f>IF(OR(ISBLANK(AO52), ISBLANK(AP52)),"",CONCATENATE(" ",VLOOKUP(AP52,Literatuur!$A:$B,2,FALSE)," "))</f>
        <v/>
      </c>
      <c r="AT52" s="33" t="str">
        <f>IF(OR(ISBLANK(AR52), ISBLANK(AS52)),"",CONCATENATE(" ",VLOOKUP(AS52,Literatuur!$A:$B,2,FALSE)," "))</f>
        <v/>
      </c>
      <c r="AW52" s="33" t="str">
        <f>IF(OR(ISBLANK(AU52), ISBLANK(AV52)),"",CONCATENATE(" ",VLOOKUP(AV52,Literatuur!$A:$B,2,FALSE)," "))</f>
        <v/>
      </c>
      <c r="AZ52" s="44" t="str">
        <f t="shared" si="38"/>
        <v xml:space="preserve"> </v>
      </c>
      <c r="BA52" s="33" t="str">
        <f>IF(OR(ISBLANK(AY52), ISBLANK(AZ52)),"",CONCATENATE(" ",VLOOKUP(AZ52,Literatuur!$A:$B,2,FALSE)," "))</f>
        <v/>
      </c>
      <c r="BC52" s="44" t="str">
        <f t="shared" si="39"/>
        <v xml:space="preserve"> </v>
      </c>
      <c r="BD52" s="33" t="str">
        <f>IF(OR(ISBLANK(BB52), ISBLANK(BC52)),"",CONCATENATE(" ",VLOOKUP(BC52,Literatuur!$A:$B,2,FALSE)," "))</f>
        <v/>
      </c>
      <c r="BF52" s="44" t="str">
        <f t="shared" si="40"/>
        <v xml:space="preserve"> </v>
      </c>
      <c r="BG52" s="33" t="str">
        <f>IF(OR(ISBLANK(BE52), ISBLANK(BF52)),"",CONCATENATE(" ",VLOOKUP(BF52,Literatuur!$A:$B,2,FALSE)," "))</f>
        <v/>
      </c>
      <c r="BI52" s="44" t="str">
        <f t="shared" si="41"/>
        <v xml:space="preserve"> </v>
      </c>
      <c r="BJ52" s="33" t="str">
        <f>IF(OR(ISBLANK(BH52), ISBLANK(BI52)),"",CONCATENATE(" ",VLOOKUP(BI52,Literatuur!$A:$B,2,FALSE)," "))</f>
        <v/>
      </c>
      <c r="BL52" s="44" t="str">
        <f t="shared" si="42"/>
        <v xml:space="preserve"> </v>
      </c>
      <c r="BM52" s="33" t="str">
        <f>IF(OR(ISBLANK(BK52), ISBLANK(BL52)),"",CONCATENATE(" ",VLOOKUP(BL52,Literatuur!$A:$B,2,FALSE)," "))</f>
        <v/>
      </c>
      <c r="BP52" s="33" t="str">
        <f>IF(OR(ISBLANK(BN52), ISBLANK(BO52)),"",CONCATENATE(" ",VLOOKUP(BO52,Literatuur!$A:$B,2,FALSE)," "))</f>
        <v/>
      </c>
      <c r="BS52" s="33" t="str">
        <f>IF(OR(ISBLANK(BQ52), ISBLANK(BR52)),"",CONCATENATE(" ",VLOOKUP(BR52,Literatuur!$A:$B,2,FALSE)," "))</f>
        <v/>
      </c>
      <c r="BT52" s="33">
        <v>7.62</v>
      </c>
      <c r="BU52" s="33" t="s">
        <v>2066</v>
      </c>
      <c r="BV52" s="33" t="str">
        <f>IF(OR(ISBLANK(BT52), ISBLANK(BU52)),"",CONCATENATE(" ",VLOOKUP(BU52,Literatuur!$A:$B,2,FALSE)," "))</f>
        <v xml:space="preserve"> 8 </v>
      </c>
      <c r="BY52" s="33">
        <v>245.5</v>
      </c>
      <c r="CB52" s="33" t="s">
        <v>2066</v>
      </c>
      <c r="CD52" s="33">
        <f t="shared" si="44"/>
        <v>245.5</v>
      </c>
      <c r="CE52" s="37"/>
      <c r="CH52" s="33">
        <f t="shared" si="43"/>
        <v>7.62</v>
      </c>
      <c r="CR52" s="33" t="str">
        <f t="shared" si="17"/>
        <v>PCB #201</v>
      </c>
      <c r="CS52" s="33" t="str">
        <f t="shared" si="18"/>
        <v>PCB</v>
      </c>
      <c r="CT52" s="33" t="str">
        <f t="shared" si="19"/>
        <v/>
      </c>
      <c r="CU52" s="33" t="str">
        <f t="shared" si="20"/>
        <v/>
      </c>
      <c r="CV52" s="33" t="str">
        <f t="shared" si="21"/>
        <v/>
      </c>
      <c r="CW52" s="33" t="str">
        <f t="shared" si="22"/>
        <v/>
      </c>
      <c r="CX52" s="33">
        <f t="shared" si="23"/>
        <v>7.62</v>
      </c>
      <c r="CY52" s="33" t="str">
        <f t="shared" si="24"/>
        <v xml:space="preserve"> 8 </v>
      </c>
    </row>
    <row r="53" spans="2:103" ht="12.75" customHeight="1" x14ac:dyDescent="0.2">
      <c r="B53" s="33">
        <v>-1651</v>
      </c>
      <c r="D53" s="105" t="s">
        <v>1158</v>
      </c>
      <c r="E53" s="105" t="s">
        <v>1158</v>
      </c>
      <c r="F53" s="34"/>
      <c r="G53" s="34"/>
      <c r="I53" s="33" t="e">
        <f t="shared" si="27"/>
        <v>#DIV/0!</v>
      </c>
      <c r="J53" s="33" t="e">
        <f t="shared" si="25"/>
        <v>#DIV/0!</v>
      </c>
      <c r="K53" s="44">
        <f t="shared" si="28"/>
        <v>7.24</v>
      </c>
      <c r="L53" s="33">
        <f t="shared" si="29"/>
        <v>245.3</v>
      </c>
      <c r="M53" s="33" t="s">
        <v>1552</v>
      </c>
      <c r="Q53" s="44" t="str">
        <f t="shared" si="30"/>
        <v xml:space="preserve"> </v>
      </c>
      <c r="R53" s="33" t="str">
        <f>IF(OR(ISBLANK(P53), ISBLANK(Q53)),"",CONCATENATE(" ",VLOOKUP(Q53,Literatuur!$A:$B,2,FALSE)," "))</f>
        <v/>
      </c>
      <c r="T53" s="44" t="str">
        <f t="shared" si="31"/>
        <v xml:space="preserve"> </v>
      </c>
      <c r="U53" s="33" t="str">
        <f>IF(OR(ISBLANK(S53), ISBLANK(T53)),"",CONCATENATE(" ",VLOOKUP(T53,Literatuur!$A:$B,2,FALSE)," "))</f>
        <v/>
      </c>
      <c r="W53" s="44" t="str">
        <f t="shared" si="32"/>
        <v xml:space="preserve"> </v>
      </c>
      <c r="X53" s="33" t="str">
        <f>IF(OR(ISBLANK(V53), ISBLANK(W53)),"",CONCATENATE(" ",VLOOKUP(W53,Literatuur!$A:$B,2,FALSE)," "))</f>
        <v/>
      </c>
      <c r="Z53" s="44" t="str">
        <f t="shared" si="33"/>
        <v xml:space="preserve"> </v>
      </c>
      <c r="AA53" s="33" t="str">
        <f>IF(OR(ISBLANK(Y53), ISBLANK(Z53)),"",CONCATENATE(" ",VLOOKUP(Z53,Literatuur!$A:$B,2,FALSE)," "))</f>
        <v/>
      </c>
      <c r="AC53" s="36" t="str">
        <f t="shared" si="34"/>
        <v xml:space="preserve"> </v>
      </c>
      <c r="AD53" s="33" t="str">
        <f>IF(OR(ISBLANK(AB53), ISBLANK(AC53)),"",CONCATENATE(" ",VLOOKUP(AC53,Literatuur!$A:$B,2,FALSE)," "))</f>
        <v/>
      </c>
      <c r="AG53" s="33" t="str">
        <f>IF(OR(ISBLANK(AE53), ISBLANK(AF53)),"",CONCATENATE(" ",VLOOKUP(AF53,Literatuur!$A:$B,2,FALSE)," "))</f>
        <v/>
      </c>
      <c r="AJ53" s="44" t="str">
        <f t="shared" si="35"/>
        <v xml:space="preserve"> </v>
      </c>
      <c r="AK53" s="33" t="str">
        <f>IF(OR(ISBLANK(AI53), ISBLANK(AJ53)),"",CONCATENATE(" ",VLOOKUP(AJ53,Literatuur!$A:$B,2,FALSE)," "))</f>
        <v/>
      </c>
      <c r="AM53" s="44" t="str">
        <f t="shared" si="36"/>
        <v xml:space="preserve"> </v>
      </c>
      <c r="AN53" s="33" t="str">
        <f>IF(OR(ISBLANK(AL53), ISBLANK(AM53)),"",CONCATENATE(" ",VLOOKUP(AM53,Literatuur!$A:$B,2,FALSE)," "))</f>
        <v/>
      </c>
      <c r="AP53" s="44" t="str">
        <f t="shared" si="37"/>
        <v xml:space="preserve"> </v>
      </c>
      <c r="AQ53" s="33" t="str">
        <f>IF(OR(ISBLANK(AO53), ISBLANK(AP53)),"",CONCATENATE(" ",VLOOKUP(AP53,Literatuur!$A:$B,2,FALSE)," "))</f>
        <v/>
      </c>
      <c r="AT53" s="33" t="str">
        <f>IF(OR(ISBLANK(AR53), ISBLANK(AS53)),"",CONCATENATE(" ",VLOOKUP(AS53,Literatuur!$A:$B,2,FALSE)," "))</f>
        <v/>
      </c>
      <c r="AW53" s="33" t="str">
        <f>IF(OR(ISBLANK(AU53), ISBLANK(AV53)),"",CONCATENATE(" ",VLOOKUP(AV53,Literatuur!$A:$B,2,FALSE)," "))</f>
        <v/>
      </c>
      <c r="AZ53" s="44" t="str">
        <f t="shared" si="38"/>
        <v xml:space="preserve"> </v>
      </c>
      <c r="BA53" s="33" t="str">
        <f>IF(OR(ISBLANK(AY53), ISBLANK(AZ53)),"",CONCATENATE(" ",VLOOKUP(AZ53,Literatuur!$A:$B,2,FALSE)," "))</f>
        <v/>
      </c>
      <c r="BC53" s="44" t="str">
        <f t="shared" si="39"/>
        <v xml:space="preserve"> </v>
      </c>
      <c r="BD53" s="33" t="str">
        <f>IF(OR(ISBLANK(BB53), ISBLANK(BC53)),"",CONCATENATE(" ",VLOOKUP(BC53,Literatuur!$A:$B,2,FALSE)," "))</f>
        <v/>
      </c>
      <c r="BF53" s="44" t="str">
        <f t="shared" si="40"/>
        <v xml:space="preserve"> </v>
      </c>
      <c r="BG53" s="33" t="str">
        <f>IF(OR(ISBLANK(BE53), ISBLANK(BF53)),"",CONCATENATE(" ",VLOOKUP(BF53,Literatuur!$A:$B,2,FALSE)," "))</f>
        <v/>
      </c>
      <c r="BI53" s="44" t="str">
        <f t="shared" si="41"/>
        <v xml:space="preserve"> </v>
      </c>
      <c r="BJ53" s="33" t="str">
        <f>IF(OR(ISBLANK(BH53), ISBLANK(BI53)),"",CONCATENATE(" ",VLOOKUP(BI53,Literatuur!$A:$B,2,FALSE)," "))</f>
        <v/>
      </c>
      <c r="BL53" s="44" t="str">
        <f t="shared" si="42"/>
        <v xml:space="preserve"> </v>
      </c>
      <c r="BM53" s="33" t="str">
        <f>IF(OR(ISBLANK(BK53), ISBLANK(BL53)),"",CONCATENATE(" ",VLOOKUP(BL53,Literatuur!$A:$B,2,FALSE)," "))</f>
        <v/>
      </c>
      <c r="BP53" s="33" t="str">
        <f>IF(OR(ISBLANK(BN53), ISBLANK(BO53)),"",CONCATENATE(" ",VLOOKUP(BO53,Literatuur!$A:$B,2,FALSE)," "))</f>
        <v/>
      </c>
      <c r="BS53" s="33" t="str">
        <f>IF(OR(ISBLANK(BQ53), ISBLANK(BR53)),"",CONCATENATE(" ",VLOOKUP(BR53,Literatuur!$A:$B,2,FALSE)," "))</f>
        <v/>
      </c>
      <c r="BT53" s="33">
        <v>7.24</v>
      </c>
      <c r="BU53" s="33" t="s">
        <v>2066</v>
      </c>
      <c r="BV53" s="33" t="str">
        <f>IF(OR(ISBLANK(BT53), ISBLANK(BU53)),"",CONCATENATE(" ",VLOOKUP(BU53,Literatuur!$A:$B,2,FALSE)," "))</f>
        <v xml:space="preserve"> 8 </v>
      </c>
      <c r="BY53" s="33">
        <v>245.3</v>
      </c>
      <c r="CB53" s="33" t="s">
        <v>2066</v>
      </c>
      <c r="CD53" s="33">
        <f t="shared" si="44"/>
        <v>245.3</v>
      </c>
      <c r="CE53" s="37"/>
      <c r="CH53" s="33">
        <f t="shared" si="43"/>
        <v>7.24</v>
      </c>
      <c r="CR53" s="33" t="str">
        <f t="shared" si="17"/>
        <v>PCB #202</v>
      </c>
      <c r="CS53" s="33" t="str">
        <f t="shared" si="18"/>
        <v>PCB</v>
      </c>
      <c r="CT53" s="33" t="str">
        <f t="shared" si="19"/>
        <v/>
      </c>
      <c r="CU53" s="33" t="str">
        <f t="shared" si="20"/>
        <v/>
      </c>
      <c r="CV53" s="33" t="str">
        <f t="shared" si="21"/>
        <v/>
      </c>
      <c r="CW53" s="33" t="str">
        <f t="shared" si="22"/>
        <v/>
      </c>
      <c r="CX53" s="33">
        <f t="shared" si="23"/>
        <v>7.24</v>
      </c>
      <c r="CY53" s="33" t="str">
        <f t="shared" si="24"/>
        <v xml:space="preserve"> 8 </v>
      </c>
    </row>
    <row r="54" spans="2:103" x14ac:dyDescent="0.2">
      <c r="B54" s="33">
        <v>-1652</v>
      </c>
      <c r="D54" s="105" t="s">
        <v>1159</v>
      </c>
      <c r="E54" s="105" t="s">
        <v>1159</v>
      </c>
      <c r="F54" s="34"/>
      <c r="G54" s="34"/>
      <c r="I54" s="33" t="e">
        <f t="shared" si="27"/>
        <v>#DIV/0!</v>
      </c>
      <c r="J54" s="33" t="e">
        <f t="shared" si="25"/>
        <v>#DIV/0!</v>
      </c>
      <c r="K54" s="44">
        <f t="shared" si="28"/>
        <v>8</v>
      </c>
      <c r="L54" s="33">
        <f t="shared" si="29"/>
        <v>244.8</v>
      </c>
      <c r="M54" s="33" t="s">
        <v>1552</v>
      </c>
      <c r="Q54" s="44" t="str">
        <f t="shared" si="30"/>
        <v xml:space="preserve"> </v>
      </c>
      <c r="R54" s="33" t="str">
        <f>IF(OR(ISBLANK(P54), ISBLANK(Q54)),"",CONCATENATE(" ",VLOOKUP(Q54,Literatuur!$A:$B,2,FALSE)," "))</f>
        <v/>
      </c>
      <c r="T54" s="44" t="str">
        <f t="shared" si="31"/>
        <v xml:space="preserve"> </v>
      </c>
      <c r="U54" s="33" t="str">
        <f>IF(OR(ISBLANK(S54), ISBLANK(T54)),"",CONCATENATE(" ",VLOOKUP(T54,Literatuur!$A:$B,2,FALSE)," "))</f>
        <v/>
      </c>
      <c r="W54" s="44" t="str">
        <f t="shared" si="32"/>
        <v xml:space="preserve"> </v>
      </c>
      <c r="X54" s="33" t="str">
        <f>IF(OR(ISBLANK(V54), ISBLANK(W54)),"",CONCATENATE(" ",VLOOKUP(W54,Literatuur!$A:$B,2,FALSE)," "))</f>
        <v/>
      </c>
      <c r="Z54" s="44" t="str">
        <f t="shared" si="33"/>
        <v xml:space="preserve"> </v>
      </c>
      <c r="AA54" s="33" t="str">
        <f>IF(OR(ISBLANK(Y54), ISBLANK(Z54)),"",CONCATENATE(" ",VLOOKUP(Z54,Literatuur!$A:$B,2,FALSE)," "))</f>
        <v/>
      </c>
      <c r="AC54" s="36" t="str">
        <f t="shared" si="34"/>
        <v xml:space="preserve"> </v>
      </c>
      <c r="AD54" s="33" t="str">
        <f>IF(OR(ISBLANK(AB54), ISBLANK(AC54)),"",CONCATENATE(" ",VLOOKUP(AC54,Literatuur!$A:$B,2,FALSE)," "))</f>
        <v/>
      </c>
      <c r="AG54" s="33" t="str">
        <f>IF(OR(ISBLANK(AE54), ISBLANK(AF54)),"",CONCATENATE(" ",VLOOKUP(AF54,Literatuur!$A:$B,2,FALSE)," "))</f>
        <v/>
      </c>
      <c r="AJ54" s="44" t="str">
        <f t="shared" si="35"/>
        <v xml:space="preserve"> </v>
      </c>
      <c r="AK54" s="33" t="str">
        <f>IF(OR(ISBLANK(AI54), ISBLANK(AJ54)),"",CONCATENATE(" ",VLOOKUP(AJ54,Literatuur!$A:$B,2,FALSE)," "))</f>
        <v/>
      </c>
      <c r="AM54" s="44" t="str">
        <f t="shared" si="36"/>
        <v xml:space="preserve"> </v>
      </c>
      <c r="AN54" s="33" t="str">
        <f>IF(OR(ISBLANK(AL54), ISBLANK(AM54)),"",CONCATENATE(" ",VLOOKUP(AM54,Literatuur!$A:$B,2,FALSE)," "))</f>
        <v/>
      </c>
      <c r="AP54" s="44" t="str">
        <f t="shared" si="37"/>
        <v xml:space="preserve"> </v>
      </c>
      <c r="AQ54" s="33" t="str">
        <f>IF(OR(ISBLANK(AO54), ISBLANK(AP54)),"",CONCATENATE(" ",VLOOKUP(AP54,Literatuur!$A:$B,2,FALSE)," "))</f>
        <v/>
      </c>
      <c r="AT54" s="33" t="str">
        <f>IF(OR(ISBLANK(AR54), ISBLANK(AS54)),"",CONCATENATE(" ",VLOOKUP(AS54,Literatuur!$A:$B,2,FALSE)," "))</f>
        <v/>
      </c>
      <c r="AW54" s="33" t="str">
        <f>IF(OR(ISBLANK(AU54), ISBLANK(AV54)),"",CONCATENATE(" ",VLOOKUP(AV54,Literatuur!$A:$B,2,FALSE)," "))</f>
        <v/>
      </c>
      <c r="AZ54" s="44" t="str">
        <f t="shared" si="38"/>
        <v xml:space="preserve"> </v>
      </c>
      <c r="BA54" s="33" t="str">
        <f>IF(OR(ISBLANK(AY54), ISBLANK(AZ54)),"",CONCATENATE(" ",VLOOKUP(AZ54,Literatuur!$A:$B,2,FALSE)," "))</f>
        <v/>
      </c>
      <c r="BC54" s="44" t="str">
        <f t="shared" si="39"/>
        <v xml:space="preserve"> </v>
      </c>
      <c r="BD54" s="33" t="str">
        <f>IF(OR(ISBLANK(BB54), ISBLANK(BC54)),"",CONCATENATE(" ",VLOOKUP(BC54,Literatuur!$A:$B,2,FALSE)," "))</f>
        <v/>
      </c>
      <c r="BF54" s="44" t="str">
        <f t="shared" si="40"/>
        <v xml:space="preserve"> </v>
      </c>
      <c r="BG54" s="33" t="str">
        <f>IF(OR(ISBLANK(BE54), ISBLANK(BF54)),"",CONCATENATE(" ",VLOOKUP(BF54,Literatuur!$A:$B,2,FALSE)," "))</f>
        <v/>
      </c>
      <c r="BI54" s="44" t="str">
        <f t="shared" si="41"/>
        <v xml:space="preserve"> </v>
      </c>
      <c r="BJ54" s="33" t="str">
        <f>IF(OR(ISBLANK(BH54), ISBLANK(BI54)),"",CONCATENATE(" ",VLOOKUP(BI54,Literatuur!$A:$B,2,FALSE)," "))</f>
        <v/>
      </c>
      <c r="BL54" s="44" t="str">
        <f t="shared" si="42"/>
        <v xml:space="preserve"> </v>
      </c>
      <c r="BM54" s="33" t="str">
        <f>IF(OR(ISBLANK(BK54), ISBLANK(BL54)),"",CONCATENATE(" ",VLOOKUP(BL54,Literatuur!$A:$B,2,FALSE)," "))</f>
        <v/>
      </c>
      <c r="BP54" s="33" t="str">
        <f>IF(OR(ISBLANK(BN54), ISBLANK(BO54)),"",CONCATENATE(" ",VLOOKUP(BO54,Literatuur!$A:$B,2,FALSE)," "))</f>
        <v/>
      </c>
      <c r="BS54" s="33" t="str">
        <f>IF(OR(ISBLANK(BQ54), ISBLANK(BR54)),"",CONCATENATE(" ",VLOOKUP(BR54,Literatuur!$A:$B,2,FALSE)," "))</f>
        <v/>
      </c>
      <c r="BT54" s="33">
        <v>8</v>
      </c>
      <c r="BU54" s="33" t="s">
        <v>2066</v>
      </c>
      <c r="BV54" s="33" t="str">
        <f>IF(OR(ISBLANK(BT54), ISBLANK(BU54)),"",CONCATENATE(" ",VLOOKUP(BU54,Literatuur!$A:$B,2,FALSE)," "))</f>
        <v xml:space="preserve"> 8 </v>
      </c>
      <c r="BY54" s="33">
        <v>244.8</v>
      </c>
      <c r="CB54" s="33" t="s">
        <v>2066</v>
      </c>
      <c r="CD54" s="33">
        <f t="shared" si="44"/>
        <v>244.8</v>
      </c>
      <c r="CE54" s="37"/>
      <c r="CH54" s="33">
        <f t="shared" si="43"/>
        <v>8</v>
      </c>
      <c r="CR54" s="33" t="str">
        <f t="shared" si="17"/>
        <v>PCB #205</v>
      </c>
      <c r="CS54" s="33" t="str">
        <f t="shared" si="18"/>
        <v>PCB</v>
      </c>
      <c r="CT54" s="33" t="str">
        <f t="shared" si="19"/>
        <v/>
      </c>
      <c r="CU54" s="33" t="str">
        <f t="shared" si="20"/>
        <v/>
      </c>
      <c r="CV54" s="33" t="str">
        <f t="shared" si="21"/>
        <v/>
      </c>
      <c r="CW54" s="33" t="str">
        <f t="shared" si="22"/>
        <v/>
      </c>
      <c r="CX54" s="33">
        <f t="shared" si="23"/>
        <v>8</v>
      </c>
      <c r="CY54" s="33" t="str">
        <f t="shared" si="24"/>
        <v xml:space="preserve"> 8 </v>
      </c>
    </row>
    <row r="55" spans="2:103" x14ac:dyDescent="0.2">
      <c r="B55" s="33">
        <v>-1653</v>
      </c>
      <c r="D55" s="105" t="s">
        <v>1160</v>
      </c>
      <c r="E55" s="105" t="s">
        <v>1160</v>
      </c>
      <c r="F55" s="34"/>
      <c r="G55" s="34"/>
      <c r="I55" s="33" t="e">
        <f t="shared" si="27"/>
        <v>#DIV/0!</v>
      </c>
      <c r="J55" s="33" t="e">
        <f t="shared" si="25"/>
        <v>#DIV/0!</v>
      </c>
      <c r="K55" s="44">
        <f t="shared" si="28"/>
        <v>8.09</v>
      </c>
      <c r="L55" s="33">
        <f t="shared" si="29"/>
        <v>257.39999999999998</v>
      </c>
      <c r="M55" s="33" t="s">
        <v>1552</v>
      </c>
      <c r="Q55" s="44" t="str">
        <f t="shared" si="30"/>
        <v xml:space="preserve"> </v>
      </c>
      <c r="R55" s="33" t="str">
        <f>IF(OR(ISBLANK(P55), ISBLANK(Q55)),"",CONCATENATE(" ",VLOOKUP(Q55,Literatuur!$A:$B,2,FALSE)," "))</f>
        <v/>
      </c>
      <c r="T55" s="44" t="str">
        <f t="shared" si="31"/>
        <v xml:space="preserve"> </v>
      </c>
      <c r="U55" s="33" t="str">
        <f>IF(OR(ISBLANK(S55), ISBLANK(T55)),"",CONCATENATE(" ",VLOOKUP(T55,Literatuur!$A:$B,2,FALSE)," "))</f>
        <v/>
      </c>
      <c r="W55" s="44" t="str">
        <f t="shared" si="32"/>
        <v xml:space="preserve"> </v>
      </c>
      <c r="X55" s="33" t="str">
        <f>IF(OR(ISBLANK(V55), ISBLANK(W55)),"",CONCATENATE(" ",VLOOKUP(W55,Literatuur!$A:$B,2,FALSE)," "))</f>
        <v/>
      </c>
      <c r="Z55" s="44" t="str">
        <f t="shared" si="33"/>
        <v xml:space="preserve"> </v>
      </c>
      <c r="AA55" s="33" t="str">
        <f>IF(OR(ISBLANK(Y55), ISBLANK(Z55)),"",CONCATENATE(" ",VLOOKUP(Z55,Literatuur!$A:$B,2,FALSE)," "))</f>
        <v/>
      </c>
      <c r="AC55" s="36" t="str">
        <f t="shared" si="34"/>
        <v xml:space="preserve"> </v>
      </c>
      <c r="AD55" s="33" t="str">
        <f>IF(OR(ISBLANK(AB55), ISBLANK(AC55)),"",CONCATENATE(" ",VLOOKUP(AC55,Literatuur!$A:$B,2,FALSE)," "))</f>
        <v/>
      </c>
      <c r="AG55" s="33" t="str">
        <f>IF(OR(ISBLANK(AE55), ISBLANK(AF55)),"",CONCATENATE(" ",VLOOKUP(AF55,Literatuur!$A:$B,2,FALSE)," "))</f>
        <v/>
      </c>
      <c r="AJ55" s="44" t="str">
        <f t="shared" si="35"/>
        <v xml:space="preserve"> </v>
      </c>
      <c r="AK55" s="33" t="str">
        <f>IF(OR(ISBLANK(AI55), ISBLANK(AJ55)),"",CONCATENATE(" ",VLOOKUP(AJ55,Literatuur!$A:$B,2,FALSE)," "))</f>
        <v/>
      </c>
      <c r="AM55" s="44" t="str">
        <f t="shared" si="36"/>
        <v xml:space="preserve"> </v>
      </c>
      <c r="AN55" s="33" t="str">
        <f>IF(OR(ISBLANK(AL55), ISBLANK(AM55)),"",CONCATENATE(" ",VLOOKUP(AM55,Literatuur!$A:$B,2,FALSE)," "))</f>
        <v/>
      </c>
      <c r="AP55" s="44" t="str">
        <f t="shared" si="37"/>
        <v xml:space="preserve"> </v>
      </c>
      <c r="AQ55" s="33" t="str">
        <f>IF(OR(ISBLANK(AO55), ISBLANK(AP55)),"",CONCATENATE(" ",VLOOKUP(AP55,Literatuur!$A:$B,2,FALSE)," "))</f>
        <v/>
      </c>
      <c r="AT55" s="33" t="str">
        <f>IF(OR(ISBLANK(AR55), ISBLANK(AS55)),"",CONCATENATE(" ",VLOOKUP(AS55,Literatuur!$A:$B,2,FALSE)," "))</f>
        <v/>
      </c>
      <c r="AW55" s="33" t="str">
        <f>IF(OR(ISBLANK(AU55), ISBLANK(AV55)),"",CONCATENATE(" ",VLOOKUP(AV55,Literatuur!$A:$B,2,FALSE)," "))</f>
        <v/>
      </c>
      <c r="AZ55" s="44" t="str">
        <f t="shared" si="38"/>
        <v xml:space="preserve"> </v>
      </c>
      <c r="BA55" s="33" t="str">
        <f>IF(OR(ISBLANK(AY55), ISBLANK(AZ55)),"",CONCATENATE(" ",VLOOKUP(AZ55,Literatuur!$A:$B,2,FALSE)," "))</f>
        <v/>
      </c>
      <c r="BC55" s="44" t="str">
        <f t="shared" si="39"/>
        <v xml:space="preserve"> </v>
      </c>
      <c r="BD55" s="33" t="str">
        <f>IF(OR(ISBLANK(BB55), ISBLANK(BC55)),"",CONCATENATE(" ",VLOOKUP(BC55,Literatuur!$A:$B,2,FALSE)," "))</f>
        <v/>
      </c>
      <c r="BF55" s="44" t="str">
        <f t="shared" si="40"/>
        <v xml:space="preserve"> </v>
      </c>
      <c r="BG55" s="33" t="str">
        <f>IF(OR(ISBLANK(BE55), ISBLANK(BF55)),"",CONCATENATE(" ",VLOOKUP(BF55,Literatuur!$A:$B,2,FALSE)," "))</f>
        <v/>
      </c>
      <c r="BI55" s="44" t="str">
        <f t="shared" si="41"/>
        <v xml:space="preserve"> </v>
      </c>
      <c r="BJ55" s="33" t="str">
        <f>IF(OR(ISBLANK(BH55), ISBLANK(BI55)),"",CONCATENATE(" ",VLOOKUP(BI55,Literatuur!$A:$B,2,FALSE)," "))</f>
        <v/>
      </c>
      <c r="BL55" s="44" t="str">
        <f t="shared" si="42"/>
        <v xml:space="preserve"> </v>
      </c>
      <c r="BM55" s="33" t="str">
        <f>IF(OR(ISBLANK(BK55), ISBLANK(BL55)),"",CONCATENATE(" ",VLOOKUP(BL55,Literatuur!$A:$B,2,FALSE)," "))</f>
        <v/>
      </c>
      <c r="BP55" s="33" t="str">
        <f>IF(OR(ISBLANK(BN55), ISBLANK(BO55)),"",CONCATENATE(" ",VLOOKUP(BO55,Literatuur!$A:$B,2,FALSE)," "))</f>
        <v/>
      </c>
      <c r="BS55" s="33" t="str">
        <f>IF(OR(ISBLANK(BQ55), ISBLANK(BR55)),"",CONCATENATE(" ",VLOOKUP(BR55,Literatuur!$A:$B,2,FALSE)," "))</f>
        <v/>
      </c>
      <c r="BT55" s="33">
        <v>8.09</v>
      </c>
      <c r="BU55" s="33" t="s">
        <v>2066</v>
      </c>
      <c r="BV55" s="33" t="str">
        <f>IF(OR(ISBLANK(BT55), ISBLANK(BU55)),"",CONCATENATE(" ",VLOOKUP(BU55,Literatuur!$A:$B,2,FALSE)," "))</f>
        <v xml:space="preserve"> 8 </v>
      </c>
      <c r="BY55" s="33">
        <v>257.39999999999998</v>
      </c>
      <c r="CB55" s="33" t="s">
        <v>2066</v>
      </c>
      <c r="CD55" s="33">
        <f t="shared" si="44"/>
        <v>257.39999999999998</v>
      </c>
      <c r="CE55" s="37"/>
      <c r="CH55" s="33">
        <f t="shared" si="43"/>
        <v>8.09</v>
      </c>
      <c r="CR55" s="33" t="str">
        <f t="shared" si="17"/>
        <v>PCB #206</v>
      </c>
      <c r="CS55" s="33" t="str">
        <f t="shared" si="18"/>
        <v>PCB</v>
      </c>
      <c r="CT55" s="33" t="str">
        <f t="shared" si="19"/>
        <v/>
      </c>
      <c r="CU55" s="33" t="str">
        <f t="shared" si="20"/>
        <v/>
      </c>
      <c r="CV55" s="33" t="str">
        <f t="shared" si="21"/>
        <v/>
      </c>
      <c r="CW55" s="33" t="str">
        <f t="shared" si="22"/>
        <v/>
      </c>
      <c r="CX55" s="33">
        <f t="shared" si="23"/>
        <v>8.09</v>
      </c>
      <c r="CY55" s="33" t="str">
        <f t="shared" si="24"/>
        <v xml:space="preserve"> 8 </v>
      </c>
    </row>
    <row r="56" spans="2:103" ht="12.75" customHeight="1" x14ac:dyDescent="0.2">
      <c r="B56" s="33">
        <v>-1654</v>
      </c>
      <c r="D56" s="105" t="s">
        <v>1161</v>
      </c>
      <c r="E56" s="105" t="s">
        <v>1161</v>
      </c>
      <c r="F56" s="34"/>
      <c r="G56" s="34"/>
      <c r="I56" s="33" t="e">
        <f t="shared" si="27"/>
        <v>#DIV/0!</v>
      </c>
      <c r="J56" s="33" t="e">
        <f t="shared" si="25"/>
        <v>#DIV/0!</v>
      </c>
      <c r="K56" s="44">
        <f t="shared" si="28"/>
        <v>7.74</v>
      </c>
      <c r="L56" s="33">
        <f t="shared" si="29"/>
        <v>257</v>
      </c>
      <c r="M56" s="33" t="s">
        <v>1552</v>
      </c>
      <c r="Q56" s="44" t="str">
        <f t="shared" si="30"/>
        <v xml:space="preserve"> </v>
      </c>
      <c r="R56" s="33" t="str">
        <f>IF(OR(ISBLANK(P56), ISBLANK(Q56)),"",CONCATENATE(" ",VLOOKUP(Q56,Literatuur!$A:$B,2,FALSE)," "))</f>
        <v/>
      </c>
      <c r="T56" s="44" t="str">
        <f t="shared" si="31"/>
        <v xml:space="preserve"> </v>
      </c>
      <c r="U56" s="33" t="str">
        <f>IF(OR(ISBLANK(S56), ISBLANK(T56)),"",CONCATENATE(" ",VLOOKUP(T56,Literatuur!$A:$B,2,FALSE)," "))</f>
        <v/>
      </c>
      <c r="W56" s="44" t="str">
        <f t="shared" si="32"/>
        <v xml:space="preserve"> </v>
      </c>
      <c r="X56" s="33" t="str">
        <f>IF(OR(ISBLANK(V56), ISBLANK(W56)),"",CONCATENATE(" ",VLOOKUP(W56,Literatuur!$A:$B,2,FALSE)," "))</f>
        <v/>
      </c>
      <c r="Z56" s="44" t="str">
        <f t="shared" si="33"/>
        <v xml:space="preserve"> </v>
      </c>
      <c r="AA56" s="33" t="str">
        <f>IF(OR(ISBLANK(Y56), ISBLANK(Z56)),"",CONCATENATE(" ",VLOOKUP(Z56,Literatuur!$A:$B,2,FALSE)," "))</f>
        <v/>
      </c>
      <c r="AC56" s="36" t="str">
        <f t="shared" si="34"/>
        <v xml:space="preserve"> </v>
      </c>
      <c r="AD56" s="33" t="str">
        <f>IF(OR(ISBLANK(AB56), ISBLANK(AC56)),"",CONCATENATE(" ",VLOOKUP(AC56,Literatuur!$A:$B,2,FALSE)," "))</f>
        <v/>
      </c>
      <c r="AG56" s="33" t="str">
        <f>IF(OR(ISBLANK(AE56), ISBLANK(AF56)),"",CONCATENATE(" ",VLOOKUP(AF56,Literatuur!$A:$B,2,FALSE)," "))</f>
        <v/>
      </c>
      <c r="AJ56" s="44" t="str">
        <f t="shared" si="35"/>
        <v xml:space="preserve"> </v>
      </c>
      <c r="AK56" s="33" t="str">
        <f>IF(OR(ISBLANK(AI56), ISBLANK(AJ56)),"",CONCATENATE(" ",VLOOKUP(AJ56,Literatuur!$A:$B,2,FALSE)," "))</f>
        <v/>
      </c>
      <c r="AM56" s="44" t="str">
        <f t="shared" si="36"/>
        <v xml:space="preserve"> </v>
      </c>
      <c r="AN56" s="33" t="str">
        <f>IF(OR(ISBLANK(AL56), ISBLANK(AM56)),"",CONCATENATE(" ",VLOOKUP(AM56,Literatuur!$A:$B,2,FALSE)," "))</f>
        <v/>
      </c>
      <c r="AP56" s="44" t="str">
        <f t="shared" si="37"/>
        <v xml:space="preserve"> </v>
      </c>
      <c r="AQ56" s="33" t="str">
        <f>IF(OR(ISBLANK(AO56), ISBLANK(AP56)),"",CONCATENATE(" ",VLOOKUP(AP56,Literatuur!$A:$B,2,FALSE)," "))</f>
        <v/>
      </c>
      <c r="AT56" s="33" t="str">
        <f>IF(OR(ISBLANK(AR56), ISBLANK(AS56)),"",CONCATENATE(" ",VLOOKUP(AS56,Literatuur!$A:$B,2,FALSE)," "))</f>
        <v/>
      </c>
      <c r="AW56" s="33" t="str">
        <f>IF(OR(ISBLANK(AU56), ISBLANK(AV56)),"",CONCATENATE(" ",VLOOKUP(AV56,Literatuur!$A:$B,2,FALSE)," "))</f>
        <v/>
      </c>
      <c r="AZ56" s="44" t="str">
        <f t="shared" si="38"/>
        <v xml:space="preserve"> </v>
      </c>
      <c r="BA56" s="33" t="str">
        <f>IF(OR(ISBLANK(AY56), ISBLANK(AZ56)),"",CONCATENATE(" ",VLOOKUP(AZ56,Literatuur!$A:$B,2,FALSE)," "))</f>
        <v/>
      </c>
      <c r="BC56" s="44" t="str">
        <f t="shared" si="39"/>
        <v xml:space="preserve"> </v>
      </c>
      <c r="BD56" s="33" t="str">
        <f>IF(OR(ISBLANK(BB56), ISBLANK(BC56)),"",CONCATENATE(" ",VLOOKUP(BC56,Literatuur!$A:$B,2,FALSE)," "))</f>
        <v/>
      </c>
      <c r="BF56" s="44" t="str">
        <f t="shared" si="40"/>
        <v xml:space="preserve"> </v>
      </c>
      <c r="BG56" s="33" t="str">
        <f>IF(OR(ISBLANK(BE56), ISBLANK(BF56)),"",CONCATENATE(" ",VLOOKUP(BF56,Literatuur!$A:$B,2,FALSE)," "))</f>
        <v/>
      </c>
      <c r="BI56" s="44" t="str">
        <f t="shared" si="41"/>
        <v xml:space="preserve"> </v>
      </c>
      <c r="BJ56" s="33" t="str">
        <f>IF(OR(ISBLANK(BH56), ISBLANK(BI56)),"",CONCATENATE(" ",VLOOKUP(BI56,Literatuur!$A:$B,2,FALSE)," "))</f>
        <v/>
      </c>
      <c r="BL56" s="44" t="str">
        <f t="shared" si="42"/>
        <v xml:space="preserve"> </v>
      </c>
      <c r="BM56" s="33" t="str">
        <f>IF(OR(ISBLANK(BK56), ISBLANK(BL56)),"",CONCATENATE(" ",VLOOKUP(BL56,Literatuur!$A:$B,2,FALSE)," "))</f>
        <v/>
      </c>
      <c r="BP56" s="33" t="str">
        <f>IF(OR(ISBLANK(BN56), ISBLANK(BO56)),"",CONCATENATE(" ",VLOOKUP(BO56,Literatuur!$A:$B,2,FALSE)," "))</f>
        <v/>
      </c>
      <c r="BS56" s="33" t="str">
        <f>IF(OR(ISBLANK(BQ56), ISBLANK(BR56)),"",CONCATENATE(" ",VLOOKUP(BR56,Literatuur!$A:$B,2,FALSE)," "))</f>
        <v/>
      </c>
      <c r="BT56" s="33">
        <v>7.74</v>
      </c>
      <c r="BU56" s="33" t="s">
        <v>2066</v>
      </c>
      <c r="BV56" s="33" t="str">
        <f>IF(OR(ISBLANK(BT56), ISBLANK(BU56)),"",CONCATENATE(" ",VLOOKUP(BU56,Literatuur!$A:$B,2,FALSE)," "))</f>
        <v xml:space="preserve"> 8 </v>
      </c>
      <c r="BY56" s="33">
        <v>257</v>
      </c>
      <c r="CB56" s="33" t="s">
        <v>2066</v>
      </c>
      <c r="CD56" s="33">
        <f t="shared" si="44"/>
        <v>257</v>
      </c>
      <c r="CE56" s="37"/>
      <c r="CH56" s="33">
        <f t="shared" si="43"/>
        <v>7.74</v>
      </c>
      <c r="CR56" s="33" t="str">
        <f t="shared" si="17"/>
        <v>PCB #207</v>
      </c>
      <c r="CS56" s="33" t="str">
        <f t="shared" si="18"/>
        <v>PCB</v>
      </c>
      <c r="CT56" s="33" t="str">
        <f t="shared" si="19"/>
        <v/>
      </c>
      <c r="CU56" s="33" t="str">
        <f t="shared" si="20"/>
        <v/>
      </c>
      <c r="CV56" s="33" t="str">
        <f t="shared" si="21"/>
        <v/>
      </c>
      <c r="CW56" s="33" t="str">
        <f t="shared" si="22"/>
        <v/>
      </c>
      <c r="CX56" s="33">
        <f t="shared" si="23"/>
        <v>7.74</v>
      </c>
      <c r="CY56" s="33" t="str">
        <f t="shared" si="24"/>
        <v xml:space="preserve"> 8 </v>
      </c>
    </row>
    <row r="57" spans="2:103" ht="12.75" customHeight="1" x14ac:dyDescent="0.2">
      <c r="B57" s="33">
        <v>-1655</v>
      </c>
      <c r="D57" s="105" t="s">
        <v>1162</v>
      </c>
      <c r="E57" s="105" t="s">
        <v>1162</v>
      </c>
      <c r="F57" s="34"/>
      <c r="G57" s="34"/>
      <c r="I57" s="33" t="e">
        <f t="shared" si="27"/>
        <v>#DIV/0!</v>
      </c>
      <c r="J57" s="33" t="e">
        <f t="shared" si="25"/>
        <v>#DIV/0!</v>
      </c>
      <c r="K57" s="44">
        <f t="shared" si="28"/>
        <v>7.71</v>
      </c>
      <c r="L57" s="33">
        <f t="shared" si="29"/>
        <v>256.89999999999998</v>
      </c>
      <c r="M57" s="33" t="s">
        <v>1552</v>
      </c>
      <c r="Q57" s="44" t="str">
        <f t="shared" si="30"/>
        <v xml:space="preserve"> </v>
      </c>
      <c r="R57" s="33" t="str">
        <f>IF(OR(ISBLANK(P57), ISBLANK(Q57)),"",CONCATENATE(" ",VLOOKUP(Q57,Literatuur!$A:$B,2,FALSE)," "))</f>
        <v/>
      </c>
      <c r="T57" s="44" t="str">
        <f t="shared" si="31"/>
        <v xml:space="preserve"> </v>
      </c>
      <c r="U57" s="33" t="str">
        <f>IF(OR(ISBLANK(S57), ISBLANK(T57)),"",CONCATENATE(" ",VLOOKUP(T57,Literatuur!$A:$B,2,FALSE)," "))</f>
        <v/>
      </c>
      <c r="W57" s="44" t="str">
        <f t="shared" si="32"/>
        <v xml:space="preserve"> </v>
      </c>
      <c r="X57" s="33" t="str">
        <f>IF(OR(ISBLANK(V57), ISBLANK(W57)),"",CONCATENATE(" ",VLOOKUP(W57,Literatuur!$A:$B,2,FALSE)," "))</f>
        <v/>
      </c>
      <c r="Z57" s="44" t="str">
        <f t="shared" si="33"/>
        <v xml:space="preserve"> </v>
      </c>
      <c r="AA57" s="33" t="str">
        <f>IF(OR(ISBLANK(Y57), ISBLANK(Z57)),"",CONCATENATE(" ",VLOOKUP(Z57,Literatuur!$A:$B,2,FALSE)," "))</f>
        <v/>
      </c>
      <c r="AC57" s="36" t="str">
        <f t="shared" si="34"/>
        <v xml:space="preserve"> </v>
      </c>
      <c r="AD57" s="33" t="str">
        <f>IF(OR(ISBLANK(AB57), ISBLANK(AC57)),"",CONCATENATE(" ",VLOOKUP(AC57,Literatuur!$A:$B,2,FALSE)," "))</f>
        <v/>
      </c>
      <c r="AG57" s="33" t="str">
        <f>IF(OR(ISBLANK(AE57), ISBLANK(AF57)),"",CONCATENATE(" ",VLOOKUP(AF57,Literatuur!$A:$B,2,FALSE)," "))</f>
        <v/>
      </c>
      <c r="AJ57" s="44" t="str">
        <f t="shared" si="35"/>
        <v xml:space="preserve"> </v>
      </c>
      <c r="AK57" s="33" t="str">
        <f>IF(OR(ISBLANK(AI57), ISBLANK(AJ57)),"",CONCATENATE(" ",VLOOKUP(AJ57,Literatuur!$A:$B,2,FALSE)," "))</f>
        <v/>
      </c>
      <c r="AM57" s="44" t="str">
        <f t="shared" si="36"/>
        <v xml:space="preserve"> </v>
      </c>
      <c r="AN57" s="33" t="str">
        <f>IF(OR(ISBLANK(AL57), ISBLANK(AM57)),"",CONCATENATE(" ",VLOOKUP(AM57,Literatuur!$A:$B,2,FALSE)," "))</f>
        <v/>
      </c>
      <c r="AP57" s="44" t="str">
        <f t="shared" si="37"/>
        <v xml:space="preserve"> </v>
      </c>
      <c r="AQ57" s="33" t="str">
        <f>IF(OR(ISBLANK(AO57), ISBLANK(AP57)),"",CONCATENATE(" ",VLOOKUP(AP57,Literatuur!$A:$B,2,FALSE)," "))</f>
        <v/>
      </c>
      <c r="AT57" s="33" t="str">
        <f>IF(OR(ISBLANK(AR57), ISBLANK(AS57)),"",CONCATENATE(" ",VLOOKUP(AS57,Literatuur!$A:$B,2,FALSE)," "))</f>
        <v/>
      </c>
      <c r="AW57" s="33" t="str">
        <f>IF(OR(ISBLANK(AU57), ISBLANK(AV57)),"",CONCATENATE(" ",VLOOKUP(AV57,Literatuur!$A:$B,2,FALSE)," "))</f>
        <v/>
      </c>
      <c r="AZ57" s="44" t="str">
        <f t="shared" si="38"/>
        <v xml:space="preserve"> </v>
      </c>
      <c r="BA57" s="33" t="str">
        <f>IF(OR(ISBLANK(AY57), ISBLANK(AZ57)),"",CONCATENATE(" ",VLOOKUP(AZ57,Literatuur!$A:$B,2,FALSE)," "))</f>
        <v/>
      </c>
      <c r="BC57" s="44" t="str">
        <f t="shared" si="39"/>
        <v xml:space="preserve"> </v>
      </c>
      <c r="BD57" s="33" t="str">
        <f>IF(OR(ISBLANK(BB57), ISBLANK(BC57)),"",CONCATENATE(" ",VLOOKUP(BC57,Literatuur!$A:$B,2,FALSE)," "))</f>
        <v/>
      </c>
      <c r="BF57" s="44" t="str">
        <f t="shared" si="40"/>
        <v xml:space="preserve"> </v>
      </c>
      <c r="BG57" s="33" t="str">
        <f>IF(OR(ISBLANK(BE57), ISBLANK(BF57)),"",CONCATENATE(" ",VLOOKUP(BF57,Literatuur!$A:$B,2,FALSE)," "))</f>
        <v/>
      </c>
      <c r="BI57" s="44" t="str">
        <f t="shared" si="41"/>
        <v xml:space="preserve"> </v>
      </c>
      <c r="BJ57" s="33" t="str">
        <f>IF(OR(ISBLANK(BH57), ISBLANK(BI57)),"",CONCATENATE(" ",VLOOKUP(BI57,Literatuur!$A:$B,2,FALSE)," "))</f>
        <v/>
      </c>
      <c r="BL57" s="44" t="str">
        <f t="shared" si="42"/>
        <v xml:space="preserve"> </v>
      </c>
      <c r="BM57" s="33" t="str">
        <f>IF(OR(ISBLANK(BK57), ISBLANK(BL57)),"",CONCATENATE(" ",VLOOKUP(BL57,Literatuur!$A:$B,2,FALSE)," "))</f>
        <v/>
      </c>
      <c r="BP57" s="33" t="str">
        <f>IF(OR(ISBLANK(BN57), ISBLANK(BO57)),"",CONCATENATE(" ",VLOOKUP(BO57,Literatuur!$A:$B,2,FALSE)," "))</f>
        <v/>
      </c>
      <c r="BS57" s="33" t="str">
        <f>IF(OR(ISBLANK(BQ57), ISBLANK(BR57)),"",CONCATENATE(" ",VLOOKUP(BR57,Literatuur!$A:$B,2,FALSE)," "))</f>
        <v/>
      </c>
      <c r="BT57" s="33">
        <v>7.71</v>
      </c>
      <c r="BU57" s="33" t="s">
        <v>2066</v>
      </c>
      <c r="BV57" s="33" t="str">
        <f>IF(OR(ISBLANK(BT57), ISBLANK(BU57)),"",CONCATENATE(" ",VLOOKUP(BU57,Literatuur!$A:$B,2,FALSE)," "))</f>
        <v xml:space="preserve"> 8 </v>
      </c>
      <c r="BY57" s="33">
        <v>256.89999999999998</v>
      </c>
      <c r="CB57" s="33" t="s">
        <v>2066</v>
      </c>
      <c r="CD57" s="33">
        <f t="shared" si="44"/>
        <v>256.89999999999998</v>
      </c>
      <c r="CE57" s="37"/>
      <c r="CH57" s="33">
        <f t="shared" si="43"/>
        <v>7.71</v>
      </c>
      <c r="CR57" s="33" t="str">
        <f t="shared" si="17"/>
        <v>PCB #208</v>
      </c>
      <c r="CS57" s="33" t="str">
        <f t="shared" si="18"/>
        <v>PCB</v>
      </c>
      <c r="CT57" s="33" t="str">
        <f t="shared" si="19"/>
        <v/>
      </c>
      <c r="CU57" s="33" t="str">
        <f t="shared" si="20"/>
        <v/>
      </c>
      <c r="CV57" s="33" t="str">
        <f t="shared" si="21"/>
        <v/>
      </c>
      <c r="CW57" s="33" t="str">
        <f t="shared" si="22"/>
        <v/>
      </c>
      <c r="CX57" s="33">
        <f t="shared" si="23"/>
        <v>7.71</v>
      </c>
      <c r="CY57" s="33" t="str">
        <f t="shared" si="24"/>
        <v xml:space="preserve"> 8 </v>
      </c>
    </row>
    <row r="58" spans="2:103" ht="12.75" customHeight="1" x14ac:dyDescent="0.2">
      <c r="B58" s="33">
        <v>-1582</v>
      </c>
      <c r="D58" s="105" t="s">
        <v>1089</v>
      </c>
      <c r="E58" s="105" t="s">
        <v>1089</v>
      </c>
      <c r="F58" s="34"/>
      <c r="G58" s="34"/>
      <c r="I58" s="33" t="e">
        <f t="shared" si="27"/>
        <v>#DIV/0!</v>
      </c>
      <c r="J58" s="33" t="e">
        <f t="shared" si="25"/>
        <v>#DIV/0!</v>
      </c>
      <c r="K58" s="44">
        <f t="shared" si="28"/>
        <v>5.58</v>
      </c>
      <c r="L58" s="33">
        <f t="shared" si="29"/>
        <v>186.8</v>
      </c>
      <c r="M58" s="33" t="s">
        <v>1552</v>
      </c>
      <c r="Q58" s="44" t="str">
        <f t="shared" si="30"/>
        <v xml:space="preserve"> </v>
      </c>
      <c r="R58" s="33" t="str">
        <f>IF(OR(ISBLANK(P58), ISBLANK(Q58)),"",CONCATENATE(" ",VLOOKUP(Q58,Literatuur!$A:$B,2,FALSE)," "))</f>
        <v/>
      </c>
      <c r="T58" s="44" t="str">
        <f t="shared" si="31"/>
        <v xml:space="preserve"> </v>
      </c>
      <c r="U58" s="33" t="str">
        <f>IF(OR(ISBLANK(S58), ISBLANK(T58)),"",CONCATENATE(" ",VLOOKUP(T58,Literatuur!$A:$B,2,FALSE)," "))</f>
        <v/>
      </c>
      <c r="W58" s="44" t="str">
        <f t="shared" si="32"/>
        <v xml:space="preserve"> </v>
      </c>
      <c r="X58" s="33" t="str">
        <f>IF(OR(ISBLANK(V58), ISBLANK(W58)),"",CONCATENATE(" ",VLOOKUP(W58,Literatuur!$A:$B,2,FALSE)," "))</f>
        <v/>
      </c>
      <c r="Z58" s="44" t="str">
        <f t="shared" si="33"/>
        <v xml:space="preserve"> </v>
      </c>
      <c r="AA58" s="33" t="str">
        <f>IF(OR(ISBLANK(Y58), ISBLANK(Z58)),"",CONCATENATE(" ",VLOOKUP(Z58,Literatuur!$A:$B,2,FALSE)," "))</f>
        <v/>
      </c>
      <c r="AC58" s="186" t="str">
        <f t="shared" si="34"/>
        <v xml:space="preserve"> </v>
      </c>
      <c r="AD58" s="33" t="str">
        <f>IF(OR(ISBLANK(AB58), ISBLANK(AC58)),"",CONCATENATE(" ",VLOOKUP(AC58,Literatuur!$A:$B,2,FALSE)," "))</f>
        <v/>
      </c>
      <c r="AG58" s="33" t="str">
        <f>IF(OR(ISBLANK(AE58), ISBLANK(AF58)),"",CONCATENATE(" ",VLOOKUP(AF58,Literatuur!$A:$B,2,FALSE)," "))</f>
        <v/>
      </c>
      <c r="AJ58" s="44" t="str">
        <f t="shared" si="35"/>
        <v xml:space="preserve"> </v>
      </c>
      <c r="AK58" s="33" t="str">
        <f>IF(OR(ISBLANK(AI58), ISBLANK(AJ58)),"",CONCATENATE(" ",VLOOKUP(AJ58,Literatuur!$A:$B,2,FALSE)," "))</f>
        <v/>
      </c>
      <c r="AM58" s="44" t="str">
        <f t="shared" si="36"/>
        <v xml:space="preserve"> </v>
      </c>
      <c r="AN58" s="33" t="str">
        <f>IF(OR(ISBLANK(AL58), ISBLANK(AM58)),"",CONCATENATE(" ",VLOOKUP(AM58,Literatuur!$A:$B,2,FALSE)," "))</f>
        <v/>
      </c>
      <c r="AP58" s="44" t="str">
        <f t="shared" si="37"/>
        <v xml:space="preserve"> </v>
      </c>
      <c r="AQ58" s="33" t="str">
        <f>IF(OR(ISBLANK(AO58), ISBLANK(AP58)),"",CONCATENATE(" ",VLOOKUP(AP58,Literatuur!$A:$B,2,FALSE)," "))</f>
        <v/>
      </c>
      <c r="AT58" s="33" t="str">
        <f>IF(OR(ISBLANK(AR58), ISBLANK(AS58)),"",CONCATENATE(" ",VLOOKUP(AS58,Literatuur!$A:$B,2,FALSE)," "))</f>
        <v/>
      </c>
      <c r="AW58" s="33" t="str">
        <f>IF(OR(ISBLANK(AU58), ISBLANK(AV58)),"",CONCATENATE(" ",VLOOKUP(AV58,Literatuur!$A:$B,2,FALSE)," "))</f>
        <v/>
      </c>
      <c r="AZ58" s="44" t="str">
        <f t="shared" si="38"/>
        <v xml:space="preserve"> </v>
      </c>
      <c r="BA58" s="33" t="str">
        <f>IF(OR(ISBLANK(AY58), ISBLANK(AZ58)),"",CONCATENATE(" ",VLOOKUP(AZ58,Literatuur!$A:$B,2,FALSE)," "))</f>
        <v/>
      </c>
      <c r="BC58" s="44" t="str">
        <f t="shared" si="39"/>
        <v xml:space="preserve"> </v>
      </c>
      <c r="BD58" s="33" t="str">
        <f>IF(OR(ISBLANK(BB58), ISBLANK(BC58)),"",CONCATENATE(" ",VLOOKUP(BC58,Literatuur!$A:$B,2,FALSE)," "))</f>
        <v/>
      </c>
      <c r="BF58" s="44" t="str">
        <f t="shared" si="40"/>
        <v xml:space="preserve"> </v>
      </c>
      <c r="BG58" s="33" t="str">
        <f>IF(OR(ISBLANK(BE58), ISBLANK(BF58)),"",CONCATENATE(" ",VLOOKUP(BF58,Literatuur!$A:$B,2,FALSE)," "))</f>
        <v/>
      </c>
      <c r="BI58" s="44" t="str">
        <f t="shared" si="41"/>
        <v xml:space="preserve"> </v>
      </c>
      <c r="BJ58" s="33" t="str">
        <f>IF(OR(ISBLANK(BH58), ISBLANK(BI58)),"",CONCATENATE(" ",VLOOKUP(BI58,Literatuur!$A:$B,2,FALSE)," "))</f>
        <v/>
      </c>
      <c r="BL58" s="44" t="str">
        <f t="shared" si="42"/>
        <v xml:space="preserve"> </v>
      </c>
      <c r="BM58" s="33" t="str">
        <f>IF(OR(ISBLANK(BK58), ISBLANK(BL58)),"",CONCATENATE(" ",VLOOKUP(BL58,Literatuur!$A:$B,2,FALSE)," "))</f>
        <v/>
      </c>
      <c r="BP58" s="33" t="str">
        <f>IF(OR(ISBLANK(BN58), ISBLANK(BO58)),"",CONCATENATE(" ",VLOOKUP(BO58,Literatuur!$A:$B,2,FALSE)," "))</f>
        <v/>
      </c>
      <c r="BS58" s="33" t="str">
        <f>IF(OR(ISBLANK(BQ58), ISBLANK(BR58)),"",CONCATENATE(" ",VLOOKUP(BR58,Literatuur!$A:$B,2,FALSE)," "))</f>
        <v/>
      </c>
      <c r="BT58" s="33">
        <v>5.58</v>
      </c>
      <c r="BU58" s="33" t="s">
        <v>2066</v>
      </c>
      <c r="BV58" s="33" t="str">
        <f>IF(OR(ISBLANK(BT58), ISBLANK(BU58)),"",CONCATENATE(" ",VLOOKUP(BU58,Literatuur!$A:$B,2,FALSE)," "))</f>
        <v xml:space="preserve"> 8 </v>
      </c>
      <c r="BY58" s="33">
        <v>186.8</v>
      </c>
      <c r="CB58" s="33" t="s">
        <v>2066</v>
      </c>
      <c r="CD58" s="33">
        <f t="shared" si="44"/>
        <v>186.8</v>
      </c>
      <c r="CE58" s="37"/>
      <c r="CH58" s="33">
        <f t="shared" si="43"/>
        <v>5.58</v>
      </c>
      <c r="CR58" s="33" t="str">
        <f t="shared" si="17"/>
        <v>PCB #22</v>
      </c>
      <c r="CS58" s="33" t="str">
        <f t="shared" si="18"/>
        <v>PCB</v>
      </c>
      <c r="CT58" s="33" t="str">
        <f t="shared" si="19"/>
        <v/>
      </c>
      <c r="CU58" s="33" t="str">
        <f t="shared" si="20"/>
        <v/>
      </c>
      <c r="CV58" s="33" t="str">
        <f t="shared" si="21"/>
        <v/>
      </c>
      <c r="CW58" s="33" t="str">
        <f t="shared" si="22"/>
        <v/>
      </c>
      <c r="CX58" s="33">
        <f t="shared" si="23"/>
        <v>5.58</v>
      </c>
      <c r="CY58" s="33" t="str">
        <f t="shared" si="24"/>
        <v xml:space="preserve"> 8 </v>
      </c>
    </row>
    <row r="59" spans="2:103" ht="12.75" customHeight="1" x14ac:dyDescent="0.2">
      <c r="B59" s="33">
        <v>-1583</v>
      </c>
      <c r="D59" s="105" t="s">
        <v>1090</v>
      </c>
      <c r="E59" s="105" t="s">
        <v>1090</v>
      </c>
      <c r="F59" s="34"/>
      <c r="G59" s="34"/>
      <c r="I59" s="33" t="e">
        <f t="shared" si="27"/>
        <v>#DIV/0!</v>
      </c>
      <c r="J59" s="33" t="e">
        <f t="shared" si="25"/>
        <v>#DIV/0!</v>
      </c>
      <c r="K59" s="44">
        <f t="shared" si="28"/>
        <v>5.35</v>
      </c>
      <c r="L59" s="33">
        <f t="shared" si="29"/>
        <v>186.1</v>
      </c>
      <c r="M59" s="33" t="s">
        <v>1552</v>
      </c>
      <c r="Q59" s="44" t="str">
        <f t="shared" si="30"/>
        <v xml:space="preserve"> </v>
      </c>
      <c r="R59" s="33" t="str">
        <f>IF(OR(ISBLANK(P59), ISBLANK(Q59)),"",CONCATENATE(" ",VLOOKUP(Q59,Literatuur!$A:$B,2,FALSE)," "))</f>
        <v/>
      </c>
      <c r="T59" s="44" t="str">
        <f t="shared" si="31"/>
        <v xml:space="preserve"> </v>
      </c>
      <c r="U59" s="33" t="str">
        <f>IF(OR(ISBLANK(S59), ISBLANK(T59)),"",CONCATENATE(" ",VLOOKUP(T59,Literatuur!$A:$B,2,FALSE)," "))</f>
        <v/>
      </c>
      <c r="W59" s="44" t="str">
        <f t="shared" si="32"/>
        <v xml:space="preserve"> </v>
      </c>
      <c r="X59" s="33" t="str">
        <f>IF(OR(ISBLANK(V59), ISBLANK(W59)),"",CONCATENATE(" ",VLOOKUP(W59,Literatuur!$A:$B,2,FALSE)," "))</f>
        <v/>
      </c>
      <c r="Z59" s="44" t="str">
        <f t="shared" si="33"/>
        <v xml:space="preserve"> </v>
      </c>
      <c r="AA59" s="33" t="str">
        <f>IF(OR(ISBLANK(Y59), ISBLANK(Z59)),"",CONCATENATE(" ",VLOOKUP(Z59,Literatuur!$A:$B,2,FALSE)," "))</f>
        <v/>
      </c>
      <c r="AC59" s="186" t="str">
        <f t="shared" si="34"/>
        <v xml:space="preserve"> </v>
      </c>
      <c r="AD59" s="33" t="str">
        <f>IF(OR(ISBLANK(AB59), ISBLANK(AC59)),"",CONCATENATE(" ",VLOOKUP(AC59,Literatuur!$A:$B,2,FALSE)," "))</f>
        <v/>
      </c>
      <c r="AG59" s="33" t="str">
        <f>IF(OR(ISBLANK(AE59), ISBLANK(AF59)),"",CONCATENATE(" ",VLOOKUP(AF59,Literatuur!$A:$B,2,FALSE)," "))</f>
        <v/>
      </c>
      <c r="AJ59" s="44" t="str">
        <f t="shared" si="35"/>
        <v xml:space="preserve"> </v>
      </c>
      <c r="AK59" s="33" t="str">
        <f>IF(OR(ISBLANK(AI59), ISBLANK(AJ59)),"",CONCATENATE(" ",VLOOKUP(AJ59,Literatuur!$A:$B,2,FALSE)," "))</f>
        <v/>
      </c>
      <c r="AM59" s="44" t="str">
        <f t="shared" si="36"/>
        <v xml:space="preserve"> </v>
      </c>
      <c r="AN59" s="33" t="str">
        <f>IF(OR(ISBLANK(AL59), ISBLANK(AM59)),"",CONCATENATE(" ",VLOOKUP(AM59,Literatuur!$A:$B,2,FALSE)," "))</f>
        <v/>
      </c>
      <c r="AP59" s="44" t="str">
        <f t="shared" si="37"/>
        <v xml:space="preserve"> </v>
      </c>
      <c r="AQ59" s="33" t="str">
        <f>IF(OR(ISBLANK(AO59), ISBLANK(AP59)),"",CONCATENATE(" ",VLOOKUP(AP59,Literatuur!$A:$B,2,FALSE)," "))</f>
        <v/>
      </c>
      <c r="AT59" s="33" t="str">
        <f>IF(OR(ISBLANK(AR59), ISBLANK(AS59)),"",CONCATENATE(" ",VLOOKUP(AS59,Literatuur!$A:$B,2,FALSE)," "))</f>
        <v/>
      </c>
      <c r="AW59" s="33" t="str">
        <f>IF(OR(ISBLANK(AU59), ISBLANK(AV59)),"",CONCATENATE(" ",VLOOKUP(AV59,Literatuur!$A:$B,2,FALSE)," "))</f>
        <v/>
      </c>
      <c r="AZ59" s="44" t="str">
        <f t="shared" si="38"/>
        <v xml:space="preserve"> </v>
      </c>
      <c r="BA59" s="33" t="str">
        <f>IF(OR(ISBLANK(AY59), ISBLANK(AZ59)),"",CONCATENATE(" ",VLOOKUP(AZ59,Literatuur!$A:$B,2,FALSE)," "))</f>
        <v/>
      </c>
      <c r="BC59" s="44" t="str">
        <f t="shared" si="39"/>
        <v xml:space="preserve"> </v>
      </c>
      <c r="BD59" s="33" t="str">
        <f>IF(OR(ISBLANK(BB59), ISBLANK(BC59)),"",CONCATENATE(" ",VLOOKUP(BC59,Literatuur!$A:$B,2,FALSE)," "))</f>
        <v/>
      </c>
      <c r="BF59" s="44" t="str">
        <f t="shared" si="40"/>
        <v xml:space="preserve"> </v>
      </c>
      <c r="BG59" s="33" t="str">
        <f>IF(OR(ISBLANK(BE59), ISBLANK(BF59)),"",CONCATENATE(" ",VLOOKUP(BF59,Literatuur!$A:$B,2,FALSE)," "))</f>
        <v/>
      </c>
      <c r="BI59" s="44" t="str">
        <f t="shared" si="41"/>
        <v xml:space="preserve"> </v>
      </c>
      <c r="BJ59" s="33" t="str">
        <f>IF(OR(ISBLANK(BH59), ISBLANK(BI59)),"",CONCATENATE(" ",VLOOKUP(BI59,Literatuur!$A:$B,2,FALSE)," "))</f>
        <v/>
      </c>
      <c r="BL59" s="44" t="str">
        <f t="shared" si="42"/>
        <v xml:space="preserve"> </v>
      </c>
      <c r="BM59" s="33" t="str">
        <f>IF(OR(ISBLANK(BK59), ISBLANK(BL59)),"",CONCATENATE(" ",VLOOKUP(BL59,Literatuur!$A:$B,2,FALSE)," "))</f>
        <v/>
      </c>
      <c r="BP59" s="33" t="str">
        <f>IF(OR(ISBLANK(BN59), ISBLANK(BO59)),"",CONCATENATE(" ",VLOOKUP(BO59,Literatuur!$A:$B,2,FALSE)," "))</f>
        <v/>
      </c>
      <c r="BS59" s="33" t="str">
        <f>IF(OR(ISBLANK(BQ59), ISBLANK(BR59)),"",CONCATENATE(" ",VLOOKUP(BR59,Literatuur!$A:$B,2,FALSE)," "))</f>
        <v/>
      </c>
      <c r="BT59" s="33">
        <v>5.35</v>
      </c>
      <c r="BU59" s="33" t="s">
        <v>2066</v>
      </c>
      <c r="BV59" s="33" t="str">
        <f>IF(OR(ISBLANK(BT59), ISBLANK(BU59)),"",CONCATENATE(" ",VLOOKUP(BU59,Literatuur!$A:$B,2,FALSE)," "))</f>
        <v xml:space="preserve"> 8 </v>
      </c>
      <c r="BY59" s="33">
        <v>186.1</v>
      </c>
      <c r="CB59" s="33" t="s">
        <v>2066</v>
      </c>
      <c r="CD59" s="33">
        <f t="shared" si="44"/>
        <v>186.1</v>
      </c>
      <c r="CE59" s="37"/>
      <c r="CH59" s="33">
        <f t="shared" si="43"/>
        <v>5.35</v>
      </c>
      <c r="CR59" s="33" t="str">
        <f t="shared" si="17"/>
        <v>PCB #24</v>
      </c>
      <c r="CS59" s="33" t="str">
        <f t="shared" si="18"/>
        <v>PCB</v>
      </c>
      <c r="CT59" s="33" t="str">
        <f t="shared" si="19"/>
        <v/>
      </c>
      <c r="CU59" s="33" t="str">
        <f t="shared" si="20"/>
        <v/>
      </c>
      <c r="CV59" s="33" t="str">
        <f t="shared" si="21"/>
        <v/>
      </c>
      <c r="CW59" s="33" t="str">
        <f t="shared" si="22"/>
        <v/>
      </c>
      <c r="CX59" s="33">
        <f t="shared" si="23"/>
        <v>5.35</v>
      </c>
      <c r="CY59" s="33" t="str">
        <f t="shared" si="24"/>
        <v xml:space="preserve"> 8 </v>
      </c>
    </row>
    <row r="60" spans="2:103" ht="12.75" customHeight="1" x14ac:dyDescent="0.2">
      <c r="B60" s="33">
        <v>-1584</v>
      </c>
      <c r="D60" s="105" t="s">
        <v>1091</v>
      </c>
      <c r="E60" s="105" t="s">
        <v>1091</v>
      </c>
      <c r="F60" s="34"/>
      <c r="G60" s="34"/>
      <c r="I60" s="33" t="e">
        <f t="shared" si="27"/>
        <v>#DIV/0!</v>
      </c>
      <c r="J60" s="33" t="e">
        <f t="shared" si="25"/>
        <v>#DIV/0!</v>
      </c>
      <c r="K60" s="44">
        <f t="shared" si="28"/>
        <v>5.67</v>
      </c>
      <c r="L60" s="33">
        <f t="shared" si="29"/>
        <v>187.6</v>
      </c>
      <c r="M60" s="33" t="s">
        <v>1552</v>
      </c>
      <c r="Q60" s="44" t="str">
        <f t="shared" si="30"/>
        <v xml:space="preserve"> </v>
      </c>
      <c r="R60" s="33" t="str">
        <f>IF(OR(ISBLANK(P60), ISBLANK(Q60)),"",CONCATENATE(" ",VLOOKUP(Q60,Literatuur!$A:$B,2,FALSE)," "))</f>
        <v/>
      </c>
      <c r="T60" s="44" t="str">
        <f t="shared" si="31"/>
        <v xml:space="preserve"> </v>
      </c>
      <c r="U60" s="33" t="str">
        <f>IF(OR(ISBLANK(S60), ISBLANK(T60)),"",CONCATENATE(" ",VLOOKUP(T60,Literatuur!$A:$B,2,FALSE)," "))</f>
        <v/>
      </c>
      <c r="W60" s="44" t="str">
        <f t="shared" si="32"/>
        <v xml:space="preserve"> </v>
      </c>
      <c r="X60" s="33" t="str">
        <f>IF(OR(ISBLANK(V60), ISBLANK(W60)),"",CONCATENATE(" ",VLOOKUP(W60,Literatuur!$A:$B,2,FALSE)," "))</f>
        <v/>
      </c>
      <c r="Z60" s="44" t="str">
        <f t="shared" si="33"/>
        <v xml:space="preserve"> </v>
      </c>
      <c r="AA60" s="33" t="str">
        <f>IF(OR(ISBLANK(Y60), ISBLANK(Z60)),"",CONCATENATE(" ",VLOOKUP(Z60,Literatuur!$A:$B,2,FALSE)," "))</f>
        <v/>
      </c>
      <c r="AC60" s="186" t="str">
        <f t="shared" si="34"/>
        <v xml:space="preserve"> </v>
      </c>
      <c r="AD60" s="33" t="str">
        <f>IF(OR(ISBLANK(AB60), ISBLANK(AC60)),"",CONCATENATE(" ",VLOOKUP(AC60,Literatuur!$A:$B,2,FALSE)," "))</f>
        <v/>
      </c>
      <c r="AG60" s="33" t="str">
        <f>IF(OR(ISBLANK(AE60), ISBLANK(AF60)),"",CONCATENATE(" ",VLOOKUP(AF60,Literatuur!$A:$B,2,FALSE)," "))</f>
        <v/>
      </c>
      <c r="AJ60" s="44" t="str">
        <f t="shared" si="35"/>
        <v xml:space="preserve"> </v>
      </c>
      <c r="AK60" s="33" t="str">
        <f>IF(OR(ISBLANK(AI60), ISBLANK(AJ60)),"",CONCATENATE(" ",VLOOKUP(AJ60,Literatuur!$A:$B,2,FALSE)," "))</f>
        <v/>
      </c>
      <c r="AM60" s="44" t="str">
        <f t="shared" si="36"/>
        <v xml:space="preserve"> </v>
      </c>
      <c r="AN60" s="33" t="str">
        <f>IF(OR(ISBLANK(AL60), ISBLANK(AM60)),"",CONCATENATE(" ",VLOOKUP(AM60,Literatuur!$A:$B,2,FALSE)," "))</f>
        <v/>
      </c>
      <c r="AP60" s="44" t="str">
        <f t="shared" si="37"/>
        <v xml:space="preserve"> </v>
      </c>
      <c r="AQ60" s="33" t="str">
        <f>IF(OR(ISBLANK(AO60), ISBLANK(AP60)),"",CONCATENATE(" ",VLOOKUP(AP60,Literatuur!$A:$B,2,FALSE)," "))</f>
        <v/>
      </c>
      <c r="AT60" s="33" t="str">
        <f>IF(OR(ISBLANK(AR60), ISBLANK(AS60)),"",CONCATENATE(" ",VLOOKUP(AS60,Literatuur!$A:$B,2,FALSE)," "))</f>
        <v/>
      </c>
      <c r="AW60" s="33" t="str">
        <f>IF(OR(ISBLANK(AU60), ISBLANK(AV60)),"",CONCATENATE(" ",VLOOKUP(AV60,Literatuur!$A:$B,2,FALSE)," "))</f>
        <v/>
      </c>
      <c r="AZ60" s="44" t="str">
        <f t="shared" si="38"/>
        <v xml:space="preserve"> </v>
      </c>
      <c r="BA60" s="33" t="str">
        <f>IF(OR(ISBLANK(AY60), ISBLANK(AZ60)),"",CONCATENATE(" ",VLOOKUP(AZ60,Literatuur!$A:$B,2,FALSE)," "))</f>
        <v/>
      </c>
      <c r="BC60" s="44" t="str">
        <f t="shared" si="39"/>
        <v xml:space="preserve"> </v>
      </c>
      <c r="BD60" s="33" t="str">
        <f>IF(OR(ISBLANK(BB60), ISBLANK(BC60)),"",CONCATENATE(" ",VLOOKUP(BC60,Literatuur!$A:$B,2,FALSE)," "))</f>
        <v/>
      </c>
      <c r="BF60" s="44" t="str">
        <f t="shared" si="40"/>
        <v xml:space="preserve"> </v>
      </c>
      <c r="BG60" s="33" t="str">
        <f>IF(OR(ISBLANK(BE60), ISBLANK(BF60)),"",CONCATENATE(" ",VLOOKUP(BF60,Literatuur!$A:$B,2,FALSE)," "))</f>
        <v/>
      </c>
      <c r="BI60" s="44" t="str">
        <f t="shared" si="41"/>
        <v xml:space="preserve"> </v>
      </c>
      <c r="BJ60" s="33" t="str">
        <f>IF(OR(ISBLANK(BH60), ISBLANK(BI60)),"",CONCATENATE(" ",VLOOKUP(BI60,Literatuur!$A:$B,2,FALSE)," "))</f>
        <v/>
      </c>
      <c r="BL60" s="44" t="str">
        <f t="shared" si="42"/>
        <v xml:space="preserve"> </v>
      </c>
      <c r="BM60" s="33" t="str">
        <f>IF(OR(ISBLANK(BK60), ISBLANK(BL60)),"",CONCATENATE(" ",VLOOKUP(BL60,Literatuur!$A:$B,2,FALSE)," "))</f>
        <v/>
      </c>
      <c r="BP60" s="33" t="str">
        <f>IF(OR(ISBLANK(BN60), ISBLANK(BO60)),"",CONCATENATE(" ",VLOOKUP(BO60,Literatuur!$A:$B,2,FALSE)," "))</f>
        <v/>
      </c>
      <c r="BS60" s="33" t="str">
        <f>IF(OR(ISBLANK(BQ60), ISBLANK(BR60)),"",CONCATENATE(" ",VLOOKUP(BR60,Literatuur!$A:$B,2,FALSE)," "))</f>
        <v/>
      </c>
      <c r="BT60" s="33">
        <v>5.67</v>
      </c>
      <c r="BU60" s="33" t="s">
        <v>2066</v>
      </c>
      <c r="BV60" s="33" t="str">
        <f>IF(OR(ISBLANK(BT60), ISBLANK(BU60)),"",CONCATENATE(" ",VLOOKUP(BU60,Literatuur!$A:$B,2,FALSE)," "))</f>
        <v xml:space="preserve"> 8 </v>
      </c>
      <c r="BY60" s="33">
        <v>187.6</v>
      </c>
      <c r="CB60" s="33" t="s">
        <v>2066</v>
      </c>
      <c r="CD60" s="33">
        <f t="shared" si="44"/>
        <v>187.6</v>
      </c>
      <c r="CE60" s="37"/>
      <c r="CH60" s="33">
        <f t="shared" si="43"/>
        <v>5.67</v>
      </c>
      <c r="CR60" s="33" t="str">
        <f t="shared" si="17"/>
        <v>PCB #25</v>
      </c>
      <c r="CS60" s="33" t="str">
        <f t="shared" si="18"/>
        <v>PCB</v>
      </c>
      <c r="CT60" s="33" t="str">
        <f t="shared" si="19"/>
        <v/>
      </c>
      <c r="CU60" s="33" t="str">
        <f t="shared" si="20"/>
        <v/>
      </c>
      <c r="CV60" s="33" t="str">
        <f t="shared" si="21"/>
        <v/>
      </c>
      <c r="CW60" s="33" t="str">
        <f t="shared" si="22"/>
        <v/>
      </c>
      <c r="CX60" s="33">
        <f t="shared" si="23"/>
        <v>5.67</v>
      </c>
      <c r="CY60" s="33" t="str">
        <f t="shared" si="24"/>
        <v xml:space="preserve"> 8 </v>
      </c>
    </row>
    <row r="61" spans="2:103" ht="12.75" customHeight="1" x14ac:dyDescent="0.2">
      <c r="B61" s="33">
        <v>-1585</v>
      </c>
      <c r="D61" s="105" t="s">
        <v>1092</v>
      </c>
      <c r="E61" s="105" t="s">
        <v>1092</v>
      </c>
      <c r="F61" s="34"/>
      <c r="G61" s="34"/>
      <c r="I61" s="33" t="e">
        <f t="shared" si="27"/>
        <v>#DIV/0!</v>
      </c>
      <c r="J61" s="33" t="e">
        <f t="shared" si="25"/>
        <v>#DIV/0!</v>
      </c>
      <c r="K61" s="44">
        <f t="shared" si="28"/>
        <v>5.66</v>
      </c>
      <c r="L61" s="33">
        <f t="shared" si="29"/>
        <v>187.4</v>
      </c>
      <c r="M61" s="33" t="s">
        <v>1552</v>
      </c>
      <c r="Q61" s="44" t="str">
        <f t="shared" si="30"/>
        <v xml:space="preserve"> </v>
      </c>
      <c r="R61" s="33" t="str">
        <f>IF(OR(ISBLANK(P61), ISBLANK(Q61)),"",CONCATENATE(" ",VLOOKUP(Q61,Literatuur!$A:$B,2,FALSE)," "))</f>
        <v/>
      </c>
      <c r="T61" s="44" t="str">
        <f t="shared" si="31"/>
        <v xml:space="preserve"> </v>
      </c>
      <c r="U61" s="33" t="str">
        <f>IF(OR(ISBLANK(S61), ISBLANK(T61)),"",CONCATENATE(" ",VLOOKUP(T61,Literatuur!$A:$B,2,FALSE)," "))</f>
        <v/>
      </c>
      <c r="W61" s="44" t="str">
        <f t="shared" si="32"/>
        <v xml:space="preserve"> </v>
      </c>
      <c r="X61" s="33" t="str">
        <f>IF(OR(ISBLANK(V61), ISBLANK(W61)),"",CONCATENATE(" ",VLOOKUP(W61,Literatuur!$A:$B,2,FALSE)," "))</f>
        <v/>
      </c>
      <c r="Z61" s="44" t="str">
        <f t="shared" si="33"/>
        <v xml:space="preserve"> </v>
      </c>
      <c r="AA61" s="33" t="str">
        <f>IF(OR(ISBLANK(Y61), ISBLANK(Z61)),"",CONCATENATE(" ",VLOOKUP(Z61,Literatuur!$A:$B,2,FALSE)," "))</f>
        <v/>
      </c>
      <c r="AC61" s="186" t="str">
        <f t="shared" si="34"/>
        <v xml:space="preserve"> </v>
      </c>
      <c r="AD61" s="33" t="str">
        <f>IF(OR(ISBLANK(AB61), ISBLANK(AC61)),"",CONCATENATE(" ",VLOOKUP(AC61,Literatuur!$A:$B,2,FALSE)," "))</f>
        <v/>
      </c>
      <c r="AG61" s="33" t="str">
        <f>IF(OR(ISBLANK(AE61), ISBLANK(AF61)),"",CONCATENATE(" ",VLOOKUP(AF61,Literatuur!$A:$B,2,FALSE)," "))</f>
        <v/>
      </c>
      <c r="AJ61" s="44" t="str">
        <f t="shared" si="35"/>
        <v xml:space="preserve"> </v>
      </c>
      <c r="AK61" s="33" t="str">
        <f>IF(OR(ISBLANK(AI61), ISBLANK(AJ61)),"",CONCATENATE(" ",VLOOKUP(AJ61,Literatuur!$A:$B,2,FALSE)," "))</f>
        <v/>
      </c>
      <c r="AM61" s="44" t="str">
        <f t="shared" si="36"/>
        <v xml:space="preserve"> </v>
      </c>
      <c r="AN61" s="33" t="str">
        <f>IF(OR(ISBLANK(AL61), ISBLANK(AM61)),"",CONCATENATE(" ",VLOOKUP(AM61,Literatuur!$A:$B,2,FALSE)," "))</f>
        <v/>
      </c>
      <c r="AP61" s="44" t="str">
        <f t="shared" si="37"/>
        <v xml:space="preserve"> </v>
      </c>
      <c r="AQ61" s="33" t="str">
        <f>IF(OR(ISBLANK(AO61), ISBLANK(AP61)),"",CONCATENATE(" ",VLOOKUP(AP61,Literatuur!$A:$B,2,FALSE)," "))</f>
        <v/>
      </c>
      <c r="AT61" s="33" t="str">
        <f>IF(OR(ISBLANK(AR61), ISBLANK(AS61)),"",CONCATENATE(" ",VLOOKUP(AS61,Literatuur!$A:$B,2,FALSE)," "))</f>
        <v/>
      </c>
      <c r="AW61" s="33" t="str">
        <f>IF(OR(ISBLANK(AU61), ISBLANK(AV61)),"",CONCATENATE(" ",VLOOKUP(AV61,Literatuur!$A:$B,2,FALSE)," "))</f>
        <v/>
      </c>
      <c r="AZ61" s="44" t="str">
        <f t="shared" si="38"/>
        <v xml:space="preserve"> </v>
      </c>
      <c r="BA61" s="33" t="str">
        <f>IF(OR(ISBLANK(AY61), ISBLANK(AZ61)),"",CONCATENATE(" ",VLOOKUP(AZ61,Literatuur!$A:$B,2,FALSE)," "))</f>
        <v/>
      </c>
      <c r="BC61" s="44" t="str">
        <f t="shared" si="39"/>
        <v xml:space="preserve"> </v>
      </c>
      <c r="BD61" s="33" t="str">
        <f>IF(OR(ISBLANK(BB61), ISBLANK(BC61)),"",CONCATENATE(" ",VLOOKUP(BC61,Literatuur!$A:$B,2,FALSE)," "))</f>
        <v/>
      </c>
      <c r="BF61" s="44" t="str">
        <f t="shared" si="40"/>
        <v xml:space="preserve"> </v>
      </c>
      <c r="BG61" s="33" t="str">
        <f>IF(OR(ISBLANK(BE61), ISBLANK(BF61)),"",CONCATENATE(" ",VLOOKUP(BF61,Literatuur!$A:$B,2,FALSE)," "))</f>
        <v/>
      </c>
      <c r="BI61" s="44" t="str">
        <f t="shared" si="41"/>
        <v xml:space="preserve"> </v>
      </c>
      <c r="BJ61" s="33" t="str">
        <f>IF(OR(ISBLANK(BH61), ISBLANK(BI61)),"",CONCATENATE(" ",VLOOKUP(BI61,Literatuur!$A:$B,2,FALSE)," "))</f>
        <v/>
      </c>
      <c r="BL61" s="44" t="str">
        <f t="shared" si="42"/>
        <v xml:space="preserve"> </v>
      </c>
      <c r="BM61" s="33" t="str">
        <f>IF(OR(ISBLANK(BK61), ISBLANK(BL61)),"",CONCATENATE(" ",VLOOKUP(BL61,Literatuur!$A:$B,2,FALSE)," "))</f>
        <v/>
      </c>
      <c r="BP61" s="33" t="str">
        <f>IF(OR(ISBLANK(BN61), ISBLANK(BO61)),"",CONCATENATE(" ",VLOOKUP(BO61,Literatuur!$A:$B,2,FALSE)," "))</f>
        <v/>
      </c>
      <c r="BS61" s="33" t="str">
        <f>IF(OR(ISBLANK(BQ61), ISBLANK(BR61)),"",CONCATENATE(" ",VLOOKUP(BR61,Literatuur!$A:$B,2,FALSE)," "))</f>
        <v/>
      </c>
      <c r="BT61" s="33">
        <v>5.66</v>
      </c>
      <c r="BU61" s="33" t="s">
        <v>2066</v>
      </c>
      <c r="BV61" s="33" t="str">
        <f>IF(OR(ISBLANK(BT61), ISBLANK(BU61)),"",CONCATENATE(" ",VLOOKUP(BU61,Literatuur!$A:$B,2,FALSE)," "))</f>
        <v xml:space="preserve"> 8 </v>
      </c>
      <c r="BY61" s="33">
        <v>187.4</v>
      </c>
      <c r="CB61" s="33" t="s">
        <v>2066</v>
      </c>
      <c r="CD61" s="33">
        <f t="shared" si="44"/>
        <v>187.4</v>
      </c>
      <c r="CE61" s="37"/>
      <c r="CH61" s="33">
        <f t="shared" si="43"/>
        <v>5.66</v>
      </c>
      <c r="CR61" s="33" t="str">
        <f t="shared" si="17"/>
        <v>PCB #26</v>
      </c>
      <c r="CS61" s="33" t="str">
        <f t="shared" si="18"/>
        <v>PCB</v>
      </c>
      <c r="CT61" s="33" t="str">
        <f t="shared" si="19"/>
        <v/>
      </c>
      <c r="CU61" s="33" t="str">
        <f t="shared" si="20"/>
        <v/>
      </c>
      <c r="CV61" s="33" t="str">
        <f t="shared" si="21"/>
        <v/>
      </c>
      <c r="CW61" s="33" t="str">
        <f t="shared" si="22"/>
        <v/>
      </c>
      <c r="CX61" s="33">
        <f t="shared" si="23"/>
        <v>5.66</v>
      </c>
      <c r="CY61" s="33" t="str">
        <f t="shared" si="24"/>
        <v xml:space="preserve"> 8 </v>
      </c>
    </row>
    <row r="62" spans="2:103" ht="12.75" customHeight="1" x14ac:dyDescent="0.2">
      <c r="B62" s="33">
        <v>-1586</v>
      </c>
      <c r="D62" s="105" t="s">
        <v>1093</v>
      </c>
      <c r="E62" s="105" t="s">
        <v>1093</v>
      </c>
      <c r="F62" s="34"/>
      <c r="G62" s="34"/>
      <c r="I62" s="33" t="e">
        <f t="shared" si="27"/>
        <v>#DIV/0!</v>
      </c>
      <c r="J62" s="33" t="e">
        <f t="shared" si="25"/>
        <v>#DIV/0!</v>
      </c>
      <c r="K62" s="44">
        <f t="shared" si="28"/>
        <v>5.44</v>
      </c>
      <c r="L62" s="33">
        <f t="shared" si="29"/>
        <v>186.6</v>
      </c>
      <c r="M62" s="33" t="s">
        <v>1552</v>
      </c>
      <c r="Q62" s="44" t="str">
        <f t="shared" si="30"/>
        <v xml:space="preserve"> </v>
      </c>
      <c r="R62" s="33" t="str">
        <f>IF(OR(ISBLANK(P62), ISBLANK(Q62)),"",CONCATENATE(" ",VLOOKUP(Q62,Literatuur!$A:$B,2,FALSE)," "))</f>
        <v/>
      </c>
      <c r="T62" s="44" t="str">
        <f t="shared" si="31"/>
        <v xml:space="preserve"> </v>
      </c>
      <c r="U62" s="33" t="str">
        <f>IF(OR(ISBLANK(S62), ISBLANK(T62)),"",CONCATENATE(" ",VLOOKUP(T62,Literatuur!$A:$B,2,FALSE)," "))</f>
        <v/>
      </c>
      <c r="W62" s="44" t="str">
        <f t="shared" si="32"/>
        <v xml:space="preserve"> </v>
      </c>
      <c r="X62" s="33" t="str">
        <f>IF(OR(ISBLANK(V62), ISBLANK(W62)),"",CONCATENATE(" ",VLOOKUP(W62,Literatuur!$A:$B,2,FALSE)," "))</f>
        <v/>
      </c>
      <c r="Z62" s="44" t="str">
        <f t="shared" si="33"/>
        <v xml:space="preserve"> </v>
      </c>
      <c r="AA62" s="33" t="str">
        <f>IF(OR(ISBLANK(Y62), ISBLANK(Z62)),"",CONCATENATE(" ",VLOOKUP(Z62,Literatuur!$A:$B,2,FALSE)," "))</f>
        <v/>
      </c>
      <c r="AC62" s="186" t="str">
        <f t="shared" si="34"/>
        <v xml:space="preserve"> </v>
      </c>
      <c r="AD62" s="33" t="str">
        <f>IF(OR(ISBLANK(AB62), ISBLANK(AC62)),"",CONCATENATE(" ",VLOOKUP(AC62,Literatuur!$A:$B,2,FALSE)," "))</f>
        <v/>
      </c>
      <c r="AG62" s="33" t="str">
        <f>IF(OR(ISBLANK(AE62), ISBLANK(AF62)),"",CONCATENATE(" ",VLOOKUP(AF62,Literatuur!$A:$B,2,FALSE)," "))</f>
        <v/>
      </c>
      <c r="AJ62" s="44" t="str">
        <f t="shared" si="35"/>
        <v xml:space="preserve"> </v>
      </c>
      <c r="AK62" s="33" t="str">
        <f>IF(OR(ISBLANK(AI62), ISBLANK(AJ62)),"",CONCATENATE(" ",VLOOKUP(AJ62,Literatuur!$A:$B,2,FALSE)," "))</f>
        <v/>
      </c>
      <c r="AM62" s="44" t="str">
        <f t="shared" si="36"/>
        <v xml:space="preserve"> </v>
      </c>
      <c r="AN62" s="33" t="str">
        <f>IF(OR(ISBLANK(AL62), ISBLANK(AM62)),"",CONCATENATE(" ",VLOOKUP(AM62,Literatuur!$A:$B,2,FALSE)," "))</f>
        <v/>
      </c>
      <c r="AP62" s="44" t="str">
        <f t="shared" si="37"/>
        <v xml:space="preserve"> </v>
      </c>
      <c r="AQ62" s="33" t="str">
        <f>IF(OR(ISBLANK(AO62), ISBLANK(AP62)),"",CONCATENATE(" ",VLOOKUP(AP62,Literatuur!$A:$B,2,FALSE)," "))</f>
        <v/>
      </c>
      <c r="AT62" s="33" t="str">
        <f>IF(OR(ISBLANK(AR62), ISBLANK(AS62)),"",CONCATENATE(" ",VLOOKUP(AS62,Literatuur!$A:$B,2,FALSE)," "))</f>
        <v/>
      </c>
      <c r="AW62" s="33" t="str">
        <f>IF(OR(ISBLANK(AU62), ISBLANK(AV62)),"",CONCATENATE(" ",VLOOKUP(AV62,Literatuur!$A:$B,2,FALSE)," "))</f>
        <v/>
      </c>
      <c r="AZ62" s="44" t="str">
        <f t="shared" si="38"/>
        <v xml:space="preserve"> </v>
      </c>
      <c r="BA62" s="33" t="str">
        <f>IF(OR(ISBLANK(AY62), ISBLANK(AZ62)),"",CONCATENATE(" ",VLOOKUP(AZ62,Literatuur!$A:$B,2,FALSE)," "))</f>
        <v/>
      </c>
      <c r="BC62" s="44" t="str">
        <f t="shared" si="39"/>
        <v xml:space="preserve"> </v>
      </c>
      <c r="BD62" s="33" t="str">
        <f>IF(OR(ISBLANK(BB62), ISBLANK(BC62)),"",CONCATENATE(" ",VLOOKUP(BC62,Literatuur!$A:$B,2,FALSE)," "))</f>
        <v/>
      </c>
      <c r="BF62" s="44" t="str">
        <f t="shared" si="40"/>
        <v xml:space="preserve"> </v>
      </c>
      <c r="BG62" s="33" t="str">
        <f>IF(OR(ISBLANK(BE62), ISBLANK(BF62)),"",CONCATENATE(" ",VLOOKUP(BF62,Literatuur!$A:$B,2,FALSE)," "))</f>
        <v/>
      </c>
      <c r="BI62" s="44" t="str">
        <f t="shared" si="41"/>
        <v xml:space="preserve"> </v>
      </c>
      <c r="BJ62" s="33" t="str">
        <f>IF(OR(ISBLANK(BH62), ISBLANK(BI62)),"",CONCATENATE(" ",VLOOKUP(BI62,Literatuur!$A:$B,2,FALSE)," "))</f>
        <v/>
      </c>
      <c r="BL62" s="44" t="str">
        <f t="shared" si="42"/>
        <v xml:space="preserve"> </v>
      </c>
      <c r="BM62" s="33" t="str">
        <f>IF(OR(ISBLANK(BK62), ISBLANK(BL62)),"",CONCATENATE(" ",VLOOKUP(BL62,Literatuur!$A:$B,2,FALSE)," "))</f>
        <v/>
      </c>
      <c r="BP62" s="33" t="str">
        <f>IF(OR(ISBLANK(BN62), ISBLANK(BO62)),"",CONCATENATE(" ",VLOOKUP(BO62,Literatuur!$A:$B,2,FALSE)," "))</f>
        <v/>
      </c>
      <c r="BS62" s="33" t="str">
        <f>IF(OR(ISBLANK(BQ62), ISBLANK(BR62)),"",CONCATENATE(" ",VLOOKUP(BR62,Literatuur!$A:$B,2,FALSE)," "))</f>
        <v/>
      </c>
      <c r="BT62" s="33">
        <v>5.44</v>
      </c>
      <c r="BU62" s="33" t="s">
        <v>2066</v>
      </c>
      <c r="BV62" s="33" t="str">
        <f>IF(OR(ISBLANK(BT62), ISBLANK(BU62)),"",CONCATENATE(" ",VLOOKUP(BU62,Literatuur!$A:$B,2,FALSE)," "))</f>
        <v xml:space="preserve"> 8 </v>
      </c>
      <c r="BY62" s="33">
        <v>186.6</v>
      </c>
      <c r="CB62" s="33" t="s">
        <v>2066</v>
      </c>
      <c r="CD62" s="33">
        <f t="shared" si="44"/>
        <v>186.6</v>
      </c>
      <c r="CE62" s="37"/>
      <c r="CH62" s="33">
        <f t="shared" si="43"/>
        <v>5.44</v>
      </c>
      <c r="CR62" s="33" t="str">
        <f t="shared" si="17"/>
        <v>PCB #27</v>
      </c>
      <c r="CS62" s="33" t="str">
        <f t="shared" si="18"/>
        <v>PCB</v>
      </c>
      <c r="CT62" s="33" t="str">
        <f t="shared" si="19"/>
        <v/>
      </c>
      <c r="CU62" s="33" t="str">
        <f t="shared" si="20"/>
        <v/>
      </c>
      <c r="CV62" s="33" t="str">
        <f t="shared" si="21"/>
        <v/>
      </c>
      <c r="CW62" s="33" t="str">
        <f t="shared" si="22"/>
        <v/>
      </c>
      <c r="CX62" s="33">
        <f t="shared" si="23"/>
        <v>5.44</v>
      </c>
      <c r="CY62" s="33" t="str">
        <f t="shared" si="24"/>
        <v xml:space="preserve"> 8 </v>
      </c>
    </row>
    <row r="63" spans="2:103" ht="12.75" customHeight="1" x14ac:dyDescent="0.2">
      <c r="B63" s="33">
        <v>-1587</v>
      </c>
      <c r="D63" s="105" t="s">
        <v>1094</v>
      </c>
      <c r="E63" s="105" t="s">
        <v>1094</v>
      </c>
      <c r="F63" s="34"/>
      <c r="G63" s="34"/>
      <c r="I63" s="33">
        <f t="shared" si="27"/>
        <v>257.5</v>
      </c>
      <c r="J63" s="33">
        <f t="shared" si="25"/>
        <v>0.32417329353699781</v>
      </c>
      <c r="K63" s="44">
        <f t="shared" si="28"/>
        <v>5.6333333333333329</v>
      </c>
      <c r="L63" s="33">
        <f t="shared" si="29"/>
        <v>187.5</v>
      </c>
      <c r="M63" s="33" t="s">
        <v>1552</v>
      </c>
      <c r="Q63" s="44" t="str">
        <f t="shared" si="30"/>
        <v xml:space="preserve"> </v>
      </c>
      <c r="R63" s="33" t="str">
        <f>IF(OR(ISBLANK(P63), ISBLANK(Q63)),"",CONCATENATE(" ",VLOOKUP(Q63,Literatuur!$A:$B,2,FALSE)," "))</f>
        <v/>
      </c>
      <c r="T63" s="44" t="str">
        <f t="shared" si="31"/>
        <v xml:space="preserve"> </v>
      </c>
      <c r="U63" s="33" t="str">
        <f>IF(OR(ISBLANK(S63), ISBLANK(T63)),"",CONCATENATE(" ",VLOOKUP(T63,Literatuur!$A:$B,2,FALSE)," "))</f>
        <v/>
      </c>
      <c r="W63" s="44" t="str">
        <f t="shared" si="32"/>
        <v xml:space="preserve"> </v>
      </c>
      <c r="X63" s="33" t="str">
        <f>IF(OR(ISBLANK(V63), ISBLANK(W63)),"",CONCATENATE(" ",VLOOKUP(W63,Literatuur!$A:$B,2,FALSE)," "))</f>
        <v/>
      </c>
      <c r="Z63" s="44" t="str">
        <f t="shared" si="33"/>
        <v xml:space="preserve"> </v>
      </c>
      <c r="AA63" s="33" t="str">
        <f>IF(OR(ISBLANK(Y63), ISBLANK(Z63)),"",CONCATENATE(" ",VLOOKUP(Z63,Literatuur!$A:$B,2,FALSE)," "))</f>
        <v/>
      </c>
      <c r="AC63" s="186" t="str">
        <f t="shared" si="34"/>
        <v xml:space="preserve"> </v>
      </c>
      <c r="AD63" s="33" t="str">
        <f>IF(OR(ISBLANK(AB63), ISBLANK(AC63)),"",CONCATENATE(" ",VLOOKUP(AC63,Literatuur!$A:$B,2,FALSE)," "))</f>
        <v/>
      </c>
      <c r="AE63" s="39">
        <v>0.32417329353699781</v>
      </c>
      <c r="AF63" s="33" t="s">
        <v>1557</v>
      </c>
      <c r="AG63" s="33" t="str">
        <f>IF(OR(ISBLANK(AE63), ISBLANK(AF63)),"",CONCATENATE(" ",VLOOKUP(AF63,Literatuur!$A:$B,2,FALSE)," "))</f>
        <v xml:space="preserve"> 17 </v>
      </c>
      <c r="AJ63" s="44" t="str">
        <f t="shared" si="35"/>
        <v xml:space="preserve"> </v>
      </c>
      <c r="AK63" s="33" t="str">
        <f>IF(OR(ISBLANK(AI63), ISBLANK(AJ63)),"",CONCATENATE(" ",VLOOKUP(AJ63,Literatuur!$A:$B,2,FALSE)," "))</f>
        <v/>
      </c>
      <c r="AM63" s="44" t="str">
        <f t="shared" si="36"/>
        <v xml:space="preserve"> </v>
      </c>
      <c r="AN63" s="33" t="str">
        <f>IF(OR(ISBLANK(AL63), ISBLANK(AM63)),"",CONCATENATE(" ",VLOOKUP(AM63,Literatuur!$A:$B,2,FALSE)," "))</f>
        <v/>
      </c>
      <c r="AP63" s="44" t="str">
        <f t="shared" si="37"/>
        <v xml:space="preserve"> </v>
      </c>
      <c r="AQ63" s="33" t="str">
        <f>IF(OR(ISBLANK(AO63), ISBLANK(AP63)),"",CONCATENATE(" ",VLOOKUP(AP63,Literatuur!$A:$B,2,FALSE)," "))</f>
        <v/>
      </c>
      <c r="AT63" s="33" t="str">
        <f>IF(OR(ISBLANK(AR63), ISBLANK(AS63)),"",CONCATENATE(" ",VLOOKUP(AS63,Literatuur!$A:$B,2,FALSE)," "))</f>
        <v/>
      </c>
      <c r="AU63" s="33">
        <v>257.5</v>
      </c>
      <c r="AV63" s="33" t="s">
        <v>1557</v>
      </c>
      <c r="AW63" s="33" t="str">
        <f>IF(OR(ISBLANK(AU63), ISBLANK(AV63)),"",CONCATENATE(" ",VLOOKUP(AV63,Literatuur!$A:$B,2,FALSE)," "))</f>
        <v xml:space="preserve"> 17 </v>
      </c>
      <c r="AZ63" s="44" t="str">
        <f t="shared" si="38"/>
        <v xml:space="preserve"> </v>
      </c>
      <c r="BA63" s="33" t="str">
        <f>IF(OR(ISBLANK(AY63), ISBLANK(AZ63)),"",CONCATENATE(" ",VLOOKUP(AZ63,Literatuur!$A:$B,2,FALSE)," "))</f>
        <v/>
      </c>
      <c r="BC63" s="44" t="str">
        <f t="shared" si="39"/>
        <v xml:space="preserve"> </v>
      </c>
      <c r="BD63" s="33" t="str">
        <f>IF(OR(ISBLANK(BB63), ISBLANK(BC63)),"",CONCATENATE(" ",VLOOKUP(BC63,Literatuur!$A:$B,2,FALSE)," "))</f>
        <v/>
      </c>
      <c r="BF63" s="44" t="str">
        <f t="shared" si="40"/>
        <v xml:space="preserve"> </v>
      </c>
      <c r="BG63" s="33" t="str">
        <f>IF(OR(ISBLANK(BE63), ISBLANK(BF63)),"",CONCATENATE(" ",VLOOKUP(BF63,Literatuur!$A:$B,2,FALSE)," "))</f>
        <v/>
      </c>
      <c r="BI63" s="44" t="str">
        <f t="shared" si="41"/>
        <v xml:space="preserve"> </v>
      </c>
      <c r="BJ63" s="33" t="str">
        <f>IF(OR(ISBLANK(BH63), ISBLANK(BI63)),"",CONCATENATE(" ",VLOOKUP(BI63,Literatuur!$A:$B,2,FALSE)," "))</f>
        <v/>
      </c>
      <c r="BL63" s="44" t="str">
        <f t="shared" si="42"/>
        <v xml:space="preserve"> </v>
      </c>
      <c r="BM63" s="33" t="str">
        <f>IF(OR(ISBLANK(BK63), ISBLANK(BL63)),"",CONCATENATE(" ",VLOOKUP(BL63,Literatuur!$A:$B,2,FALSE)," "))</f>
        <v/>
      </c>
      <c r="BN63" s="33">
        <v>5.7</v>
      </c>
      <c r="BO63" s="33" t="s">
        <v>1557</v>
      </c>
      <c r="BP63" s="33" t="str">
        <f>IF(OR(ISBLANK(BN63), ISBLANK(BO63)),"",CONCATENATE(" ",VLOOKUP(BO63,Literatuur!$A:$B,2,FALSE)," "))</f>
        <v xml:space="preserve"> 17 </v>
      </c>
      <c r="BQ63" s="33">
        <v>5.6</v>
      </c>
      <c r="BR63" s="33" t="s">
        <v>1557</v>
      </c>
      <c r="BS63" s="33" t="str">
        <f>IF(OR(ISBLANK(BQ63), ISBLANK(BR63)),"",CONCATENATE(" ",VLOOKUP(BR63,Literatuur!$A:$B,2,FALSE)," "))</f>
        <v xml:space="preserve"> 17 </v>
      </c>
      <c r="BT63" s="33">
        <v>5.6</v>
      </c>
      <c r="BU63" s="33" t="s">
        <v>2066</v>
      </c>
      <c r="BV63" s="33" t="str">
        <f>IF(OR(ISBLANK(BT63), ISBLANK(BU63)),"",CONCATENATE(" ",VLOOKUP(BU63,Literatuur!$A:$B,2,FALSE)," "))</f>
        <v xml:space="preserve"> 8 </v>
      </c>
      <c r="BX63" s="33">
        <v>188.1</v>
      </c>
      <c r="BY63" s="33">
        <v>186.9</v>
      </c>
      <c r="BZ63" s="33">
        <v>210.4</v>
      </c>
      <c r="CA63" s="33" t="s">
        <v>1557</v>
      </c>
      <c r="CB63" s="33" t="s">
        <v>2066</v>
      </c>
      <c r="CC63" s="33" t="s">
        <v>1734</v>
      </c>
      <c r="CD63" s="33">
        <f t="shared" si="44"/>
        <v>187.5</v>
      </c>
      <c r="CE63" s="37">
        <f>I63</f>
        <v>257.5</v>
      </c>
      <c r="CG63" s="33">
        <f>LOG(J63)</f>
        <v>-0.48922276662279052</v>
      </c>
      <c r="CH63" s="33">
        <f t="shared" si="43"/>
        <v>5.6333333333333329</v>
      </c>
      <c r="CR63" s="33" t="str">
        <f t="shared" si="17"/>
        <v>PCB #29</v>
      </c>
      <c r="CS63" s="33" t="str">
        <f t="shared" si="18"/>
        <v>PCB</v>
      </c>
      <c r="CT63" s="33">
        <f t="shared" si="19"/>
        <v>257.5</v>
      </c>
      <c r="CU63" s="33" t="str">
        <f t="shared" si="20"/>
        <v xml:space="preserve"> 17 </v>
      </c>
      <c r="CV63" s="33">
        <f t="shared" si="21"/>
        <v>0.32417329353699781</v>
      </c>
      <c r="CW63" s="33" t="str">
        <f t="shared" si="22"/>
        <v xml:space="preserve"> 17 </v>
      </c>
      <c r="CX63" s="33">
        <f t="shared" si="23"/>
        <v>5.6333333333333329</v>
      </c>
      <c r="CY63" s="33" t="str">
        <f t="shared" si="24"/>
        <v xml:space="preserve"> 17  17  8 </v>
      </c>
    </row>
    <row r="64" spans="2:103" ht="12.75" customHeight="1" x14ac:dyDescent="0.2">
      <c r="B64" s="33">
        <v>-1578</v>
      </c>
      <c r="D64" s="105" t="s">
        <v>1085</v>
      </c>
      <c r="E64" s="105" t="s">
        <v>1085</v>
      </c>
      <c r="F64" s="34"/>
      <c r="G64" s="34"/>
      <c r="I64" s="33" t="e">
        <f t="shared" si="27"/>
        <v>#DIV/0!</v>
      </c>
      <c r="J64" s="33" t="e">
        <f t="shared" si="25"/>
        <v>#DIV/0!</v>
      </c>
      <c r="K64" s="44">
        <f t="shared" si="28"/>
        <v>4.6900000000000004</v>
      </c>
      <c r="L64" s="33">
        <f t="shared" si="29"/>
        <v>162.4</v>
      </c>
      <c r="M64" s="33" t="s">
        <v>1552</v>
      </c>
      <c r="Q64" s="44" t="str">
        <f t="shared" si="30"/>
        <v xml:space="preserve"> </v>
      </c>
      <c r="R64" s="33" t="str">
        <f>IF(OR(ISBLANK(P64), ISBLANK(Q64)),"",CONCATENATE(" ",VLOOKUP(Q64,Literatuur!$A:$B,2,FALSE)," "))</f>
        <v/>
      </c>
      <c r="T64" s="44" t="str">
        <f t="shared" si="31"/>
        <v xml:space="preserve"> </v>
      </c>
      <c r="U64" s="33" t="str">
        <f>IF(OR(ISBLANK(S64), ISBLANK(T64)),"",CONCATENATE(" ",VLOOKUP(T64,Literatuur!$A:$B,2,FALSE)," "))</f>
        <v/>
      </c>
      <c r="W64" s="44" t="str">
        <f t="shared" si="32"/>
        <v xml:space="preserve"> </v>
      </c>
      <c r="X64" s="33" t="str">
        <f>IF(OR(ISBLANK(V64), ISBLANK(W64)),"",CONCATENATE(" ",VLOOKUP(W64,Literatuur!$A:$B,2,FALSE)," "))</f>
        <v/>
      </c>
      <c r="Z64" s="44" t="str">
        <f t="shared" si="33"/>
        <v xml:space="preserve"> </v>
      </c>
      <c r="AA64" s="33" t="str">
        <f>IF(OR(ISBLANK(Y64), ISBLANK(Z64)),"",CONCATENATE(" ",VLOOKUP(Z64,Literatuur!$A:$B,2,FALSE)," "))</f>
        <v/>
      </c>
      <c r="AC64" s="186" t="str">
        <f t="shared" si="34"/>
        <v xml:space="preserve"> </v>
      </c>
      <c r="AD64" s="33" t="str">
        <f>IF(OR(ISBLANK(AB64), ISBLANK(AC64)),"",CONCATENATE(" ",VLOOKUP(AC64,Literatuur!$A:$B,2,FALSE)," "))</f>
        <v/>
      </c>
      <c r="AG64" s="33" t="str">
        <f>IF(OR(ISBLANK(AE64), ISBLANK(AF64)),"",CONCATENATE(" ",VLOOKUP(AF64,Literatuur!$A:$B,2,FALSE)," "))</f>
        <v/>
      </c>
      <c r="AJ64" s="44" t="str">
        <f t="shared" si="35"/>
        <v xml:space="preserve"> </v>
      </c>
      <c r="AK64" s="33" t="str">
        <f>IF(OR(ISBLANK(AI64), ISBLANK(AJ64)),"",CONCATENATE(" ",VLOOKUP(AJ64,Literatuur!$A:$B,2,FALSE)," "))</f>
        <v/>
      </c>
      <c r="AM64" s="44" t="str">
        <f t="shared" si="36"/>
        <v xml:space="preserve"> </v>
      </c>
      <c r="AN64" s="33" t="str">
        <f>IF(OR(ISBLANK(AL64), ISBLANK(AM64)),"",CONCATENATE(" ",VLOOKUP(AM64,Literatuur!$A:$B,2,FALSE)," "))</f>
        <v/>
      </c>
      <c r="AP64" s="44" t="str">
        <f t="shared" si="37"/>
        <v xml:space="preserve"> </v>
      </c>
      <c r="AQ64" s="33" t="str">
        <f>IF(OR(ISBLANK(AO64), ISBLANK(AP64)),"",CONCATENATE(" ",VLOOKUP(AP64,Literatuur!$A:$B,2,FALSE)," "))</f>
        <v/>
      </c>
      <c r="AT64" s="33" t="str">
        <f>IF(OR(ISBLANK(AR64), ISBLANK(AS64)),"",CONCATENATE(" ",VLOOKUP(AS64,Literatuur!$A:$B,2,FALSE)," "))</f>
        <v/>
      </c>
      <c r="AW64" s="33" t="str">
        <f>IF(OR(ISBLANK(AU64), ISBLANK(AV64)),"",CONCATENATE(" ",VLOOKUP(AV64,Literatuur!$A:$B,2,FALSE)," "))</f>
        <v/>
      </c>
      <c r="AZ64" s="44" t="str">
        <f t="shared" si="38"/>
        <v xml:space="preserve"> </v>
      </c>
      <c r="BA64" s="33" t="str">
        <f>IF(OR(ISBLANK(AY64), ISBLANK(AZ64)),"",CONCATENATE(" ",VLOOKUP(AZ64,Literatuur!$A:$B,2,FALSE)," "))</f>
        <v/>
      </c>
      <c r="BC64" s="44" t="str">
        <f t="shared" si="39"/>
        <v xml:space="preserve"> </v>
      </c>
      <c r="BD64" s="33" t="str">
        <f>IF(OR(ISBLANK(BB64), ISBLANK(BC64)),"",CONCATENATE(" ",VLOOKUP(BC64,Literatuur!$A:$B,2,FALSE)," "))</f>
        <v/>
      </c>
      <c r="BF64" s="44" t="str">
        <f t="shared" si="40"/>
        <v xml:space="preserve"> </v>
      </c>
      <c r="BG64" s="33" t="str">
        <f>IF(OR(ISBLANK(BE64), ISBLANK(BF64)),"",CONCATENATE(" ",VLOOKUP(BF64,Literatuur!$A:$B,2,FALSE)," "))</f>
        <v/>
      </c>
      <c r="BI64" s="44" t="str">
        <f t="shared" si="41"/>
        <v xml:space="preserve"> </v>
      </c>
      <c r="BJ64" s="33" t="str">
        <f>IF(OR(ISBLANK(BH64), ISBLANK(BI64)),"",CONCATENATE(" ",VLOOKUP(BI64,Literatuur!$A:$B,2,FALSE)," "))</f>
        <v/>
      </c>
      <c r="BL64" s="44" t="str">
        <f t="shared" si="42"/>
        <v xml:space="preserve"> </v>
      </c>
      <c r="BM64" s="33" t="str">
        <f>IF(OR(ISBLANK(BK64), ISBLANK(BL64)),"",CONCATENATE(" ",VLOOKUP(BL64,Literatuur!$A:$B,2,FALSE)," "))</f>
        <v/>
      </c>
      <c r="BP64" s="33" t="str">
        <f>IF(OR(ISBLANK(BN64), ISBLANK(BO64)),"",CONCATENATE(" ",VLOOKUP(BO64,Literatuur!$A:$B,2,FALSE)," "))</f>
        <v/>
      </c>
      <c r="BS64" s="33" t="str">
        <f>IF(OR(ISBLANK(BQ64), ISBLANK(BR64)),"",CONCATENATE(" ",VLOOKUP(BR64,Literatuur!$A:$B,2,FALSE)," "))</f>
        <v/>
      </c>
      <c r="BT64" s="33">
        <v>4.6900000000000004</v>
      </c>
      <c r="BU64" s="33" t="s">
        <v>2066</v>
      </c>
      <c r="BV64" s="33" t="str">
        <f>IF(OR(ISBLANK(BT64), ISBLANK(BU64)),"",CONCATENATE(" ",VLOOKUP(BU64,Literatuur!$A:$B,2,FALSE)," "))</f>
        <v xml:space="preserve"> 8 </v>
      </c>
      <c r="BY64" s="33">
        <v>162.4</v>
      </c>
      <c r="CB64" s="33" t="s">
        <v>2066</v>
      </c>
      <c r="CD64" s="33">
        <f t="shared" si="44"/>
        <v>162.4</v>
      </c>
      <c r="CE64" s="37"/>
      <c r="CH64" s="33">
        <f t="shared" si="43"/>
        <v>4.6900000000000004</v>
      </c>
      <c r="CR64" s="33" t="str">
        <f t="shared" si="17"/>
        <v>PCB #3</v>
      </c>
      <c r="CS64" s="33" t="str">
        <f t="shared" si="18"/>
        <v>PCB</v>
      </c>
      <c r="CT64" s="33" t="str">
        <f t="shared" si="19"/>
        <v/>
      </c>
      <c r="CU64" s="33" t="str">
        <f t="shared" si="20"/>
        <v/>
      </c>
      <c r="CV64" s="33" t="str">
        <f t="shared" si="21"/>
        <v/>
      </c>
      <c r="CW64" s="33" t="str">
        <f t="shared" si="22"/>
        <v/>
      </c>
      <c r="CX64" s="33">
        <f t="shared" si="23"/>
        <v>4.6900000000000004</v>
      </c>
      <c r="CY64" s="33" t="str">
        <f t="shared" si="24"/>
        <v xml:space="preserve"> 8 </v>
      </c>
    </row>
    <row r="65" spans="2:103" ht="12.75" customHeight="1" x14ac:dyDescent="0.2">
      <c r="B65" s="33">
        <v>-1588</v>
      </c>
      <c r="D65" s="105" t="s">
        <v>1095</v>
      </c>
      <c r="E65" s="105" t="s">
        <v>1095</v>
      </c>
      <c r="F65" s="34"/>
      <c r="G65" s="34"/>
      <c r="I65" s="33" t="e">
        <f t="shared" si="27"/>
        <v>#DIV/0!</v>
      </c>
      <c r="J65" s="33" t="e">
        <f t="shared" si="25"/>
        <v>#DIV/0!</v>
      </c>
      <c r="K65" s="44">
        <f t="shared" si="28"/>
        <v>5.44</v>
      </c>
      <c r="L65" s="33">
        <f t="shared" si="29"/>
        <v>186.6</v>
      </c>
      <c r="M65" s="33" t="s">
        <v>1552</v>
      </c>
      <c r="Q65" s="44" t="str">
        <f t="shared" si="30"/>
        <v xml:space="preserve"> </v>
      </c>
      <c r="R65" s="33" t="str">
        <f>IF(OR(ISBLANK(P65), ISBLANK(Q65)),"",CONCATENATE(" ",VLOOKUP(Q65,Literatuur!$A:$B,2,FALSE)," "))</f>
        <v/>
      </c>
      <c r="T65" s="44" t="str">
        <f t="shared" si="31"/>
        <v xml:space="preserve"> </v>
      </c>
      <c r="U65" s="33" t="str">
        <f>IF(OR(ISBLANK(S65), ISBLANK(T65)),"",CONCATENATE(" ",VLOOKUP(T65,Literatuur!$A:$B,2,FALSE)," "))</f>
        <v/>
      </c>
      <c r="W65" s="44" t="str">
        <f t="shared" si="32"/>
        <v xml:space="preserve"> </v>
      </c>
      <c r="X65" s="33" t="str">
        <f>IF(OR(ISBLANK(V65), ISBLANK(W65)),"",CONCATENATE(" ",VLOOKUP(W65,Literatuur!$A:$B,2,FALSE)," "))</f>
        <v/>
      </c>
      <c r="Z65" s="44" t="str">
        <f t="shared" si="33"/>
        <v xml:space="preserve"> </v>
      </c>
      <c r="AA65" s="33" t="str">
        <f>IF(OR(ISBLANK(Y65), ISBLANK(Z65)),"",CONCATENATE(" ",VLOOKUP(Z65,Literatuur!$A:$B,2,FALSE)," "))</f>
        <v/>
      </c>
      <c r="AC65" s="186" t="str">
        <f t="shared" si="34"/>
        <v xml:space="preserve"> </v>
      </c>
      <c r="AD65" s="33" t="str">
        <f>IF(OR(ISBLANK(AB65), ISBLANK(AC65)),"",CONCATENATE(" ",VLOOKUP(AC65,Literatuur!$A:$B,2,FALSE)," "))</f>
        <v/>
      </c>
      <c r="AG65" s="33" t="str">
        <f>IF(OR(ISBLANK(AE65), ISBLANK(AF65)),"",CONCATENATE(" ",VLOOKUP(AF65,Literatuur!$A:$B,2,FALSE)," "))</f>
        <v/>
      </c>
      <c r="AJ65" s="44" t="str">
        <f t="shared" si="35"/>
        <v xml:space="preserve"> </v>
      </c>
      <c r="AK65" s="33" t="str">
        <f>IF(OR(ISBLANK(AI65), ISBLANK(AJ65)),"",CONCATENATE(" ",VLOOKUP(AJ65,Literatuur!$A:$B,2,FALSE)," "))</f>
        <v/>
      </c>
      <c r="AM65" s="44" t="str">
        <f t="shared" si="36"/>
        <v xml:space="preserve"> </v>
      </c>
      <c r="AN65" s="33" t="str">
        <f>IF(OR(ISBLANK(AL65), ISBLANK(AM65)),"",CONCATENATE(" ",VLOOKUP(AM65,Literatuur!$A:$B,2,FALSE)," "))</f>
        <v/>
      </c>
      <c r="AP65" s="44" t="str">
        <f t="shared" si="37"/>
        <v xml:space="preserve"> </v>
      </c>
      <c r="AQ65" s="33" t="str">
        <f>IF(OR(ISBLANK(AO65), ISBLANK(AP65)),"",CONCATENATE(" ",VLOOKUP(AP65,Literatuur!$A:$B,2,FALSE)," "))</f>
        <v/>
      </c>
      <c r="AT65" s="33" t="str">
        <f>IF(OR(ISBLANK(AR65), ISBLANK(AS65)),"",CONCATENATE(" ",VLOOKUP(AS65,Literatuur!$A:$B,2,FALSE)," "))</f>
        <v/>
      </c>
      <c r="AW65" s="33" t="str">
        <f>IF(OR(ISBLANK(AU65), ISBLANK(AV65)),"",CONCATENATE(" ",VLOOKUP(AV65,Literatuur!$A:$B,2,FALSE)," "))</f>
        <v/>
      </c>
      <c r="AZ65" s="44" t="str">
        <f t="shared" si="38"/>
        <v xml:space="preserve"> </v>
      </c>
      <c r="BA65" s="33" t="str">
        <f>IF(OR(ISBLANK(AY65), ISBLANK(AZ65)),"",CONCATENATE(" ",VLOOKUP(AZ65,Literatuur!$A:$B,2,FALSE)," "))</f>
        <v/>
      </c>
      <c r="BC65" s="44" t="str">
        <f t="shared" si="39"/>
        <v xml:space="preserve"> </v>
      </c>
      <c r="BD65" s="33" t="str">
        <f>IF(OR(ISBLANK(BB65), ISBLANK(BC65)),"",CONCATENATE(" ",VLOOKUP(BC65,Literatuur!$A:$B,2,FALSE)," "))</f>
        <v/>
      </c>
      <c r="BF65" s="44" t="str">
        <f t="shared" si="40"/>
        <v xml:space="preserve"> </v>
      </c>
      <c r="BG65" s="33" t="str">
        <f>IF(OR(ISBLANK(BE65), ISBLANK(BF65)),"",CONCATENATE(" ",VLOOKUP(BF65,Literatuur!$A:$B,2,FALSE)," "))</f>
        <v/>
      </c>
      <c r="BI65" s="44" t="str">
        <f t="shared" si="41"/>
        <v xml:space="preserve"> </v>
      </c>
      <c r="BJ65" s="33" t="str">
        <f>IF(OR(ISBLANK(BH65), ISBLANK(BI65)),"",CONCATENATE(" ",VLOOKUP(BI65,Literatuur!$A:$B,2,FALSE)," "))</f>
        <v/>
      </c>
      <c r="BL65" s="44" t="str">
        <f t="shared" si="42"/>
        <v xml:space="preserve"> </v>
      </c>
      <c r="BM65" s="33" t="str">
        <f>IF(OR(ISBLANK(BK65), ISBLANK(BL65)),"",CONCATENATE(" ",VLOOKUP(BL65,Literatuur!$A:$B,2,FALSE)," "))</f>
        <v/>
      </c>
      <c r="BP65" s="33" t="str">
        <f>IF(OR(ISBLANK(BN65), ISBLANK(BO65)),"",CONCATENATE(" ",VLOOKUP(BO65,Literatuur!$A:$B,2,FALSE)," "))</f>
        <v/>
      </c>
      <c r="BS65" s="33" t="str">
        <f>IF(OR(ISBLANK(BQ65), ISBLANK(BR65)),"",CONCATENATE(" ",VLOOKUP(BR65,Literatuur!$A:$B,2,FALSE)," "))</f>
        <v/>
      </c>
      <c r="BT65" s="33">
        <v>5.44</v>
      </c>
      <c r="BU65" s="33" t="s">
        <v>2066</v>
      </c>
      <c r="BV65" s="33" t="str">
        <f>IF(OR(ISBLANK(BT65), ISBLANK(BU65)),"",CONCATENATE(" ",VLOOKUP(BU65,Literatuur!$A:$B,2,FALSE)," "))</f>
        <v xml:space="preserve"> 8 </v>
      </c>
      <c r="BY65" s="33">
        <v>186.6</v>
      </c>
      <c r="CB65" s="33" t="s">
        <v>2066</v>
      </c>
      <c r="CD65" s="33">
        <f t="shared" si="44"/>
        <v>186.6</v>
      </c>
      <c r="CE65" s="37"/>
      <c r="CH65" s="33">
        <f t="shared" si="43"/>
        <v>5.44</v>
      </c>
      <c r="CR65" s="33" t="str">
        <f t="shared" si="17"/>
        <v>PCB #32</v>
      </c>
      <c r="CS65" s="33" t="str">
        <f t="shared" si="18"/>
        <v>PCB</v>
      </c>
      <c r="CT65" s="33" t="str">
        <f t="shared" si="19"/>
        <v/>
      </c>
      <c r="CU65" s="33" t="str">
        <f t="shared" si="20"/>
        <v/>
      </c>
      <c r="CV65" s="33" t="str">
        <f t="shared" si="21"/>
        <v/>
      </c>
      <c r="CW65" s="33" t="str">
        <f t="shared" si="22"/>
        <v/>
      </c>
      <c r="CX65" s="33">
        <f t="shared" si="23"/>
        <v>5.44</v>
      </c>
      <c r="CY65" s="33" t="str">
        <f t="shared" si="24"/>
        <v xml:space="preserve"> 8 </v>
      </c>
    </row>
    <row r="66" spans="2:103" ht="15" customHeight="1" x14ac:dyDescent="0.2">
      <c r="B66" s="33">
        <v>-1589</v>
      </c>
      <c r="D66" s="105" t="s">
        <v>1096</v>
      </c>
      <c r="E66" s="105" t="s">
        <v>1096</v>
      </c>
      <c r="F66" s="34"/>
      <c r="G66" s="34"/>
      <c r="I66" s="33" t="e">
        <f t="shared" si="27"/>
        <v>#DIV/0!</v>
      </c>
      <c r="J66" s="33" t="e">
        <f t="shared" si="25"/>
        <v>#DIV/0!</v>
      </c>
      <c r="K66" s="44">
        <f t="shared" si="28"/>
        <v>5.83</v>
      </c>
      <c r="L66" s="33">
        <f t="shared" si="29"/>
        <v>185.8</v>
      </c>
      <c r="M66" s="33" t="s">
        <v>1552</v>
      </c>
      <c r="Q66" s="44" t="str">
        <f t="shared" si="30"/>
        <v xml:space="preserve"> </v>
      </c>
      <c r="R66" s="33" t="str">
        <f>IF(OR(ISBLANK(P66), ISBLANK(Q66)),"",CONCATENATE(" ",VLOOKUP(Q66,Literatuur!$A:$B,2,FALSE)," "))</f>
        <v/>
      </c>
      <c r="T66" s="44" t="str">
        <f t="shared" si="31"/>
        <v xml:space="preserve"> </v>
      </c>
      <c r="U66" s="33" t="str">
        <f>IF(OR(ISBLANK(S66), ISBLANK(T66)),"",CONCATENATE(" ",VLOOKUP(T66,Literatuur!$A:$B,2,FALSE)," "))</f>
        <v/>
      </c>
      <c r="W66" s="44" t="str">
        <f t="shared" si="32"/>
        <v xml:space="preserve"> </v>
      </c>
      <c r="X66" s="33" t="str">
        <f>IF(OR(ISBLANK(V66), ISBLANK(W66)),"",CONCATENATE(" ",VLOOKUP(W66,Literatuur!$A:$B,2,FALSE)," "))</f>
        <v/>
      </c>
      <c r="Z66" s="44" t="str">
        <f t="shared" si="33"/>
        <v xml:space="preserve"> </v>
      </c>
      <c r="AA66" s="33" t="str">
        <f>IF(OR(ISBLANK(Y66), ISBLANK(Z66)),"",CONCATENATE(" ",VLOOKUP(Z66,Literatuur!$A:$B,2,FALSE)," "))</f>
        <v/>
      </c>
      <c r="AC66" s="186" t="str">
        <f t="shared" si="34"/>
        <v xml:space="preserve"> </v>
      </c>
      <c r="AD66" s="33" t="str">
        <f>IF(OR(ISBLANK(AB66), ISBLANK(AC66)),"",CONCATENATE(" ",VLOOKUP(AC66,Literatuur!$A:$B,2,FALSE)," "))</f>
        <v/>
      </c>
      <c r="AG66" s="33" t="str">
        <f>IF(OR(ISBLANK(AE66), ISBLANK(AF66)),"",CONCATENATE(" ",VLOOKUP(AF66,Literatuur!$A:$B,2,FALSE)," "))</f>
        <v/>
      </c>
      <c r="AJ66" s="44" t="str">
        <f t="shared" si="35"/>
        <v xml:space="preserve"> </v>
      </c>
      <c r="AK66" s="33" t="str">
        <f>IF(OR(ISBLANK(AI66), ISBLANK(AJ66)),"",CONCATENATE(" ",VLOOKUP(AJ66,Literatuur!$A:$B,2,FALSE)," "))</f>
        <v/>
      </c>
      <c r="AM66" s="44" t="str">
        <f t="shared" si="36"/>
        <v xml:space="preserve"> </v>
      </c>
      <c r="AN66" s="33" t="str">
        <f>IF(OR(ISBLANK(AL66), ISBLANK(AM66)),"",CONCATENATE(" ",VLOOKUP(AM66,Literatuur!$A:$B,2,FALSE)," "))</f>
        <v/>
      </c>
      <c r="AP66" s="44" t="str">
        <f t="shared" si="37"/>
        <v xml:space="preserve"> </v>
      </c>
      <c r="AQ66" s="33" t="str">
        <f>IF(OR(ISBLANK(AO66), ISBLANK(AP66)),"",CONCATENATE(" ",VLOOKUP(AP66,Literatuur!$A:$B,2,FALSE)," "))</f>
        <v/>
      </c>
      <c r="AT66" s="33" t="str">
        <f>IF(OR(ISBLANK(AR66), ISBLANK(AS66)),"",CONCATENATE(" ",VLOOKUP(AS66,Literatuur!$A:$B,2,FALSE)," "))</f>
        <v/>
      </c>
      <c r="AW66" s="33" t="str">
        <f>IF(OR(ISBLANK(AU66), ISBLANK(AV66)),"",CONCATENATE(" ",VLOOKUP(AV66,Literatuur!$A:$B,2,FALSE)," "))</f>
        <v/>
      </c>
      <c r="AY66" s="484"/>
      <c r="AZ66" s="44" t="str">
        <f t="shared" si="38"/>
        <v xml:space="preserve"> </v>
      </c>
      <c r="BA66" s="33" t="str">
        <f>IF(OR(ISBLANK(AY66), ISBLANK(AZ66)),"",CONCATENATE(" ",VLOOKUP(AZ66,Literatuur!$A:$B,2,FALSE)," "))</f>
        <v/>
      </c>
      <c r="BC66" s="44" t="str">
        <f t="shared" si="39"/>
        <v xml:space="preserve"> </v>
      </c>
      <c r="BD66" s="33" t="str">
        <f>IF(OR(ISBLANK(BB66), ISBLANK(BC66)),"",CONCATENATE(" ",VLOOKUP(BC66,Literatuur!$A:$B,2,FALSE)," "))</f>
        <v/>
      </c>
      <c r="BF66" s="44" t="str">
        <f t="shared" si="40"/>
        <v xml:space="preserve"> </v>
      </c>
      <c r="BG66" s="33" t="str">
        <f>IF(OR(ISBLANK(BE66), ISBLANK(BF66)),"",CONCATENATE(" ",VLOOKUP(BF66,Literatuur!$A:$B,2,FALSE)," "))</f>
        <v/>
      </c>
      <c r="BI66" s="44" t="str">
        <f t="shared" si="41"/>
        <v xml:space="preserve"> </v>
      </c>
      <c r="BJ66" s="33" t="str">
        <f>IF(OR(ISBLANK(BH66), ISBLANK(BI66)),"",CONCATENATE(" ",VLOOKUP(BI66,Literatuur!$A:$B,2,FALSE)," "))</f>
        <v/>
      </c>
      <c r="BL66" s="44" t="str">
        <f t="shared" si="42"/>
        <v xml:space="preserve"> </v>
      </c>
      <c r="BM66" s="33" t="str">
        <f>IF(OR(ISBLANK(BK66), ISBLANK(BL66)),"",CONCATENATE(" ",VLOOKUP(BL66,Literatuur!$A:$B,2,FALSE)," "))</f>
        <v/>
      </c>
      <c r="BP66" s="33" t="str">
        <f>IF(OR(ISBLANK(BN66), ISBLANK(BO66)),"",CONCATENATE(" ",VLOOKUP(BO66,Literatuur!$A:$B,2,FALSE)," "))</f>
        <v/>
      </c>
      <c r="BS66" s="33" t="str">
        <f>IF(OR(ISBLANK(BQ66), ISBLANK(BR66)),"",CONCATENATE(" ",VLOOKUP(BR66,Literatuur!$A:$B,2,FALSE)," "))</f>
        <v/>
      </c>
      <c r="BT66" s="33">
        <v>5.83</v>
      </c>
      <c r="BU66" s="33" t="s">
        <v>2066</v>
      </c>
      <c r="BV66" s="33" t="str">
        <f>IF(OR(ISBLANK(BT66), ISBLANK(BU66)),"",CONCATENATE(" ",VLOOKUP(BU66,Literatuur!$A:$B,2,FALSE)," "))</f>
        <v xml:space="preserve"> 8 </v>
      </c>
      <c r="BY66" s="33">
        <v>185.8</v>
      </c>
      <c r="CB66" s="33" t="s">
        <v>2066</v>
      </c>
      <c r="CD66" s="33">
        <f t="shared" si="44"/>
        <v>185.8</v>
      </c>
      <c r="CE66" s="37"/>
      <c r="CH66" s="33">
        <f t="shared" si="43"/>
        <v>5.83</v>
      </c>
      <c r="CR66" s="33" t="str">
        <f t="shared" si="17"/>
        <v>PCB #37</v>
      </c>
      <c r="CS66" s="33" t="str">
        <f t="shared" si="18"/>
        <v>PCB</v>
      </c>
      <c r="CT66" s="33" t="str">
        <f t="shared" si="19"/>
        <v/>
      </c>
      <c r="CU66" s="33" t="str">
        <f t="shared" si="20"/>
        <v/>
      </c>
      <c r="CV66" s="33" t="str">
        <f t="shared" si="21"/>
        <v/>
      </c>
      <c r="CW66" s="33" t="str">
        <f t="shared" si="22"/>
        <v/>
      </c>
      <c r="CX66" s="33">
        <f t="shared" si="23"/>
        <v>5.83</v>
      </c>
      <c r="CY66" s="33" t="str">
        <f t="shared" si="24"/>
        <v xml:space="preserve"> 8 </v>
      </c>
    </row>
    <row r="67" spans="2:103" ht="15" customHeight="1" x14ac:dyDescent="0.2">
      <c r="B67" s="33">
        <v>-1590</v>
      </c>
      <c r="D67" s="105" t="s">
        <v>1097</v>
      </c>
      <c r="E67" s="105" t="s">
        <v>1097</v>
      </c>
      <c r="F67" s="34"/>
      <c r="G67" s="34"/>
      <c r="I67" s="33" t="e">
        <f t="shared" si="27"/>
        <v>#DIV/0!</v>
      </c>
      <c r="J67" s="33" t="e">
        <f t="shared" si="25"/>
        <v>#DIV/0!</v>
      </c>
      <c r="K67" s="44">
        <f t="shared" si="28"/>
        <v>5.66</v>
      </c>
      <c r="L67" s="33">
        <f t="shared" si="29"/>
        <v>199</v>
      </c>
      <c r="M67" s="33" t="s">
        <v>1552</v>
      </c>
      <c r="Q67" s="44" t="str">
        <f t="shared" si="30"/>
        <v xml:space="preserve"> </v>
      </c>
      <c r="R67" s="33" t="str">
        <f>IF(OR(ISBLANK(P67), ISBLANK(Q67)),"",CONCATENATE(" ",VLOOKUP(Q67,Literatuur!$A:$B,2,FALSE)," "))</f>
        <v/>
      </c>
      <c r="T67" s="44" t="str">
        <f t="shared" si="31"/>
        <v xml:space="preserve"> </v>
      </c>
      <c r="U67" s="33" t="str">
        <f>IF(OR(ISBLANK(S67), ISBLANK(T67)),"",CONCATENATE(" ",VLOOKUP(T67,Literatuur!$A:$B,2,FALSE)," "))</f>
        <v/>
      </c>
      <c r="W67" s="44" t="str">
        <f t="shared" si="32"/>
        <v xml:space="preserve"> </v>
      </c>
      <c r="X67" s="33" t="str">
        <f>IF(OR(ISBLANK(V67), ISBLANK(W67)),"",CONCATENATE(" ",VLOOKUP(W67,Literatuur!$A:$B,2,FALSE)," "))</f>
        <v/>
      </c>
      <c r="Z67" s="44" t="str">
        <f t="shared" si="33"/>
        <v xml:space="preserve"> </v>
      </c>
      <c r="AA67" s="33" t="str">
        <f>IF(OR(ISBLANK(Y67), ISBLANK(Z67)),"",CONCATENATE(" ",VLOOKUP(Z67,Literatuur!$A:$B,2,FALSE)," "))</f>
        <v/>
      </c>
      <c r="AC67" s="186" t="str">
        <f t="shared" si="34"/>
        <v xml:space="preserve"> </v>
      </c>
      <c r="AD67" s="33" t="str">
        <f>IF(OR(ISBLANK(AB67), ISBLANK(AC67)),"",CONCATENATE(" ",VLOOKUP(AC67,Literatuur!$A:$B,2,FALSE)," "))</f>
        <v/>
      </c>
      <c r="AG67" s="33" t="str">
        <f>IF(OR(ISBLANK(AE67), ISBLANK(AF67)),"",CONCATENATE(" ",VLOOKUP(AF67,Literatuur!$A:$B,2,FALSE)," "))</f>
        <v/>
      </c>
      <c r="AJ67" s="44" t="str">
        <f t="shared" si="35"/>
        <v xml:space="preserve"> </v>
      </c>
      <c r="AK67" s="33" t="str">
        <f>IF(OR(ISBLANK(AI67), ISBLANK(AJ67)),"",CONCATENATE(" ",VLOOKUP(AJ67,Literatuur!$A:$B,2,FALSE)," "))</f>
        <v/>
      </c>
      <c r="AM67" s="44" t="str">
        <f t="shared" si="36"/>
        <v xml:space="preserve"> </v>
      </c>
      <c r="AN67" s="33" t="str">
        <f>IF(OR(ISBLANK(AL67), ISBLANK(AM67)),"",CONCATENATE(" ",VLOOKUP(AM67,Literatuur!$A:$B,2,FALSE)," "))</f>
        <v/>
      </c>
      <c r="AP67" s="44" t="str">
        <f t="shared" si="37"/>
        <v xml:space="preserve"> </v>
      </c>
      <c r="AQ67" s="33" t="str">
        <f>IF(OR(ISBLANK(AO67), ISBLANK(AP67)),"",CONCATENATE(" ",VLOOKUP(AP67,Literatuur!$A:$B,2,FALSE)," "))</f>
        <v/>
      </c>
      <c r="AT67" s="33" t="str">
        <f>IF(OR(ISBLANK(AR67), ISBLANK(AS67)),"",CONCATENATE(" ",VLOOKUP(AS67,Literatuur!$A:$B,2,FALSE)," "))</f>
        <v/>
      </c>
      <c r="AW67" s="33" t="str">
        <f>IF(OR(ISBLANK(AU67), ISBLANK(AV67)),"",CONCATENATE(" ",VLOOKUP(AV67,Literatuur!$A:$B,2,FALSE)," "))</f>
        <v/>
      </c>
      <c r="AY67" s="484"/>
      <c r="AZ67" s="44" t="str">
        <f t="shared" si="38"/>
        <v xml:space="preserve"> </v>
      </c>
      <c r="BA67" s="33" t="str">
        <f>IF(OR(ISBLANK(AY67), ISBLANK(AZ67)),"",CONCATENATE(" ",VLOOKUP(AZ67,Literatuur!$A:$B,2,FALSE)," "))</f>
        <v/>
      </c>
      <c r="BC67" s="44" t="str">
        <f t="shared" si="39"/>
        <v xml:space="preserve"> </v>
      </c>
      <c r="BD67" s="33" t="str">
        <f>IF(OR(ISBLANK(BB67), ISBLANK(BC67)),"",CONCATENATE(" ",VLOOKUP(BC67,Literatuur!$A:$B,2,FALSE)," "))</f>
        <v/>
      </c>
      <c r="BF67" s="44" t="str">
        <f t="shared" si="40"/>
        <v xml:space="preserve"> </v>
      </c>
      <c r="BG67" s="33" t="str">
        <f>IF(OR(ISBLANK(BE67), ISBLANK(BF67)),"",CONCATENATE(" ",VLOOKUP(BF67,Literatuur!$A:$B,2,FALSE)," "))</f>
        <v/>
      </c>
      <c r="BI67" s="44" t="str">
        <f t="shared" si="41"/>
        <v xml:space="preserve"> </v>
      </c>
      <c r="BJ67" s="33" t="str">
        <f>IF(OR(ISBLANK(BH67), ISBLANK(BI67)),"",CONCATENATE(" ",VLOOKUP(BI67,Literatuur!$A:$B,2,FALSE)," "))</f>
        <v/>
      </c>
      <c r="BL67" s="44" t="str">
        <f t="shared" si="42"/>
        <v xml:space="preserve"> </v>
      </c>
      <c r="BM67" s="33" t="str">
        <f>IF(OR(ISBLANK(BK67), ISBLANK(BL67)),"",CONCATENATE(" ",VLOOKUP(BL67,Literatuur!$A:$B,2,FALSE)," "))</f>
        <v/>
      </c>
      <c r="BP67" s="33" t="str">
        <f>IF(OR(ISBLANK(BN67), ISBLANK(BO67)),"",CONCATENATE(" ",VLOOKUP(BO67,Literatuur!$A:$B,2,FALSE)," "))</f>
        <v/>
      </c>
      <c r="BS67" s="33" t="str">
        <f>IF(OR(ISBLANK(BQ67), ISBLANK(BR67)),"",CONCATENATE(" ",VLOOKUP(BR67,Literatuur!$A:$B,2,FALSE)," "))</f>
        <v/>
      </c>
      <c r="BT67" s="33">
        <v>5.66</v>
      </c>
      <c r="BU67" s="33" t="s">
        <v>2066</v>
      </c>
      <c r="BV67" s="33" t="str">
        <f>IF(OR(ISBLANK(BT67), ISBLANK(BU67)),"",CONCATENATE(" ",VLOOKUP(BU67,Literatuur!$A:$B,2,FALSE)," "))</f>
        <v xml:space="preserve"> 8 </v>
      </c>
      <c r="BY67" s="33">
        <v>199</v>
      </c>
      <c r="CB67" s="33" t="s">
        <v>2066</v>
      </c>
      <c r="CD67" s="33">
        <f t="shared" si="44"/>
        <v>199</v>
      </c>
      <c r="CE67" s="37"/>
      <c r="CH67" s="33">
        <f t="shared" si="43"/>
        <v>5.66</v>
      </c>
      <c r="CR67" s="33" t="str">
        <f t="shared" si="17"/>
        <v>PCB #40</v>
      </c>
      <c r="CS67" s="33" t="str">
        <f t="shared" si="18"/>
        <v>PCB</v>
      </c>
      <c r="CT67" s="33" t="str">
        <f t="shared" si="19"/>
        <v/>
      </c>
      <c r="CU67" s="33" t="str">
        <f t="shared" si="20"/>
        <v/>
      </c>
      <c r="CV67" s="33" t="str">
        <f t="shared" si="21"/>
        <v/>
      </c>
      <c r="CW67" s="33" t="str">
        <f t="shared" si="22"/>
        <v/>
      </c>
      <c r="CX67" s="33">
        <f t="shared" si="23"/>
        <v>5.66</v>
      </c>
      <c r="CY67" s="33" t="str">
        <f t="shared" si="24"/>
        <v xml:space="preserve"> 8 </v>
      </c>
    </row>
    <row r="68" spans="2:103" x14ac:dyDescent="0.2">
      <c r="B68" s="33">
        <v>-1591</v>
      </c>
      <c r="D68" s="105" t="s">
        <v>1098</v>
      </c>
      <c r="E68" s="105" t="s">
        <v>1098</v>
      </c>
      <c r="F68" s="34"/>
      <c r="G68" s="34"/>
      <c r="I68" s="33" t="e">
        <f t="shared" si="27"/>
        <v>#DIV/0!</v>
      </c>
      <c r="J68" s="33" t="e">
        <f t="shared" si="25"/>
        <v>#DIV/0!</v>
      </c>
      <c r="K68" s="44">
        <f t="shared" si="28"/>
        <v>5.69</v>
      </c>
      <c r="L68" s="33">
        <f t="shared" si="29"/>
        <v>199.2</v>
      </c>
      <c r="M68" s="33" t="s">
        <v>1552</v>
      </c>
      <c r="Q68" s="44" t="str">
        <f t="shared" si="30"/>
        <v xml:space="preserve"> </v>
      </c>
      <c r="R68" s="33" t="str">
        <f>IF(OR(ISBLANK(P68), ISBLANK(Q68)),"",CONCATENATE(" ",VLOOKUP(Q68,Literatuur!$A:$B,2,FALSE)," "))</f>
        <v/>
      </c>
      <c r="T68" s="44" t="str">
        <f t="shared" si="31"/>
        <v xml:space="preserve"> </v>
      </c>
      <c r="U68" s="33" t="str">
        <f>IF(OR(ISBLANK(S68), ISBLANK(T68)),"",CONCATENATE(" ",VLOOKUP(T68,Literatuur!$A:$B,2,FALSE)," "))</f>
        <v/>
      </c>
      <c r="W68" s="44" t="str">
        <f t="shared" si="32"/>
        <v xml:space="preserve"> </v>
      </c>
      <c r="X68" s="33" t="str">
        <f>IF(OR(ISBLANK(V68), ISBLANK(W68)),"",CONCATENATE(" ",VLOOKUP(W68,Literatuur!$A:$B,2,FALSE)," "))</f>
        <v/>
      </c>
      <c r="Z68" s="44" t="str">
        <f t="shared" si="33"/>
        <v xml:space="preserve"> </v>
      </c>
      <c r="AA68" s="33" t="str">
        <f>IF(OR(ISBLANK(Y68), ISBLANK(Z68)),"",CONCATENATE(" ",VLOOKUP(Z68,Literatuur!$A:$B,2,FALSE)," "))</f>
        <v/>
      </c>
      <c r="AC68" s="186" t="str">
        <f t="shared" si="34"/>
        <v xml:space="preserve"> </v>
      </c>
      <c r="AD68" s="33" t="str">
        <f>IF(OR(ISBLANK(AB68), ISBLANK(AC68)),"",CONCATENATE(" ",VLOOKUP(AC68,Literatuur!$A:$B,2,FALSE)," "))</f>
        <v/>
      </c>
      <c r="AG68" s="33" t="str">
        <f>IF(OR(ISBLANK(AE68), ISBLANK(AF68)),"",CONCATENATE(" ",VLOOKUP(AF68,Literatuur!$A:$B,2,FALSE)," "))</f>
        <v/>
      </c>
      <c r="AJ68" s="44" t="str">
        <f t="shared" si="35"/>
        <v xml:space="preserve"> </v>
      </c>
      <c r="AK68" s="33" t="str">
        <f>IF(OR(ISBLANK(AI68), ISBLANK(AJ68)),"",CONCATENATE(" ",VLOOKUP(AJ68,Literatuur!$A:$B,2,FALSE)," "))</f>
        <v/>
      </c>
      <c r="AM68" s="44" t="str">
        <f t="shared" si="36"/>
        <v xml:space="preserve"> </v>
      </c>
      <c r="AN68" s="33" t="str">
        <f>IF(OR(ISBLANK(AL68), ISBLANK(AM68)),"",CONCATENATE(" ",VLOOKUP(AM68,Literatuur!$A:$B,2,FALSE)," "))</f>
        <v/>
      </c>
      <c r="AP68" s="44" t="str">
        <f t="shared" si="37"/>
        <v xml:space="preserve"> </v>
      </c>
      <c r="AQ68" s="33" t="str">
        <f>IF(OR(ISBLANK(AO68), ISBLANK(AP68)),"",CONCATENATE(" ",VLOOKUP(AP68,Literatuur!$A:$B,2,FALSE)," "))</f>
        <v/>
      </c>
      <c r="AT68" s="33" t="str">
        <f>IF(OR(ISBLANK(AR68), ISBLANK(AS68)),"",CONCATENATE(" ",VLOOKUP(AS68,Literatuur!$A:$B,2,FALSE)," "))</f>
        <v/>
      </c>
      <c r="AW68" s="33" t="str">
        <f>IF(OR(ISBLANK(AU68), ISBLANK(AV68)),"",CONCATENATE(" ",VLOOKUP(AV68,Literatuur!$A:$B,2,FALSE)," "))</f>
        <v/>
      </c>
      <c r="AZ68" s="44" t="str">
        <f t="shared" si="38"/>
        <v xml:space="preserve"> </v>
      </c>
      <c r="BA68" s="33" t="str">
        <f>IF(OR(ISBLANK(AY68), ISBLANK(AZ68)),"",CONCATENATE(" ",VLOOKUP(AZ68,Literatuur!$A:$B,2,FALSE)," "))</f>
        <v/>
      </c>
      <c r="BC68" s="44" t="str">
        <f t="shared" si="39"/>
        <v xml:space="preserve"> </v>
      </c>
      <c r="BD68" s="33" t="str">
        <f>IF(OR(ISBLANK(BB68), ISBLANK(BC68)),"",CONCATENATE(" ",VLOOKUP(BC68,Literatuur!$A:$B,2,FALSE)," "))</f>
        <v/>
      </c>
      <c r="BF68" s="44" t="str">
        <f t="shared" si="40"/>
        <v xml:space="preserve"> </v>
      </c>
      <c r="BG68" s="33" t="str">
        <f>IF(OR(ISBLANK(BE68), ISBLANK(BF68)),"",CONCATENATE(" ",VLOOKUP(BF68,Literatuur!$A:$B,2,FALSE)," "))</f>
        <v/>
      </c>
      <c r="BI68" s="44" t="str">
        <f t="shared" si="41"/>
        <v xml:space="preserve"> </v>
      </c>
      <c r="BJ68" s="33" t="str">
        <f>IF(OR(ISBLANK(BH68), ISBLANK(BI68)),"",CONCATENATE(" ",VLOOKUP(BI68,Literatuur!$A:$B,2,FALSE)," "))</f>
        <v/>
      </c>
      <c r="BL68" s="44" t="str">
        <f t="shared" si="42"/>
        <v xml:space="preserve"> </v>
      </c>
      <c r="BM68" s="33" t="str">
        <f>IF(OR(ISBLANK(BK68), ISBLANK(BL68)),"",CONCATENATE(" ",VLOOKUP(BL68,Literatuur!$A:$B,2,FALSE)," "))</f>
        <v/>
      </c>
      <c r="BP68" s="33" t="str">
        <f>IF(OR(ISBLANK(BN68), ISBLANK(BO68)),"",CONCATENATE(" ",VLOOKUP(BO68,Literatuur!$A:$B,2,FALSE)," "))</f>
        <v/>
      </c>
      <c r="BS68" s="33" t="str">
        <f>IF(OR(ISBLANK(BQ68), ISBLANK(BR68)),"",CONCATENATE(" ",VLOOKUP(BR68,Literatuur!$A:$B,2,FALSE)," "))</f>
        <v/>
      </c>
      <c r="BT68" s="33">
        <v>5.69</v>
      </c>
      <c r="BU68" s="33" t="s">
        <v>2066</v>
      </c>
      <c r="BV68" s="33" t="str">
        <f>IF(OR(ISBLANK(BT68), ISBLANK(BU68)),"",CONCATENATE(" ",VLOOKUP(BU68,Literatuur!$A:$B,2,FALSE)," "))</f>
        <v xml:space="preserve"> 8 </v>
      </c>
      <c r="BY68" s="33">
        <v>199.2</v>
      </c>
      <c r="CB68" s="33" t="s">
        <v>2066</v>
      </c>
      <c r="CD68" s="33">
        <f t="shared" si="44"/>
        <v>199.2</v>
      </c>
      <c r="CE68" s="37"/>
      <c r="CH68" s="33">
        <f t="shared" si="43"/>
        <v>5.69</v>
      </c>
      <c r="CR68" s="33" t="str">
        <f t="shared" si="17"/>
        <v>PCB #41</v>
      </c>
      <c r="CS68" s="33" t="str">
        <f t="shared" si="18"/>
        <v>PCB</v>
      </c>
      <c r="CT68" s="33" t="str">
        <f t="shared" si="19"/>
        <v/>
      </c>
      <c r="CU68" s="33" t="str">
        <f t="shared" si="20"/>
        <v/>
      </c>
      <c r="CV68" s="33" t="str">
        <f t="shared" si="21"/>
        <v/>
      </c>
      <c r="CW68" s="33" t="str">
        <f t="shared" si="22"/>
        <v/>
      </c>
      <c r="CX68" s="33">
        <f t="shared" si="23"/>
        <v>5.69</v>
      </c>
      <c r="CY68" s="33" t="str">
        <f t="shared" si="24"/>
        <v xml:space="preserve"> 8 </v>
      </c>
    </row>
    <row r="69" spans="2:103" ht="15" customHeight="1" x14ac:dyDescent="0.2">
      <c r="B69" s="33">
        <v>-1592</v>
      </c>
      <c r="D69" s="105" t="s">
        <v>1099</v>
      </c>
      <c r="E69" s="105" t="s">
        <v>1099</v>
      </c>
      <c r="F69" s="34"/>
      <c r="G69" s="34"/>
      <c r="I69" s="33" t="e">
        <f t="shared" si="27"/>
        <v>#DIV/0!</v>
      </c>
      <c r="J69" s="33" t="e">
        <f t="shared" si="25"/>
        <v>#DIV/0!</v>
      </c>
      <c r="K69" s="44">
        <f t="shared" si="28"/>
        <v>5.76</v>
      </c>
      <c r="L69" s="33">
        <f t="shared" si="29"/>
        <v>199.8</v>
      </c>
      <c r="M69" s="33" t="s">
        <v>1552</v>
      </c>
      <c r="Q69" s="44" t="str">
        <f t="shared" si="30"/>
        <v xml:space="preserve"> </v>
      </c>
      <c r="R69" s="33" t="str">
        <f>IF(OR(ISBLANK(P69), ISBLANK(Q69)),"",CONCATENATE(" ",VLOOKUP(Q69,Literatuur!$A:$B,2,FALSE)," "))</f>
        <v/>
      </c>
      <c r="T69" s="44" t="str">
        <f t="shared" si="31"/>
        <v xml:space="preserve"> </v>
      </c>
      <c r="U69" s="33" t="str">
        <f>IF(OR(ISBLANK(S69), ISBLANK(T69)),"",CONCATENATE(" ",VLOOKUP(T69,Literatuur!$A:$B,2,FALSE)," "))</f>
        <v/>
      </c>
      <c r="W69" s="44" t="str">
        <f t="shared" si="32"/>
        <v xml:space="preserve"> </v>
      </c>
      <c r="X69" s="33" t="str">
        <f>IF(OR(ISBLANK(V69), ISBLANK(W69)),"",CONCATENATE(" ",VLOOKUP(W69,Literatuur!$A:$B,2,FALSE)," "))</f>
        <v/>
      </c>
      <c r="Z69" s="44" t="str">
        <f t="shared" si="33"/>
        <v xml:space="preserve"> </v>
      </c>
      <c r="AA69" s="33" t="str">
        <f>IF(OR(ISBLANK(Y69), ISBLANK(Z69)),"",CONCATENATE(" ",VLOOKUP(Z69,Literatuur!$A:$B,2,FALSE)," "))</f>
        <v/>
      </c>
      <c r="AC69" s="186" t="str">
        <f t="shared" si="34"/>
        <v xml:space="preserve"> </v>
      </c>
      <c r="AD69" s="33" t="str">
        <f>IF(OR(ISBLANK(AB69), ISBLANK(AC69)),"",CONCATENATE(" ",VLOOKUP(AC69,Literatuur!$A:$B,2,FALSE)," "))</f>
        <v/>
      </c>
      <c r="AG69" s="33" t="str">
        <f>IF(OR(ISBLANK(AE69), ISBLANK(AF69)),"",CONCATENATE(" ",VLOOKUP(AF69,Literatuur!$A:$B,2,FALSE)," "))</f>
        <v/>
      </c>
      <c r="AJ69" s="44" t="str">
        <f t="shared" si="35"/>
        <v xml:space="preserve"> </v>
      </c>
      <c r="AK69" s="33" t="str">
        <f>IF(OR(ISBLANK(AI69), ISBLANK(AJ69)),"",CONCATENATE(" ",VLOOKUP(AJ69,Literatuur!$A:$B,2,FALSE)," "))</f>
        <v/>
      </c>
      <c r="AM69" s="44" t="str">
        <f t="shared" si="36"/>
        <v xml:space="preserve"> </v>
      </c>
      <c r="AN69" s="33" t="str">
        <f>IF(OR(ISBLANK(AL69), ISBLANK(AM69)),"",CONCATENATE(" ",VLOOKUP(AM69,Literatuur!$A:$B,2,FALSE)," "))</f>
        <v/>
      </c>
      <c r="AP69" s="44" t="str">
        <f t="shared" si="37"/>
        <v xml:space="preserve"> </v>
      </c>
      <c r="AQ69" s="33" t="str">
        <f>IF(OR(ISBLANK(AO69), ISBLANK(AP69)),"",CONCATENATE(" ",VLOOKUP(AP69,Literatuur!$A:$B,2,FALSE)," "))</f>
        <v/>
      </c>
      <c r="AT69" s="33" t="str">
        <f>IF(OR(ISBLANK(AR69), ISBLANK(AS69)),"",CONCATENATE(" ",VLOOKUP(AS69,Literatuur!$A:$B,2,FALSE)," "))</f>
        <v/>
      </c>
      <c r="AW69" s="33" t="str">
        <f>IF(OR(ISBLANK(AU69), ISBLANK(AV69)),"",CONCATENATE(" ",VLOOKUP(AV69,Literatuur!$A:$B,2,FALSE)," "))</f>
        <v/>
      </c>
      <c r="AY69" s="484"/>
      <c r="AZ69" s="44" t="str">
        <f t="shared" si="38"/>
        <v xml:space="preserve"> </v>
      </c>
      <c r="BA69" s="33" t="str">
        <f>IF(OR(ISBLANK(AY69), ISBLANK(AZ69)),"",CONCATENATE(" ",VLOOKUP(AZ69,Literatuur!$A:$B,2,FALSE)," "))</f>
        <v/>
      </c>
      <c r="BC69" s="44" t="str">
        <f t="shared" si="39"/>
        <v xml:space="preserve"> </v>
      </c>
      <c r="BD69" s="33" t="str">
        <f>IF(OR(ISBLANK(BB69), ISBLANK(BC69)),"",CONCATENATE(" ",VLOOKUP(BC69,Literatuur!$A:$B,2,FALSE)," "))</f>
        <v/>
      </c>
      <c r="BF69" s="44" t="str">
        <f t="shared" si="40"/>
        <v xml:space="preserve"> </v>
      </c>
      <c r="BG69" s="33" t="str">
        <f>IF(OR(ISBLANK(BE69), ISBLANK(BF69)),"",CONCATENATE(" ",VLOOKUP(BF69,Literatuur!$A:$B,2,FALSE)," "))</f>
        <v/>
      </c>
      <c r="BI69" s="44" t="str">
        <f t="shared" si="41"/>
        <v xml:space="preserve"> </v>
      </c>
      <c r="BJ69" s="33" t="str">
        <f>IF(OR(ISBLANK(BH69), ISBLANK(BI69)),"",CONCATENATE(" ",VLOOKUP(BI69,Literatuur!$A:$B,2,FALSE)," "))</f>
        <v/>
      </c>
      <c r="BL69" s="44" t="str">
        <f t="shared" si="42"/>
        <v xml:space="preserve"> </v>
      </c>
      <c r="BM69" s="33" t="str">
        <f>IF(OR(ISBLANK(BK69), ISBLANK(BL69)),"",CONCATENATE(" ",VLOOKUP(BL69,Literatuur!$A:$B,2,FALSE)," "))</f>
        <v/>
      </c>
      <c r="BP69" s="33" t="str">
        <f>IF(OR(ISBLANK(BN69), ISBLANK(BO69)),"",CONCATENATE(" ",VLOOKUP(BO69,Literatuur!$A:$B,2,FALSE)," "))</f>
        <v/>
      </c>
      <c r="BS69" s="33" t="str">
        <f>IF(OR(ISBLANK(BQ69), ISBLANK(BR69)),"",CONCATENATE(" ",VLOOKUP(BR69,Literatuur!$A:$B,2,FALSE)," "))</f>
        <v/>
      </c>
      <c r="BT69" s="33">
        <v>5.76</v>
      </c>
      <c r="BU69" s="33" t="s">
        <v>2066</v>
      </c>
      <c r="BV69" s="33" t="str">
        <f>IF(OR(ISBLANK(BT69), ISBLANK(BU69)),"",CONCATENATE(" ",VLOOKUP(BU69,Literatuur!$A:$B,2,FALSE)," "))</f>
        <v xml:space="preserve"> 8 </v>
      </c>
      <c r="BY69" s="33">
        <v>199.8</v>
      </c>
      <c r="CB69" s="33" t="s">
        <v>2066</v>
      </c>
      <c r="CD69" s="33">
        <f t="shared" si="44"/>
        <v>199.8</v>
      </c>
      <c r="CE69" s="37"/>
      <c r="CH69" s="33">
        <f t="shared" si="43"/>
        <v>5.76</v>
      </c>
      <c r="CR69" s="33" t="str">
        <f t="shared" si="17"/>
        <v>PCB #42</v>
      </c>
      <c r="CS69" s="33" t="str">
        <f t="shared" si="18"/>
        <v>PCB</v>
      </c>
      <c r="CT69" s="33" t="str">
        <f t="shared" si="19"/>
        <v/>
      </c>
      <c r="CU69" s="33" t="str">
        <f t="shared" si="20"/>
        <v/>
      </c>
      <c r="CV69" s="33" t="str">
        <f t="shared" si="21"/>
        <v/>
      </c>
      <c r="CW69" s="33" t="str">
        <f t="shared" si="22"/>
        <v/>
      </c>
      <c r="CX69" s="33">
        <f t="shared" si="23"/>
        <v>5.76</v>
      </c>
      <c r="CY69" s="33" t="str">
        <f t="shared" si="24"/>
        <v xml:space="preserve"> 8 </v>
      </c>
    </row>
    <row r="70" spans="2:103" x14ac:dyDescent="0.2">
      <c r="B70" s="33">
        <v>-1593</v>
      </c>
      <c r="D70" s="105" t="s">
        <v>1100</v>
      </c>
      <c r="E70" s="105" t="s">
        <v>1100</v>
      </c>
      <c r="F70" s="34"/>
      <c r="G70" s="34"/>
      <c r="I70" s="33" t="e">
        <f t="shared" si="27"/>
        <v>#DIV/0!</v>
      </c>
      <c r="J70" s="33" t="e">
        <f t="shared" si="25"/>
        <v>#DIV/0!</v>
      </c>
      <c r="K70" s="44">
        <f t="shared" si="28"/>
        <v>5.75</v>
      </c>
      <c r="L70" s="33">
        <f t="shared" si="29"/>
        <v>199.9</v>
      </c>
      <c r="M70" s="33" t="s">
        <v>1552</v>
      </c>
      <c r="Q70" s="44" t="str">
        <f t="shared" si="30"/>
        <v xml:space="preserve"> </v>
      </c>
      <c r="R70" s="33" t="str">
        <f>IF(OR(ISBLANK(P70), ISBLANK(Q70)),"",CONCATENATE(" ",VLOOKUP(Q70,Literatuur!$A:$B,2,FALSE)," "))</f>
        <v/>
      </c>
      <c r="T70" s="44" t="str">
        <f t="shared" si="31"/>
        <v xml:space="preserve"> </v>
      </c>
      <c r="U70" s="33" t="str">
        <f>IF(OR(ISBLANK(S70), ISBLANK(T70)),"",CONCATENATE(" ",VLOOKUP(T70,Literatuur!$A:$B,2,FALSE)," "))</f>
        <v/>
      </c>
      <c r="W70" s="44" t="str">
        <f t="shared" si="32"/>
        <v xml:space="preserve"> </v>
      </c>
      <c r="X70" s="33" t="str">
        <f>IF(OR(ISBLANK(V70), ISBLANK(W70)),"",CONCATENATE(" ",VLOOKUP(W70,Literatuur!$A:$B,2,FALSE)," "))</f>
        <v/>
      </c>
      <c r="Z70" s="44" t="str">
        <f t="shared" si="33"/>
        <v xml:space="preserve"> </v>
      </c>
      <c r="AA70" s="33" t="str">
        <f>IF(OR(ISBLANK(Y70), ISBLANK(Z70)),"",CONCATENATE(" ",VLOOKUP(Z70,Literatuur!$A:$B,2,FALSE)," "))</f>
        <v/>
      </c>
      <c r="AC70" s="186" t="str">
        <f t="shared" si="34"/>
        <v xml:space="preserve"> </v>
      </c>
      <c r="AD70" s="33" t="str">
        <f>IF(OR(ISBLANK(AB70), ISBLANK(AC70)),"",CONCATENATE(" ",VLOOKUP(AC70,Literatuur!$A:$B,2,FALSE)," "))</f>
        <v/>
      </c>
      <c r="AG70" s="33" t="str">
        <f>IF(OR(ISBLANK(AE70), ISBLANK(AF70)),"",CONCATENATE(" ",VLOOKUP(AF70,Literatuur!$A:$B,2,FALSE)," "))</f>
        <v/>
      </c>
      <c r="AJ70" s="44" t="str">
        <f t="shared" si="35"/>
        <v xml:space="preserve"> </v>
      </c>
      <c r="AK70" s="33" t="str">
        <f>IF(OR(ISBLANK(AI70), ISBLANK(AJ70)),"",CONCATENATE(" ",VLOOKUP(AJ70,Literatuur!$A:$B,2,FALSE)," "))</f>
        <v/>
      </c>
      <c r="AM70" s="44" t="str">
        <f t="shared" si="36"/>
        <v xml:space="preserve"> </v>
      </c>
      <c r="AN70" s="33" t="str">
        <f>IF(OR(ISBLANK(AL70), ISBLANK(AM70)),"",CONCATENATE(" ",VLOOKUP(AM70,Literatuur!$A:$B,2,FALSE)," "))</f>
        <v/>
      </c>
      <c r="AP70" s="44" t="str">
        <f t="shared" si="37"/>
        <v xml:space="preserve"> </v>
      </c>
      <c r="AQ70" s="33" t="str">
        <f>IF(OR(ISBLANK(AO70), ISBLANK(AP70)),"",CONCATENATE(" ",VLOOKUP(AP70,Literatuur!$A:$B,2,FALSE)," "))</f>
        <v/>
      </c>
      <c r="AT70" s="33" t="str">
        <f>IF(OR(ISBLANK(AR70), ISBLANK(AS70)),"",CONCATENATE(" ",VLOOKUP(AS70,Literatuur!$A:$B,2,FALSE)," "))</f>
        <v/>
      </c>
      <c r="AW70" s="33" t="str">
        <f>IF(OR(ISBLANK(AU70), ISBLANK(AV70)),"",CONCATENATE(" ",VLOOKUP(AV70,Literatuur!$A:$B,2,FALSE)," "))</f>
        <v/>
      </c>
      <c r="AZ70" s="44" t="str">
        <f t="shared" si="38"/>
        <v xml:space="preserve"> </v>
      </c>
      <c r="BA70" s="33" t="str">
        <f>IF(OR(ISBLANK(AY70), ISBLANK(AZ70)),"",CONCATENATE(" ",VLOOKUP(AZ70,Literatuur!$A:$B,2,FALSE)," "))</f>
        <v/>
      </c>
      <c r="BC70" s="44" t="str">
        <f t="shared" si="39"/>
        <v xml:space="preserve"> </v>
      </c>
      <c r="BD70" s="33" t="str">
        <f>IF(OR(ISBLANK(BB70), ISBLANK(BC70)),"",CONCATENATE(" ",VLOOKUP(BC70,Literatuur!$A:$B,2,FALSE)," "))</f>
        <v/>
      </c>
      <c r="BF70" s="44" t="str">
        <f t="shared" si="40"/>
        <v xml:space="preserve"> </v>
      </c>
      <c r="BG70" s="33" t="str">
        <f>IF(OR(ISBLANK(BE70), ISBLANK(BF70)),"",CONCATENATE(" ",VLOOKUP(BF70,Literatuur!$A:$B,2,FALSE)," "))</f>
        <v/>
      </c>
      <c r="BI70" s="44" t="str">
        <f t="shared" si="41"/>
        <v xml:space="preserve"> </v>
      </c>
      <c r="BJ70" s="33" t="str">
        <f>IF(OR(ISBLANK(BH70), ISBLANK(BI70)),"",CONCATENATE(" ",VLOOKUP(BI70,Literatuur!$A:$B,2,FALSE)," "))</f>
        <v/>
      </c>
      <c r="BL70" s="44" t="str">
        <f t="shared" si="42"/>
        <v xml:space="preserve"> </v>
      </c>
      <c r="BM70" s="33" t="str">
        <f>IF(OR(ISBLANK(BK70), ISBLANK(BL70)),"",CONCATENATE(" ",VLOOKUP(BL70,Literatuur!$A:$B,2,FALSE)," "))</f>
        <v/>
      </c>
      <c r="BP70" s="33" t="str">
        <f>IF(OR(ISBLANK(BN70), ISBLANK(BO70)),"",CONCATENATE(" ",VLOOKUP(BO70,Literatuur!$A:$B,2,FALSE)," "))</f>
        <v/>
      </c>
      <c r="BS70" s="33" t="str">
        <f>IF(OR(ISBLANK(BQ70), ISBLANK(BR70)),"",CONCATENATE(" ",VLOOKUP(BR70,Literatuur!$A:$B,2,FALSE)," "))</f>
        <v/>
      </c>
      <c r="BT70" s="33">
        <v>5.75</v>
      </c>
      <c r="BU70" s="33" t="s">
        <v>2066</v>
      </c>
      <c r="BV70" s="33" t="str">
        <f>IF(OR(ISBLANK(BT70), ISBLANK(BU70)),"",CONCATENATE(" ",VLOOKUP(BU70,Literatuur!$A:$B,2,FALSE)," "))</f>
        <v xml:space="preserve"> 8 </v>
      </c>
      <c r="BY70" s="33">
        <v>199.9</v>
      </c>
      <c r="CB70" s="33" t="s">
        <v>2066</v>
      </c>
      <c r="CD70" s="33">
        <f t="shared" si="44"/>
        <v>199.9</v>
      </c>
      <c r="CE70" s="37"/>
      <c r="CH70" s="33">
        <f t="shared" si="43"/>
        <v>5.75</v>
      </c>
      <c r="CR70" s="33" t="str">
        <f t="shared" si="17"/>
        <v>PCB #43</v>
      </c>
      <c r="CS70" s="33" t="str">
        <f t="shared" si="18"/>
        <v>PCB</v>
      </c>
      <c r="CT70" s="33" t="str">
        <f t="shared" si="19"/>
        <v/>
      </c>
      <c r="CU70" s="33" t="str">
        <f t="shared" si="20"/>
        <v/>
      </c>
      <c r="CV70" s="33" t="str">
        <f t="shared" si="21"/>
        <v/>
      </c>
      <c r="CW70" s="33" t="str">
        <f t="shared" si="22"/>
        <v/>
      </c>
      <c r="CX70" s="33">
        <f t="shared" si="23"/>
        <v>5.75</v>
      </c>
      <c r="CY70" s="33" t="str">
        <f t="shared" si="24"/>
        <v xml:space="preserve"> 8 </v>
      </c>
    </row>
    <row r="71" spans="2:103" x14ac:dyDescent="0.2">
      <c r="B71" s="33">
        <v>-1594</v>
      </c>
      <c r="D71" s="105" t="s">
        <v>1101</v>
      </c>
      <c r="E71" s="105" t="s">
        <v>1101</v>
      </c>
      <c r="F71" s="34"/>
      <c r="G71" s="34"/>
      <c r="I71" s="33">
        <f t="shared" si="27"/>
        <v>292</v>
      </c>
      <c r="J71" s="33">
        <f t="shared" si="25"/>
        <v>0.23194384453949005</v>
      </c>
      <c r="K71" s="44">
        <f t="shared" si="28"/>
        <v>5.7833333333333341</v>
      </c>
      <c r="L71" s="33">
        <f t="shared" si="29"/>
        <v>199.95</v>
      </c>
      <c r="M71" s="33" t="s">
        <v>1552</v>
      </c>
      <c r="Q71" s="44" t="str">
        <f t="shared" si="30"/>
        <v xml:space="preserve"> </v>
      </c>
      <c r="R71" s="33" t="str">
        <f>IF(OR(ISBLANK(P71), ISBLANK(Q71)),"",CONCATENATE(" ",VLOOKUP(Q71,Literatuur!$A:$B,2,FALSE)," "))</f>
        <v/>
      </c>
      <c r="T71" s="44" t="str">
        <f t="shared" si="31"/>
        <v xml:space="preserve"> </v>
      </c>
      <c r="U71" s="33" t="str">
        <f>IF(OR(ISBLANK(S71), ISBLANK(T71)),"",CONCATENATE(" ",VLOOKUP(T71,Literatuur!$A:$B,2,FALSE)," "))</f>
        <v/>
      </c>
      <c r="W71" s="44" t="str">
        <f t="shared" si="32"/>
        <v xml:space="preserve"> </v>
      </c>
      <c r="X71" s="33" t="str">
        <f>IF(OR(ISBLANK(V71), ISBLANK(W71)),"",CONCATENATE(" ",VLOOKUP(W71,Literatuur!$A:$B,2,FALSE)," "))</f>
        <v/>
      </c>
      <c r="Z71" s="44" t="str">
        <f t="shared" si="33"/>
        <v xml:space="preserve"> </v>
      </c>
      <c r="AA71" s="33" t="str">
        <f>IF(OR(ISBLANK(Y71), ISBLANK(Z71)),"",CONCATENATE(" ",VLOOKUP(Z71,Literatuur!$A:$B,2,FALSE)," "))</f>
        <v/>
      </c>
      <c r="AC71" s="186" t="str">
        <f t="shared" si="34"/>
        <v xml:space="preserve"> </v>
      </c>
      <c r="AD71" s="33" t="str">
        <f>IF(OR(ISBLANK(AB71), ISBLANK(AC71)),"",CONCATENATE(" ",VLOOKUP(AC71,Literatuur!$A:$B,2,FALSE)," "))</f>
        <v/>
      </c>
      <c r="AE71" s="39">
        <v>0.23194384453949005</v>
      </c>
      <c r="AF71" s="33" t="s">
        <v>1557</v>
      </c>
      <c r="AG71" s="33" t="str">
        <f>IF(OR(ISBLANK(AE71), ISBLANK(AF71)),"",CONCATENATE(" ",VLOOKUP(AF71,Literatuur!$A:$B,2,FALSE)," "))</f>
        <v xml:space="preserve"> 17 </v>
      </c>
      <c r="AJ71" s="44" t="str">
        <f t="shared" si="35"/>
        <v xml:space="preserve"> </v>
      </c>
      <c r="AK71" s="33" t="str">
        <f>IF(OR(ISBLANK(AI71), ISBLANK(AJ71)),"",CONCATENATE(" ",VLOOKUP(AJ71,Literatuur!$A:$B,2,FALSE)," "))</f>
        <v/>
      </c>
      <c r="AM71" s="44" t="str">
        <f t="shared" si="36"/>
        <v xml:space="preserve"> </v>
      </c>
      <c r="AN71" s="33" t="str">
        <f>IF(OR(ISBLANK(AL71), ISBLANK(AM71)),"",CONCATENATE(" ",VLOOKUP(AM71,Literatuur!$A:$B,2,FALSE)," "))</f>
        <v/>
      </c>
      <c r="AP71" s="44" t="str">
        <f t="shared" si="37"/>
        <v xml:space="preserve"> </v>
      </c>
      <c r="AQ71" s="33" t="str">
        <f>IF(OR(ISBLANK(AO71), ISBLANK(AP71)),"",CONCATENATE(" ",VLOOKUP(AP71,Literatuur!$A:$B,2,FALSE)," "))</f>
        <v/>
      </c>
      <c r="AT71" s="33" t="str">
        <f>IF(OR(ISBLANK(AR71), ISBLANK(AS71)),"",CONCATENATE(" ",VLOOKUP(AS71,Literatuur!$A:$B,2,FALSE)," "))</f>
        <v/>
      </c>
      <c r="AU71" s="33">
        <v>292</v>
      </c>
      <c r="AV71" s="33" t="s">
        <v>1557</v>
      </c>
      <c r="AW71" s="33" t="str">
        <f>IF(OR(ISBLANK(AU71), ISBLANK(AV71)),"",CONCATENATE(" ",VLOOKUP(AV71,Literatuur!$A:$B,2,FALSE)," "))</f>
        <v xml:space="preserve"> 17 </v>
      </c>
      <c r="AZ71" s="44" t="str">
        <f t="shared" si="38"/>
        <v xml:space="preserve"> </v>
      </c>
      <c r="BA71" s="33" t="str">
        <f>IF(OR(ISBLANK(AY71), ISBLANK(AZ71)),"",CONCATENATE(" ",VLOOKUP(AZ71,Literatuur!$A:$B,2,FALSE)," "))</f>
        <v/>
      </c>
      <c r="BC71" s="44" t="str">
        <f t="shared" si="39"/>
        <v xml:space="preserve"> </v>
      </c>
      <c r="BD71" s="33" t="str">
        <f>IF(OR(ISBLANK(BB71), ISBLANK(BC71)),"",CONCATENATE(" ",VLOOKUP(BC71,Literatuur!$A:$B,2,FALSE)," "))</f>
        <v/>
      </c>
      <c r="BF71" s="44" t="str">
        <f t="shared" si="40"/>
        <v xml:space="preserve"> </v>
      </c>
      <c r="BG71" s="33" t="str">
        <f>IF(OR(ISBLANK(BE71), ISBLANK(BF71)),"",CONCATENATE(" ",VLOOKUP(BF71,Literatuur!$A:$B,2,FALSE)," "))</f>
        <v/>
      </c>
      <c r="BI71" s="44" t="str">
        <f t="shared" si="41"/>
        <v xml:space="preserve"> </v>
      </c>
      <c r="BJ71" s="33" t="str">
        <f>IF(OR(ISBLANK(BH71), ISBLANK(BI71)),"",CONCATENATE(" ",VLOOKUP(BI71,Literatuur!$A:$B,2,FALSE)," "))</f>
        <v/>
      </c>
      <c r="BL71" s="44" t="str">
        <f t="shared" si="42"/>
        <v xml:space="preserve"> </v>
      </c>
      <c r="BM71" s="33" t="str">
        <f>IF(OR(ISBLANK(BK71), ISBLANK(BL71)),"",CONCATENATE(" ",VLOOKUP(BL71,Literatuur!$A:$B,2,FALSE)," "))</f>
        <v/>
      </c>
      <c r="BN71" s="33">
        <v>5.8</v>
      </c>
      <c r="BO71" s="33" t="s">
        <v>1557</v>
      </c>
      <c r="BP71" s="33" t="str">
        <f>IF(OR(ISBLANK(BN71), ISBLANK(BO71)),"",CONCATENATE(" ",VLOOKUP(BO71,Literatuur!$A:$B,2,FALSE)," "))</f>
        <v xml:space="preserve"> 17 </v>
      </c>
      <c r="BQ71" s="33">
        <v>5.8</v>
      </c>
      <c r="BR71" s="33" t="s">
        <v>1557</v>
      </c>
      <c r="BS71" s="33" t="str">
        <f>IF(OR(ISBLANK(BQ71), ISBLANK(BR71)),"",CONCATENATE(" ",VLOOKUP(BR71,Literatuur!$A:$B,2,FALSE)," "))</f>
        <v xml:space="preserve"> 17 </v>
      </c>
      <c r="BT71" s="33">
        <v>5.75</v>
      </c>
      <c r="BU71" s="33" t="s">
        <v>2066</v>
      </c>
      <c r="BV71" s="33" t="str">
        <f>IF(OR(ISBLANK(BT71), ISBLANK(BU71)),"",CONCATENATE(" ",VLOOKUP(BU71,Literatuur!$A:$B,2,FALSE)," "))</f>
        <v xml:space="preserve"> 8 </v>
      </c>
      <c r="BX71" s="33">
        <v>200.2</v>
      </c>
      <c r="BY71" s="33">
        <v>199.7</v>
      </c>
      <c r="BZ71" s="33">
        <v>223.1</v>
      </c>
      <c r="CA71" s="33" t="s">
        <v>1557</v>
      </c>
      <c r="CB71" s="33" t="s">
        <v>2066</v>
      </c>
      <c r="CC71" s="33" t="s">
        <v>1734</v>
      </c>
      <c r="CD71" s="33">
        <f t="shared" si="44"/>
        <v>199.95</v>
      </c>
      <c r="CE71" s="37">
        <f>I71</f>
        <v>292</v>
      </c>
      <c r="CG71" s="33">
        <f>LOG(J71)</f>
        <v>-0.63461714855158202</v>
      </c>
      <c r="CH71" s="33">
        <f t="shared" si="43"/>
        <v>5.7833333333333341</v>
      </c>
      <c r="CR71" s="33" t="str">
        <f t="shared" si="17"/>
        <v>PCB #44</v>
      </c>
      <c r="CS71" s="33" t="str">
        <f t="shared" si="18"/>
        <v>PCB</v>
      </c>
      <c r="CT71" s="33">
        <f t="shared" si="19"/>
        <v>292</v>
      </c>
      <c r="CU71" s="33" t="str">
        <f t="shared" si="20"/>
        <v xml:space="preserve"> 17 </v>
      </c>
      <c r="CV71" s="33">
        <f t="shared" si="21"/>
        <v>0.23194384453949005</v>
      </c>
      <c r="CW71" s="33" t="str">
        <f t="shared" si="22"/>
        <v xml:space="preserve"> 17 </v>
      </c>
      <c r="CX71" s="33">
        <f t="shared" si="23"/>
        <v>5.7833333333333341</v>
      </c>
      <c r="CY71" s="33" t="str">
        <f t="shared" si="24"/>
        <v xml:space="preserve"> 17  17  8 </v>
      </c>
    </row>
    <row r="72" spans="2:103" x14ac:dyDescent="0.2">
      <c r="B72" s="33">
        <v>-1595</v>
      </c>
      <c r="D72" s="105" t="s">
        <v>1102</v>
      </c>
      <c r="E72" s="105" t="s">
        <v>1102</v>
      </c>
      <c r="F72" s="34"/>
      <c r="G72" s="34"/>
      <c r="I72" s="33" t="e">
        <f t="shared" si="27"/>
        <v>#DIV/0!</v>
      </c>
      <c r="J72" s="33" t="e">
        <f t="shared" si="25"/>
        <v>#DIV/0!</v>
      </c>
      <c r="K72" s="44">
        <f t="shared" si="28"/>
        <v>5.53</v>
      </c>
      <c r="L72" s="33">
        <f t="shared" si="29"/>
        <v>198.8</v>
      </c>
      <c r="M72" s="33" t="s">
        <v>1552</v>
      </c>
      <c r="Q72" s="44" t="str">
        <f t="shared" si="30"/>
        <v xml:space="preserve"> </v>
      </c>
      <c r="R72" s="33" t="str">
        <f>IF(OR(ISBLANK(P72), ISBLANK(Q72)),"",CONCATENATE(" ",VLOOKUP(Q72,Literatuur!$A:$B,2,FALSE)," "))</f>
        <v/>
      </c>
      <c r="T72" s="44" t="str">
        <f t="shared" si="31"/>
        <v xml:space="preserve"> </v>
      </c>
      <c r="U72" s="33" t="str">
        <f>IF(OR(ISBLANK(S72), ISBLANK(T72)),"",CONCATENATE(" ",VLOOKUP(T72,Literatuur!$A:$B,2,FALSE)," "))</f>
        <v/>
      </c>
      <c r="W72" s="44" t="str">
        <f t="shared" si="32"/>
        <v xml:space="preserve"> </v>
      </c>
      <c r="X72" s="33" t="str">
        <f>IF(OR(ISBLANK(V72), ISBLANK(W72)),"",CONCATENATE(" ",VLOOKUP(W72,Literatuur!$A:$B,2,FALSE)," "))</f>
        <v/>
      </c>
      <c r="Z72" s="44" t="str">
        <f t="shared" si="33"/>
        <v xml:space="preserve"> </v>
      </c>
      <c r="AA72" s="33" t="str">
        <f>IF(OR(ISBLANK(Y72), ISBLANK(Z72)),"",CONCATENATE(" ",VLOOKUP(Z72,Literatuur!$A:$B,2,FALSE)," "))</f>
        <v/>
      </c>
      <c r="AC72" s="186" t="str">
        <f t="shared" si="34"/>
        <v xml:space="preserve"> </v>
      </c>
      <c r="AD72" s="33" t="str">
        <f>IF(OR(ISBLANK(AB72), ISBLANK(AC72)),"",CONCATENATE(" ",VLOOKUP(AC72,Literatuur!$A:$B,2,FALSE)," "))</f>
        <v/>
      </c>
      <c r="AG72" s="33" t="str">
        <f>IF(OR(ISBLANK(AE72), ISBLANK(AF72)),"",CONCATENATE(" ",VLOOKUP(AF72,Literatuur!$A:$B,2,FALSE)," "))</f>
        <v/>
      </c>
      <c r="AJ72" s="44" t="str">
        <f t="shared" si="35"/>
        <v xml:space="preserve"> </v>
      </c>
      <c r="AK72" s="33" t="str">
        <f>IF(OR(ISBLANK(AI72), ISBLANK(AJ72)),"",CONCATENATE(" ",VLOOKUP(AJ72,Literatuur!$A:$B,2,FALSE)," "))</f>
        <v/>
      </c>
      <c r="AM72" s="44" t="str">
        <f t="shared" si="36"/>
        <v xml:space="preserve"> </v>
      </c>
      <c r="AN72" s="33" t="str">
        <f>IF(OR(ISBLANK(AL72), ISBLANK(AM72)),"",CONCATENATE(" ",VLOOKUP(AM72,Literatuur!$A:$B,2,FALSE)," "))</f>
        <v/>
      </c>
      <c r="AP72" s="44" t="str">
        <f t="shared" si="37"/>
        <v xml:space="preserve"> </v>
      </c>
      <c r="AQ72" s="33" t="str">
        <f>IF(OR(ISBLANK(AO72), ISBLANK(AP72)),"",CONCATENATE(" ",VLOOKUP(AP72,Literatuur!$A:$B,2,FALSE)," "))</f>
        <v/>
      </c>
      <c r="AT72" s="33" t="str">
        <f>IF(OR(ISBLANK(AR72), ISBLANK(AS72)),"",CONCATENATE(" ",VLOOKUP(AS72,Literatuur!$A:$B,2,FALSE)," "))</f>
        <v/>
      </c>
      <c r="AW72" s="33" t="str">
        <f>IF(OR(ISBLANK(AU72), ISBLANK(AV72)),"",CONCATENATE(" ",VLOOKUP(AV72,Literatuur!$A:$B,2,FALSE)," "))</f>
        <v/>
      </c>
      <c r="AZ72" s="44" t="str">
        <f t="shared" si="38"/>
        <v xml:space="preserve"> </v>
      </c>
      <c r="BA72" s="33" t="str">
        <f>IF(OR(ISBLANK(AY72), ISBLANK(AZ72)),"",CONCATENATE(" ",VLOOKUP(AZ72,Literatuur!$A:$B,2,FALSE)," "))</f>
        <v/>
      </c>
      <c r="BC72" s="44" t="str">
        <f t="shared" si="39"/>
        <v xml:space="preserve"> </v>
      </c>
      <c r="BD72" s="33" t="str">
        <f>IF(OR(ISBLANK(BB72), ISBLANK(BC72)),"",CONCATENATE(" ",VLOOKUP(BC72,Literatuur!$A:$B,2,FALSE)," "))</f>
        <v/>
      </c>
      <c r="BF72" s="44" t="str">
        <f t="shared" si="40"/>
        <v xml:space="preserve"> </v>
      </c>
      <c r="BG72" s="33" t="str">
        <f>IF(OR(ISBLANK(BE72), ISBLANK(BF72)),"",CONCATENATE(" ",VLOOKUP(BF72,Literatuur!$A:$B,2,FALSE)," "))</f>
        <v/>
      </c>
      <c r="BI72" s="44" t="str">
        <f t="shared" si="41"/>
        <v xml:space="preserve"> </v>
      </c>
      <c r="BJ72" s="33" t="str">
        <f>IF(OR(ISBLANK(BH72), ISBLANK(BI72)),"",CONCATENATE(" ",VLOOKUP(BI72,Literatuur!$A:$B,2,FALSE)," "))</f>
        <v/>
      </c>
      <c r="BL72" s="44" t="str">
        <f t="shared" si="42"/>
        <v xml:space="preserve"> </v>
      </c>
      <c r="BM72" s="33" t="str">
        <f>IF(OR(ISBLANK(BK72), ISBLANK(BL72)),"",CONCATENATE(" ",VLOOKUP(BL72,Literatuur!$A:$B,2,FALSE)," "))</f>
        <v/>
      </c>
      <c r="BP72" s="33" t="str">
        <f>IF(OR(ISBLANK(BN72), ISBLANK(BO72)),"",CONCATENATE(" ",VLOOKUP(BO72,Literatuur!$A:$B,2,FALSE)," "))</f>
        <v/>
      </c>
      <c r="BS72" s="33" t="str">
        <f>IF(OR(ISBLANK(BQ72), ISBLANK(BR72)),"",CONCATENATE(" ",VLOOKUP(BR72,Literatuur!$A:$B,2,FALSE)," "))</f>
        <v/>
      </c>
      <c r="BT72" s="33">
        <v>5.53</v>
      </c>
      <c r="BU72" s="33" t="s">
        <v>2066</v>
      </c>
      <c r="BV72" s="33" t="str">
        <f>IF(OR(ISBLANK(BT72), ISBLANK(BU72)),"",CONCATENATE(" ",VLOOKUP(BU72,Literatuur!$A:$B,2,FALSE)," "))</f>
        <v xml:space="preserve"> 8 </v>
      </c>
      <c r="BY72" s="33">
        <v>198.8</v>
      </c>
      <c r="CB72" s="33" t="s">
        <v>2066</v>
      </c>
      <c r="CD72" s="33">
        <f t="shared" si="44"/>
        <v>198.8</v>
      </c>
      <c r="CE72" s="37"/>
      <c r="CH72" s="33">
        <f t="shared" si="43"/>
        <v>5.53</v>
      </c>
      <c r="CR72" s="33" t="str">
        <f t="shared" si="17"/>
        <v>PCB #45</v>
      </c>
      <c r="CS72" s="33" t="str">
        <f t="shared" si="18"/>
        <v>PCB</v>
      </c>
      <c r="CT72" s="33" t="str">
        <f t="shared" si="19"/>
        <v/>
      </c>
      <c r="CU72" s="33" t="str">
        <f t="shared" si="20"/>
        <v/>
      </c>
      <c r="CV72" s="33" t="str">
        <f t="shared" si="21"/>
        <v/>
      </c>
      <c r="CW72" s="33" t="str">
        <f t="shared" si="22"/>
        <v/>
      </c>
      <c r="CX72" s="33">
        <f t="shared" si="23"/>
        <v>5.53</v>
      </c>
      <c r="CY72" s="33" t="str">
        <f t="shared" si="24"/>
        <v xml:space="preserve"> 8 </v>
      </c>
    </row>
    <row r="73" spans="2:103" x14ac:dyDescent="0.2">
      <c r="B73" s="33">
        <v>-1596</v>
      </c>
      <c r="D73" s="105" t="s">
        <v>1103</v>
      </c>
      <c r="E73" s="105" t="s">
        <v>1103</v>
      </c>
      <c r="F73" s="34"/>
      <c r="G73" s="34"/>
      <c r="I73" s="33" t="e">
        <f t="shared" si="27"/>
        <v>#DIV/0!</v>
      </c>
      <c r="J73" s="33" t="e">
        <f t="shared" si="25"/>
        <v>#DIV/0!</v>
      </c>
      <c r="K73" s="44">
        <f t="shared" si="28"/>
        <v>5.53</v>
      </c>
      <c r="L73" s="33">
        <f t="shared" si="29"/>
        <v>198.8</v>
      </c>
      <c r="M73" s="33" t="s">
        <v>1552</v>
      </c>
      <c r="Q73" s="44" t="str">
        <f t="shared" si="30"/>
        <v xml:space="preserve"> </v>
      </c>
      <c r="R73" s="33" t="str">
        <f>IF(OR(ISBLANK(P73), ISBLANK(Q73)),"",CONCATENATE(" ",VLOOKUP(Q73,Literatuur!$A:$B,2,FALSE)," "))</f>
        <v/>
      </c>
      <c r="T73" s="44" t="str">
        <f t="shared" si="31"/>
        <v xml:space="preserve"> </v>
      </c>
      <c r="U73" s="33" t="str">
        <f>IF(OR(ISBLANK(S73), ISBLANK(T73)),"",CONCATENATE(" ",VLOOKUP(T73,Literatuur!$A:$B,2,FALSE)," "))</f>
        <v/>
      </c>
      <c r="W73" s="44" t="str">
        <f t="shared" si="32"/>
        <v xml:space="preserve"> </v>
      </c>
      <c r="X73" s="33" t="str">
        <f>IF(OR(ISBLANK(V73), ISBLANK(W73)),"",CONCATENATE(" ",VLOOKUP(W73,Literatuur!$A:$B,2,FALSE)," "))</f>
        <v/>
      </c>
      <c r="Z73" s="44" t="str">
        <f t="shared" si="33"/>
        <v xml:space="preserve"> </v>
      </c>
      <c r="AA73" s="33" t="str">
        <f>IF(OR(ISBLANK(Y73), ISBLANK(Z73)),"",CONCATENATE(" ",VLOOKUP(Z73,Literatuur!$A:$B,2,FALSE)," "))</f>
        <v/>
      </c>
      <c r="AC73" s="186" t="str">
        <f t="shared" si="34"/>
        <v xml:space="preserve"> </v>
      </c>
      <c r="AD73" s="33" t="str">
        <f>IF(OR(ISBLANK(AB73), ISBLANK(AC73)),"",CONCATENATE(" ",VLOOKUP(AC73,Literatuur!$A:$B,2,FALSE)," "))</f>
        <v/>
      </c>
      <c r="AG73" s="33" t="str">
        <f>IF(OR(ISBLANK(AE73), ISBLANK(AF73)),"",CONCATENATE(" ",VLOOKUP(AF73,Literatuur!$A:$B,2,FALSE)," "))</f>
        <v/>
      </c>
      <c r="AJ73" s="44" t="str">
        <f t="shared" si="35"/>
        <v xml:space="preserve"> </v>
      </c>
      <c r="AK73" s="33" t="str">
        <f>IF(OR(ISBLANK(AI73), ISBLANK(AJ73)),"",CONCATENATE(" ",VLOOKUP(AJ73,Literatuur!$A:$B,2,FALSE)," "))</f>
        <v/>
      </c>
      <c r="AM73" s="44" t="str">
        <f t="shared" si="36"/>
        <v xml:space="preserve"> </v>
      </c>
      <c r="AN73" s="33" t="str">
        <f>IF(OR(ISBLANK(AL73), ISBLANK(AM73)),"",CONCATENATE(" ",VLOOKUP(AM73,Literatuur!$A:$B,2,FALSE)," "))</f>
        <v/>
      </c>
      <c r="AP73" s="44" t="str">
        <f t="shared" si="37"/>
        <v xml:space="preserve"> </v>
      </c>
      <c r="AQ73" s="33" t="str">
        <f>IF(OR(ISBLANK(AO73), ISBLANK(AP73)),"",CONCATENATE(" ",VLOOKUP(AP73,Literatuur!$A:$B,2,FALSE)," "))</f>
        <v/>
      </c>
      <c r="AT73" s="33" t="str">
        <f>IF(OR(ISBLANK(AR73), ISBLANK(AS73)),"",CONCATENATE(" ",VLOOKUP(AS73,Literatuur!$A:$B,2,FALSE)," "))</f>
        <v/>
      </c>
      <c r="AW73" s="33" t="str">
        <f>IF(OR(ISBLANK(AU73), ISBLANK(AV73)),"",CONCATENATE(" ",VLOOKUP(AV73,Literatuur!$A:$B,2,FALSE)," "))</f>
        <v/>
      </c>
      <c r="AZ73" s="44" t="str">
        <f t="shared" si="38"/>
        <v xml:space="preserve"> </v>
      </c>
      <c r="BA73" s="33" t="str">
        <f>IF(OR(ISBLANK(AY73), ISBLANK(AZ73)),"",CONCATENATE(" ",VLOOKUP(AZ73,Literatuur!$A:$B,2,FALSE)," "))</f>
        <v/>
      </c>
      <c r="BC73" s="44" t="str">
        <f t="shared" si="39"/>
        <v xml:space="preserve"> </v>
      </c>
      <c r="BD73" s="33" t="str">
        <f>IF(OR(ISBLANK(BB73), ISBLANK(BC73)),"",CONCATENATE(" ",VLOOKUP(BC73,Literatuur!$A:$B,2,FALSE)," "))</f>
        <v/>
      </c>
      <c r="BF73" s="44" t="str">
        <f t="shared" si="40"/>
        <v xml:space="preserve"> </v>
      </c>
      <c r="BG73" s="33" t="str">
        <f>IF(OR(ISBLANK(BE73), ISBLANK(BF73)),"",CONCATENATE(" ",VLOOKUP(BF73,Literatuur!$A:$B,2,FALSE)," "))</f>
        <v/>
      </c>
      <c r="BI73" s="44" t="str">
        <f t="shared" si="41"/>
        <v xml:space="preserve"> </v>
      </c>
      <c r="BJ73" s="33" t="str">
        <f>IF(OR(ISBLANK(BH73), ISBLANK(BI73)),"",CONCATENATE(" ",VLOOKUP(BI73,Literatuur!$A:$B,2,FALSE)," "))</f>
        <v/>
      </c>
      <c r="BL73" s="44" t="str">
        <f t="shared" si="42"/>
        <v xml:space="preserve"> </v>
      </c>
      <c r="BM73" s="33" t="str">
        <f>IF(OR(ISBLANK(BK73), ISBLANK(BL73)),"",CONCATENATE(" ",VLOOKUP(BL73,Literatuur!$A:$B,2,FALSE)," "))</f>
        <v/>
      </c>
      <c r="BP73" s="33" t="str">
        <f>IF(OR(ISBLANK(BN73), ISBLANK(BO73)),"",CONCATENATE(" ",VLOOKUP(BO73,Literatuur!$A:$B,2,FALSE)," "))</f>
        <v/>
      </c>
      <c r="BS73" s="33" t="str">
        <f>IF(OR(ISBLANK(BQ73), ISBLANK(BR73)),"",CONCATENATE(" ",VLOOKUP(BR73,Literatuur!$A:$B,2,FALSE)," "))</f>
        <v/>
      </c>
      <c r="BT73" s="33">
        <v>5.53</v>
      </c>
      <c r="BU73" s="33" t="s">
        <v>2066</v>
      </c>
      <c r="BV73" s="33" t="str">
        <f>IF(OR(ISBLANK(BT73), ISBLANK(BU73)),"",CONCATENATE(" ",VLOOKUP(BU73,Literatuur!$A:$B,2,FALSE)," "))</f>
        <v xml:space="preserve"> 8 </v>
      </c>
      <c r="BY73" s="33">
        <v>198.8</v>
      </c>
      <c r="CB73" s="33" t="s">
        <v>2066</v>
      </c>
      <c r="CD73" s="33">
        <f t="shared" si="44"/>
        <v>198.8</v>
      </c>
      <c r="CE73" s="37"/>
      <c r="CH73" s="33">
        <f t="shared" si="43"/>
        <v>5.53</v>
      </c>
      <c r="CR73" s="33" t="str">
        <f t="shared" si="17"/>
        <v>PCB #46</v>
      </c>
      <c r="CS73" s="33" t="str">
        <f t="shared" si="18"/>
        <v>PCB</v>
      </c>
      <c r="CT73" s="33" t="str">
        <f t="shared" si="19"/>
        <v/>
      </c>
      <c r="CU73" s="33" t="str">
        <f t="shared" si="20"/>
        <v/>
      </c>
      <c r="CV73" s="33" t="str">
        <f t="shared" si="21"/>
        <v/>
      </c>
      <c r="CW73" s="33" t="str">
        <f t="shared" si="22"/>
        <v/>
      </c>
      <c r="CX73" s="33">
        <f t="shared" si="23"/>
        <v>5.53</v>
      </c>
      <c r="CY73" s="33" t="str">
        <f t="shared" si="24"/>
        <v xml:space="preserve"> 8 </v>
      </c>
    </row>
    <row r="74" spans="2:103" x14ac:dyDescent="0.2">
      <c r="B74" s="33">
        <v>-1597</v>
      </c>
      <c r="D74" s="105" t="s">
        <v>1104</v>
      </c>
      <c r="E74" s="105" t="s">
        <v>1104</v>
      </c>
      <c r="F74" s="34"/>
      <c r="G74" s="34"/>
      <c r="I74" s="33" t="e">
        <f t="shared" si="27"/>
        <v>#DIV/0!</v>
      </c>
      <c r="J74" s="33" t="e">
        <f t="shared" si="25"/>
        <v>#DIV/0!</v>
      </c>
      <c r="K74" s="44">
        <f t="shared" si="28"/>
        <v>5.63</v>
      </c>
      <c r="L74" s="33">
        <f t="shared" si="29"/>
        <v>199.6</v>
      </c>
      <c r="M74" s="33" t="s">
        <v>1552</v>
      </c>
      <c r="Q74" s="44" t="str">
        <f t="shared" si="30"/>
        <v xml:space="preserve"> </v>
      </c>
      <c r="R74" s="33" t="str">
        <f>IF(OR(ISBLANK(P74), ISBLANK(Q74)),"",CONCATENATE(" ",VLOOKUP(Q74,Literatuur!$A:$B,2,FALSE)," "))</f>
        <v/>
      </c>
      <c r="T74" s="44" t="str">
        <f t="shared" si="31"/>
        <v xml:space="preserve"> </v>
      </c>
      <c r="U74" s="33" t="str">
        <f>IF(OR(ISBLANK(S74), ISBLANK(T74)),"",CONCATENATE(" ",VLOOKUP(T74,Literatuur!$A:$B,2,FALSE)," "))</f>
        <v/>
      </c>
      <c r="W74" s="44" t="str">
        <f t="shared" si="32"/>
        <v xml:space="preserve"> </v>
      </c>
      <c r="X74" s="33" t="str">
        <f>IF(OR(ISBLANK(V74), ISBLANK(W74)),"",CONCATENATE(" ",VLOOKUP(W74,Literatuur!$A:$B,2,FALSE)," "))</f>
        <v/>
      </c>
      <c r="Z74" s="44" t="str">
        <f t="shared" si="33"/>
        <v xml:space="preserve"> </v>
      </c>
      <c r="AA74" s="33" t="str">
        <f>IF(OR(ISBLANK(Y74), ISBLANK(Z74)),"",CONCATENATE(" ",VLOOKUP(Z74,Literatuur!$A:$B,2,FALSE)," "))</f>
        <v/>
      </c>
      <c r="AC74" s="186" t="str">
        <f t="shared" si="34"/>
        <v xml:space="preserve"> </v>
      </c>
      <c r="AD74" s="33" t="str">
        <f>IF(OR(ISBLANK(AB74), ISBLANK(AC74)),"",CONCATENATE(" ",VLOOKUP(AC74,Literatuur!$A:$B,2,FALSE)," "))</f>
        <v/>
      </c>
      <c r="AG74" s="33" t="str">
        <f>IF(OR(ISBLANK(AE74), ISBLANK(AF74)),"",CONCATENATE(" ",VLOOKUP(AF74,Literatuur!$A:$B,2,FALSE)," "))</f>
        <v/>
      </c>
      <c r="AJ74" s="44" t="str">
        <f t="shared" si="35"/>
        <v xml:space="preserve"> </v>
      </c>
      <c r="AK74" s="33" t="str">
        <f>IF(OR(ISBLANK(AI74), ISBLANK(AJ74)),"",CONCATENATE(" ",VLOOKUP(AJ74,Literatuur!$A:$B,2,FALSE)," "))</f>
        <v/>
      </c>
      <c r="AM74" s="44" t="str">
        <f t="shared" si="36"/>
        <v xml:space="preserve"> </v>
      </c>
      <c r="AN74" s="33" t="str">
        <f>IF(OR(ISBLANK(AL74), ISBLANK(AM74)),"",CONCATENATE(" ",VLOOKUP(AM74,Literatuur!$A:$B,2,FALSE)," "))</f>
        <v/>
      </c>
      <c r="AP74" s="44" t="str">
        <f t="shared" si="37"/>
        <v xml:space="preserve"> </v>
      </c>
      <c r="AQ74" s="33" t="str">
        <f>IF(OR(ISBLANK(AO74), ISBLANK(AP74)),"",CONCATENATE(" ",VLOOKUP(AP74,Literatuur!$A:$B,2,FALSE)," "))</f>
        <v/>
      </c>
      <c r="AT74" s="33" t="str">
        <f>IF(OR(ISBLANK(AR74), ISBLANK(AS74)),"",CONCATENATE(" ",VLOOKUP(AS74,Literatuur!$A:$B,2,FALSE)," "))</f>
        <v/>
      </c>
      <c r="AW74" s="33" t="str">
        <f>IF(OR(ISBLANK(AU74), ISBLANK(AV74)),"",CONCATENATE(" ",VLOOKUP(AV74,Literatuur!$A:$B,2,FALSE)," "))</f>
        <v/>
      </c>
      <c r="AZ74" s="44" t="str">
        <f t="shared" si="38"/>
        <v xml:space="preserve"> </v>
      </c>
      <c r="BA74" s="33" t="str">
        <f>IF(OR(ISBLANK(AY74), ISBLANK(AZ74)),"",CONCATENATE(" ",VLOOKUP(AZ74,Literatuur!$A:$B,2,FALSE)," "))</f>
        <v/>
      </c>
      <c r="BC74" s="44" t="str">
        <f t="shared" si="39"/>
        <v xml:space="preserve"> </v>
      </c>
      <c r="BD74" s="33" t="str">
        <f>IF(OR(ISBLANK(BB74), ISBLANK(BC74)),"",CONCATENATE(" ",VLOOKUP(BC74,Literatuur!$A:$B,2,FALSE)," "))</f>
        <v/>
      </c>
      <c r="BF74" s="44" t="str">
        <f t="shared" si="40"/>
        <v xml:space="preserve"> </v>
      </c>
      <c r="BG74" s="33" t="str">
        <f>IF(OR(ISBLANK(BE74), ISBLANK(BF74)),"",CONCATENATE(" ",VLOOKUP(BF74,Literatuur!$A:$B,2,FALSE)," "))</f>
        <v/>
      </c>
      <c r="BI74" s="44" t="str">
        <f t="shared" si="41"/>
        <v xml:space="preserve"> </v>
      </c>
      <c r="BJ74" s="33" t="str">
        <f>IF(OR(ISBLANK(BH74), ISBLANK(BI74)),"",CONCATENATE(" ",VLOOKUP(BI74,Literatuur!$A:$B,2,FALSE)," "))</f>
        <v/>
      </c>
      <c r="BL74" s="44" t="str">
        <f t="shared" si="42"/>
        <v xml:space="preserve"> </v>
      </c>
      <c r="BM74" s="33" t="str">
        <f>IF(OR(ISBLANK(BK74), ISBLANK(BL74)),"",CONCATENATE(" ",VLOOKUP(BL74,Literatuur!$A:$B,2,FALSE)," "))</f>
        <v/>
      </c>
      <c r="BP74" s="33" t="str">
        <f>IF(OR(ISBLANK(BN74), ISBLANK(BO74)),"",CONCATENATE(" ",VLOOKUP(BO74,Literatuur!$A:$B,2,FALSE)," "))</f>
        <v/>
      </c>
      <c r="BS74" s="33" t="str">
        <f>IF(OR(ISBLANK(BQ74), ISBLANK(BR74)),"",CONCATENATE(" ",VLOOKUP(BR74,Literatuur!$A:$B,2,FALSE)," "))</f>
        <v/>
      </c>
      <c r="BT74" s="33">
        <v>5.63</v>
      </c>
      <c r="BU74" s="33" t="s">
        <v>2066</v>
      </c>
      <c r="BV74" s="33" t="str">
        <f>IF(OR(ISBLANK(BT74), ISBLANK(BU74)),"",CONCATENATE(" ",VLOOKUP(BU74,Literatuur!$A:$B,2,FALSE)," "))</f>
        <v xml:space="preserve"> 8 </v>
      </c>
      <c r="BY74" s="33">
        <v>199.6</v>
      </c>
      <c r="CB74" s="33" t="s">
        <v>2066</v>
      </c>
      <c r="CD74" s="33">
        <f t="shared" si="44"/>
        <v>199.6</v>
      </c>
      <c r="CE74" s="37"/>
      <c r="CH74" s="33">
        <f t="shared" si="43"/>
        <v>5.63</v>
      </c>
      <c r="CR74" s="33" t="str">
        <f t="shared" si="17"/>
        <v>PCB #51</v>
      </c>
      <c r="CS74" s="33" t="str">
        <f t="shared" si="18"/>
        <v>PCB</v>
      </c>
      <c r="CT74" s="33" t="str">
        <f t="shared" si="19"/>
        <v/>
      </c>
      <c r="CU74" s="33" t="str">
        <f t="shared" si="20"/>
        <v/>
      </c>
      <c r="CV74" s="33" t="str">
        <f t="shared" si="21"/>
        <v/>
      </c>
      <c r="CW74" s="33" t="str">
        <f t="shared" si="22"/>
        <v/>
      </c>
      <c r="CX74" s="33">
        <f t="shared" si="23"/>
        <v>5.63</v>
      </c>
      <c r="CY74" s="33" t="str">
        <f t="shared" si="24"/>
        <v xml:space="preserve"> 8 </v>
      </c>
    </row>
    <row r="75" spans="2:103" x14ac:dyDescent="0.2">
      <c r="B75" s="33">
        <v>-1598</v>
      </c>
      <c r="D75" s="105" t="s">
        <v>1105</v>
      </c>
      <c r="E75" s="105" t="s">
        <v>1105</v>
      </c>
      <c r="F75" s="34"/>
      <c r="G75" s="34"/>
      <c r="I75" s="33">
        <f t="shared" si="27"/>
        <v>292</v>
      </c>
      <c r="J75" s="33">
        <f t="shared" si="25"/>
        <v>7.3347083800079663E-2</v>
      </c>
      <c r="K75" s="44">
        <f t="shared" si="28"/>
        <v>6.1366666666666667</v>
      </c>
      <c r="L75" s="33">
        <f t="shared" si="29"/>
        <v>198.35</v>
      </c>
      <c r="M75" s="33" t="s">
        <v>1552</v>
      </c>
      <c r="Q75" s="44" t="str">
        <f t="shared" si="30"/>
        <v xml:space="preserve"> </v>
      </c>
      <c r="R75" s="33" t="str">
        <f>IF(OR(ISBLANK(P75), ISBLANK(Q75)),"",CONCATENATE(" ",VLOOKUP(Q75,Literatuur!$A:$B,2,FALSE)," "))</f>
        <v/>
      </c>
      <c r="T75" s="44" t="str">
        <f t="shared" si="31"/>
        <v xml:space="preserve"> </v>
      </c>
      <c r="U75" s="33" t="str">
        <f>IF(OR(ISBLANK(S75), ISBLANK(T75)),"",CONCATENATE(" ",VLOOKUP(T75,Literatuur!$A:$B,2,FALSE)," "))</f>
        <v/>
      </c>
      <c r="W75" s="44" t="str">
        <f t="shared" si="32"/>
        <v xml:space="preserve"> </v>
      </c>
      <c r="X75" s="33" t="str">
        <f>IF(OR(ISBLANK(V75), ISBLANK(W75)),"",CONCATENATE(" ",VLOOKUP(W75,Literatuur!$A:$B,2,FALSE)," "))</f>
        <v/>
      </c>
      <c r="Z75" s="44" t="str">
        <f t="shared" si="33"/>
        <v xml:space="preserve"> </v>
      </c>
      <c r="AA75" s="33" t="str">
        <f>IF(OR(ISBLANK(Y75), ISBLANK(Z75)),"",CONCATENATE(" ",VLOOKUP(Z75,Literatuur!$A:$B,2,FALSE)," "))</f>
        <v/>
      </c>
      <c r="AC75" s="186" t="str">
        <f t="shared" si="34"/>
        <v xml:space="preserve"> </v>
      </c>
      <c r="AD75" s="33" t="str">
        <f>IF(OR(ISBLANK(AB75), ISBLANK(AC75)),"",CONCATENATE(" ",VLOOKUP(AC75,Literatuur!$A:$B,2,FALSE)," "))</f>
        <v/>
      </c>
      <c r="AE75" s="39">
        <v>7.3347083800079663E-2</v>
      </c>
      <c r="AF75" s="33" t="s">
        <v>1557</v>
      </c>
      <c r="AG75" s="33" t="str">
        <f>IF(OR(ISBLANK(AE75), ISBLANK(AF75)),"",CONCATENATE(" ",VLOOKUP(AF75,Literatuur!$A:$B,2,FALSE)," "))</f>
        <v xml:space="preserve"> 17 </v>
      </c>
      <c r="AJ75" s="44" t="str">
        <f t="shared" si="35"/>
        <v xml:space="preserve"> </v>
      </c>
      <c r="AK75" s="33" t="str">
        <f>IF(OR(ISBLANK(AI75), ISBLANK(AJ75)),"",CONCATENATE(" ",VLOOKUP(AJ75,Literatuur!$A:$B,2,FALSE)," "))</f>
        <v/>
      </c>
      <c r="AM75" s="44" t="str">
        <f t="shared" si="36"/>
        <v xml:space="preserve"> </v>
      </c>
      <c r="AN75" s="33" t="str">
        <f>IF(OR(ISBLANK(AL75), ISBLANK(AM75)),"",CONCATENATE(" ",VLOOKUP(AM75,Literatuur!$A:$B,2,FALSE)," "))</f>
        <v/>
      </c>
      <c r="AP75" s="44" t="str">
        <f t="shared" si="37"/>
        <v xml:space="preserve"> </v>
      </c>
      <c r="AQ75" s="33" t="str">
        <f>IF(OR(ISBLANK(AO75), ISBLANK(AP75)),"",CONCATENATE(" ",VLOOKUP(AP75,Literatuur!$A:$B,2,FALSE)," "))</f>
        <v/>
      </c>
      <c r="AT75" s="33" t="str">
        <f>IF(OR(ISBLANK(AR75), ISBLANK(AS75)),"",CONCATENATE(" ",VLOOKUP(AS75,Literatuur!$A:$B,2,FALSE)," "))</f>
        <v/>
      </c>
      <c r="AU75" s="33">
        <v>292</v>
      </c>
      <c r="AV75" s="33" t="s">
        <v>1557</v>
      </c>
      <c r="AW75" s="33" t="str">
        <f>IF(OR(ISBLANK(AU75), ISBLANK(AV75)),"",CONCATENATE(" ",VLOOKUP(AV75,Literatuur!$A:$B,2,FALSE)," "))</f>
        <v xml:space="preserve"> 17 </v>
      </c>
      <c r="AZ75" s="44" t="str">
        <f t="shared" si="38"/>
        <v xml:space="preserve"> </v>
      </c>
      <c r="BA75" s="33" t="str">
        <f>IF(OR(ISBLANK(AY75), ISBLANK(AZ75)),"",CONCATENATE(" ",VLOOKUP(AZ75,Literatuur!$A:$B,2,FALSE)," "))</f>
        <v/>
      </c>
      <c r="BC75" s="44" t="str">
        <f t="shared" si="39"/>
        <v xml:space="preserve"> </v>
      </c>
      <c r="BD75" s="33" t="str">
        <f>IF(OR(ISBLANK(BB75), ISBLANK(BC75)),"",CONCATENATE(" ",VLOOKUP(BC75,Literatuur!$A:$B,2,FALSE)," "))</f>
        <v/>
      </c>
      <c r="BF75" s="44" t="str">
        <f t="shared" si="40"/>
        <v xml:space="preserve"> </v>
      </c>
      <c r="BG75" s="33" t="str">
        <f>IF(OR(ISBLANK(BE75), ISBLANK(BF75)),"",CONCATENATE(" ",VLOOKUP(BF75,Literatuur!$A:$B,2,FALSE)," "))</f>
        <v/>
      </c>
      <c r="BI75" s="44" t="str">
        <f t="shared" si="41"/>
        <v xml:space="preserve"> </v>
      </c>
      <c r="BJ75" s="33" t="str">
        <f>IF(OR(ISBLANK(BH75), ISBLANK(BI75)),"",CONCATENATE(" ",VLOOKUP(BI75,Literatuur!$A:$B,2,FALSE)," "))</f>
        <v/>
      </c>
      <c r="BL75" s="44" t="str">
        <f t="shared" si="42"/>
        <v xml:space="preserve"> </v>
      </c>
      <c r="BM75" s="33" t="str">
        <f>IF(OR(ISBLANK(BK75), ISBLANK(BL75)),"",CONCATENATE(" ",VLOOKUP(BL75,Literatuur!$A:$B,2,FALSE)," "))</f>
        <v/>
      </c>
      <c r="BN75" s="33">
        <v>6.2</v>
      </c>
      <c r="BO75" s="33" t="s">
        <v>1557</v>
      </c>
      <c r="BP75" s="33" t="str">
        <f>IF(OR(ISBLANK(BN75), ISBLANK(BO75)),"",CONCATENATE(" ",VLOOKUP(BO75,Literatuur!$A:$B,2,FALSE)," "))</f>
        <v xml:space="preserve"> 17 </v>
      </c>
      <c r="BQ75" s="33">
        <v>6.1</v>
      </c>
      <c r="BR75" s="33" t="s">
        <v>1557</v>
      </c>
      <c r="BS75" s="33" t="str">
        <f>IF(OR(ISBLANK(BQ75), ISBLANK(BR75)),"",CONCATENATE(" ",VLOOKUP(BR75,Literatuur!$A:$B,2,FALSE)," "))</f>
        <v xml:space="preserve"> 17 </v>
      </c>
      <c r="BT75" s="33">
        <v>6.11</v>
      </c>
      <c r="BU75" s="33" t="s">
        <v>2066</v>
      </c>
      <c r="BV75" s="33" t="str">
        <f>IF(OR(ISBLANK(BT75), ISBLANK(BU75)),"",CONCATENATE(" ",VLOOKUP(BU75,Literatuur!$A:$B,2,FALSE)," "))</f>
        <v xml:space="preserve"> 8 </v>
      </c>
      <c r="BX75" s="33">
        <v>198.6</v>
      </c>
      <c r="BY75" s="33">
        <v>198.1</v>
      </c>
      <c r="BZ75" s="33">
        <v>210.9</v>
      </c>
      <c r="CA75" s="33" t="s">
        <v>1557</v>
      </c>
      <c r="CB75" s="33" t="s">
        <v>2066</v>
      </c>
      <c r="CC75" s="33" t="s">
        <v>1734</v>
      </c>
      <c r="CD75" s="33">
        <f t="shared" si="44"/>
        <v>198.35</v>
      </c>
      <c r="CE75" s="37">
        <f>I75</f>
        <v>292</v>
      </c>
      <c r="CG75" s="33">
        <f>LOG(J75)</f>
        <v>-1.1346171485515821</v>
      </c>
      <c r="CH75" s="33">
        <f t="shared" si="43"/>
        <v>6.1366666666666667</v>
      </c>
      <c r="CR75" s="33" t="str">
        <f t="shared" si="17"/>
        <v>PCB #56</v>
      </c>
      <c r="CS75" s="33" t="str">
        <f t="shared" si="18"/>
        <v>PCB</v>
      </c>
      <c r="CT75" s="33">
        <f t="shared" si="19"/>
        <v>292</v>
      </c>
      <c r="CU75" s="33" t="str">
        <f t="shared" si="20"/>
        <v xml:space="preserve"> 17 </v>
      </c>
      <c r="CV75" s="33">
        <f t="shared" si="21"/>
        <v>7.3347083800079663E-2</v>
      </c>
      <c r="CW75" s="33" t="str">
        <f t="shared" si="22"/>
        <v xml:space="preserve"> 17 </v>
      </c>
      <c r="CX75" s="33">
        <f t="shared" si="23"/>
        <v>6.1366666666666667</v>
      </c>
      <c r="CY75" s="33" t="str">
        <f t="shared" si="24"/>
        <v xml:space="preserve"> 17  17  8 </v>
      </c>
    </row>
    <row r="76" spans="2:103" x14ac:dyDescent="0.2">
      <c r="B76" s="33">
        <v>-1579</v>
      </c>
      <c r="D76" s="105" t="s">
        <v>1086</v>
      </c>
      <c r="E76" s="105" t="s">
        <v>1086</v>
      </c>
      <c r="F76" s="34"/>
      <c r="G76" s="34"/>
      <c r="I76" s="33" t="e">
        <f t="shared" si="27"/>
        <v>#DIV/0!</v>
      </c>
      <c r="J76" s="33" t="e">
        <f t="shared" si="25"/>
        <v>#DIV/0!</v>
      </c>
      <c r="K76" s="44">
        <f t="shared" si="28"/>
        <v>5.0599999999999996</v>
      </c>
      <c r="L76" s="33">
        <f t="shared" si="29"/>
        <v>175.2</v>
      </c>
      <c r="M76" s="33" t="s">
        <v>1552</v>
      </c>
      <c r="Q76" s="44" t="str">
        <f t="shared" si="30"/>
        <v xml:space="preserve"> </v>
      </c>
      <c r="R76" s="33" t="str">
        <f>IF(OR(ISBLANK(P76), ISBLANK(Q76)),"",CONCATENATE(" ",VLOOKUP(Q76,Literatuur!$A:$B,2,FALSE)," "))</f>
        <v/>
      </c>
      <c r="T76" s="44" t="str">
        <f t="shared" si="31"/>
        <v xml:space="preserve"> </v>
      </c>
      <c r="U76" s="33" t="str">
        <f>IF(OR(ISBLANK(S76), ISBLANK(T76)),"",CONCATENATE(" ",VLOOKUP(T76,Literatuur!$A:$B,2,FALSE)," "))</f>
        <v/>
      </c>
      <c r="W76" s="44" t="str">
        <f t="shared" si="32"/>
        <v xml:space="preserve"> </v>
      </c>
      <c r="X76" s="33" t="str">
        <f>IF(OR(ISBLANK(V76), ISBLANK(W76)),"",CONCATENATE(" ",VLOOKUP(W76,Literatuur!$A:$B,2,FALSE)," "))</f>
        <v/>
      </c>
      <c r="Z76" s="44" t="str">
        <f t="shared" si="33"/>
        <v xml:space="preserve"> </v>
      </c>
      <c r="AA76" s="33" t="str">
        <f>IF(OR(ISBLANK(Y76), ISBLANK(Z76)),"",CONCATENATE(" ",VLOOKUP(Z76,Literatuur!$A:$B,2,FALSE)," "))</f>
        <v/>
      </c>
      <c r="AC76" s="186" t="str">
        <f t="shared" si="34"/>
        <v xml:space="preserve"> </v>
      </c>
      <c r="AD76" s="33" t="str">
        <f>IF(OR(ISBLANK(AB76), ISBLANK(AC76)),"",CONCATENATE(" ",VLOOKUP(AC76,Literatuur!$A:$B,2,FALSE)," "))</f>
        <v/>
      </c>
      <c r="AG76" s="33" t="str">
        <f>IF(OR(ISBLANK(AE76), ISBLANK(AF76)),"",CONCATENATE(" ",VLOOKUP(AF76,Literatuur!$A:$B,2,FALSE)," "))</f>
        <v/>
      </c>
      <c r="AJ76" s="44" t="str">
        <f t="shared" si="35"/>
        <v xml:space="preserve"> </v>
      </c>
      <c r="AK76" s="33" t="str">
        <f>IF(OR(ISBLANK(AI76), ISBLANK(AJ76)),"",CONCATENATE(" ",VLOOKUP(AJ76,Literatuur!$A:$B,2,FALSE)," "))</f>
        <v/>
      </c>
      <c r="AM76" s="44" t="str">
        <f t="shared" si="36"/>
        <v xml:space="preserve"> </v>
      </c>
      <c r="AN76" s="33" t="str">
        <f>IF(OR(ISBLANK(AL76), ISBLANK(AM76)),"",CONCATENATE(" ",VLOOKUP(AM76,Literatuur!$A:$B,2,FALSE)," "))</f>
        <v/>
      </c>
      <c r="AP76" s="44" t="str">
        <f t="shared" si="37"/>
        <v xml:space="preserve"> </v>
      </c>
      <c r="AQ76" s="33" t="str">
        <f>IF(OR(ISBLANK(AO76), ISBLANK(AP76)),"",CONCATENATE(" ",VLOOKUP(AP76,Literatuur!$A:$B,2,FALSE)," "))</f>
        <v/>
      </c>
      <c r="AT76" s="33" t="str">
        <f>IF(OR(ISBLANK(AR76), ISBLANK(AS76)),"",CONCATENATE(" ",VLOOKUP(AS76,Literatuur!$A:$B,2,FALSE)," "))</f>
        <v/>
      </c>
      <c r="AW76" s="33" t="str">
        <f>IF(OR(ISBLANK(AU76), ISBLANK(AV76)),"",CONCATENATE(" ",VLOOKUP(AV76,Literatuur!$A:$B,2,FALSE)," "))</f>
        <v/>
      </c>
      <c r="AZ76" s="44" t="str">
        <f t="shared" si="38"/>
        <v xml:space="preserve"> </v>
      </c>
      <c r="BA76" s="33" t="str">
        <f>IF(OR(ISBLANK(AY76), ISBLANK(AZ76)),"",CONCATENATE(" ",VLOOKUP(AZ76,Literatuur!$A:$B,2,FALSE)," "))</f>
        <v/>
      </c>
      <c r="BC76" s="44" t="str">
        <f t="shared" si="39"/>
        <v xml:space="preserve"> </v>
      </c>
      <c r="BD76" s="33" t="str">
        <f>IF(OR(ISBLANK(BB76), ISBLANK(BC76)),"",CONCATENATE(" ",VLOOKUP(BC76,Literatuur!$A:$B,2,FALSE)," "))</f>
        <v/>
      </c>
      <c r="BF76" s="44" t="str">
        <f t="shared" si="40"/>
        <v xml:space="preserve"> </v>
      </c>
      <c r="BG76" s="33" t="str">
        <f>IF(OR(ISBLANK(BE76), ISBLANK(BF76)),"",CONCATENATE(" ",VLOOKUP(BF76,Literatuur!$A:$B,2,FALSE)," "))</f>
        <v/>
      </c>
      <c r="BI76" s="44" t="str">
        <f t="shared" si="41"/>
        <v xml:space="preserve"> </v>
      </c>
      <c r="BJ76" s="33" t="str">
        <f>IF(OR(ISBLANK(BH76), ISBLANK(BI76)),"",CONCATENATE(" ",VLOOKUP(BI76,Literatuur!$A:$B,2,FALSE)," "))</f>
        <v/>
      </c>
      <c r="BL76" s="44" t="str">
        <f t="shared" si="42"/>
        <v xml:space="preserve"> </v>
      </c>
      <c r="BM76" s="33" t="str">
        <f>IF(OR(ISBLANK(BK76), ISBLANK(BL76)),"",CONCATENATE(" ",VLOOKUP(BL76,Literatuur!$A:$B,2,FALSE)," "))</f>
        <v/>
      </c>
      <c r="BP76" s="33" t="str">
        <f>IF(OR(ISBLANK(BN76), ISBLANK(BO76)),"",CONCATENATE(" ",VLOOKUP(BO76,Literatuur!$A:$B,2,FALSE)," "))</f>
        <v/>
      </c>
      <c r="BS76" s="33" t="str">
        <f>IF(OR(ISBLANK(BQ76), ISBLANK(BR76)),"",CONCATENATE(" ",VLOOKUP(BR76,Literatuur!$A:$B,2,FALSE)," "))</f>
        <v/>
      </c>
      <c r="BT76" s="33">
        <v>5.0599999999999996</v>
      </c>
      <c r="BU76" s="33" t="s">
        <v>2066</v>
      </c>
      <c r="BV76" s="33" t="str">
        <f>IF(OR(ISBLANK(BT76), ISBLANK(BU76)),"",CONCATENATE(" ",VLOOKUP(BU76,Literatuur!$A:$B,2,FALSE)," "))</f>
        <v xml:space="preserve"> 8 </v>
      </c>
      <c r="BY76" s="33">
        <v>175.2</v>
      </c>
      <c r="CB76" s="33" t="s">
        <v>2066</v>
      </c>
      <c r="CD76" s="33">
        <f t="shared" si="44"/>
        <v>175.2</v>
      </c>
      <c r="CE76" s="37"/>
      <c r="CH76" s="33">
        <f t="shared" si="43"/>
        <v>5.0599999999999996</v>
      </c>
      <c r="CR76" s="33" t="str">
        <f t="shared" si="17"/>
        <v>PCB #6</v>
      </c>
      <c r="CS76" s="33" t="str">
        <f t="shared" si="18"/>
        <v>PCB</v>
      </c>
      <c r="CT76" s="33" t="str">
        <f t="shared" si="19"/>
        <v/>
      </c>
      <c r="CU76" s="33" t="str">
        <f t="shared" si="20"/>
        <v/>
      </c>
      <c r="CV76" s="33" t="str">
        <f t="shared" si="21"/>
        <v/>
      </c>
      <c r="CW76" s="33" t="str">
        <f t="shared" si="22"/>
        <v/>
      </c>
      <c r="CX76" s="33">
        <f t="shared" si="23"/>
        <v>5.0599999999999996</v>
      </c>
      <c r="CY76" s="33" t="str">
        <f t="shared" si="24"/>
        <v xml:space="preserve"> 8 </v>
      </c>
    </row>
    <row r="77" spans="2:103" x14ac:dyDescent="0.2">
      <c r="B77" s="33">
        <v>-1599</v>
      </c>
      <c r="D77" s="105" t="s">
        <v>1106</v>
      </c>
      <c r="E77" s="105" t="s">
        <v>1106</v>
      </c>
      <c r="F77" s="34"/>
      <c r="G77" s="34"/>
      <c r="I77" s="33" t="e">
        <f t="shared" si="27"/>
        <v>#DIV/0!</v>
      </c>
      <c r="J77" s="33" t="e">
        <f t="shared" si="25"/>
        <v>#DIV/0!</v>
      </c>
      <c r="K77" s="44">
        <f t="shared" si="28"/>
        <v>6.11</v>
      </c>
      <c r="L77" s="33">
        <f t="shared" si="29"/>
        <v>198.5</v>
      </c>
      <c r="M77" s="33" t="s">
        <v>1552</v>
      </c>
      <c r="Q77" s="44" t="str">
        <f t="shared" si="30"/>
        <v xml:space="preserve"> </v>
      </c>
      <c r="R77" s="33" t="str">
        <f>IF(OR(ISBLANK(P77), ISBLANK(Q77)),"",CONCATENATE(" ",VLOOKUP(Q77,Literatuur!$A:$B,2,FALSE)," "))</f>
        <v/>
      </c>
      <c r="T77" s="44" t="str">
        <f t="shared" si="31"/>
        <v xml:space="preserve"> </v>
      </c>
      <c r="U77" s="33" t="str">
        <f>IF(OR(ISBLANK(S77), ISBLANK(T77)),"",CONCATENATE(" ",VLOOKUP(T77,Literatuur!$A:$B,2,FALSE)," "))</f>
        <v/>
      </c>
      <c r="W77" s="44" t="str">
        <f t="shared" si="32"/>
        <v xml:space="preserve"> </v>
      </c>
      <c r="X77" s="33" t="str">
        <f>IF(OR(ISBLANK(V77), ISBLANK(W77)),"",CONCATENATE(" ",VLOOKUP(W77,Literatuur!$A:$B,2,FALSE)," "))</f>
        <v/>
      </c>
      <c r="Z77" s="44" t="str">
        <f t="shared" si="33"/>
        <v xml:space="preserve"> </v>
      </c>
      <c r="AA77" s="33" t="str">
        <f>IF(OR(ISBLANK(Y77), ISBLANK(Z77)),"",CONCATENATE(" ",VLOOKUP(Z77,Literatuur!$A:$B,2,FALSE)," "))</f>
        <v/>
      </c>
      <c r="AC77" s="186" t="str">
        <f t="shared" si="34"/>
        <v xml:space="preserve"> </v>
      </c>
      <c r="AD77" s="33" t="str">
        <f>IF(OR(ISBLANK(AB77), ISBLANK(AC77)),"",CONCATENATE(" ",VLOOKUP(AC77,Literatuur!$A:$B,2,FALSE)," "))</f>
        <v/>
      </c>
      <c r="AG77" s="33" t="str">
        <f>IF(OR(ISBLANK(AE77), ISBLANK(AF77)),"",CONCATENATE(" ",VLOOKUP(AF77,Literatuur!$A:$B,2,FALSE)," "))</f>
        <v/>
      </c>
      <c r="AJ77" s="44" t="str">
        <f t="shared" si="35"/>
        <v xml:space="preserve"> </v>
      </c>
      <c r="AK77" s="33" t="str">
        <f>IF(OR(ISBLANK(AI77), ISBLANK(AJ77)),"",CONCATENATE(" ",VLOOKUP(AJ77,Literatuur!$A:$B,2,FALSE)," "))</f>
        <v/>
      </c>
      <c r="AM77" s="44" t="str">
        <f t="shared" si="36"/>
        <v xml:space="preserve"> </v>
      </c>
      <c r="AN77" s="33" t="str">
        <f>IF(OR(ISBLANK(AL77), ISBLANK(AM77)),"",CONCATENATE(" ",VLOOKUP(AM77,Literatuur!$A:$B,2,FALSE)," "))</f>
        <v/>
      </c>
      <c r="AP77" s="44" t="str">
        <f t="shared" si="37"/>
        <v xml:space="preserve"> </v>
      </c>
      <c r="AQ77" s="33" t="str">
        <f>IF(OR(ISBLANK(AO77), ISBLANK(AP77)),"",CONCATENATE(" ",VLOOKUP(AP77,Literatuur!$A:$B,2,FALSE)," "))</f>
        <v/>
      </c>
      <c r="AT77" s="33" t="str">
        <f>IF(OR(ISBLANK(AR77), ISBLANK(AS77)),"",CONCATENATE(" ",VLOOKUP(AS77,Literatuur!$A:$B,2,FALSE)," "))</f>
        <v/>
      </c>
      <c r="AW77" s="33" t="str">
        <f>IF(OR(ISBLANK(AU77), ISBLANK(AV77)),"",CONCATENATE(" ",VLOOKUP(AV77,Literatuur!$A:$B,2,FALSE)," "))</f>
        <v/>
      </c>
      <c r="AZ77" s="44" t="str">
        <f t="shared" si="38"/>
        <v xml:space="preserve"> </v>
      </c>
      <c r="BA77" s="33" t="str">
        <f>IF(OR(ISBLANK(AY77), ISBLANK(AZ77)),"",CONCATENATE(" ",VLOOKUP(AZ77,Literatuur!$A:$B,2,FALSE)," "))</f>
        <v/>
      </c>
      <c r="BC77" s="44" t="str">
        <f t="shared" si="39"/>
        <v xml:space="preserve"> </v>
      </c>
      <c r="BD77" s="33" t="str">
        <f>IF(OR(ISBLANK(BB77), ISBLANK(BC77)),"",CONCATENATE(" ",VLOOKUP(BC77,Literatuur!$A:$B,2,FALSE)," "))</f>
        <v/>
      </c>
      <c r="BF77" s="44" t="str">
        <f t="shared" si="40"/>
        <v xml:space="preserve"> </v>
      </c>
      <c r="BG77" s="33" t="str">
        <f>IF(OR(ISBLANK(BE77), ISBLANK(BF77)),"",CONCATENATE(" ",VLOOKUP(BF77,Literatuur!$A:$B,2,FALSE)," "))</f>
        <v/>
      </c>
      <c r="BI77" s="44" t="str">
        <f t="shared" si="41"/>
        <v xml:space="preserve"> </v>
      </c>
      <c r="BJ77" s="33" t="str">
        <f>IF(OR(ISBLANK(BH77), ISBLANK(BI77)),"",CONCATENATE(" ",VLOOKUP(BI77,Literatuur!$A:$B,2,FALSE)," "))</f>
        <v/>
      </c>
      <c r="BL77" s="44" t="str">
        <f t="shared" si="42"/>
        <v xml:space="preserve"> </v>
      </c>
      <c r="BM77" s="33" t="str">
        <f>IF(OR(ISBLANK(BK77), ISBLANK(BL77)),"",CONCATENATE(" ",VLOOKUP(BL77,Literatuur!$A:$B,2,FALSE)," "))</f>
        <v/>
      </c>
      <c r="BP77" s="33" t="str">
        <f>IF(OR(ISBLANK(BN77), ISBLANK(BO77)),"",CONCATENATE(" ",VLOOKUP(BO77,Literatuur!$A:$B,2,FALSE)," "))</f>
        <v/>
      </c>
      <c r="BS77" s="33" t="str">
        <f>IF(OR(ISBLANK(BQ77), ISBLANK(BR77)),"",CONCATENATE(" ",VLOOKUP(BR77,Literatuur!$A:$B,2,FALSE)," "))</f>
        <v/>
      </c>
      <c r="BT77" s="33">
        <v>6.11</v>
      </c>
      <c r="BU77" s="33" t="s">
        <v>2066</v>
      </c>
      <c r="BV77" s="33" t="str">
        <f>IF(OR(ISBLANK(BT77), ISBLANK(BU77)),"",CONCATENATE(" ",VLOOKUP(BU77,Literatuur!$A:$B,2,FALSE)," "))</f>
        <v xml:space="preserve"> 8 </v>
      </c>
      <c r="BY77" s="33">
        <v>198.5</v>
      </c>
      <c r="CB77" s="33" t="s">
        <v>2066</v>
      </c>
      <c r="CD77" s="33">
        <f t="shared" si="44"/>
        <v>198.5</v>
      </c>
      <c r="CE77" s="37"/>
      <c r="CH77" s="33">
        <f t="shared" si="43"/>
        <v>6.11</v>
      </c>
      <c r="CR77" s="33" t="str">
        <f t="shared" si="17"/>
        <v>PCB #60</v>
      </c>
      <c r="CS77" s="33" t="str">
        <f t="shared" si="18"/>
        <v>PCB</v>
      </c>
      <c r="CT77" s="33" t="str">
        <f t="shared" si="19"/>
        <v/>
      </c>
      <c r="CU77" s="33" t="str">
        <f t="shared" si="20"/>
        <v/>
      </c>
      <c r="CV77" s="33" t="str">
        <f t="shared" si="21"/>
        <v/>
      </c>
      <c r="CW77" s="33" t="str">
        <f t="shared" si="22"/>
        <v/>
      </c>
      <c r="CX77" s="33">
        <f t="shared" si="23"/>
        <v>6.11</v>
      </c>
      <c r="CY77" s="33" t="str">
        <f t="shared" si="24"/>
        <v xml:space="preserve"> 8 </v>
      </c>
    </row>
    <row r="78" spans="2:103" x14ac:dyDescent="0.2">
      <c r="B78" s="33">
        <v>-1600</v>
      </c>
      <c r="D78" s="105" t="s">
        <v>1107</v>
      </c>
      <c r="E78" s="105" t="s">
        <v>1107</v>
      </c>
      <c r="F78" s="34"/>
      <c r="G78" s="34"/>
      <c r="I78" s="33" t="e">
        <f t="shared" ref="I78:I109" si="45">IF(ISNUMBER(AI78),AI78,AVERAGE(AL78:AU78))</f>
        <v>#DIV/0!</v>
      </c>
      <c r="J78" s="33" t="e">
        <f t="shared" si="25"/>
        <v>#DIV/0!</v>
      </c>
      <c r="K78" s="44">
        <f t="shared" ref="K78:K109" si="46">IF(ISNUMBER(AY78),AY78,AVERAGE(BB78,BE78,BH78,BK78,BN78,BQ78,BT78))</f>
        <v>6.17</v>
      </c>
      <c r="L78" s="33">
        <f t="shared" ref="L78:L109" si="47">AVERAGE(BX78:BY78)</f>
        <v>199.2</v>
      </c>
      <c r="M78" s="33" t="s">
        <v>1552</v>
      </c>
      <c r="Q78" s="44" t="str">
        <f t="shared" ref="Q78:Q109" si="48">IF(ISBLANK(P78)," ","Sanscrit")</f>
        <v xml:space="preserve"> </v>
      </c>
      <c r="R78" s="33" t="str">
        <f>IF(OR(ISBLANK(P78), ISBLANK(Q78)),"",CONCATENATE(" ",VLOOKUP(Q78,Literatuur!$A:$B,2,FALSE)," "))</f>
        <v/>
      </c>
      <c r="T78" s="44" t="str">
        <f t="shared" ref="T78:T109" si="49">IF(ISBLANK(S78)," ","Gestis")</f>
        <v xml:space="preserve"> </v>
      </c>
      <c r="U78" s="33" t="str">
        <f>IF(OR(ISBLANK(S78), ISBLANK(T78)),"",CONCATENATE(" ",VLOOKUP(T78,Literatuur!$A:$B,2,FALSE)," "))</f>
        <v/>
      </c>
      <c r="W78" s="44" t="str">
        <f t="shared" ref="W78:W109" si="50">IF(ISBLANK(V78)," ","US EPA 1995")</f>
        <v xml:space="preserve"> </v>
      </c>
      <c r="X78" s="33" t="str">
        <f>IF(OR(ISBLANK(V78), ISBLANK(W78)),"",CONCATENATE(" ",VLOOKUP(W78,Literatuur!$A:$B,2,FALSE)," "))</f>
        <v/>
      </c>
      <c r="Z78" s="44" t="str">
        <f t="shared" ref="Z78:Z109" si="51">IF(ISBLANK(Y78)," ","US EPA suite")</f>
        <v xml:space="preserve"> </v>
      </c>
      <c r="AA78" s="33" t="str">
        <f>IF(OR(ISBLANK(Y78), ISBLANK(Z78)),"",CONCATENATE(" ",VLOOKUP(Z78,Literatuur!$A:$B,2,FALSE)," "))</f>
        <v/>
      </c>
      <c r="AC78" s="186" t="str">
        <f t="shared" ref="AC78:AC109" si="52">IF(ISBLANK(AB78)," ","Vonk 1985")</f>
        <v xml:space="preserve"> </v>
      </c>
      <c r="AD78" s="33" t="str">
        <f>IF(OR(ISBLANK(AB78), ISBLANK(AC78)),"",CONCATENATE(" ",VLOOKUP(AC78,Literatuur!$A:$B,2,FALSE)," "))</f>
        <v/>
      </c>
      <c r="AG78" s="33" t="str">
        <f>IF(OR(ISBLANK(AE78), ISBLANK(AF78)),"",CONCATENATE(" ",VLOOKUP(AF78,Literatuur!$A:$B,2,FALSE)," "))</f>
        <v/>
      </c>
      <c r="AJ78" s="44" t="str">
        <f t="shared" ref="AJ78:AJ109" si="53">IF(ISBLANK(AI78)," ","Sanscrit")</f>
        <v xml:space="preserve"> </v>
      </c>
      <c r="AK78" s="33" t="str">
        <f>IF(OR(ISBLANK(AI78), ISBLANK(AJ78)),"",CONCATENATE(" ",VLOOKUP(AJ78,Literatuur!$A:$B,2,FALSE)," "))</f>
        <v/>
      </c>
      <c r="AM78" s="44" t="str">
        <f t="shared" ref="AM78:AM109" si="54">IF(ISBLANK(AL78)," ","Gestis")</f>
        <v xml:space="preserve"> </v>
      </c>
      <c r="AN78" s="33" t="str">
        <f>IF(OR(ISBLANK(AL78), ISBLANK(AM78)),"",CONCATENATE(" ",VLOOKUP(AM78,Literatuur!$A:$B,2,FALSE)," "))</f>
        <v/>
      </c>
      <c r="AP78" s="44" t="str">
        <f t="shared" ref="AP78:AP109" si="55">IF(ISBLANK(AO78)," ","US EPA suite")</f>
        <v xml:space="preserve"> </v>
      </c>
      <c r="AQ78" s="33" t="str">
        <f>IF(OR(ISBLANK(AO78), ISBLANK(AP78)),"",CONCATENATE(" ",VLOOKUP(AP78,Literatuur!$A:$B,2,FALSE)," "))</f>
        <v/>
      </c>
      <c r="AT78" s="33" t="str">
        <f>IF(OR(ISBLANK(AR78), ISBLANK(AS78)),"",CONCATENATE(" ",VLOOKUP(AS78,Literatuur!$A:$B,2,FALSE)," "))</f>
        <v/>
      </c>
      <c r="AW78" s="33" t="str">
        <f>IF(OR(ISBLANK(AU78), ISBLANK(AV78)),"",CONCATENATE(" ",VLOOKUP(AV78,Literatuur!$A:$B,2,FALSE)," "))</f>
        <v/>
      </c>
      <c r="AZ78" s="44" t="str">
        <f t="shared" ref="AZ78:AZ109" si="56">IF(ISBLANK(AY78)," ","Sanscrit")</f>
        <v xml:space="preserve"> </v>
      </c>
      <c r="BA78" s="33" t="str">
        <f>IF(OR(ISBLANK(AY78), ISBLANK(AZ78)),"",CONCATENATE(" ",VLOOKUP(AZ78,Literatuur!$A:$B,2,FALSE)," "))</f>
        <v/>
      </c>
      <c r="BC78" s="44" t="str">
        <f t="shared" ref="BC78:BC109" si="57">IF(ISBLANK(BB78)," ","Gestis")</f>
        <v xml:space="preserve"> </v>
      </c>
      <c r="BD78" s="33" t="str">
        <f>IF(OR(ISBLANK(BB78), ISBLANK(BC78)),"",CONCATENATE(" ",VLOOKUP(BC78,Literatuur!$A:$B,2,FALSE)," "))</f>
        <v/>
      </c>
      <c r="BF78" s="44" t="str">
        <f t="shared" ref="BF78:BF109" si="58">IF(ISBLANK(BE78)," ","US EPA 1995")</f>
        <v xml:space="preserve"> </v>
      </c>
      <c r="BG78" s="33" t="str">
        <f>IF(OR(ISBLANK(BE78), ISBLANK(BF78)),"",CONCATENATE(" ",VLOOKUP(BF78,Literatuur!$A:$B,2,FALSE)," "))</f>
        <v/>
      </c>
      <c r="BI78" s="44" t="str">
        <f t="shared" ref="BI78:BI109" si="59">IF(ISBLANK(BH78)," ","US EPA suite")</f>
        <v xml:space="preserve"> </v>
      </c>
      <c r="BJ78" s="33" t="str">
        <f>IF(OR(ISBLANK(BH78), ISBLANK(BI78)),"",CONCATENATE(" ",VLOOKUP(BI78,Literatuur!$A:$B,2,FALSE)," "))</f>
        <v/>
      </c>
      <c r="BL78" s="44" t="str">
        <f t="shared" ref="BL78:BL109" si="60">IF(ISBLANK(BK78)," ","Sangster 1989")</f>
        <v xml:space="preserve"> </v>
      </c>
      <c r="BM78" s="33" t="str">
        <f>IF(OR(ISBLANK(BK78), ISBLANK(BL78)),"",CONCATENATE(" ",VLOOKUP(BL78,Literatuur!$A:$B,2,FALSE)," "))</f>
        <v/>
      </c>
      <c r="BP78" s="33" t="str">
        <f>IF(OR(ISBLANK(BN78), ISBLANK(BO78)),"",CONCATENATE(" ",VLOOKUP(BO78,Literatuur!$A:$B,2,FALSE)," "))</f>
        <v/>
      </c>
      <c r="BS78" s="33" t="str">
        <f>IF(OR(ISBLANK(BQ78), ISBLANK(BR78)),"",CONCATENATE(" ",VLOOKUP(BR78,Literatuur!$A:$B,2,FALSE)," "))</f>
        <v/>
      </c>
      <c r="BT78" s="33">
        <v>6.17</v>
      </c>
      <c r="BU78" s="33" t="s">
        <v>2066</v>
      </c>
      <c r="BV78" s="33" t="str">
        <f>IF(OR(ISBLANK(BT78), ISBLANK(BU78)),"",CONCATENATE(" ",VLOOKUP(BU78,Literatuur!$A:$B,2,FALSE)," "))</f>
        <v xml:space="preserve"> 8 </v>
      </c>
      <c r="BY78" s="33">
        <v>199.2</v>
      </c>
      <c r="CB78" s="33" t="s">
        <v>2066</v>
      </c>
      <c r="CD78" s="33">
        <f t="shared" si="44"/>
        <v>199.2</v>
      </c>
      <c r="CE78" s="37"/>
      <c r="CH78" s="33">
        <f t="shared" ref="CH78:CH92" si="61">K78</f>
        <v>6.17</v>
      </c>
      <c r="CR78" s="33" t="str">
        <f t="shared" ref="CR78:CR141" si="62">IF(ISBLANK(E78),"",E78)</f>
        <v>PCB #63</v>
      </c>
      <c r="CS78" s="33" t="str">
        <f t="shared" ref="CS78:CS141" si="63">IF(ISBLANK(M78),"",M78)</f>
        <v>PCB</v>
      </c>
      <c r="CT78" s="33" t="str">
        <f t="shared" ref="CT78:CT141" si="64">IF(OR(ISBLANK(I78),ISERROR(I78)),"",I78)</f>
        <v/>
      </c>
      <c r="CU78" s="33" t="str">
        <f t="shared" ref="CU78:CU141" si="65">IF(ISBLANK(AI78),CONCATENATE(AN78,AQ78,AT78,AW78,AX78),AK78)</f>
        <v/>
      </c>
      <c r="CV78" s="33" t="str">
        <f t="shared" ref="CV78:CV141" si="66">IF(OR(ISBLANK(J78),ISERROR(J78)),"",J78)</f>
        <v/>
      </c>
      <c r="CW78" s="33" t="str">
        <f t="shared" ref="CW78:CW141" si="67">IF(ISBLANK(P78),CONCATENATE(U78,X78,AA78,AD78,AG78),R78)</f>
        <v/>
      </c>
      <c r="CX78" s="33">
        <f t="shared" ref="CX78:CX141" si="68">IF(OR(ISBLANK(K78),ISERROR(K78)),"",K78)</f>
        <v>6.17</v>
      </c>
      <c r="CY78" s="33" t="str">
        <f t="shared" ref="CY78:CY141" si="69">IF(ISBLANK(AY78),CONCATENATE(BD78,BG78,BJ78,BM78,BP78,BS78,BV78,BW78),BA78)</f>
        <v xml:space="preserve"> 8 </v>
      </c>
    </row>
    <row r="79" spans="2:103" x14ac:dyDescent="0.2">
      <c r="B79" s="33">
        <v>-1601</v>
      </c>
      <c r="D79" s="105" t="s">
        <v>1108</v>
      </c>
      <c r="E79" s="105" t="s">
        <v>1108</v>
      </c>
      <c r="F79" s="34"/>
      <c r="G79" s="34"/>
      <c r="I79" s="33" t="e">
        <f t="shared" si="45"/>
        <v>#DIV/0!</v>
      </c>
      <c r="J79" s="33" t="e">
        <f t="shared" ref="J79:J142" si="70">IF(ISNUMBER(P79),P79,AVERAGE(S79:AE79))</f>
        <v>#DIV/0!</v>
      </c>
      <c r="K79" s="44">
        <f t="shared" si="46"/>
        <v>5.95</v>
      </c>
      <c r="L79" s="33">
        <f t="shared" si="47"/>
        <v>198.3</v>
      </c>
      <c r="M79" s="33" t="s">
        <v>1552</v>
      </c>
      <c r="Q79" s="44" t="str">
        <f t="shared" si="48"/>
        <v xml:space="preserve"> </v>
      </c>
      <c r="R79" s="33" t="str">
        <f>IF(OR(ISBLANK(P79), ISBLANK(Q79)),"",CONCATENATE(" ",VLOOKUP(Q79,Literatuur!$A:$B,2,FALSE)," "))</f>
        <v/>
      </c>
      <c r="T79" s="44" t="str">
        <f t="shared" si="49"/>
        <v xml:space="preserve"> </v>
      </c>
      <c r="U79" s="33" t="str">
        <f>IF(OR(ISBLANK(S79), ISBLANK(T79)),"",CONCATENATE(" ",VLOOKUP(T79,Literatuur!$A:$B,2,FALSE)," "))</f>
        <v/>
      </c>
      <c r="W79" s="44" t="str">
        <f t="shared" si="50"/>
        <v xml:space="preserve"> </v>
      </c>
      <c r="X79" s="33" t="str">
        <f>IF(OR(ISBLANK(V79), ISBLANK(W79)),"",CONCATENATE(" ",VLOOKUP(W79,Literatuur!$A:$B,2,FALSE)," "))</f>
        <v/>
      </c>
      <c r="Z79" s="44" t="str">
        <f t="shared" si="51"/>
        <v xml:space="preserve"> </v>
      </c>
      <c r="AA79" s="33" t="str">
        <f>IF(OR(ISBLANK(Y79), ISBLANK(Z79)),"",CONCATENATE(" ",VLOOKUP(Z79,Literatuur!$A:$B,2,FALSE)," "))</f>
        <v/>
      </c>
      <c r="AC79" s="186" t="str">
        <f t="shared" si="52"/>
        <v xml:space="preserve"> </v>
      </c>
      <c r="AD79" s="33" t="str">
        <f>IF(OR(ISBLANK(AB79), ISBLANK(AC79)),"",CONCATENATE(" ",VLOOKUP(AC79,Literatuur!$A:$B,2,FALSE)," "))</f>
        <v/>
      </c>
      <c r="AG79" s="33" t="str">
        <f>IF(OR(ISBLANK(AE79), ISBLANK(AF79)),"",CONCATENATE(" ",VLOOKUP(AF79,Literatuur!$A:$B,2,FALSE)," "))</f>
        <v/>
      </c>
      <c r="AJ79" s="44" t="str">
        <f t="shared" si="53"/>
        <v xml:space="preserve"> </v>
      </c>
      <c r="AK79" s="33" t="str">
        <f>IF(OR(ISBLANK(AI79), ISBLANK(AJ79)),"",CONCATENATE(" ",VLOOKUP(AJ79,Literatuur!$A:$B,2,FALSE)," "))</f>
        <v/>
      </c>
      <c r="AM79" s="44" t="str">
        <f t="shared" si="54"/>
        <v xml:space="preserve"> </v>
      </c>
      <c r="AN79" s="33" t="str">
        <f>IF(OR(ISBLANK(AL79), ISBLANK(AM79)),"",CONCATENATE(" ",VLOOKUP(AM79,Literatuur!$A:$B,2,FALSE)," "))</f>
        <v/>
      </c>
      <c r="AP79" s="44" t="str">
        <f t="shared" si="55"/>
        <v xml:space="preserve"> </v>
      </c>
      <c r="AQ79" s="33" t="str">
        <f>IF(OR(ISBLANK(AO79), ISBLANK(AP79)),"",CONCATENATE(" ",VLOOKUP(AP79,Literatuur!$A:$B,2,FALSE)," "))</f>
        <v/>
      </c>
      <c r="AT79" s="33" t="str">
        <f>IF(OR(ISBLANK(AR79), ISBLANK(AS79)),"",CONCATENATE(" ",VLOOKUP(AS79,Literatuur!$A:$B,2,FALSE)," "))</f>
        <v/>
      </c>
      <c r="AW79" s="33" t="str">
        <f>IF(OR(ISBLANK(AU79), ISBLANK(AV79)),"",CONCATENATE(" ",VLOOKUP(AV79,Literatuur!$A:$B,2,FALSE)," "))</f>
        <v/>
      </c>
      <c r="AZ79" s="44" t="str">
        <f t="shared" si="56"/>
        <v xml:space="preserve"> </v>
      </c>
      <c r="BA79" s="33" t="str">
        <f>IF(OR(ISBLANK(AY79), ISBLANK(AZ79)),"",CONCATENATE(" ",VLOOKUP(AZ79,Literatuur!$A:$B,2,FALSE)," "))</f>
        <v/>
      </c>
      <c r="BC79" s="44" t="str">
        <f t="shared" si="57"/>
        <v xml:space="preserve"> </v>
      </c>
      <c r="BD79" s="33" t="str">
        <f>IF(OR(ISBLANK(BB79), ISBLANK(BC79)),"",CONCATENATE(" ",VLOOKUP(BC79,Literatuur!$A:$B,2,FALSE)," "))</f>
        <v/>
      </c>
      <c r="BF79" s="44" t="str">
        <f t="shared" si="58"/>
        <v xml:space="preserve"> </v>
      </c>
      <c r="BG79" s="33" t="str">
        <f>IF(OR(ISBLANK(BE79), ISBLANK(BF79)),"",CONCATENATE(" ",VLOOKUP(BF79,Literatuur!$A:$B,2,FALSE)," "))</f>
        <v/>
      </c>
      <c r="BI79" s="44" t="str">
        <f t="shared" si="59"/>
        <v xml:space="preserve"> </v>
      </c>
      <c r="BJ79" s="33" t="str">
        <f>IF(OR(ISBLANK(BH79), ISBLANK(BI79)),"",CONCATENATE(" ",VLOOKUP(BI79,Literatuur!$A:$B,2,FALSE)," "))</f>
        <v/>
      </c>
      <c r="BL79" s="44" t="str">
        <f t="shared" si="60"/>
        <v xml:space="preserve"> </v>
      </c>
      <c r="BM79" s="33" t="str">
        <f>IF(OR(ISBLANK(BK79), ISBLANK(BL79)),"",CONCATENATE(" ",VLOOKUP(BL79,Literatuur!$A:$B,2,FALSE)," "))</f>
        <v/>
      </c>
      <c r="BP79" s="33" t="str">
        <f>IF(OR(ISBLANK(BN79), ISBLANK(BO79)),"",CONCATENATE(" ",VLOOKUP(BO79,Literatuur!$A:$B,2,FALSE)," "))</f>
        <v/>
      </c>
      <c r="BS79" s="33" t="str">
        <f>IF(OR(ISBLANK(BQ79), ISBLANK(BR79)),"",CONCATENATE(" ",VLOOKUP(BR79,Literatuur!$A:$B,2,FALSE)," "))</f>
        <v/>
      </c>
      <c r="BT79" s="33">
        <v>5.95</v>
      </c>
      <c r="BU79" s="33" t="s">
        <v>2066</v>
      </c>
      <c r="BV79" s="33" t="str">
        <f>IF(OR(ISBLANK(BT79), ISBLANK(BU79)),"",CONCATENATE(" ",VLOOKUP(BU79,Literatuur!$A:$B,2,FALSE)," "))</f>
        <v xml:space="preserve"> 8 </v>
      </c>
      <c r="BY79" s="33">
        <v>198.3</v>
      </c>
      <c r="CA79" s="33" t="s">
        <v>1557</v>
      </c>
      <c r="CB79" s="33" t="s">
        <v>2066</v>
      </c>
      <c r="CC79" s="33" t="s">
        <v>1734</v>
      </c>
      <c r="CD79" s="33">
        <f t="shared" ref="CD79:CD96" si="71">L79</f>
        <v>198.3</v>
      </c>
      <c r="CE79" s="37"/>
      <c r="CH79" s="33">
        <f t="shared" si="61"/>
        <v>5.95</v>
      </c>
      <c r="CR79" s="33" t="str">
        <f t="shared" si="62"/>
        <v>PCB #64</v>
      </c>
      <c r="CS79" s="33" t="str">
        <f t="shared" si="63"/>
        <v>PCB</v>
      </c>
      <c r="CT79" s="33" t="str">
        <f t="shared" si="64"/>
        <v/>
      </c>
      <c r="CU79" s="33" t="str">
        <f t="shared" si="65"/>
        <v/>
      </c>
      <c r="CV79" s="33" t="str">
        <f t="shared" si="66"/>
        <v/>
      </c>
      <c r="CW79" s="33" t="str">
        <f t="shared" si="67"/>
        <v/>
      </c>
      <c r="CX79" s="33">
        <f t="shared" si="68"/>
        <v>5.95</v>
      </c>
      <c r="CY79" s="33" t="str">
        <f t="shared" si="69"/>
        <v xml:space="preserve"> 8 </v>
      </c>
    </row>
    <row r="80" spans="2:103" x14ac:dyDescent="0.2">
      <c r="B80" s="33">
        <v>-1602</v>
      </c>
      <c r="D80" s="105" t="s">
        <v>1109</v>
      </c>
      <c r="E80" s="105" t="s">
        <v>1109</v>
      </c>
      <c r="F80" s="34"/>
      <c r="G80" s="34"/>
      <c r="I80" s="33">
        <f t="shared" si="45"/>
        <v>292</v>
      </c>
      <c r="J80" s="33">
        <f t="shared" si="70"/>
        <v>9.2338507676916648E-2</v>
      </c>
      <c r="K80" s="44">
        <f t="shared" si="46"/>
        <v>6.0466666666666669</v>
      </c>
      <c r="L80" s="33">
        <f t="shared" si="47"/>
        <v>199.2</v>
      </c>
      <c r="M80" s="33" t="s">
        <v>1552</v>
      </c>
      <c r="Q80" s="44" t="str">
        <f t="shared" si="48"/>
        <v xml:space="preserve"> </v>
      </c>
      <c r="R80" s="33" t="str">
        <f>IF(OR(ISBLANK(P80), ISBLANK(Q80)),"",CONCATENATE(" ",VLOOKUP(Q80,Literatuur!$A:$B,2,FALSE)," "))</f>
        <v/>
      </c>
      <c r="T80" s="44" t="str">
        <f t="shared" si="49"/>
        <v xml:space="preserve"> </v>
      </c>
      <c r="U80" s="33" t="str">
        <f>IF(OR(ISBLANK(S80), ISBLANK(T80)),"",CONCATENATE(" ",VLOOKUP(T80,Literatuur!$A:$B,2,FALSE)," "))</f>
        <v/>
      </c>
      <c r="W80" s="44" t="str">
        <f t="shared" si="50"/>
        <v xml:space="preserve"> </v>
      </c>
      <c r="X80" s="33" t="str">
        <f>IF(OR(ISBLANK(V80), ISBLANK(W80)),"",CONCATENATE(" ",VLOOKUP(W80,Literatuur!$A:$B,2,FALSE)," "))</f>
        <v/>
      </c>
      <c r="Z80" s="44" t="str">
        <f t="shared" si="51"/>
        <v xml:space="preserve"> </v>
      </c>
      <c r="AA80" s="33" t="str">
        <f>IF(OR(ISBLANK(Y80), ISBLANK(Z80)),"",CONCATENATE(" ",VLOOKUP(Z80,Literatuur!$A:$B,2,FALSE)," "))</f>
        <v/>
      </c>
      <c r="AC80" s="186" t="str">
        <f t="shared" si="52"/>
        <v xml:space="preserve"> </v>
      </c>
      <c r="AD80" s="33" t="str">
        <f>IF(OR(ISBLANK(AB80), ISBLANK(AC80)),"",CONCATENATE(" ",VLOOKUP(AC80,Literatuur!$A:$B,2,FALSE)," "))</f>
        <v/>
      </c>
      <c r="AE80" s="39">
        <v>9.2338507676916648E-2</v>
      </c>
      <c r="AF80" s="33" t="s">
        <v>1557</v>
      </c>
      <c r="AG80" s="33" t="str">
        <f>IF(OR(ISBLANK(AE80), ISBLANK(AF80)),"",CONCATENATE(" ",VLOOKUP(AF80,Literatuur!$A:$B,2,FALSE)," "))</f>
        <v xml:space="preserve"> 17 </v>
      </c>
      <c r="AJ80" s="44" t="str">
        <f t="shared" si="53"/>
        <v xml:space="preserve"> </v>
      </c>
      <c r="AK80" s="33" t="str">
        <f>IF(OR(ISBLANK(AI80), ISBLANK(AJ80)),"",CONCATENATE(" ",VLOOKUP(AJ80,Literatuur!$A:$B,2,FALSE)," "))</f>
        <v/>
      </c>
      <c r="AM80" s="44" t="str">
        <f t="shared" si="54"/>
        <v xml:space="preserve"> </v>
      </c>
      <c r="AN80" s="33" t="str">
        <f>IF(OR(ISBLANK(AL80), ISBLANK(AM80)),"",CONCATENATE(" ",VLOOKUP(AM80,Literatuur!$A:$B,2,FALSE)," "))</f>
        <v/>
      </c>
      <c r="AP80" s="44" t="str">
        <f t="shared" si="55"/>
        <v xml:space="preserve"> </v>
      </c>
      <c r="AQ80" s="33" t="str">
        <f>IF(OR(ISBLANK(AO80), ISBLANK(AP80)),"",CONCATENATE(" ",VLOOKUP(AP80,Literatuur!$A:$B,2,FALSE)," "))</f>
        <v/>
      </c>
      <c r="AT80" s="33" t="str">
        <f>IF(OR(ISBLANK(AR80), ISBLANK(AS80)),"",CONCATENATE(" ",VLOOKUP(AS80,Literatuur!$A:$B,2,FALSE)," "))</f>
        <v/>
      </c>
      <c r="AU80" s="33">
        <v>292</v>
      </c>
      <c r="AV80" s="33" t="s">
        <v>1557</v>
      </c>
      <c r="AW80" s="33" t="str">
        <f>IF(OR(ISBLANK(AU80), ISBLANK(AV80)),"",CONCATENATE(" ",VLOOKUP(AV80,Literatuur!$A:$B,2,FALSE)," "))</f>
        <v xml:space="preserve"> 17 </v>
      </c>
      <c r="AZ80" s="44" t="str">
        <f t="shared" si="56"/>
        <v xml:space="preserve"> </v>
      </c>
      <c r="BA80" s="33" t="str">
        <f>IF(OR(ISBLANK(AY80), ISBLANK(AZ80)),"",CONCATENATE(" ",VLOOKUP(AZ80,Literatuur!$A:$B,2,FALSE)," "))</f>
        <v/>
      </c>
      <c r="BC80" s="44" t="str">
        <f t="shared" si="57"/>
        <v xml:space="preserve"> </v>
      </c>
      <c r="BD80" s="33" t="str">
        <f>IF(OR(ISBLANK(BB80), ISBLANK(BC80)),"",CONCATENATE(" ",VLOOKUP(BC80,Literatuur!$A:$B,2,FALSE)," "))</f>
        <v/>
      </c>
      <c r="BF80" s="44" t="str">
        <f t="shared" si="58"/>
        <v xml:space="preserve"> </v>
      </c>
      <c r="BG80" s="33" t="str">
        <f>IF(OR(ISBLANK(BE80), ISBLANK(BF80)),"",CONCATENATE(" ",VLOOKUP(BF80,Literatuur!$A:$B,2,FALSE)," "))</f>
        <v/>
      </c>
      <c r="BI80" s="44" t="str">
        <f t="shared" si="59"/>
        <v xml:space="preserve"> </v>
      </c>
      <c r="BJ80" s="33" t="str">
        <f>IF(OR(ISBLANK(BH80), ISBLANK(BI80)),"",CONCATENATE(" ",VLOOKUP(BI80,Literatuur!$A:$B,2,FALSE)," "))</f>
        <v/>
      </c>
      <c r="BL80" s="44" t="str">
        <f t="shared" si="60"/>
        <v xml:space="preserve"> </v>
      </c>
      <c r="BM80" s="33" t="str">
        <f>IF(OR(ISBLANK(BK80), ISBLANK(BL80)),"",CONCATENATE(" ",VLOOKUP(BL80,Literatuur!$A:$B,2,FALSE)," "))</f>
        <v/>
      </c>
      <c r="BN80" s="33">
        <v>6.1</v>
      </c>
      <c r="BO80" s="33" t="s">
        <v>1557</v>
      </c>
      <c r="BP80" s="33" t="str">
        <f>IF(OR(ISBLANK(BN80), ISBLANK(BO80)),"",CONCATENATE(" ",VLOOKUP(BO80,Literatuur!$A:$B,2,FALSE)," "))</f>
        <v xml:space="preserve"> 17 </v>
      </c>
      <c r="BQ80" s="33">
        <v>6</v>
      </c>
      <c r="BR80" s="33" t="s">
        <v>1557</v>
      </c>
      <c r="BS80" s="33" t="str">
        <f>IF(OR(ISBLANK(BQ80), ISBLANK(BR80)),"",CONCATENATE(" ",VLOOKUP(BR80,Literatuur!$A:$B,2,FALSE)," "))</f>
        <v xml:space="preserve"> 17 </v>
      </c>
      <c r="BT80" s="33">
        <v>6.04</v>
      </c>
      <c r="BU80" s="33" t="s">
        <v>2066</v>
      </c>
      <c r="BV80" s="33" t="str">
        <f>IF(OR(ISBLANK(BT80), ISBLANK(BU80)),"",CONCATENATE(" ",VLOOKUP(BU80,Literatuur!$A:$B,2,FALSE)," "))</f>
        <v xml:space="preserve"> 8 </v>
      </c>
      <c r="BY80" s="33">
        <v>199.2</v>
      </c>
      <c r="BZ80" s="33">
        <v>175.1</v>
      </c>
      <c r="CB80" s="33" t="s">
        <v>2066</v>
      </c>
      <c r="CD80" s="33">
        <f t="shared" si="71"/>
        <v>199.2</v>
      </c>
      <c r="CE80" s="37">
        <f>I80</f>
        <v>292</v>
      </c>
      <c r="CG80" s="33">
        <f>LOG(J80)</f>
        <v>-1.0346171485515818</v>
      </c>
      <c r="CH80" s="33">
        <f t="shared" si="61"/>
        <v>6.0466666666666669</v>
      </c>
      <c r="CR80" s="33" t="str">
        <f t="shared" si="62"/>
        <v>PCB #69</v>
      </c>
      <c r="CS80" s="33" t="str">
        <f t="shared" si="63"/>
        <v>PCB</v>
      </c>
      <c r="CT80" s="33">
        <f t="shared" si="64"/>
        <v>292</v>
      </c>
      <c r="CU80" s="33" t="str">
        <f t="shared" si="65"/>
        <v xml:space="preserve"> 17 </v>
      </c>
      <c r="CV80" s="33">
        <f t="shared" si="66"/>
        <v>9.2338507676916648E-2</v>
      </c>
      <c r="CW80" s="33" t="str">
        <f t="shared" si="67"/>
        <v xml:space="preserve"> 17 </v>
      </c>
      <c r="CX80" s="33">
        <f t="shared" si="68"/>
        <v>6.0466666666666669</v>
      </c>
      <c r="CY80" s="33" t="str">
        <f t="shared" si="69"/>
        <v xml:space="preserve"> 17  17  8 </v>
      </c>
    </row>
    <row r="81" spans="1:103" x14ac:dyDescent="0.2">
      <c r="B81" s="33">
        <v>-1603</v>
      </c>
      <c r="D81" s="105" t="s">
        <v>1110</v>
      </c>
      <c r="E81" s="105" t="s">
        <v>1110</v>
      </c>
      <c r="F81" s="34"/>
      <c r="G81" s="34"/>
      <c r="I81" s="33" t="e">
        <f t="shared" si="45"/>
        <v>#DIV/0!</v>
      </c>
      <c r="J81" s="33" t="e">
        <f t="shared" si="70"/>
        <v>#DIV/0!</v>
      </c>
      <c r="K81" s="44">
        <f t="shared" si="46"/>
        <v>5.98</v>
      </c>
      <c r="L81" s="33">
        <f t="shared" si="47"/>
        <v>198</v>
      </c>
      <c r="M81" s="33" t="s">
        <v>1552</v>
      </c>
      <c r="Q81" s="44" t="str">
        <f t="shared" si="48"/>
        <v xml:space="preserve"> </v>
      </c>
      <c r="R81" s="33" t="str">
        <f>IF(OR(ISBLANK(P81), ISBLANK(Q81)),"",CONCATENATE(" ",VLOOKUP(Q81,Literatuur!$A:$B,2,FALSE)," "))</f>
        <v/>
      </c>
      <c r="T81" s="44" t="str">
        <f t="shared" si="49"/>
        <v xml:space="preserve"> </v>
      </c>
      <c r="U81" s="33" t="str">
        <f>IF(OR(ISBLANK(S81), ISBLANK(T81)),"",CONCATENATE(" ",VLOOKUP(T81,Literatuur!$A:$B,2,FALSE)," "))</f>
        <v/>
      </c>
      <c r="W81" s="44" t="str">
        <f t="shared" si="50"/>
        <v xml:space="preserve"> </v>
      </c>
      <c r="X81" s="33" t="str">
        <f>IF(OR(ISBLANK(V81), ISBLANK(W81)),"",CONCATENATE(" ",VLOOKUP(W81,Literatuur!$A:$B,2,FALSE)," "))</f>
        <v/>
      </c>
      <c r="Z81" s="44" t="str">
        <f t="shared" si="51"/>
        <v xml:space="preserve"> </v>
      </c>
      <c r="AA81" s="33" t="str">
        <f>IF(OR(ISBLANK(Y81), ISBLANK(Z81)),"",CONCATENATE(" ",VLOOKUP(Z81,Literatuur!$A:$B,2,FALSE)," "))</f>
        <v/>
      </c>
      <c r="AC81" s="186" t="str">
        <f t="shared" si="52"/>
        <v xml:space="preserve"> </v>
      </c>
      <c r="AD81" s="33" t="str">
        <f>IF(OR(ISBLANK(AB81), ISBLANK(AC81)),"",CONCATENATE(" ",VLOOKUP(AC81,Literatuur!$A:$B,2,FALSE)," "))</f>
        <v/>
      </c>
      <c r="AG81" s="33" t="str">
        <f>IF(OR(ISBLANK(AE81), ISBLANK(AF81)),"",CONCATENATE(" ",VLOOKUP(AF81,Literatuur!$A:$B,2,FALSE)," "))</f>
        <v/>
      </c>
      <c r="AJ81" s="44" t="str">
        <f t="shared" si="53"/>
        <v xml:space="preserve"> </v>
      </c>
      <c r="AK81" s="33" t="str">
        <f>IF(OR(ISBLANK(AI81), ISBLANK(AJ81)),"",CONCATENATE(" ",VLOOKUP(AJ81,Literatuur!$A:$B,2,FALSE)," "))</f>
        <v/>
      </c>
      <c r="AM81" s="44" t="str">
        <f t="shared" si="54"/>
        <v xml:space="preserve"> </v>
      </c>
      <c r="AN81" s="33" t="str">
        <f>IF(OR(ISBLANK(AL81), ISBLANK(AM81)),"",CONCATENATE(" ",VLOOKUP(AM81,Literatuur!$A:$B,2,FALSE)," "))</f>
        <v/>
      </c>
      <c r="AP81" s="44" t="str">
        <f t="shared" si="55"/>
        <v xml:space="preserve"> </v>
      </c>
      <c r="AQ81" s="33" t="str">
        <f>IF(OR(ISBLANK(AO81), ISBLANK(AP81)),"",CONCATENATE(" ",VLOOKUP(AP81,Literatuur!$A:$B,2,FALSE)," "))</f>
        <v/>
      </c>
      <c r="AT81" s="33" t="str">
        <f>IF(OR(ISBLANK(AR81), ISBLANK(AS81)),"",CONCATENATE(" ",VLOOKUP(AS81,Literatuur!$A:$B,2,FALSE)," "))</f>
        <v/>
      </c>
      <c r="AW81" s="33" t="str">
        <f>IF(OR(ISBLANK(AU81), ISBLANK(AV81)),"",CONCATENATE(" ",VLOOKUP(AV81,Literatuur!$A:$B,2,FALSE)," "))</f>
        <v/>
      </c>
      <c r="AZ81" s="44" t="str">
        <f t="shared" si="56"/>
        <v xml:space="preserve"> </v>
      </c>
      <c r="BA81" s="33" t="str">
        <f>IF(OR(ISBLANK(AY81), ISBLANK(AZ81)),"",CONCATENATE(" ",VLOOKUP(AZ81,Literatuur!$A:$B,2,FALSE)," "))</f>
        <v/>
      </c>
      <c r="BC81" s="44" t="str">
        <f t="shared" si="57"/>
        <v xml:space="preserve"> </v>
      </c>
      <c r="BD81" s="33" t="str">
        <f>IF(OR(ISBLANK(BB81), ISBLANK(BC81)),"",CONCATENATE(" ",VLOOKUP(BC81,Literatuur!$A:$B,2,FALSE)," "))</f>
        <v/>
      </c>
      <c r="BF81" s="44" t="str">
        <f t="shared" si="58"/>
        <v xml:space="preserve"> </v>
      </c>
      <c r="BG81" s="33" t="str">
        <f>IF(OR(ISBLANK(BE81), ISBLANK(BF81)),"",CONCATENATE(" ",VLOOKUP(BF81,Literatuur!$A:$B,2,FALSE)," "))</f>
        <v/>
      </c>
      <c r="BI81" s="44" t="str">
        <f t="shared" si="59"/>
        <v xml:space="preserve"> </v>
      </c>
      <c r="BJ81" s="33" t="str">
        <f>IF(OR(ISBLANK(BH81), ISBLANK(BI81)),"",CONCATENATE(" ",VLOOKUP(BI81,Literatuur!$A:$B,2,FALSE)," "))</f>
        <v/>
      </c>
      <c r="BL81" s="44" t="str">
        <f t="shared" si="60"/>
        <v xml:space="preserve"> </v>
      </c>
      <c r="BM81" s="33" t="str">
        <f>IF(OR(ISBLANK(BK81), ISBLANK(BL81)),"",CONCATENATE(" ",VLOOKUP(BL81,Literatuur!$A:$B,2,FALSE)," "))</f>
        <v/>
      </c>
      <c r="BP81" s="33" t="str">
        <f>IF(OR(ISBLANK(BN81), ISBLANK(BO81)),"",CONCATENATE(" ",VLOOKUP(BO81,Literatuur!$A:$B,2,FALSE)," "))</f>
        <v/>
      </c>
      <c r="BS81" s="33" t="str">
        <f>IF(OR(ISBLANK(BQ81), ISBLANK(BR81)),"",CONCATENATE(" ",VLOOKUP(BR81,Literatuur!$A:$B,2,FALSE)," "))</f>
        <v/>
      </c>
      <c r="BT81" s="33">
        <v>5.98</v>
      </c>
      <c r="BU81" s="33" t="s">
        <v>2066</v>
      </c>
      <c r="BV81" s="33" t="str">
        <f>IF(OR(ISBLANK(BT81), ISBLANK(BU81)),"",CONCATENATE(" ",VLOOKUP(BU81,Literatuur!$A:$B,2,FALSE)," "))</f>
        <v xml:space="preserve"> 8 </v>
      </c>
      <c r="BY81" s="33">
        <v>198</v>
      </c>
      <c r="CB81" s="33" t="s">
        <v>2066</v>
      </c>
      <c r="CD81" s="33">
        <f t="shared" si="71"/>
        <v>198</v>
      </c>
      <c r="CE81" s="37"/>
      <c r="CH81" s="33">
        <f t="shared" si="61"/>
        <v>5.98</v>
      </c>
      <c r="CR81" s="33" t="str">
        <f t="shared" si="62"/>
        <v>PCB #71</v>
      </c>
      <c r="CS81" s="33" t="str">
        <f t="shared" si="63"/>
        <v>PCB</v>
      </c>
      <c r="CT81" s="33" t="str">
        <f t="shared" si="64"/>
        <v/>
      </c>
      <c r="CU81" s="33" t="str">
        <f t="shared" si="65"/>
        <v/>
      </c>
      <c r="CV81" s="33" t="str">
        <f t="shared" si="66"/>
        <v/>
      </c>
      <c r="CW81" s="33" t="str">
        <f t="shared" si="67"/>
        <v/>
      </c>
      <c r="CX81" s="33">
        <f t="shared" si="68"/>
        <v>5.98</v>
      </c>
      <c r="CY81" s="33" t="str">
        <f t="shared" si="69"/>
        <v xml:space="preserve"> 8 </v>
      </c>
    </row>
    <row r="82" spans="1:103" x14ac:dyDescent="0.2">
      <c r="B82" s="33">
        <v>-1604</v>
      </c>
      <c r="D82" s="105" t="s">
        <v>1111</v>
      </c>
      <c r="E82" s="105" t="s">
        <v>1111</v>
      </c>
      <c r="F82" s="34"/>
      <c r="G82" s="34"/>
      <c r="I82" s="33">
        <f t="shared" si="45"/>
        <v>292</v>
      </c>
      <c r="J82" s="33" t="e">
        <f t="shared" si="70"/>
        <v>#DIV/0!</v>
      </c>
      <c r="K82" s="44">
        <f t="shared" si="46"/>
        <v>6.2</v>
      </c>
      <c r="L82" s="33">
        <f t="shared" si="47"/>
        <v>199.25</v>
      </c>
      <c r="M82" s="33" t="s">
        <v>1552</v>
      </c>
      <c r="Q82" s="44" t="str">
        <f t="shared" si="48"/>
        <v xml:space="preserve"> </v>
      </c>
      <c r="R82" s="33" t="str">
        <f>IF(OR(ISBLANK(P82), ISBLANK(Q82)),"",CONCATENATE(" ",VLOOKUP(Q82,Literatuur!$A:$B,2,FALSE)," "))</f>
        <v/>
      </c>
      <c r="T82" s="44" t="str">
        <f t="shared" si="49"/>
        <v xml:space="preserve"> </v>
      </c>
      <c r="U82" s="33" t="str">
        <f>IF(OR(ISBLANK(S82), ISBLANK(T82)),"",CONCATENATE(" ",VLOOKUP(T82,Literatuur!$A:$B,2,FALSE)," "))</f>
        <v/>
      </c>
      <c r="W82" s="44" t="str">
        <f t="shared" si="50"/>
        <v xml:space="preserve"> </v>
      </c>
      <c r="X82" s="33" t="str">
        <f>IF(OR(ISBLANK(V82), ISBLANK(W82)),"",CONCATENATE(" ",VLOOKUP(W82,Literatuur!$A:$B,2,FALSE)," "))</f>
        <v/>
      </c>
      <c r="Z82" s="44" t="str">
        <f t="shared" si="51"/>
        <v xml:space="preserve"> </v>
      </c>
      <c r="AA82" s="33" t="str">
        <f>IF(OR(ISBLANK(Y82), ISBLANK(Z82)),"",CONCATENATE(" ",VLOOKUP(Z82,Literatuur!$A:$B,2,FALSE)," "))</f>
        <v/>
      </c>
      <c r="AC82" s="186" t="str">
        <f t="shared" si="52"/>
        <v xml:space="preserve"> </v>
      </c>
      <c r="AD82" s="33" t="str">
        <f>IF(OR(ISBLANK(AB82), ISBLANK(AC82)),"",CONCATENATE(" ",VLOOKUP(AC82,Literatuur!$A:$B,2,FALSE)," "))</f>
        <v/>
      </c>
      <c r="AG82" s="33" t="str">
        <f>IF(OR(ISBLANK(AE82), ISBLANK(AF82)),"",CONCATENATE(" ",VLOOKUP(AF82,Literatuur!$A:$B,2,FALSE)," "))</f>
        <v/>
      </c>
      <c r="AJ82" s="44" t="str">
        <f t="shared" si="53"/>
        <v xml:space="preserve"> </v>
      </c>
      <c r="AK82" s="33" t="str">
        <f>IF(OR(ISBLANK(AI82), ISBLANK(AJ82)),"",CONCATENATE(" ",VLOOKUP(AJ82,Literatuur!$A:$B,2,FALSE)," "))</f>
        <v/>
      </c>
      <c r="AM82" s="44" t="str">
        <f t="shared" si="54"/>
        <v xml:space="preserve"> </v>
      </c>
      <c r="AN82" s="33" t="str">
        <f>IF(OR(ISBLANK(AL82), ISBLANK(AM82)),"",CONCATENATE(" ",VLOOKUP(AM82,Literatuur!$A:$B,2,FALSE)," "))</f>
        <v/>
      </c>
      <c r="AP82" s="44" t="str">
        <f t="shared" si="55"/>
        <v xml:space="preserve"> </v>
      </c>
      <c r="AQ82" s="33" t="str">
        <f>IF(OR(ISBLANK(AO82), ISBLANK(AP82)),"",CONCATENATE(" ",VLOOKUP(AP82,Literatuur!$A:$B,2,FALSE)," "))</f>
        <v/>
      </c>
      <c r="AT82" s="33" t="str">
        <f>IF(OR(ISBLANK(AR82), ISBLANK(AS82)),"",CONCATENATE(" ",VLOOKUP(AS82,Literatuur!$A:$B,2,FALSE)," "))</f>
        <v/>
      </c>
      <c r="AU82" s="33">
        <v>292</v>
      </c>
      <c r="AV82" s="33" t="s">
        <v>1557</v>
      </c>
      <c r="AW82" s="33" t="str">
        <f>IF(OR(ISBLANK(AU82), ISBLANK(AV82)),"",CONCATENATE(" ",VLOOKUP(AV82,Literatuur!$A:$B,2,FALSE)," "))</f>
        <v xml:space="preserve"> 17 </v>
      </c>
      <c r="AZ82" s="44" t="str">
        <f t="shared" si="56"/>
        <v xml:space="preserve"> </v>
      </c>
      <c r="BA82" s="33" t="str">
        <f>IF(OR(ISBLANK(AY82), ISBLANK(AZ82)),"",CONCATENATE(" ",VLOOKUP(AZ82,Literatuur!$A:$B,2,FALSE)," "))</f>
        <v/>
      </c>
      <c r="BC82" s="44" t="str">
        <f t="shared" si="57"/>
        <v xml:space="preserve"> </v>
      </c>
      <c r="BD82" s="33" t="str">
        <f>IF(OR(ISBLANK(BB82), ISBLANK(BC82)),"",CONCATENATE(" ",VLOOKUP(BC82,Literatuur!$A:$B,2,FALSE)," "))</f>
        <v/>
      </c>
      <c r="BF82" s="44" t="str">
        <f t="shared" si="58"/>
        <v xml:space="preserve"> </v>
      </c>
      <c r="BG82" s="33" t="str">
        <f>IF(OR(ISBLANK(BE82), ISBLANK(BF82)),"",CONCATENATE(" ",VLOOKUP(BF82,Literatuur!$A:$B,2,FALSE)," "))</f>
        <v/>
      </c>
      <c r="BI82" s="44" t="str">
        <f t="shared" si="59"/>
        <v xml:space="preserve"> </v>
      </c>
      <c r="BJ82" s="33" t="str">
        <f>IF(OR(ISBLANK(BH82), ISBLANK(BI82)),"",CONCATENATE(" ",VLOOKUP(BI82,Literatuur!$A:$B,2,FALSE)," "))</f>
        <v/>
      </c>
      <c r="BL82" s="44" t="str">
        <f t="shared" si="60"/>
        <v xml:space="preserve"> </v>
      </c>
      <c r="BM82" s="33" t="str">
        <f>IF(OR(ISBLANK(BK82), ISBLANK(BL82)),"",CONCATENATE(" ",VLOOKUP(BL82,Literatuur!$A:$B,2,FALSE)," "))</f>
        <v/>
      </c>
      <c r="BP82" s="33" t="str">
        <f>IF(OR(ISBLANK(BN82), ISBLANK(BO82)),"",CONCATENATE(" ",VLOOKUP(BO82,Literatuur!$A:$B,2,FALSE)," "))</f>
        <v/>
      </c>
      <c r="BS82" s="33" t="str">
        <f>IF(OR(ISBLANK(BQ82), ISBLANK(BR82)),"",CONCATENATE(" ",VLOOKUP(BR82,Literatuur!$A:$B,2,FALSE)," "))</f>
        <v/>
      </c>
      <c r="BT82" s="33">
        <v>6.2</v>
      </c>
      <c r="BU82" s="33" t="s">
        <v>2066</v>
      </c>
      <c r="BV82" s="33" t="str">
        <f>IF(OR(ISBLANK(BT82), ISBLANK(BU82)),"",CONCATENATE(" ",VLOOKUP(BU82,Literatuur!$A:$B,2,FALSE)," "))</f>
        <v xml:space="preserve"> 8 </v>
      </c>
      <c r="BX82" s="33">
        <v>199.5</v>
      </c>
      <c r="BY82" s="33">
        <v>199</v>
      </c>
      <c r="CB82" s="33" t="s">
        <v>2066</v>
      </c>
      <c r="CD82" s="33">
        <f t="shared" si="71"/>
        <v>199.25</v>
      </c>
      <c r="CE82" s="37"/>
      <c r="CH82" s="33">
        <f t="shared" si="61"/>
        <v>6.2</v>
      </c>
      <c r="CR82" s="33" t="str">
        <f t="shared" si="62"/>
        <v>PCB #74</v>
      </c>
      <c r="CS82" s="33" t="str">
        <f t="shared" si="63"/>
        <v>PCB</v>
      </c>
      <c r="CT82" s="33">
        <f t="shared" si="64"/>
        <v>292</v>
      </c>
      <c r="CU82" s="33" t="str">
        <f t="shared" si="65"/>
        <v xml:space="preserve"> 17 </v>
      </c>
      <c r="CV82" s="33" t="str">
        <f t="shared" si="66"/>
        <v/>
      </c>
      <c r="CW82" s="33" t="str">
        <f t="shared" si="67"/>
        <v/>
      </c>
      <c r="CX82" s="33">
        <f t="shared" si="68"/>
        <v>6.2</v>
      </c>
      <c r="CY82" s="33" t="str">
        <f t="shared" si="69"/>
        <v xml:space="preserve"> 8 </v>
      </c>
    </row>
    <row r="83" spans="1:103" x14ac:dyDescent="0.2">
      <c r="B83" s="33">
        <v>-1605</v>
      </c>
      <c r="D83" s="105" t="s">
        <v>1112</v>
      </c>
      <c r="E83" s="105" t="s">
        <v>1112</v>
      </c>
      <c r="F83" s="34"/>
      <c r="G83" s="34"/>
      <c r="I83" s="33" t="e">
        <f t="shared" si="45"/>
        <v>#DIV/0!</v>
      </c>
      <c r="J83" s="33" t="e">
        <f t="shared" si="70"/>
        <v>#DIV/0!</v>
      </c>
      <c r="K83" s="44">
        <f t="shared" si="46"/>
        <v>6.36</v>
      </c>
      <c r="L83" s="33">
        <f t="shared" si="47"/>
        <v>197.2</v>
      </c>
      <c r="M83" s="33" t="s">
        <v>1552</v>
      </c>
      <c r="Q83" s="44" t="str">
        <f t="shared" si="48"/>
        <v xml:space="preserve"> </v>
      </c>
      <c r="R83" s="33" t="str">
        <f>IF(OR(ISBLANK(P83), ISBLANK(Q83)),"",CONCATENATE(" ",VLOOKUP(Q83,Literatuur!$A:$B,2,FALSE)," "))</f>
        <v/>
      </c>
      <c r="T83" s="44" t="str">
        <f t="shared" si="49"/>
        <v xml:space="preserve"> </v>
      </c>
      <c r="U83" s="33" t="str">
        <f>IF(OR(ISBLANK(S83), ISBLANK(T83)),"",CONCATENATE(" ",VLOOKUP(T83,Literatuur!$A:$B,2,FALSE)," "))</f>
        <v/>
      </c>
      <c r="W83" s="44" t="str">
        <f t="shared" si="50"/>
        <v xml:space="preserve"> </v>
      </c>
      <c r="X83" s="33" t="str">
        <f>IF(OR(ISBLANK(V83), ISBLANK(W83)),"",CONCATENATE(" ",VLOOKUP(W83,Literatuur!$A:$B,2,FALSE)," "))</f>
        <v/>
      </c>
      <c r="Z83" s="44" t="str">
        <f t="shared" si="51"/>
        <v xml:space="preserve"> </v>
      </c>
      <c r="AA83" s="33" t="str">
        <f>IF(OR(ISBLANK(Y83), ISBLANK(Z83)),"",CONCATENATE(" ",VLOOKUP(Z83,Literatuur!$A:$B,2,FALSE)," "))</f>
        <v/>
      </c>
      <c r="AC83" s="186" t="str">
        <f t="shared" si="52"/>
        <v xml:space="preserve"> </v>
      </c>
      <c r="AD83" s="33" t="str">
        <f>IF(OR(ISBLANK(AB83), ISBLANK(AC83)),"",CONCATENATE(" ",VLOOKUP(AC83,Literatuur!$A:$B,2,FALSE)," "))</f>
        <v/>
      </c>
      <c r="AG83" s="33" t="str">
        <f>IF(OR(ISBLANK(AE83), ISBLANK(AF83)),"",CONCATENATE(" ",VLOOKUP(AF83,Literatuur!$A:$B,2,FALSE)," "))</f>
        <v/>
      </c>
      <c r="AJ83" s="44" t="str">
        <f t="shared" si="53"/>
        <v xml:space="preserve"> </v>
      </c>
      <c r="AK83" s="33" t="str">
        <f>IF(OR(ISBLANK(AI83), ISBLANK(AJ83)),"",CONCATENATE(" ",VLOOKUP(AJ83,Literatuur!$A:$B,2,FALSE)," "))</f>
        <v/>
      </c>
      <c r="AM83" s="44" t="str">
        <f t="shared" si="54"/>
        <v xml:space="preserve"> </v>
      </c>
      <c r="AN83" s="33" t="str">
        <f>IF(OR(ISBLANK(AL83), ISBLANK(AM83)),"",CONCATENATE(" ",VLOOKUP(AM83,Literatuur!$A:$B,2,FALSE)," "))</f>
        <v/>
      </c>
      <c r="AP83" s="44" t="str">
        <f t="shared" si="55"/>
        <v xml:space="preserve"> </v>
      </c>
      <c r="AQ83" s="33" t="str">
        <f>IF(OR(ISBLANK(AO83), ISBLANK(AP83)),"",CONCATENATE(" ",VLOOKUP(AP83,Literatuur!$A:$B,2,FALSE)," "))</f>
        <v/>
      </c>
      <c r="AT83" s="33" t="str">
        <f>IF(OR(ISBLANK(AR83), ISBLANK(AS83)),"",CONCATENATE(" ",VLOOKUP(AS83,Literatuur!$A:$B,2,FALSE)," "))</f>
        <v/>
      </c>
      <c r="AW83" s="33" t="str">
        <f>IF(OR(ISBLANK(AU83), ISBLANK(AV83)),"",CONCATENATE(" ",VLOOKUP(AV83,Literatuur!$A:$B,2,FALSE)," "))</f>
        <v/>
      </c>
      <c r="AZ83" s="44" t="str">
        <f t="shared" si="56"/>
        <v xml:space="preserve"> </v>
      </c>
      <c r="BA83" s="33" t="str">
        <f>IF(OR(ISBLANK(AY83), ISBLANK(AZ83)),"",CONCATENATE(" ",VLOOKUP(AZ83,Literatuur!$A:$B,2,FALSE)," "))</f>
        <v/>
      </c>
      <c r="BC83" s="44" t="str">
        <f t="shared" si="57"/>
        <v xml:space="preserve"> </v>
      </c>
      <c r="BD83" s="33" t="str">
        <f>IF(OR(ISBLANK(BB83), ISBLANK(BC83)),"",CONCATENATE(" ",VLOOKUP(BC83,Literatuur!$A:$B,2,FALSE)," "))</f>
        <v/>
      </c>
      <c r="BF83" s="44" t="str">
        <f t="shared" si="58"/>
        <v xml:space="preserve"> </v>
      </c>
      <c r="BG83" s="33" t="str">
        <f>IF(OR(ISBLANK(BE83), ISBLANK(BF83)),"",CONCATENATE(" ",VLOOKUP(BF83,Literatuur!$A:$B,2,FALSE)," "))</f>
        <v/>
      </c>
      <c r="BI83" s="44" t="str">
        <f t="shared" si="59"/>
        <v xml:space="preserve"> </v>
      </c>
      <c r="BJ83" s="33" t="str">
        <f>IF(OR(ISBLANK(BH83), ISBLANK(BI83)),"",CONCATENATE(" ",VLOOKUP(BI83,Literatuur!$A:$B,2,FALSE)," "))</f>
        <v/>
      </c>
      <c r="BL83" s="44" t="str">
        <f t="shared" si="60"/>
        <v xml:space="preserve"> </v>
      </c>
      <c r="BM83" s="33" t="str">
        <f>IF(OR(ISBLANK(BK83), ISBLANK(BL83)),"",CONCATENATE(" ",VLOOKUP(BL83,Literatuur!$A:$B,2,FALSE)," "))</f>
        <v/>
      </c>
      <c r="BP83" s="33" t="str">
        <f>IF(OR(ISBLANK(BN83), ISBLANK(BO83)),"",CONCATENATE(" ",VLOOKUP(BO83,Literatuur!$A:$B,2,FALSE)," "))</f>
        <v/>
      </c>
      <c r="BS83" s="33" t="str">
        <f>IF(OR(ISBLANK(BQ83), ISBLANK(BR83)),"",CONCATENATE(" ",VLOOKUP(BR83,Literatuur!$A:$B,2,FALSE)," "))</f>
        <v/>
      </c>
      <c r="BT83" s="33">
        <v>6.36</v>
      </c>
      <c r="BU83" s="33" t="s">
        <v>2066</v>
      </c>
      <c r="BV83" s="33" t="str">
        <f>IF(OR(ISBLANK(BT83), ISBLANK(BU83)),"",CONCATENATE(" ",VLOOKUP(BU83,Literatuur!$A:$B,2,FALSE)," "))</f>
        <v xml:space="preserve"> 8 </v>
      </c>
      <c r="BY83" s="33">
        <v>197.2</v>
      </c>
      <c r="CB83" s="33" t="s">
        <v>2066</v>
      </c>
      <c r="CD83" s="33">
        <f t="shared" si="71"/>
        <v>197.2</v>
      </c>
      <c r="CE83" s="37"/>
      <c r="CH83" s="33">
        <f t="shared" si="61"/>
        <v>6.36</v>
      </c>
      <c r="CR83" s="33" t="str">
        <f t="shared" si="62"/>
        <v>PCB #77</v>
      </c>
      <c r="CS83" s="33" t="str">
        <f t="shared" si="63"/>
        <v>PCB</v>
      </c>
      <c r="CT83" s="33" t="str">
        <f t="shared" si="64"/>
        <v/>
      </c>
      <c r="CU83" s="33" t="str">
        <f t="shared" si="65"/>
        <v/>
      </c>
      <c r="CV83" s="33" t="str">
        <f t="shared" si="66"/>
        <v/>
      </c>
      <c r="CW83" s="33" t="str">
        <f t="shared" si="67"/>
        <v/>
      </c>
      <c r="CX83" s="33">
        <f t="shared" si="68"/>
        <v>6.36</v>
      </c>
      <c r="CY83" s="33" t="str">
        <f t="shared" si="69"/>
        <v xml:space="preserve"> 8 </v>
      </c>
    </row>
    <row r="84" spans="1:103" x14ac:dyDescent="0.2">
      <c r="B84" s="33">
        <v>-1606</v>
      </c>
      <c r="D84" s="105" t="s">
        <v>1113</v>
      </c>
      <c r="E84" s="105" t="s">
        <v>1113</v>
      </c>
      <c r="F84" s="34"/>
      <c r="G84" s="34"/>
      <c r="I84" s="33" t="e">
        <f t="shared" si="45"/>
        <v>#DIV/0!</v>
      </c>
      <c r="J84" s="33" t="e">
        <f t="shared" si="70"/>
        <v>#DIV/0!</v>
      </c>
      <c r="K84" s="44">
        <f t="shared" si="46"/>
        <v>6.36</v>
      </c>
      <c r="L84" s="33">
        <f t="shared" si="47"/>
        <v>197.6</v>
      </c>
      <c r="M84" s="33" t="s">
        <v>1552</v>
      </c>
      <c r="Q84" s="44" t="str">
        <f t="shared" si="48"/>
        <v xml:space="preserve"> </v>
      </c>
      <c r="R84" s="33" t="str">
        <f>IF(OR(ISBLANK(P84), ISBLANK(Q84)),"",CONCATENATE(" ",VLOOKUP(Q84,Literatuur!$A:$B,2,FALSE)," "))</f>
        <v/>
      </c>
      <c r="T84" s="44" t="str">
        <f t="shared" si="49"/>
        <v xml:space="preserve"> </v>
      </c>
      <c r="U84" s="33" t="str">
        <f>IF(OR(ISBLANK(S84), ISBLANK(T84)),"",CONCATENATE(" ",VLOOKUP(T84,Literatuur!$A:$B,2,FALSE)," "))</f>
        <v/>
      </c>
      <c r="W84" s="44" t="str">
        <f t="shared" si="50"/>
        <v xml:space="preserve"> </v>
      </c>
      <c r="X84" s="33" t="str">
        <f>IF(OR(ISBLANK(V84), ISBLANK(W84)),"",CONCATENATE(" ",VLOOKUP(W84,Literatuur!$A:$B,2,FALSE)," "))</f>
        <v/>
      </c>
      <c r="Z84" s="44" t="str">
        <f t="shared" si="51"/>
        <v xml:space="preserve"> </v>
      </c>
      <c r="AA84" s="33" t="str">
        <f>IF(OR(ISBLANK(Y84), ISBLANK(Z84)),"",CONCATENATE(" ",VLOOKUP(Z84,Literatuur!$A:$B,2,FALSE)," "))</f>
        <v/>
      </c>
      <c r="AC84" s="186" t="str">
        <f t="shared" si="52"/>
        <v xml:space="preserve"> </v>
      </c>
      <c r="AD84" s="33" t="str">
        <f>IF(OR(ISBLANK(AB84), ISBLANK(AC84)),"",CONCATENATE(" ",VLOOKUP(AC84,Literatuur!$A:$B,2,FALSE)," "))</f>
        <v/>
      </c>
      <c r="AG84" s="33" t="str">
        <f>IF(OR(ISBLANK(AE84), ISBLANK(AF84)),"",CONCATENATE(" ",VLOOKUP(AF84,Literatuur!$A:$B,2,FALSE)," "))</f>
        <v/>
      </c>
      <c r="AJ84" s="44" t="str">
        <f t="shared" si="53"/>
        <v xml:space="preserve"> </v>
      </c>
      <c r="AK84" s="33" t="str">
        <f>IF(OR(ISBLANK(AI84), ISBLANK(AJ84)),"",CONCATENATE(" ",VLOOKUP(AJ84,Literatuur!$A:$B,2,FALSE)," "))</f>
        <v/>
      </c>
      <c r="AM84" s="44" t="str">
        <f t="shared" si="54"/>
        <v xml:space="preserve"> </v>
      </c>
      <c r="AN84" s="33" t="str">
        <f>IF(OR(ISBLANK(AL84), ISBLANK(AM84)),"",CONCATENATE(" ",VLOOKUP(AM84,Literatuur!$A:$B,2,FALSE)," "))</f>
        <v/>
      </c>
      <c r="AP84" s="44" t="str">
        <f t="shared" si="55"/>
        <v xml:space="preserve"> </v>
      </c>
      <c r="AQ84" s="33" t="str">
        <f>IF(OR(ISBLANK(AO84), ISBLANK(AP84)),"",CONCATENATE(" ",VLOOKUP(AP84,Literatuur!$A:$B,2,FALSE)," "))</f>
        <v/>
      </c>
      <c r="AT84" s="33" t="str">
        <f>IF(OR(ISBLANK(AR84), ISBLANK(AS84)),"",CONCATENATE(" ",VLOOKUP(AS84,Literatuur!$A:$B,2,FALSE)," "))</f>
        <v/>
      </c>
      <c r="AW84" s="33" t="str">
        <f>IF(OR(ISBLANK(AU84), ISBLANK(AV84)),"",CONCATENATE(" ",VLOOKUP(AV84,Literatuur!$A:$B,2,FALSE)," "))</f>
        <v/>
      </c>
      <c r="AZ84" s="44" t="str">
        <f t="shared" si="56"/>
        <v xml:space="preserve"> </v>
      </c>
      <c r="BA84" s="33" t="str">
        <f>IF(OR(ISBLANK(AY84), ISBLANK(AZ84)),"",CONCATENATE(" ",VLOOKUP(AZ84,Literatuur!$A:$B,2,FALSE)," "))</f>
        <v/>
      </c>
      <c r="BC84" s="44" t="str">
        <f t="shared" si="57"/>
        <v xml:space="preserve"> </v>
      </c>
      <c r="BD84" s="33" t="str">
        <f>IF(OR(ISBLANK(BB84), ISBLANK(BC84)),"",CONCATENATE(" ",VLOOKUP(BC84,Literatuur!$A:$B,2,FALSE)," "))</f>
        <v/>
      </c>
      <c r="BF84" s="44" t="str">
        <f t="shared" si="58"/>
        <v xml:space="preserve"> </v>
      </c>
      <c r="BG84" s="33" t="str">
        <f>IF(OR(ISBLANK(BE84), ISBLANK(BF84)),"",CONCATENATE(" ",VLOOKUP(BF84,Literatuur!$A:$B,2,FALSE)," "))</f>
        <v/>
      </c>
      <c r="BI84" s="44" t="str">
        <f t="shared" si="59"/>
        <v xml:space="preserve"> </v>
      </c>
      <c r="BJ84" s="33" t="str">
        <f>IF(OR(ISBLANK(BH84), ISBLANK(BI84)),"",CONCATENATE(" ",VLOOKUP(BI84,Literatuur!$A:$B,2,FALSE)," "))</f>
        <v/>
      </c>
      <c r="BL84" s="44" t="str">
        <f t="shared" si="60"/>
        <v xml:space="preserve"> </v>
      </c>
      <c r="BM84" s="33" t="str">
        <f>IF(OR(ISBLANK(BK84), ISBLANK(BL84)),"",CONCATENATE(" ",VLOOKUP(BL84,Literatuur!$A:$B,2,FALSE)," "))</f>
        <v/>
      </c>
      <c r="BP84" s="33" t="str">
        <f>IF(OR(ISBLANK(BN84), ISBLANK(BO84)),"",CONCATENATE(" ",VLOOKUP(BO84,Literatuur!$A:$B,2,FALSE)," "))</f>
        <v/>
      </c>
      <c r="BS84" s="33" t="str">
        <f>IF(OR(ISBLANK(BQ84), ISBLANK(BR84)),"",CONCATENATE(" ",VLOOKUP(BR84,Literatuur!$A:$B,2,FALSE)," "))</f>
        <v/>
      </c>
      <c r="BT84" s="33">
        <v>6.36</v>
      </c>
      <c r="BU84" s="33" t="s">
        <v>2066</v>
      </c>
      <c r="BV84" s="33" t="str">
        <f>IF(OR(ISBLANK(BT84), ISBLANK(BU84)),"",CONCATENATE(" ",VLOOKUP(BU84,Literatuur!$A:$B,2,FALSE)," "))</f>
        <v xml:space="preserve"> 8 </v>
      </c>
      <c r="BY84" s="33">
        <v>197.6</v>
      </c>
      <c r="CB84" s="33" t="s">
        <v>2066</v>
      </c>
      <c r="CD84" s="33">
        <f t="shared" si="71"/>
        <v>197.6</v>
      </c>
      <c r="CE84" s="37"/>
      <c r="CH84" s="33">
        <f t="shared" si="61"/>
        <v>6.36</v>
      </c>
      <c r="CR84" s="33" t="str">
        <f t="shared" si="62"/>
        <v>PCB #81</v>
      </c>
      <c r="CS84" s="33" t="str">
        <f t="shared" si="63"/>
        <v>PCB</v>
      </c>
      <c r="CT84" s="33" t="str">
        <f t="shared" si="64"/>
        <v/>
      </c>
      <c r="CU84" s="33" t="str">
        <f t="shared" si="65"/>
        <v/>
      </c>
      <c r="CV84" s="33" t="str">
        <f t="shared" si="66"/>
        <v/>
      </c>
      <c r="CW84" s="33" t="str">
        <f t="shared" si="67"/>
        <v/>
      </c>
      <c r="CX84" s="33">
        <f t="shared" si="68"/>
        <v>6.36</v>
      </c>
      <c r="CY84" s="33" t="str">
        <f t="shared" si="69"/>
        <v xml:space="preserve"> 8 </v>
      </c>
    </row>
    <row r="85" spans="1:103" x14ac:dyDescent="0.2">
      <c r="B85" s="33">
        <v>-1607</v>
      </c>
      <c r="D85" s="105" t="s">
        <v>1114</v>
      </c>
      <c r="E85" s="105" t="s">
        <v>1114</v>
      </c>
      <c r="F85" s="34"/>
      <c r="G85" s="34"/>
      <c r="I85" s="33" t="e">
        <f t="shared" si="45"/>
        <v>#DIV/0!</v>
      </c>
      <c r="J85" s="33" t="e">
        <f t="shared" si="70"/>
        <v>#DIV/0!</v>
      </c>
      <c r="K85" s="44">
        <f t="shared" si="46"/>
        <v>6.2</v>
      </c>
      <c r="L85" s="33">
        <f t="shared" si="47"/>
        <v>210.8</v>
      </c>
      <c r="M85" s="33" t="s">
        <v>1552</v>
      </c>
      <c r="Q85" s="44" t="str">
        <f t="shared" si="48"/>
        <v xml:space="preserve"> </v>
      </c>
      <c r="R85" s="33" t="str">
        <f>IF(OR(ISBLANK(P85), ISBLANK(Q85)),"",CONCATENATE(" ",VLOOKUP(Q85,Literatuur!$A:$B,2,FALSE)," "))</f>
        <v/>
      </c>
      <c r="T85" s="44" t="str">
        <f t="shared" si="49"/>
        <v xml:space="preserve"> </v>
      </c>
      <c r="U85" s="33" t="str">
        <f>IF(OR(ISBLANK(S85), ISBLANK(T85)),"",CONCATENATE(" ",VLOOKUP(T85,Literatuur!$A:$B,2,FALSE)," "))</f>
        <v/>
      </c>
      <c r="W85" s="44" t="str">
        <f t="shared" si="50"/>
        <v xml:space="preserve"> </v>
      </c>
      <c r="X85" s="33" t="str">
        <f>IF(OR(ISBLANK(V85), ISBLANK(W85)),"",CONCATENATE(" ",VLOOKUP(W85,Literatuur!$A:$B,2,FALSE)," "))</f>
        <v/>
      </c>
      <c r="Z85" s="44" t="str">
        <f t="shared" si="51"/>
        <v xml:space="preserve"> </v>
      </c>
      <c r="AA85" s="33" t="str">
        <f>IF(OR(ISBLANK(Y85), ISBLANK(Z85)),"",CONCATENATE(" ",VLOOKUP(Z85,Literatuur!$A:$B,2,FALSE)," "))</f>
        <v/>
      </c>
      <c r="AC85" s="186" t="str">
        <f t="shared" si="52"/>
        <v xml:space="preserve"> </v>
      </c>
      <c r="AD85" s="33" t="str">
        <f>IF(OR(ISBLANK(AB85), ISBLANK(AC85)),"",CONCATENATE(" ",VLOOKUP(AC85,Literatuur!$A:$B,2,FALSE)," "))</f>
        <v/>
      </c>
      <c r="AG85" s="33" t="str">
        <f>IF(OR(ISBLANK(AE85), ISBLANK(AF85)),"",CONCATENATE(" ",VLOOKUP(AF85,Literatuur!$A:$B,2,FALSE)," "))</f>
        <v/>
      </c>
      <c r="AJ85" s="44" t="str">
        <f t="shared" si="53"/>
        <v xml:space="preserve"> </v>
      </c>
      <c r="AK85" s="33" t="str">
        <f>IF(OR(ISBLANK(AI85), ISBLANK(AJ85)),"",CONCATENATE(" ",VLOOKUP(AJ85,Literatuur!$A:$B,2,FALSE)," "))</f>
        <v/>
      </c>
      <c r="AM85" s="44" t="str">
        <f t="shared" si="54"/>
        <v xml:space="preserve"> </v>
      </c>
      <c r="AN85" s="33" t="str">
        <f>IF(OR(ISBLANK(AL85), ISBLANK(AM85)),"",CONCATENATE(" ",VLOOKUP(AM85,Literatuur!$A:$B,2,FALSE)," "))</f>
        <v/>
      </c>
      <c r="AP85" s="44" t="str">
        <f t="shared" si="55"/>
        <v xml:space="preserve"> </v>
      </c>
      <c r="AQ85" s="33" t="str">
        <f>IF(OR(ISBLANK(AO85), ISBLANK(AP85)),"",CONCATENATE(" ",VLOOKUP(AP85,Literatuur!$A:$B,2,FALSE)," "))</f>
        <v/>
      </c>
      <c r="AT85" s="33" t="str">
        <f>IF(OR(ISBLANK(AR85), ISBLANK(AS85)),"",CONCATENATE(" ",VLOOKUP(AS85,Literatuur!$A:$B,2,FALSE)," "))</f>
        <v/>
      </c>
      <c r="AW85" s="33" t="str">
        <f>IF(OR(ISBLANK(AU85), ISBLANK(AV85)),"",CONCATENATE(" ",VLOOKUP(AV85,Literatuur!$A:$B,2,FALSE)," "))</f>
        <v/>
      </c>
      <c r="AZ85" s="44" t="str">
        <f t="shared" si="56"/>
        <v xml:space="preserve"> </v>
      </c>
      <c r="BA85" s="33" t="str">
        <f>IF(OR(ISBLANK(AY85), ISBLANK(AZ85)),"",CONCATENATE(" ",VLOOKUP(AZ85,Literatuur!$A:$B,2,FALSE)," "))</f>
        <v/>
      </c>
      <c r="BC85" s="44" t="str">
        <f t="shared" si="57"/>
        <v xml:space="preserve"> </v>
      </c>
      <c r="BD85" s="33" t="str">
        <f>IF(OR(ISBLANK(BB85), ISBLANK(BC85)),"",CONCATENATE(" ",VLOOKUP(BC85,Literatuur!$A:$B,2,FALSE)," "))</f>
        <v/>
      </c>
      <c r="BF85" s="44" t="str">
        <f t="shared" si="58"/>
        <v xml:space="preserve"> </v>
      </c>
      <c r="BG85" s="33" t="str">
        <f>IF(OR(ISBLANK(BE85), ISBLANK(BF85)),"",CONCATENATE(" ",VLOOKUP(BF85,Literatuur!$A:$B,2,FALSE)," "))</f>
        <v/>
      </c>
      <c r="BI85" s="44" t="str">
        <f t="shared" si="59"/>
        <v xml:space="preserve"> </v>
      </c>
      <c r="BJ85" s="33" t="str">
        <f>IF(OR(ISBLANK(BH85), ISBLANK(BI85)),"",CONCATENATE(" ",VLOOKUP(BI85,Literatuur!$A:$B,2,FALSE)," "))</f>
        <v/>
      </c>
      <c r="BL85" s="44" t="str">
        <f t="shared" si="60"/>
        <v xml:space="preserve"> </v>
      </c>
      <c r="BM85" s="33" t="str">
        <f>IF(OR(ISBLANK(BK85), ISBLANK(BL85)),"",CONCATENATE(" ",VLOOKUP(BL85,Literatuur!$A:$B,2,FALSE)," "))</f>
        <v/>
      </c>
      <c r="BP85" s="33" t="str">
        <f>IF(OR(ISBLANK(BN85), ISBLANK(BO85)),"",CONCATENATE(" ",VLOOKUP(BO85,Literatuur!$A:$B,2,FALSE)," "))</f>
        <v/>
      </c>
      <c r="BS85" s="33" t="str">
        <f>IF(OR(ISBLANK(BQ85), ISBLANK(BR85)),"",CONCATENATE(" ",VLOOKUP(BR85,Literatuur!$A:$B,2,FALSE)," "))</f>
        <v/>
      </c>
      <c r="BT85" s="33">
        <v>6.2</v>
      </c>
      <c r="BU85" s="33" t="s">
        <v>2066</v>
      </c>
      <c r="BV85" s="33" t="str">
        <f>IF(OR(ISBLANK(BT85), ISBLANK(BU85)),"",CONCATENATE(" ",VLOOKUP(BU85,Literatuur!$A:$B,2,FALSE)," "))</f>
        <v xml:space="preserve"> 8 </v>
      </c>
      <c r="BY85" s="33">
        <v>210.8</v>
      </c>
      <c r="CB85" s="33" t="s">
        <v>2066</v>
      </c>
      <c r="CD85" s="33">
        <f t="shared" si="71"/>
        <v>210.8</v>
      </c>
      <c r="CE85" s="37"/>
      <c r="CH85" s="33">
        <f t="shared" si="61"/>
        <v>6.2</v>
      </c>
      <c r="CR85" s="33" t="str">
        <f t="shared" si="62"/>
        <v>PCB #82</v>
      </c>
      <c r="CS85" s="33" t="str">
        <f t="shared" si="63"/>
        <v>PCB</v>
      </c>
      <c r="CT85" s="33" t="str">
        <f t="shared" si="64"/>
        <v/>
      </c>
      <c r="CU85" s="33" t="str">
        <f t="shared" si="65"/>
        <v/>
      </c>
      <c r="CV85" s="33" t="str">
        <f t="shared" si="66"/>
        <v/>
      </c>
      <c r="CW85" s="33" t="str">
        <f t="shared" si="67"/>
        <v/>
      </c>
      <c r="CX85" s="33">
        <f t="shared" si="68"/>
        <v>6.2</v>
      </c>
      <c r="CY85" s="33" t="str">
        <f t="shared" si="69"/>
        <v xml:space="preserve"> 8 </v>
      </c>
    </row>
    <row r="86" spans="1:103" x14ac:dyDescent="0.2">
      <c r="B86" s="33">
        <v>-1608</v>
      </c>
      <c r="D86" s="105" t="s">
        <v>1115</v>
      </c>
      <c r="E86" s="105" t="s">
        <v>1115</v>
      </c>
      <c r="F86" s="34"/>
      <c r="G86" s="34"/>
      <c r="I86" s="33" t="e">
        <f t="shared" si="45"/>
        <v>#DIV/0!</v>
      </c>
      <c r="J86" s="33" t="e">
        <f t="shared" si="70"/>
        <v>#DIV/0!</v>
      </c>
      <c r="K86" s="44">
        <f t="shared" si="46"/>
        <v>6.26</v>
      </c>
      <c r="L86" s="33">
        <f t="shared" si="47"/>
        <v>211.5</v>
      </c>
      <c r="M86" s="33" t="s">
        <v>1552</v>
      </c>
      <c r="Q86" s="44" t="str">
        <f t="shared" si="48"/>
        <v xml:space="preserve"> </v>
      </c>
      <c r="R86" s="33" t="str">
        <f>IF(OR(ISBLANK(P86), ISBLANK(Q86)),"",CONCATENATE(" ",VLOOKUP(Q86,Literatuur!$A:$B,2,FALSE)," "))</f>
        <v/>
      </c>
      <c r="T86" s="44" t="str">
        <f t="shared" si="49"/>
        <v xml:space="preserve"> </v>
      </c>
      <c r="U86" s="33" t="str">
        <f>IF(OR(ISBLANK(S86), ISBLANK(T86)),"",CONCATENATE(" ",VLOOKUP(T86,Literatuur!$A:$B,2,FALSE)," "))</f>
        <v/>
      </c>
      <c r="W86" s="44" t="str">
        <f t="shared" si="50"/>
        <v xml:space="preserve"> </v>
      </c>
      <c r="X86" s="33" t="str">
        <f>IF(OR(ISBLANK(V86), ISBLANK(W86)),"",CONCATENATE(" ",VLOOKUP(W86,Literatuur!$A:$B,2,FALSE)," "))</f>
        <v/>
      </c>
      <c r="Z86" s="44" t="str">
        <f t="shared" si="51"/>
        <v xml:space="preserve"> </v>
      </c>
      <c r="AA86" s="33" t="str">
        <f>IF(OR(ISBLANK(Y86), ISBLANK(Z86)),"",CONCATENATE(" ",VLOOKUP(Z86,Literatuur!$A:$B,2,FALSE)," "))</f>
        <v/>
      </c>
      <c r="AC86" s="186" t="str">
        <f t="shared" si="52"/>
        <v xml:space="preserve"> </v>
      </c>
      <c r="AD86" s="33" t="str">
        <f>IF(OR(ISBLANK(AB86), ISBLANK(AC86)),"",CONCATENATE(" ",VLOOKUP(AC86,Literatuur!$A:$B,2,FALSE)," "))</f>
        <v/>
      </c>
      <c r="AG86" s="33" t="str">
        <f>IF(OR(ISBLANK(AE86), ISBLANK(AF86)),"",CONCATENATE(" ",VLOOKUP(AF86,Literatuur!$A:$B,2,FALSE)," "))</f>
        <v/>
      </c>
      <c r="AJ86" s="44" t="str">
        <f t="shared" si="53"/>
        <v xml:space="preserve"> </v>
      </c>
      <c r="AK86" s="33" t="str">
        <f>IF(OR(ISBLANK(AI86), ISBLANK(AJ86)),"",CONCATENATE(" ",VLOOKUP(AJ86,Literatuur!$A:$B,2,FALSE)," "))</f>
        <v/>
      </c>
      <c r="AM86" s="44" t="str">
        <f t="shared" si="54"/>
        <v xml:space="preserve"> </v>
      </c>
      <c r="AN86" s="33" t="str">
        <f>IF(OR(ISBLANK(AL86), ISBLANK(AM86)),"",CONCATENATE(" ",VLOOKUP(AM86,Literatuur!$A:$B,2,FALSE)," "))</f>
        <v/>
      </c>
      <c r="AP86" s="44" t="str">
        <f t="shared" si="55"/>
        <v xml:space="preserve"> </v>
      </c>
      <c r="AQ86" s="33" t="str">
        <f>IF(OR(ISBLANK(AO86), ISBLANK(AP86)),"",CONCATENATE(" ",VLOOKUP(AP86,Literatuur!$A:$B,2,FALSE)," "))</f>
        <v/>
      </c>
      <c r="AT86" s="33" t="str">
        <f>IF(OR(ISBLANK(AR86), ISBLANK(AS86)),"",CONCATENATE(" ",VLOOKUP(AS86,Literatuur!$A:$B,2,FALSE)," "))</f>
        <v/>
      </c>
      <c r="AW86" s="33" t="str">
        <f>IF(OR(ISBLANK(AU86), ISBLANK(AV86)),"",CONCATENATE(" ",VLOOKUP(AV86,Literatuur!$A:$B,2,FALSE)," "))</f>
        <v/>
      </c>
      <c r="AZ86" s="44" t="str">
        <f t="shared" si="56"/>
        <v xml:space="preserve"> </v>
      </c>
      <c r="BA86" s="33" t="str">
        <f>IF(OR(ISBLANK(AY86), ISBLANK(AZ86)),"",CONCATENATE(" ",VLOOKUP(AZ86,Literatuur!$A:$B,2,FALSE)," "))</f>
        <v/>
      </c>
      <c r="BC86" s="44" t="str">
        <f t="shared" si="57"/>
        <v xml:space="preserve"> </v>
      </c>
      <c r="BD86" s="33" t="str">
        <f>IF(OR(ISBLANK(BB86), ISBLANK(BC86)),"",CONCATENATE(" ",VLOOKUP(BC86,Literatuur!$A:$B,2,FALSE)," "))</f>
        <v/>
      </c>
      <c r="BF86" s="44" t="str">
        <f t="shared" si="58"/>
        <v xml:space="preserve"> </v>
      </c>
      <c r="BG86" s="33" t="str">
        <f>IF(OR(ISBLANK(BE86), ISBLANK(BF86)),"",CONCATENATE(" ",VLOOKUP(BF86,Literatuur!$A:$B,2,FALSE)," "))</f>
        <v/>
      </c>
      <c r="BI86" s="44" t="str">
        <f t="shared" si="59"/>
        <v xml:space="preserve"> </v>
      </c>
      <c r="BJ86" s="33" t="str">
        <f>IF(OR(ISBLANK(BH86), ISBLANK(BI86)),"",CONCATENATE(" ",VLOOKUP(BI86,Literatuur!$A:$B,2,FALSE)," "))</f>
        <v/>
      </c>
      <c r="BL86" s="44" t="str">
        <f t="shared" si="60"/>
        <v xml:space="preserve"> </v>
      </c>
      <c r="BM86" s="33" t="str">
        <f>IF(OR(ISBLANK(BK86), ISBLANK(BL86)),"",CONCATENATE(" ",VLOOKUP(BL86,Literatuur!$A:$B,2,FALSE)," "))</f>
        <v/>
      </c>
      <c r="BP86" s="33" t="str">
        <f>IF(OR(ISBLANK(BN86), ISBLANK(BO86)),"",CONCATENATE(" ",VLOOKUP(BO86,Literatuur!$A:$B,2,FALSE)," "))</f>
        <v/>
      </c>
      <c r="BS86" s="33" t="str">
        <f>IF(OR(ISBLANK(BQ86), ISBLANK(BR86)),"",CONCATENATE(" ",VLOOKUP(BR86,Literatuur!$A:$B,2,FALSE)," "))</f>
        <v/>
      </c>
      <c r="BT86" s="33">
        <v>6.26</v>
      </c>
      <c r="BU86" s="33" t="s">
        <v>2066</v>
      </c>
      <c r="BV86" s="33" t="str">
        <f>IF(OR(ISBLANK(BT86), ISBLANK(BU86)),"",CONCATENATE(" ",VLOOKUP(BU86,Literatuur!$A:$B,2,FALSE)," "))</f>
        <v xml:space="preserve"> 8 </v>
      </c>
      <c r="BY86" s="33">
        <v>211.5</v>
      </c>
      <c r="CB86" s="33" t="s">
        <v>2066</v>
      </c>
      <c r="CD86" s="33">
        <f t="shared" si="71"/>
        <v>211.5</v>
      </c>
      <c r="CE86" s="37"/>
      <c r="CH86" s="33">
        <f t="shared" si="61"/>
        <v>6.26</v>
      </c>
      <c r="CR86" s="33" t="str">
        <f t="shared" si="62"/>
        <v>PCB #83</v>
      </c>
      <c r="CS86" s="33" t="str">
        <f t="shared" si="63"/>
        <v>PCB</v>
      </c>
      <c r="CT86" s="33" t="str">
        <f t="shared" si="64"/>
        <v/>
      </c>
      <c r="CU86" s="33" t="str">
        <f t="shared" si="65"/>
        <v/>
      </c>
      <c r="CV86" s="33" t="str">
        <f t="shared" si="66"/>
        <v/>
      </c>
      <c r="CW86" s="33" t="str">
        <f t="shared" si="67"/>
        <v/>
      </c>
      <c r="CX86" s="33">
        <f t="shared" si="68"/>
        <v>6.26</v>
      </c>
      <c r="CY86" s="33" t="str">
        <f t="shared" si="69"/>
        <v xml:space="preserve"> 8 </v>
      </c>
    </row>
    <row r="87" spans="1:103" x14ac:dyDescent="0.2">
      <c r="B87" s="33">
        <v>-1609</v>
      </c>
      <c r="D87" s="105" t="s">
        <v>1116</v>
      </c>
      <c r="E87" s="105" t="s">
        <v>1116</v>
      </c>
      <c r="F87" s="34"/>
      <c r="G87" s="34"/>
      <c r="I87" s="33">
        <f t="shared" si="45"/>
        <v>326.39999999999998</v>
      </c>
      <c r="J87" s="33">
        <f t="shared" si="70"/>
        <v>5.1730913801930692E-2</v>
      </c>
      <c r="K87" s="44">
        <f t="shared" si="46"/>
        <v>6.333333333333333</v>
      </c>
      <c r="L87" s="33">
        <f t="shared" si="47"/>
        <v>211.85</v>
      </c>
      <c r="M87" s="33" t="s">
        <v>1552</v>
      </c>
      <c r="Q87" s="44" t="str">
        <f t="shared" si="48"/>
        <v xml:space="preserve"> </v>
      </c>
      <c r="R87" s="33" t="str">
        <f>IF(OR(ISBLANK(P87), ISBLANK(Q87)),"",CONCATENATE(" ",VLOOKUP(Q87,Literatuur!$A:$B,2,FALSE)," "))</f>
        <v/>
      </c>
      <c r="T87" s="44" t="str">
        <f t="shared" si="49"/>
        <v xml:space="preserve"> </v>
      </c>
      <c r="U87" s="33" t="str">
        <f>IF(OR(ISBLANK(S87), ISBLANK(T87)),"",CONCATENATE(" ",VLOOKUP(T87,Literatuur!$A:$B,2,FALSE)," "))</f>
        <v/>
      </c>
      <c r="W87" s="44" t="str">
        <f t="shared" si="50"/>
        <v xml:space="preserve"> </v>
      </c>
      <c r="X87" s="33" t="str">
        <f>IF(OR(ISBLANK(V87), ISBLANK(W87)),"",CONCATENATE(" ",VLOOKUP(W87,Literatuur!$A:$B,2,FALSE)," "))</f>
        <v/>
      </c>
      <c r="Z87" s="44" t="str">
        <f t="shared" si="51"/>
        <v xml:space="preserve"> </v>
      </c>
      <c r="AA87" s="33" t="str">
        <f>IF(OR(ISBLANK(Y87), ISBLANK(Z87)),"",CONCATENATE(" ",VLOOKUP(Z87,Literatuur!$A:$B,2,FALSE)," "))</f>
        <v/>
      </c>
      <c r="AC87" s="186" t="str">
        <f t="shared" si="52"/>
        <v xml:space="preserve"> </v>
      </c>
      <c r="AD87" s="33" t="str">
        <f>IF(OR(ISBLANK(AB87), ISBLANK(AC87)),"",CONCATENATE(" ",VLOOKUP(AC87,Literatuur!$A:$B,2,FALSE)," "))</f>
        <v/>
      </c>
      <c r="AE87" s="39">
        <v>5.1730913801930692E-2</v>
      </c>
      <c r="AF87" s="33" t="s">
        <v>1557</v>
      </c>
      <c r="AG87" s="33" t="str">
        <f>IF(OR(ISBLANK(AE87), ISBLANK(AF87)),"",CONCATENATE(" ",VLOOKUP(AF87,Literatuur!$A:$B,2,FALSE)," "))</f>
        <v xml:space="preserve"> 17 </v>
      </c>
      <c r="AJ87" s="44" t="str">
        <f t="shared" si="53"/>
        <v xml:space="preserve"> </v>
      </c>
      <c r="AK87" s="33" t="str">
        <f>IF(OR(ISBLANK(AI87), ISBLANK(AJ87)),"",CONCATENATE(" ",VLOOKUP(AJ87,Literatuur!$A:$B,2,FALSE)," "))</f>
        <v/>
      </c>
      <c r="AM87" s="44" t="str">
        <f t="shared" si="54"/>
        <v xml:space="preserve"> </v>
      </c>
      <c r="AN87" s="33" t="str">
        <f>IF(OR(ISBLANK(AL87), ISBLANK(AM87)),"",CONCATENATE(" ",VLOOKUP(AM87,Literatuur!$A:$B,2,FALSE)," "))</f>
        <v/>
      </c>
      <c r="AP87" s="44" t="str">
        <f t="shared" si="55"/>
        <v xml:space="preserve"> </v>
      </c>
      <c r="AQ87" s="33" t="str">
        <f>IF(OR(ISBLANK(AO87), ISBLANK(AP87)),"",CONCATENATE(" ",VLOOKUP(AP87,Literatuur!$A:$B,2,FALSE)," "))</f>
        <v/>
      </c>
      <c r="AT87" s="33" t="str">
        <f>IF(OR(ISBLANK(AR87), ISBLANK(AS87)),"",CONCATENATE(" ",VLOOKUP(AS87,Literatuur!$A:$B,2,FALSE)," "))</f>
        <v/>
      </c>
      <c r="AU87" s="33">
        <v>326.39999999999998</v>
      </c>
      <c r="AV87" s="33" t="s">
        <v>1557</v>
      </c>
      <c r="AW87" s="33" t="str">
        <f>IF(OR(ISBLANK(AU87), ISBLANK(AV87)),"",CONCATENATE(" ",VLOOKUP(AV87,Literatuur!$A:$B,2,FALSE)," "))</f>
        <v xml:space="preserve"> 17 </v>
      </c>
      <c r="AZ87" s="44" t="str">
        <f t="shared" si="56"/>
        <v xml:space="preserve"> </v>
      </c>
      <c r="BA87" s="33" t="str">
        <f>IF(OR(ISBLANK(AY87), ISBLANK(AZ87)),"",CONCATENATE(" ",VLOOKUP(AZ87,Literatuur!$A:$B,2,FALSE)," "))</f>
        <v/>
      </c>
      <c r="BC87" s="44" t="str">
        <f t="shared" si="57"/>
        <v xml:space="preserve"> </v>
      </c>
      <c r="BD87" s="33" t="str">
        <f>IF(OR(ISBLANK(BB87), ISBLANK(BC87)),"",CONCATENATE(" ",VLOOKUP(BC87,Literatuur!$A:$B,2,FALSE)," "))</f>
        <v/>
      </c>
      <c r="BF87" s="44" t="str">
        <f t="shared" si="58"/>
        <v xml:space="preserve"> </v>
      </c>
      <c r="BG87" s="33" t="str">
        <f>IF(OR(ISBLANK(BE87), ISBLANK(BF87)),"",CONCATENATE(" ",VLOOKUP(BF87,Literatuur!$A:$B,2,FALSE)," "))</f>
        <v/>
      </c>
      <c r="BI87" s="44" t="str">
        <f t="shared" si="59"/>
        <v xml:space="preserve"> </v>
      </c>
      <c r="BJ87" s="33" t="str">
        <f>IF(OR(ISBLANK(BH87), ISBLANK(BI87)),"",CONCATENATE(" ",VLOOKUP(BI87,Literatuur!$A:$B,2,FALSE)," "))</f>
        <v/>
      </c>
      <c r="BL87" s="44" t="str">
        <f t="shared" si="60"/>
        <v xml:space="preserve"> </v>
      </c>
      <c r="BM87" s="33" t="str">
        <f>IF(OR(ISBLANK(BK87), ISBLANK(BL87)),"",CONCATENATE(" ",VLOOKUP(BL87,Literatuur!$A:$B,2,FALSE)," "))</f>
        <v/>
      </c>
      <c r="BN87" s="33">
        <v>6.4</v>
      </c>
      <c r="BO87" s="33" t="s">
        <v>1557</v>
      </c>
      <c r="BP87" s="33" t="str">
        <f>IF(OR(ISBLANK(BN87), ISBLANK(BO87)),"",CONCATENATE(" ",VLOOKUP(BO87,Literatuur!$A:$B,2,FALSE)," "))</f>
        <v xml:space="preserve"> 17 </v>
      </c>
      <c r="BQ87" s="33">
        <v>6.3</v>
      </c>
      <c r="BR87" s="33" t="s">
        <v>1557</v>
      </c>
      <c r="BS87" s="33" t="str">
        <f>IF(OR(ISBLANK(BQ87), ISBLANK(BR87)),"",CONCATENATE(" ",VLOOKUP(BR87,Literatuur!$A:$B,2,FALSE)," "))</f>
        <v xml:space="preserve"> 17 </v>
      </c>
      <c r="BT87" s="33">
        <v>6.3</v>
      </c>
      <c r="BU87" s="33" t="s">
        <v>2066</v>
      </c>
      <c r="BV87" s="33" t="str">
        <f>IF(OR(ISBLANK(BT87), ISBLANK(BU87)),"",CONCATENATE(" ",VLOOKUP(BU87,Literatuur!$A:$B,2,FALSE)," "))</f>
        <v xml:space="preserve"> 8 </v>
      </c>
      <c r="BX87" s="33">
        <v>212.1</v>
      </c>
      <c r="BY87" s="33">
        <v>211.6</v>
      </c>
      <c r="BZ87" s="33">
        <v>188.6</v>
      </c>
      <c r="CA87" s="33" t="s">
        <v>1557</v>
      </c>
      <c r="CB87" s="33" t="s">
        <v>2066</v>
      </c>
      <c r="CC87" s="33" t="s">
        <v>1734</v>
      </c>
      <c r="CD87" s="33">
        <f t="shared" si="71"/>
        <v>211.85</v>
      </c>
      <c r="CE87" s="37">
        <f>I87</f>
        <v>326.39999999999998</v>
      </c>
      <c r="CG87" s="33">
        <f>LOG(J87)</f>
        <v>-1.2862498499181769</v>
      </c>
      <c r="CH87" s="33">
        <f t="shared" si="61"/>
        <v>6.333333333333333</v>
      </c>
      <c r="CR87" s="33" t="str">
        <f t="shared" si="62"/>
        <v>PCB #85</v>
      </c>
      <c r="CS87" s="33" t="str">
        <f t="shared" si="63"/>
        <v>PCB</v>
      </c>
      <c r="CT87" s="33">
        <f t="shared" si="64"/>
        <v>326.39999999999998</v>
      </c>
      <c r="CU87" s="33" t="str">
        <f t="shared" si="65"/>
        <v xml:space="preserve"> 17 </v>
      </c>
      <c r="CV87" s="33">
        <f t="shared" si="66"/>
        <v>5.1730913801930692E-2</v>
      </c>
      <c r="CW87" s="33" t="str">
        <f t="shared" si="67"/>
        <v xml:space="preserve"> 17 </v>
      </c>
      <c r="CX87" s="33">
        <f t="shared" si="68"/>
        <v>6.333333333333333</v>
      </c>
      <c r="CY87" s="33" t="str">
        <f t="shared" si="69"/>
        <v xml:space="preserve"> 17  17  8 </v>
      </c>
    </row>
    <row r="88" spans="1:103" x14ac:dyDescent="0.2">
      <c r="B88" s="33">
        <v>-1610</v>
      </c>
      <c r="D88" s="105" t="s">
        <v>1117</v>
      </c>
      <c r="E88" s="105" t="s">
        <v>1117</v>
      </c>
      <c r="F88" s="34"/>
      <c r="G88" s="34"/>
      <c r="I88" s="33">
        <f t="shared" si="45"/>
        <v>326.39999999999998</v>
      </c>
      <c r="J88" s="33">
        <f t="shared" si="70"/>
        <v>5.1730913801930692E-2</v>
      </c>
      <c r="K88" s="44">
        <f t="shared" si="46"/>
        <v>6.3299999999999992</v>
      </c>
      <c r="L88" s="33">
        <f t="shared" si="47"/>
        <v>211.7</v>
      </c>
      <c r="M88" s="33" t="s">
        <v>1552</v>
      </c>
      <c r="Q88" s="44" t="str">
        <f t="shared" si="48"/>
        <v xml:space="preserve"> </v>
      </c>
      <c r="R88" s="33" t="str">
        <f>IF(OR(ISBLANK(P88), ISBLANK(Q88)),"",CONCATENATE(" ",VLOOKUP(Q88,Literatuur!$A:$B,2,FALSE)," "))</f>
        <v/>
      </c>
      <c r="T88" s="44" t="str">
        <f t="shared" si="49"/>
        <v xml:space="preserve"> </v>
      </c>
      <c r="U88" s="33" t="str">
        <f>IF(OR(ISBLANK(S88), ISBLANK(T88)),"",CONCATENATE(" ",VLOOKUP(T88,Literatuur!$A:$B,2,FALSE)," "))</f>
        <v/>
      </c>
      <c r="W88" s="44" t="str">
        <f t="shared" si="50"/>
        <v xml:space="preserve"> </v>
      </c>
      <c r="X88" s="33" t="str">
        <f>IF(OR(ISBLANK(V88), ISBLANK(W88)),"",CONCATENATE(" ",VLOOKUP(W88,Literatuur!$A:$B,2,FALSE)," "))</f>
        <v/>
      </c>
      <c r="Z88" s="44" t="str">
        <f t="shared" si="51"/>
        <v xml:space="preserve"> </v>
      </c>
      <c r="AA88" s="33" t="str">
        <f>IF(OR(ISBLANK(Y88), ISBLANK(Z88)),"",CONCATENATE(" ",VLOOKUP(Z88,Literatuur!$A:$B,2,FALSE)," "))</f>
        <v/>
      </c>
      <c r="AC88" s="36" t="str">
        <f t="shared" si="52"/>
        <v xml:space="preserve"> </v>
      </c>
      <c r="AD88" s="33" t="str">
        <f>IF(OR(ISBLANK(AB88), ISBLANK(AC88)),"",CONCATENATE(" ",VLOOKUP(AC88,Literatuur!$A:$B,2,FALSE)," "))</f>
        <v/>
      </c>
      <c r="AE88" s="365">
        <v>5.1730913801930692E-2</v>
      </c>
      <c r="AF88" s="33" t="s">
        <v>1557</v>
      </c>
      <c r="AG88" s="33" t="str">
        <f>IF(OR(ISBLANK(AE88), ISBLANK(AF88)),"",CONCATENATE(" ",VLOOKUP(AF88,Literatuur!$A:$B,2,FALSE)," "))</f>
        <v xml:space="preserve"> 17 </v>
      </c>
      <c r="AJ88" s="44" t="str">
        <f t="shared" si="53"/>
        <v xml:space="preserve"> </v>
      </c>
      <c r="AK88" s="33" t="str">
        <f>IF(OR(ISBLANK(AI88), ISBLANK(AJ88)),"",CONCATENATE(" ",VLOOKUP(AJ88,Literatuur!$A:$B,2,FALSE)," "))</f>
        <v/>
      </c>
      <c r="AM88" s="44" t="str">
        <f t="shared" si="54"/>
        <v xml:space="preserve"> </v>
      </c>
      <c r="AN88" s="33" t="str">
        <f>IF(OR(ISBLANK(AL88), ISBLANK(AM88)),"",CONCATENATE(" ",VLOOKUP(AM88,Literatuur!$A:$B,2,FALSE)," "))</f>
        <v/>
      </c>
      <c r="AP88" s="44" t="str">
        <f t="shared" si="55"/>
        <v xml:space="preserve"> </v>
      </c>
      <c r="AQ88" s="33" t="str">
        <f>IF(OR(ISBLANK(AO88), ISBLANK(AP88)),"",CONCATENATE(" ",VLOOKUP(AP88,Literatuur!$A:$B,2,FALSE)," "))</f>
        <v/>
      </c>
      <c r="AT88" s="33" t="str">
        <f>IF(OR(ISBLANK(AR88), ISBLANK(AS88)),"",CONCATENATE(" ",VLOOKUP(AS88,Literatuur!$A:$B,2,FALSE)," "))</f>
        <v/>
      </c>
      <c r="AU88" s="33">
        <v>326.39999999999998</v>
      </c>
      <c r="AV88" s="33" t="s">
        <v>1557</v>
      </c>
      <c r="AW88" s="33" t="str">
        <f>IF(OR(ISBLANK(AU88), ISBLANK(AV88)),"",CONCATENATE(" ",VLOOKUP(AV88,Literatuur!$A:$B,2,FALSE)," "))</f>
        <v xml:space="preserve"> 17 </v>
      </c>
      <c r="AZ88" s="44" t="str">
        <f t="shared" si="56"/>
        <v xml:space="preserve"> </v>
      </c>
      <c r="BA88" s="33" t="str">
        <f>IF(OR(ISBLANK(AY88), ISBLANK(AZ88)),"",CONCATENATE(" ",VLOOKUP(AZ88,Literatuur!$A:$B,2,FALSE)," "))</f>
        <v/>
      </c>
      <c r="BC88" s="44" t="str">
        <f t="shared" si="57"/>
        <v xml:space="preserve"> </v>
      </c>
      <c r="BD88" s="33" t="str">
        <f>IF(OR(ISBLANK(BB88), ISBLANK(BC88)),"",CONCATENATE(" ",VLOOKUP(BC88,Literatuur!$A:$B,2,FALSE)," "))</f>
        <v/>
      </c>
      <c r="BF88" s="44" t="str">
        <f t="shared" si="58"/>
        <v xml:space="preserve"> </v>
      </c>
      <c r="BG88" s="33" t="str">
        <f>IF(OR(ISBLANK(BE88), ISBLANK(BF88)),"",CONCATENATE(" ",VLOOKUP(BF88,Literatuur!$A:$B,2,FALSE)," "))</f>
        <v/>
      </c>
      <c r="BI88" s="44" t="str">
        <f t="shared" si="59"/>
        <v xml:space="preserve"> </v>
      </c>
      <c r="BJ88" s="33" t="str">
        <f>IF(OR(ISBLANK(BH88), ISBLANK(BI88)),"",CONCATENATE(" ",VLOOKUP(BI88,Literatuur!$A:$B,2,FALSE)," "))</f>
        <v/>
      </c>
      <c r="BL88" s="44" t="str">
        <f t="shared" si="60"/>
        <v xml:space="preserve"> </v>
      </c>
      <c r="BM88" s="33" t="str">
        <f>IF(OR(ISBLANK(BK88), ISBLANK(BL88)),"",CONCATENATE(" ",VLOOKUP(BL88,Literatuur!$A:$B,2,FALSE)," "))</f>
        <v/>
      </c>
      <c r="BN88" s="33">
        <v>6.4</v>
      </c>
      <c r="BO88" s="33" t="s">
        <v>1557</v>
      </c>
      <c r="BP88" s="33" t="str">
        <f>IF(OR(ISBLANK(BN88), ISBLANK(BO88)),"",CONCATENATE(" ",VLOOKUP(BO88,Literatuur!$A:$B,2,FALSE)," "))</f>
        <v xml:space="preserve"> 17 </v>
      </c>
      <c r="BQ88" s="33">
        <v>6.3</v>
      </c>
      <c r="BR88" s="33" t="s">
        <v>1557</v>
      </c>
      <c r="BS88" s="33" t="str">
        <f>IF(OR(ISBLANK(BQ88), ISBLANK(BR88)),"",CONCATENATE(" ",VLOOKUP(BR88,Literatuur!$A:$B,2,FALSE)," "))</f>
        <v xml:space="preserve"> 17 </v>
      </c>
      <c r="BT88" s="33">
        <v>6.29</v>
      </c>
      <c r="BU88" s="33" t="s">
        <v>2066</v>
      </c>
      <c r="BV88" s="33" t="str">
        <f>IF(OR(ISBLANK(BT88), ISBLANK(BU88)),"",CONCATENATE(" ",VLOOKUP(BU88,Literatuur!$A:$B,2,FALSE)," "))</f>
        <v xml:space="preserve"> 8 </v>
      </c>
      <c r="BX88" s="33">
        <v>212</v>
      </c>
      <c r="BY88" s="33">
        <v>211.4</v>
      </c>
      <c r="BZ88" s="339">
        <v>186.9</v>
      </c>
      <c r="CA88" s="33" t="s">
        <v>1557</v>
      </c>
      <c r="CB88" s="33" t="s">
        <v>2066</v>
      </c>
      <c r="CC88" s="33" t="s">
        <v>1734</v>
      </c>
      <c r="CD88" s="33">
        <f t="shared" si="71"/>
        <v>211.7</v>
      </c>
      <c r="CE88" s="37">
        <f>I88</f>
        <v>326.39999999999998</v>
      </c>
      <c r="CG88" s="33">
        <f>LOG(J88)</f>
        <v>-1.2862498499181769</v>
      </c>
      <c r="CH88" s="33">
        <f t="shared" si="61"/>
        <v>6.3299999999999992</v>
      </c>
      <c r="CR88" s="33" t="str">
        <f t="shared" si="62"/>
        <v>PCB #87</v>
      </c>
      <c r="CS88" s="33" t="str">
        <f t="shared" si="63"/>
        <v>PCB</v>
      </c>
      <c r="CT88" s="33">
        <f t="shared" si="64"/>
        <v>326.39999999999998</v>
      </c>
      <c r="CU88" s="33" t="str">
        <f t="shared" si="65"/>
        <v xml:space="preserve"> 17 </v>
      </c>
      <c r="CV88" s="33">
        <f t="shared" si="66"/>
        <v>5.1730913801930692E-2</v>
      </c>
      <c r="CW88" s="33" t="str">
        <f t="shared" si="67"/>
        <v xml:space="preserve"> 17 </v>
      </c>
      <c r="CX88" s="33">
        <f t="shared" si="68"/>
        <v>6.3299999999999992</v>
      </c>
      <c r="CY88" s="33" t="str">
        <f t="shared" si="69"/>
        <v xml:space="preserve"> 17  17  8 </v>
      </c>
    </row>
    <row r="89" spans="1:103" x14ac:dyDescent="0.2">
      <c r="B89" s="33">
        <v>-1611</v>
      </c>
      <c r="D89" s="105" t="s">
        <v>1118</v>
      </c>
      <c r="E89" s="105" t="s">
        <v>1118</v>
      </c>
      <c r="F89" s="34"/>
      <c r="G89" s="34"/>
      <c r="I89" s="33" t="e">
        <f t="shared" si="45"/>
        <v>#DIV/0!</v>
      </c>
      <c r="J89" s="33" t="e">
        <f t="shared" si="70"/>
        <v>#DIV/0!</v>
      </c>
      <c r="K89" s="44">
        <f t="shared" si="46"/>
        <v>6.07</v>
      </c>
      <c r="L89" s="33">
        <f t="shared" si="47"/>
        <v>210.5</v>
      </c>
      <c r="M89" s="33" t="s">
        <v>1552</v>
      </c>
      <c r="Q89" s="44" t="str">
        <f t="shared" si="48"/>
        <v xml:space="preserve"> </v>
      </c>
      <c r="R89" s="33" t="str">
        <f>IF(OR(ISBLANK(P89), ISBLANK(Q89)),"",CONCATENATE(" ",VLOOKUP(Q89,Literatuur!$A:$B,2,FALSE)," "))</f>
        <v/>
      </c>
      <c r="T89" s="44" t="str">
        <f t="shared" si="49"/>
        <v xml:space="preserve"> </v>
      </c>
      <c r="U89" s="33" t="str">
        <f>IF(OR(ISBLANK(S89), ISBLANK(T89)),"",CONCATENATE(" ",VLOOKUP(T89,Literatuur!$A:$B,2,FALSE)," "))</f>
        <v/>
      </c>
      <c r="W89" s="44" t="str">
        <f t="shared" si="50"/>
        <v xml:space="preserve"> </v>
      </c>
      <c r="X89" s="33" t="str">
        <f>IF(OR(ISBLANK(V89), ISBLANK(W89)),"",CONCATENATE(" ",VLOOKUP(W89,Literatuur!$A:$B,2,FALSE)," "))</f>
        <v/>
      </c>
      <c r="Z89" s="44" t="str">
        <f t="shared" si="51"/>
        <v xml:space="preserve"> </v>
      </c>
      <c r="AA89" s="33" t="str">
        <f>IF(OR(ISBLANK(Y89), ISBLANK(Z89)),"",CONCATENATE(" ",VLOOKUP(Z89,Literatuur!$A:$B,2,FALSE)," "))</f>
        <v/>
      </c>
      <c r="AC89" s="36" t="str">
        <f t="shared" si="52"/>
        <v xml:space="preserve"> </v>
      </c>
      <c r="AD89" s="33" t="str">
        <f>IF(OR(ISBLANK(AB89), ISBLANK(AC89)),"",CONCATENATE(" ",VLOOKUP(AC89,Literatuur!$A:$B,2,FALSE)," "))</f>
        <v/>
      </c>
      <c r="AG89" s="33" t="str">
        <f>IF(OR(ISBLANK(AE89), ISBLANK(AF89)),"",CONCATENATE(" ",VLOOKUP(AF89,Literatuur!$A:$B,2,FALSE)," "))</f>
        <v/>
      </c>
      <c r="AJ89" s="44" t="str">
        <f t="shared" si="53"/>
        <v xml:space="preserve"> </v>
      </c>
      <c r="AK89" s="33" t="str">
        <f>IF(OR(ISBLANK(AI89), ISBLANK(AJ89)),"",CONCATENATE(" ",VLOOKUP(AJ89,Literatuur!$A:$B,2,FALSE)," "))</f>
        <v/>
      </c>
      <c r="AM89" s="44" t="str">
        <f t="shared" si="54"/>
        <v xml:space="preserve"> </v>
      </c>
      <c r="AN89" s="33" t="str">
        <f>IF(OR(ISBLANK(AL89), ISBLANK(AM89)),"",CONCATENATE(" ",VLOOKUP(AM89,Literatuur!$A:$B,2,FALSE)," "))</f>
        <v/>
      </c>
      <c r="AP89" s="44" t="str">
        <f t="shared" si="55"/>
        <v xml:space="preserve"> </v>
      </c>
      <c r="AQ89" s="33" t="str">
        <f>IF(OR(ISBLANK(AO89), ISBLANK(AP89)),"",CONCATENATE(" ",VLOOKUP(AP89,Literatuur!$A:$B,2,FALSE)," "))</f>
        <v/>
      </c>
      <c r="AT89" s="33" t="str">
        <f>IF(OR(ISBLANK(AR89), ISBLANK(AS89)),"",CONCATENATE(" ",VLOOKUP(AS89,Literatuur!$A:$B,2,FALSE)," "))</f>
        <v/>
      </c>
      <c r="AW89" s="33" t="str">
        <f>IF(OR(ISBLANK(AU89), ISBLANK(AV89)),"",CONCATENATE(" ",VLOOKUP(AV89,Literatuur!$A:$B,2,FALSE)," "))</f>
        <v/>
      </c>
      <c r="AZ89" s="44" t="str">
        <f t="shared" si="56"/>
        <v xml:space="preserve"> </v>
      </c>
      <c r="BA89" s="33" t="str">
        <f>IF(OR(ISBLANK(AY89), ISBLANK(AZ89)),"",CONCATENATE(" ",VLOOKUP(AZ89,Literatuur!$A:$B,2,FALSE)," "))</f>
        <v/>
      </c>
      <c r="BC89" s="44" t="str">
        <f t="shared" si="57"/>
        <v xml:space="preserve"> </v>
      </c>
      <c r="BD89" s="33" t="str">
        <f>IF(OR(ISBLANK(BB89), ISBLANK(BC89)),"",CONCATENATE(" ",VLOOKUP(BC89,Literatuur!$A:$B,2,FALSE)," "))</f>
        <v/>
      </c>
      <c r="BF89" s="44" t="str">
        <f t="shared" si="58"/>
        <v xml:space="preserve"> </v>
      </c>
      <c r="BG89" s="33" t="str">
        <f>IF(OR(ISBLANK(BE89), ISBLANK(BF89)),"",CONCATENATE(" ",VLOOKUP(BF89,Literatuur!$A:$B,2,FALSE)," "))</f>
        <v/>
      </c>
      <c r="BI89" s="44" t="str">
        <f t="shared" si="59"/>
        <v xml:space="preserve"> </v>
      </c>
      <c r="BJ89" s="33" t="str">
        <f>IF(OR(ISBLANK(BH89), ISBLANK(BI89)),"",CONCATENATE(" ",VLOOKUP(BI89,Literatuur!$A:$B,2,FALSE)," "))</f>
        <v/>
      </c>
      <c r="BL89" s="44" t="str">
        <f t="shared" si="60"/>
        <v xml:space="preserve"> </v>
      </c>
      <c r="BM89" s="33" t="str">
        <f>IF(OR(ISBLANK(BK89), ISBLANK(BL89)),"",CONCATENATE(" ",VLOOKUP(BL89,Literatuur!$A:$B,2,FALSE)," "))</f>
        <v/>
      </c>
      <c r="BP89" s="33" t="str">
        <f>IF(OR(ISBLANK(BN89), ISBLANK(BO89)),"",CONCATENATE(" ",VLOOKUP(BO89,Literatuur!$A:$B,2,FALSE)," "))</f>
        <v/>
      </c>
      <c r="BS89" s="33" t="str">
        <f>IF(OR(ISBLANK(BQ89), ISBLANK(BR89)),"",CONCATENATE(" ",VLOOKUP(BR89,Literatuur!$A:$B,2,FALSE)," "))</f>
        <v/>
      </c>
      <c r="BT89" s="33">
        <v>6.07</v>
      </c>
      <c r="BU89" s="33" t="s">
        <v>2066</v>
      </c>
      <c r="BV89" s="33" t="str">
        <f>IF(OR(ISBLANK(BT89), ISBLANK(BU89)),"",CONCATENATE(" ",VLOOKUP(BU89,Literatuur!$A:$B,2,FALSE)," "))</f>
        <v xml:space="preserve"> 8 </v>
      </c>
      <c r="BY89" s="33">
        <v>210.5</v>
      </c>
      <c r="CB89" s="33" t="s">
        <v>2066</v>
      </c>
      <c r="CD89" s="33">
        <f t="shared" si="71"/>
        <v>210.5</v>
      </c>
      <c r="CE89" s="37"/>
      <c r="CH89" s="33">
        <f t="shared" si="61"/>
        <v>6.07</v>
      </c>
      <c r="CR89" s="33" t="str">
        <f t="shared" si="62"/>
        <v>PCB #89</v>
      </c>
      <c r="CS89" s="33" t="str">
        <f t="shared" si="63"/>
        <v>PCB</v>
      </c>
      <c r="CT89" s="33" t="str">
        <f t="shared" si="64"/>
        <v/>
      </c>
      <c r="CU89" s="33" t="str">
        <f t="shared" si="65"/>
        <v/>
      </c>
      <c r="CV89" s="33" t="str">
        <f t="shared" si="66"/>
        <v/>
      </c>
      <c r="CW89" s="33" t="str">
        <f t="shared" si="67"/>
        <v/>
      </c>
      <c r="CX89" s="33">
        <f t="shared" si="68"/>
        <v>6.07</v>
      </c>
      <c r="CY89" s="33" t="str">
        <f t="shared" si="69"/>
        <v xml:space="preserve"> 8 </v>
      </c>
    </row>
    <row r="90" spans="1:103" ht="12.75" customHeight="1" x14ac:dyDescent="0.2">
      <c r="B90" s="33">
        <v>-1612</v>
      </c>
      <c r="D90" s="105" t="s">
        <v>1119</v>
      </c>
      <c r="E90" s="105" t="s">
        <v>1119</v>
      </c>
      <c r="F90" s="34"/>
      <c r="G90" s="34"/>
      <c r="I90" s="33" t="e">
        <f t="shared" si="45"/>
        <v>#DIV/0!</v>
      </c>
      <c r="J90" s="33" t="e">
        <f t="shared" si="70"/>
        <v>#DIV/0!</v>
      </c>
      <c r="K90" s="44">
        <f t="shared" si="46"/>
        <v>6.13</v>
      </c>
      <c r="L90" s="33">
        <f t="shared" si="47"/>
        <v>211.2</v>
      </c>
      <c r="M90" s="33" t="s">
        <v>1552</v>
      </c>
      <c r="Q90" s="44" t="str">
        <f t="shared" si="48"/>
        <v xml:space="preserve"> </v>
      </c>
      <c r="R90" s="33" t="str">
        <f>IF(OR(ISBLANK(P90), ISBLANK(Q90)),"",CONCATENATE(" ",VLOOKUP(Q90,Literatuur!$A:$B,2,FALSE)," "))</f>
        <v/>
      </c>
      <c r="T90" s="44" t="str">
        <f t="shared" si="49"/>
        <v xml:space="preserve"> </v>
      </c>
      <c r="U90" s="33" t="str">
        <f>IF(OR(ISBLANK(S90), ISBLANK(T90)),"",CONCATENATE(" ",VLOOKUP(T90,Literatuur!$A:$B,2,FALSE)," "))</f>
        <v/>
      </c>
      <c r="W90" s="44" t="str">
        <f t="shared" si="50"/>
        <v xml:space="preserve"> </v>
      </c>
      <c r="X90" s="33" t="str">
        <f>IF(OR(ISBLANK(V90), ISBLANK(W90)),"",CONCATENATE(" ",VLOOKUP(W90,Literatuur!$A:$B,2,FALSE)," "))</f>
        <v/>
      </c>
      <c r="Z90" s="44" t="str">
        <f t="shared" si="51"/>
        <v xml:space="preserve"> </v>
      </c>
      <c r="AA90" s="33" t="str">
        <f>IF(OR(ISBLANK(Y90), ISBLANK(Z90)),"",CONCATENATE(" ",VLOOKUP(Z90,Literatuur!$A:$B,2,FALSE)," "))</f>
        <v/>
      </c>
      <c r="AC90" s="36" t="str">
        <f t="shared" si="52"/>
        <v xml:space="preserve"> </v>
      </c>
      <c r="AD90" s="33" t="str">
        <f>IF(OR(ISBLANK(AB90), ISBLANK(AC90)),"",CONCATENATE(" ",VLOOKUP(AC90,Literatuur!$A:$B,2,FALSE)," "))</f>
        <v/>
      </c>
      <c r="AG90" s="33" t="str">
        <f>IF(OR(ISBLANK(AE90), ISBLANK(AF90)),"",CONCATENATE(" ",VLOOKUP(AF90,Literatuur!$A:$B,2,FALSE)," "))</f>
        <v/>
      </c>
      <c r="AJ90" s="44" t="str">
        <f t="shared" si="53"/>
        <v xml:space="preserve"> </v>
      </c>
      <c r="AK90" s="33" t="str">
        <f>IF(OR(ISBLANK(AI90), ISBLANK(AJ90)),"",CONCATENATE(" ",VLOOKUP(AJ90,Literatuur!$A:$B,2,FALSE)," "))</f>
        <v/>
      </c>
      <c r="AM90" s="44" t="str">
        <f t="shared" si="54"/>
        <v xml:space="preserve"> </v>
      </c>
      <c r="AN90" s="33" t="str">
        <f>IF(OR(ISBLANK(AL90), ISBLANK(AM90)),"",CONCATENATE(" ",VLOOKUP(AM90,Literatuur!$A:$B,2,FALSE)," "))</f>
        <v/>
      </c>
      <c r="AP90" s="44" t="str">
        <f t="shared" si="55"/>
        <v xml:space="preserve"> </v>
      </c>
      <c r="AQ90" s="33" t="str">
        <f>IF(OR(ISBLANK(AO90), ISBLANK(AP90)),"",CONCATENATE(" ",VLOOKUP(AP90,Literatuur!$A:$B,2,FALSE)," "))</f>
        <v/>
      </c>
      <c r="AT90" s="33" t="str">
        <f>IF(OR(ISBLANK(AR90), ISBLANK(AS90)),"",CONCATENATE(" ",VLOOKUP(AS90,Literatuur!$A:$B,2,FALSE)," "))</f>
        <v/>
      </c>
      <c r="AW90" s="33" t="str">
        <f>IF(OR(ISBLANK(AU90), ISBLANK(AV90)),"",CONCATENATE(" ",VLOOKUP(AV90,Literatuur!$A:$B,2,FALSE)," "))</f>
        <v/>
      </c>
      <c r="AZ90" s="44" t="str">
        <f t="shared" si="56"/>
        <v xml:space="preserve"> </v>
      </c>
      <c r="BA90" s="33" t="str">
        <f>IF(OR(ISBLANK(AY90), ISBLANK(AZ90)),"",CONCATENATE(" ",VLOOKUP(AZ90,Literatuur!$A:$B,2,FALSE)," "))</f>
        <v/>
      </c>
      <c r="BC90" s="44" t="str">
        <f t="shared" si="57"/>
        <v xml:space="preserve"> </v>
      </c>
      <c r="BD90" s="33" t="str">
        <f>IF(OR(ISBLANK(BB90), ISBLANK(BC90)),"",CONCATENATE(" ",VLOOKUP(BC90,Literatuur!$A:$B,2,FALSE)," "))</f>
        <v/>
      </c>
      <c r="BF90" s="44" t="str">
        <f t="shared" si="58"/>
        <v xml:space="preserve"> </v>
      </c>
      <c r="BG90" s="33" t="str">
        <f>IF(OR(ISBLANK(BE90), ISBLANK(BF90)),"",CONCATENATE(" ",VLOOKUP(BF90,Literatuur!$A:$B,2,FALSE)," "))</f>
        <v/>
      </c>
      <c r="BI90" s="44" t="str">
        <f t="shared" si="59"/>
        <v xml:space="preserve"> </v>
      </c>
      <c r="BJ90" s="33" t="str">
        <f>IF(OR(ISBLANK(BH90), ISBLANK(BI90)),"",CONCATENATE(" ",VLOOKUP(BI90,Literatuur!$A:$B,2,FALSE)," "))</f>
        <v/>
      </c>
      <c r="BL90" s="44" t="str">
        <f t="shared" si="60"/>
        <v xml:space="preserve"> </v>
      </c>
      <c r="BM90" s="33" t="str">
        <f>IF(OR(ISBLANK(BK90), ISBLANK(BL90)),"",CONCATENATE(" ",VLOOKUP(BL90,Literatuur!$A:$B,2,FALSE)," "))</f>
        <v/>
      </c>
      <c r="BP90" s="33" t="str">
        <f>IF(OR(ISBLANK(BN90), ISBLANK(BO90)),"",CONCATENATE(" ",VLOOKUP(BO90,Literatuur!$A:$B,2,FALSE)," "))</f>
        <v/>
      </c>
      <c r="BS90" s="33" t="str">
        <f>IF(OR(ISBLANK(BQ90), ISBLANK(BR90)),"",CONCATENATE(" ",VLOOKUP(BR90,Literatuur!$A:$B,2,FALSE)," "))</f>
        <v/>
      </c>
      <c r="BT90" s="33">
        <v>6.13</v>
      </c>
      <c r="BU90" s="33" t="s">
        <v>2066</v>
      </c>
      <c r="BV90" s="33" t="str">
        <f>IF(OR(ISBLANK(BT90), ISBLANK(BU90)),"",CONCATENATE(" ",VLOOKUP(BU90,Literatuur!$A:$B,2,FALSE)," "))</f>
        <v xml:space="preserve"> 8 </v>
      </c>
      <c r="BY90" s="33">
        <v>211.2</v>
      </c>
      <c r="CB90" s="33" t="s">
        <v>2066</v>
      </c>
      <c r="CD90" s="33">
        <f t="shared" si="71"/>
        <v>211.2</v>
      </c>
      <c r="CE90" s="37"/>
      <c r="CH90" s="33">
        <f t="shared" si="61"/>
        <v>6.13</v>
      </c>
      <c r="CR90" s="33" t="str">
        <f t="shared" si="62"/>
        <v>PCB #91</v>
      </c>
      <c r="CS90" s="33" t="str">
        <f t="shared" si="63"/>
        <v>PCB</v>
      </c>
      <c r="CT90" s="33" t="str">
        <f t="shared" si="64"/>
        <v/>
      </c>
      <c r="CU90" s="33" t="str">
        <f t="shared" si="65"/>
        <v/>
      </c>
      <c r="CV90" s="33" t="str">
        <f t="shared" si="66"/>
        <v/>
      </c>
      <c r="CW90" s="33" t="str">
        <f t="shared" si="67"/>
        <v/>
      </c>
      <c r="CX90" s="33">
        <f t="shared" si="68"/>
        <v>6.13</v>
      </c>
      <c r="CY90" s="33" t="str">
        <f t="shared" si="69"/>
        <v xml:space="preserve"> 8 </v>
      </c>
    </row>
    <row r="91" spans="1:103" x14ac:dyDescent="0.2">
      <c r="B91" s="33">
        <v>-1613</v>
      </c>
      <c r="D91" s="105" t="s">
        <v>1120</v>
      </c>
      <c r="E91" s="105" t="s">
        <v>1120</v>
      </c>
      <c r="F91" s="34"/>
      <c r="G91" s="34"/>
      <c r="I91" s="33">
        <f t="shared" si="45"/>
        <v>326.39999999999998</v>
      </c>
      <c r="J91" s="33">
        <f t="shared" si="70"/>
        <v>5.1730913801930692E-2</v>
      </c>
      <c r="K91" s="44">
        <f t="shared" si="46"/>
        <v>6.3299999999999992</v>
      </c>
      <c r="L91" s="33">
        <f t="shared" si="47"/>
        <v>211.45</v>
      </c>
      <c r="M91" s="33" t="s">
        <v>1552</v>
      </c>
      <c r="Q91" s="44" t="str">
        <f t="shared" si="48"/>
        <v xml:space="preserve"> </v>
      </c>
      <c r="R91" s="33" t="str">
        <f>IF(OR(ISBLANK(P91), ISBLANK(Q91)),"",CONCATENATE(" ",VLOOKUP(Q91,Literatuur!$A:$B,2,FALSE)," "))</f>
        <v/>
      </c>
      <c r="T91" s="44" t="str">
        <f t="shared" si="49"/>
        <v xml:space="preserve"> </v>
      </c>
      <c r="U91" s="33" t="str">
        <f>IF(OR(ISBLANK(S91), ISBLANK(T91)),"",CONCATENATE(" ",VLOOKUP(T91,Literatuur!$A:$B,2,FALSE)," "))</f>
        <v/>
      </c>
      <c r="W91" s="44" t="str">
        <f t="shared" si="50"/>
        <v xml:space="preserve"> </v>
      </c>
      <c r="X91" s="33" t="str">
        <f>IF(OR(ISBLANK(V91), ISBLANK(W91)),"",CONCATENATE(" ",VLOOKUP(W91,Literatuur!$A:$B,2,FALSE)," "))</f>
        <v/>
      </c>
      <c r="Z91" s="44" t="str">
        <f t="shared" si="51"/>
        <v xml:space="preserve"> </v>
      </c>
      <c r="AA91" s="33" t="str">
        <f>IF(OR(ISBLANK(Y91), ISBLANK(Z91)),"",CONCATENATE(" ",VLOOKUP(Z91,Literatuur!$A:$B,2,FALSE)," "))</f>
        <v/>
      </c>
      <c r="AC91" s="36" t="str">
        <f t="shared" si="52"/>
        <v xml:space="preserve"> </v>
      </c>
      <c r="AD91" s="33" t="str">
        <f>IF(OR(ISBLANK(AB91), ISBLANK(AC91)),"",CONCATENATE(" ",VLOOKUP(AC91,Literatuur!$A:$B,2,FALSE)," "))</f>
        <v/>
      </c>
      <c r="AE91" s="365">
        <v>5.1730913801930692E-2</v>
      </c>
      <c r="AF91" s="33" t="s">
        <v>1557</v>
      </c>
      <c r="AG91" s="33" t="str">
        <f>IF(OR(ISBLANK(AE91), ISBLANK(AF91)),"",CONCATENATE(" ",VLOOKUP(AF91,Literatuur!$A:$B,2,FALSE)," "))</f>
        <v xml:space="preserve"> 17 </v>
      </c>
      <c r="AJ91" s="44" t="str">
        <f t="shared" si="53"/>
        <v xml:space="preserve"> </v>
      </c>
      <c r="AK91" s="33" t="str">
        <f>IF(OR(ISBLANK(AI91), ISBLANK(AJ91)),"",CONCATENATE(" ",VLOOKUP(AJ91,Literatuur!$A:$B,2,FALSE)," "))</f>
        <v/>
      </c>
      <c r="AM91" s="44" t="str">
        <f t="shared" si="54"/>
        <v xml:space="preserve"> </v>
      </c>
      <c r="AN91" s="33" t="str">
        <f>IF(OR(ISBLANK(AL91), ISBLANK(AM91)),"",CONCATENATE(" ",VLOOKUP(AM91,Literatuur!$A:$B,2,FALSE)," "))</f>
        <v/>
      </c>
      <c r="AP91" s="44" t="str">
        <f t="shared" si="55"/>
        <v xml:space="preserve"> </v>
      </c>
      <c r="AQ91" s="33" t="str">
        <f>IF(OR(ISBLANK(AO91), ISBLANK(AP91)),"",CONCATENATE(" ",VLOOKUP(AP91,Literatuur!$A:$B,2,FALSE)," "))</f>
        <v/>
      </c>
      <c r="AT91" s="33" t="str">
        <f>IF(OR(ISBLANK(AR91), ISBLANK(AS91)),"",CONCATENATE(" ",VLOOKUP(AS91,Literatuur!$A:$B,2,FALSE)," "))</f>
        <v/>
      </c>
      <c r="AU91" s="33">
        <v>326.39999999999998</v>
      </c>
      <c r="AV91" s="33" t="s">
        <v>1557</v>
      </c>
      <c r="AW91" s="33" t="str">
        <f>IF(OR(ISBLANK(AU91), ISBLANK(AV91)),"",CONCATENATE(" ",VLOOKUP(AV91,Literatuur!$A:$B,2,FALSE)," "))</f>
        <v xml:space="preserve"> 17 </v>
      </c>
      <c r="AZ91" s="44" t="str">
        <f t="shared" si="56"/>
        <v xml:space="preserve"> </v>
      </c>
      <c r="BA91" s="33" t="str">
        <f>IF(OR(ISBLANK(AY91), ISBLANK(AZ91)),"",CONCATENATE(" ",VLOOKUP(AZ91,Literatuur!$A:$B,2,FALSE)," "))</f>
        <v/>
      </c>
      <c r="BC91" s="44" t="str">
        <f t="shared" si="57"/>
        <v xml:space="preserve"> </v>
      </c>
      <c r="BD91" s="33" t="str">
        <f>IF(OR(ISBLANK(BB91), ISBLANK(BC91)),"",CONCATENATE(" ",VLOOKUP(BC91,Literatuur!$A:$B,2,FALSE)," "))</f>
        <v/>
      </c>
      <c r="BF91" s="44" t="str">
        <f t="shared" si="58"/>
        <v xml:space="preserve"> </v>
      </c>
      <c r="BG91" s="33" t="str">
        <f>IF(OR(ISBLANK(BE91), ISBLANK(BF91)),"",CONCATENATE(" ",VLOOKUP(BF91,Literatuur!$A:$B,2,FALSE)," "))</f>
        <v/>
      </c>
      <c r="BI91" s="44" t="str">
        <f t="shared" si="59"/>
        <v xml:space="preserve"> </v>
      </c>
      <c r="BJ91" s="33" t="str">
        <f>IF(OR(ISBLANK(BH91), ISBLANK(BI91)),"",CONCATENATE(" ",VLOOKUP(BI91,Literatuur!$A:$B,2,FALSE)," "))</f>
        <v/>
      </c>
      <c r="BL91" s="44" t="str">
        <f t="shared" si="60"/>
        <v xml:space="preserve"> </v>
      </c>
      <c r="BM91" s="33" t="str">
        <f>IF(OR(ISBLANK(BK91), ISBLANK(BL91)),"",CONCATENATE(" ",VLOOKUP(BL91,Literatuur!$A:$B,2,FALSE)," "))</f>
        <v/>
      </c>
      <c r="BN91" s="33">
        <v>6.4</v>
      </c>
      <c r="BO91" s="33" t="s">
        <v>1557</v>
      </c>
      <c r="BP91" s="33" t="str">
        <f>IF(OR(ISBLANK(BN91), ISBLANK(BO91)),"",CONCATENATE(" ",VLOOKUP(BO91,Literatuur!$A:$B,2,FALSE)," "))</f>
        <v xml:space="preserve"> 17 </v>
      </c>
      <c r="BQ91" s="33">
        <v>6.3</v>
      </c>
      <c r="BR91" s="33" t="s">
        <v>1557</v>
      </c>
      <c r="BS91" s="33" t="str">
        <f>IF(OR(ISBLANK(BQ91), ISBLANK(BR91)),"",CONCATENATE(" ",VLOOKUP(BR91,Literatuur!$A:$B,2,FALSE)," "))</f>
        <v xml:space="preserve"> 17 </v>
      </c>
      <c r="BT91" s="33">
        <v>6.29</v>
      </c>
      <c r="BU91" s="33" t="s">
        <v>2066</v>
      </c>
      <c r="BV91" s="33" t="str">
        <f>IF(OR(ISBLANK(BT91), ISBLANK(BU91)),"",CONCATENATE(" ",VLOOKUP(BU91,Literatuur!$A:$B,2,FALSE)," "))</f>
        <v xml:space="preserve"> 8 </v>
      </c>
      <c r="BX91" s="33">
        <v>211.7</v>
      </c>
      <c r="BY91" s="33">
        <v>211.2</v>
      </c>
      <c r="BZ91" s="339">
        <v>188.1</v>
      </c>
      <c r="CA91" s="33" t="s">
        <v>1557</v>
      </c>
      <c r="CB91" s="33" t="s">
        <v>2066</v>
      </c>
      <c r="CC91" s="33" t="s">
        <v>1734</v>
      </c>
      <c r="CD91" s="33">
        <f t="shared" si="71"/>
        <v>211.45</v>
      </c>
      <c r="CE91" s="37">
        <f>I91</f>
        <v>326.39999999999998</v>
      </c>
      <c r="CG91" s="33">
        <f>LOG(J91)</f>
        <v>-1.2862498499181769</v>
      </c>
      <c r="CH91" s="33">
        <f t="shared" si="61"/>
        <v>6.3299999999999992</v>
      </c>
      <c r="CR91" s="33" t="str">
        <f t="shared" si="62"/>
        <v>PCB #97</v>
      </c>
      <c r="CS91" s="33" t="str">
        <f t="shared" si="63"/>
        <v>PCB</v>
      </c>
      <c r="CT91" s="33">
        <f t="shared" si="64"/>
        <v>326.39999999999998</v>
      </c>
      <c r="CU91" s="33" t="str">
        <f t="shared" si="65"/>
        <v xml:space="preserve"> 17 </v>
      </c>
      <c r="CV91" s="33">
        <f t="shared" si="66"/>
        <v>5.1730913801930692E-2</v>
      </c>
      <c r="CW91" s="33" t="str">
        <f t="shared" si="67"/>
        <v xml:space="preserve"> 17 </v>
      </c>
      <c r="CX91" s="33">
        <f t="shared" si="68"/>
        <v>6.3299999999999992</v>
      </c>
      <c r="CY91" s="33" t="str">
        <f t="shared" si="69"/>
        <v xml:space="preserve"> 17  17  8 </v>
      </c>
    </row>
    <row r="92" spans="1:103" x14ac:dyDescent="0.2">
      <c r="B92" s="33">
        <v>-1614</v>
      </c>
      <c r="D92" s="105" t="s">
        <v>1121</v>
      </c>
      <c r="E92" s="105" t="s">
        <v>1121</v>
      </c>
      <c r="F92" s="34"/>
      <c r="G92" s="34"/>
      <c r="I92" s="33" t="e">
        <f t="shared" si="45"/>
        <v>#DIV/0!</v>
      </c>
      <c r="J92" s="33" t="e">
        <f t="shared" si="70"/>
        <v>#DIV/0!</v>
      </c>
      <c r="K92" s="44">
        <f t="shared" si="46"/>
        <v>6.39</v>
      </c>
      <c r="L92" s="33">
        <f t="shared" si="47"/>
        <v>212</v>
      </c>
      <c r="M92" s="33" t="s">
        <v>1552</v>
      </c>
      <c r="Q92" s="44" t="str">
        <f t="shared" si="48"/>
        <v xml:space="preserve"> </v>
      </c>
      <c r="R92" s="33" t="str">
        <f>IF(OR(ISBLANK(P92), ISBLANK(Q92)),"",CONCATENATE(" ",VLOOKUP(Q92,Literatuur!$A:$B,2,FALSE)," "))</f>
        <v/>
      </c>
      <c r="T92" s="44" t="str">
        <f t="shared" si="49"/>
        <v xml:space="preserve"> </v>
      </c>
      <c r="U92" s="33" t="str">
        <f>IF(OR(ISBLANK(S92), ISBLANK(T92)),"",CONCATENATE(" ",VLOOKUP(T92,Literatuur!$A:$B,2,FALSE)," "))</f>
        <v/>
      </c>
      <c r="W92" s="44" t="str">
        <f t="shared" si="50"/>
        <v xml:space="preserve"> </v>
      </c>
      <c r="X92" s="33" t="str">
        <f>IF(OR(ISBLANK(V92), ISBLANK(W92)),"",CONCATENATE(" ",VLOOKUP(W92,Literatuur!$A:$B,2,FALSE)," "))</f>
        <v/>
      </c>
      <c r="Z92" s="44" t="str">
        <f t="shared" si="51"/>
        <v xml:space="preserve"> </v>
      </c>
      <c r="AA92" s="33" t="str">
        <f>IF(OR(ISBLANK(Y92), ISBLANK(Z92)),"",CONCATENATE(" ",VLOOKUP(Z92,Literatuur!$A:$B,2,FALSE)," "))</f>
        <v/>
      </c>
      <c r="AC92" s="36" t="str">
        <f t="shared" si="52"/>
        <v xml:space="preserve"> </v>
      </c>
      <c r="AD92" s="33" t="str">
        <f>IF(OR(ISBLANK(AB92), ISBLANK(AC92)),"",CONCATENATE(" ",VLOOKUP(AC92,Literatuur!$A:$B,2,FALSE)," "))</f>
        <v/>
      </c>
      <c r="AG92" s="33" t="str">
        <f>IF(OR(ISBLANK(AE92), ISBLANK(AF92)),"",CONCATENATE(" ",VLOOKUP(AF92,Literatuur!$A:$B,2,FALSE)," "))</f>
        <v/>
      </c>
      <c r="AJ92" s="44" t="str">
        <f t="shared" si="53"/>
        <v xml:space="preserve"> </v>
      </c>
      <c r="AK92" s="33" t="str">
        <f>IF(OR(ISBLANK(AI92), ISBLANK(AJ92)),"",CONCATENATE(" ",VLOOKUP(AJ92,Literatuur!$A:$B,2,FALSE)," "))</f>
        <v/>
      </c>
      <c r="AM92" s="44" t="str">
        <f t="shared" si="54"/>
        <v xml:space="preserve"> </v>
      </c>
      <c r="AN92" s="33" t="str">
        <f>IF(OR(ISBLANK(AL92), ISBLANK(AM92)),"",CONCATENATE(" ",VLOOKUP(AM92,Literatuur!$A:$B,2,FALSE)," "))</f>
        <v/>
      </c>
      <c r="AP92" s="44" t="str">
        <f t="shared" si="55"/>
        <v xml:space="preserve"> </v>
      </c>
      <c r="AQ92" s="33" t="str">
        <f>IF(OR(ISBLANK(AO92), ISBLANK(AP92)),"",CONCATENATE(" ",VLOOKUP(AP92,Literatuur!$A:$B,2,FALSE)," "))</f>
        <v/>
      </c>
      <c r="AT92" s="33" t="str">
        <f>IF(OR(ISBLANK(AR92), ISBLANK(AS92)),"",CONCATENATE(" ",VLOOKUP(AS92,Literatuur!$A:$B,2,FALSE)," "))</f>
        <v/>
      </c>
      <c r="AW92" s="33" t="str">
        <f>IF(OR(ISBLANK(AU92), ISBLANK(AV92)),"",CONCATENATE(" ",VLOOKUP(AV92,Literatuur!$A:$B,2,FALSE)," "))</f>
        <v/>
      </c>
      <c r="AZ92" s="44" t="str">
        <f t="shared" si="56"/>
        <v xml:space="preserve"> </v>
      </c>
      <c r="BA92" s="33" t="str">
        <f>IF(OR(ISBLANK(AY92), ISBLANK(AZ92)),"",CONCATENATE(" ",VLOOKUP(AZ92,Literatuur!$A:$B,2,FALSE)," "))</f>
        <v/>
      </c>
      <c r="BC92" s="44" t="str">
        <f t="shared" si="57"/>
        <v xml:space="preserve"> </v>
      </c>
      <c r="BD92" s="33" t="str">
        <f>IF(OR(ISBLANK(BB92), ISBLANK(BC92)),"",CONCATENATE(" ",VLOOKUP(BC92,Literatuur!$A:$B,2,FALSE)," "))</f>
        <v/>
      </c>
      <c r="BF92" s="44" t="str">
        <f t="shared" si="58"/>
        <v xml:space="preserve"> </v>
      </c>
      <c r="BG92" s="33" t="str">
        <f>IF(OR(ISBLANK(BE92), ISBLANK(BF92)),"",CONCATENATE(" ",VLOOKUP(BF92,Literatuur!$A:$B,2,FALSE)," "))</f>
        <v/>
      </c>
      <c r="BI92" s="44" t="str">
        <f t="shared" si="59"/>
        <v xml:space="preserve"> </v>
      </c>
      <c r="BJ92" s="33" t="str">
        <f>IF(OR(ISBLANK(BH92), ISBLANK(BI92)),"",CONCATENATE(" ",VLOOKUP(BI92,Literatuur!$A:$B,2,FALSE)," "))</f>
        <v/>
      </c>
      <c r="BL92" s="44" t="str">
        <f t="shared" si="60"/>
        <v xml:space="preserve"> </v>
      </c>
      <c r="BM92" s="33" t="str">
        <f>IF(OR(ISBLANK(BK92), ISBLANK(BL92)),"",CONCATENATE(" ",VLOOKUP(BL92,Literatuur!$A:$B,2,FALSE)," "))</f>
        <v/>
      </c>
      <c r="BP92" s="33" t="str">
        <f>IF(OR(ISBLANK(BN92), ISBLANK(BO92)),"",CONCATENATE(" ",VLOOKUP(BO92,Literatuur!$A:$B,2,FALSE)," "))</f>
        <v/>
      </c>
      <c r="BS92" s="33" t="str">
        <f>IF(OR(ISBLANK(BQ92), ISBLANK(BR92)),"",CONCATENATE(" ",VLOOKUP(BR92,Literatuur!$A:$B,2,FALSE)," "))</f>
        <v/>
      </c>
      <c r="BT92" s="33">
        <v>6.39</v>
      </c>
      <c r="BU92" s="33" t="s">
        <v>2066</v>
      </c>
      <c r="BV92" s="33" t="str">
        <f>IF(OR(ISBLANK(BT92), ISBLANK(BU92)),"",CONCATENATE(" ",VLOOKUP(BU92,Literatuur!$A:$B,2,FALSE)," "))</f>
        <v xml:space="preserve"> 8 </v>
      </c>
      <c r="BY92" s="33">
        <v>212</v>
      </c>
      <c r="CB92" s="33" t="s">
        <v>2066</v>
      </c>
      <c r="CD92" s="33">
        <f t="shared" si="71"/>
        <v>212</v>
      </c>
      <c r="CE92" s="37"/>
      <c r="CH92" s="33">
        <f t="shared" si="61"/>
        <v>6.39</v>
      </c>
      <c r="CR92" s="33" t="str">
        <f t="shared" si="62"/>
        <v>PCB #99</v>
      </c>
      <c r="CS92" s="33" t="str">
        <f t="shared" si="63"/>
        <v>PCB</v>
      </c>
      <c r="CT92" s="33" t="str">
        <f t="shared" si="64"/>
        <v/>
      </c>
      <c r="CU92" s="33" t="str">
        <f t="shared" si="65"/>
        <v/>
      </c>
      <c r="CV92" s="33" t="str">
        <f t="shared" si="66"/>
        <v/>
      </c>
      <c r="CW92" s="33" t="str">
        <f t="shared" si="67"/>
        <v/>
      </c>
      <c r="CX92" s="33">
        <f t="shared" si="68"/>
        <v>6.39</v>
      </c>
      <c r="CY92" s="33" t="str">
        <f t="shared" si="69"/>
        <v xml:space="preserve"> 8 </v>
      </c>
    </row>
    <row r="93" spans="1:103" x14ac:dyDescent="0.2">
      <c r="A93"/>
      <c r="B93">
        <v>-1702</v>
      </c>
      <c r="C93"/>
      <c r="D93" t="s">
        <v>977</v>
      </c>
      <c r="E93" t="s">
        <v>977</v>
      </c>
      <c r="F93" s="34"/>
      <c r="I93" s="33">
        <f t="shared" si="45"/>
        <v>223.1</v>
      </c>
      <c r="J93" s="33">
        <f t="shared" si="70"/>
        <v>1.7721462916698714</v>
      </c>
      <c r="K93" s="44">
        <f t="shared" si="46"/>
        <v>4.8499999999999996</v>
      </c>
      <c r="L93" s="33">
        <f t="shared" si="47"/>
        <v>223.1</v>
      </c>
      <c r="M93" s="33" t="s">
        <v>1552</v>
      </c>
      <c r="Q93" s="44" t="str">
        <f t="shared" si="48"/>
        <v xml:space="preserve"> </v>
      </c>
      <c r="R93" s="33" t="str">
        <f>IF(OR(ISBLANK(P93), ISBLANK(Q93)),"",CONCATENATE(" ",VLOOKUP(Q93,Literatuur!$A:$B,2,FALSE)," "))</f>
        <v/>
      </c>
      <c r="T93" s="44" t="str">
        <f t="shared" si="49"/>
        <v xml:space="preserve"> </v>
      </c>
      <c r="U93" s="33" t="str">
        <f>IF(OR(ISBLANK(S93), ISBLANK(T93)),"",CONCATENATE(" ",VLOOKUP(T93,Literatuur!$A:$B,2,FALSE)," "))</f>
        <v/>
      </c>
      <c r="W93" s="44" t="str">
        <f t="shared" si="50"/>
        <v xml:space="preserve"> </v>
      </c>
      <c r="X93" s="33" t="str">
        <f>IF(OR(ISBLANK(V93), ISBLANK(W93)),"",CONCATENATE(" ",VLOOKUP(W93,Literatuur!$A:$B,2,FALSE)," "))</f>
        <v/>
      </c>
      <c r="Z93" s="44" t="str">
        <f t="shared" si="51"/>
        <v xml:space="preserve"> </v>
      </c>
      <c r="AA93" s="33" t="str">
        <f>IF(OR(ISBLANK(Y93), ISBLANK(Z93)),"",CONCATENATE(" ",VLOOKUP(Z93,Literatuur!$A:$B,2,FALSE)," "))</f>
        <v/>
      </c>
      <c r="AC93" s="36" t="str">
        <f t="shared" si="52"/>
        <v xml:space="preserve"> </v>
      </c>
      <c r="AD93" s="33" t="str">
        <f>IF(OR(ISBLANK(AB93), ISBLANK(AC93)),"",CONCATENATE(" ",VLOOKUP(AC93,Literatuur!$A:$B,2,FALSE)," "))</f>
        <v/>
      </c>
      <c r="AE93" s="365">
        <v>1.7721462916698714</v>
      </c>
      <c r="AF93" s="33" t="s">
        <v>1557</v>
      </c>
      <c r="AG93" s="33" t="str">
        <f>IF(OR(ISBLANK(AE93), ISBLANK(AF93)),"",CONCATENATE(" ",VLOOKUP(AF93,Literatuur!$A:$B,2,FALSE)," "))</f>
        <v xml:space="preserve"> 17 </v>
      </c>
      <c r="AJ93" s="44" t="str">
        <f t="shared" si="53"/>
        <v xml:space="preserve"> </v>
      </c>
      <c r="AK93" s="33" t="str">
        <f>IF(OR(ISBLANK(AI93), ISBLANK(AJ93)),"",CONCATENATE(" ",VLOOKUP(AJ93,Literatuur!$A:$B,2,FALSE)," "))</f>
        <v/>
      </c>
      <c r="AM93" s="44" t="str">
        <f t="shared" si="54"/>
        <v xml:space="preserve"> </v>
      </c>
      <c r="AN93" s="33" t="str">
        <f>IF(OR(ISBLANK(AL93), ISBLANK(AM93)),"",CONCATENATE(" ",VLOOKUP(AM93,Literatuur!$A:$B,2,FALSE)," "))</f>
        <v/>
      </c>
      <c r="AP93" s="44" t="str">
        <f t="shared" si="55"/>
        <v xml:space="preserve"> </v>
      </c>
      <c r="AQ93" s="33" t="str">
        <f>IF(OR(ISBLANK(AO93), ISBLANK(AP93)),"",CONCATENATE(" ",VLOOKUP(AP93,Literatuur!$A:$B,2,FALSE)," "))</f>
        <v/>
      </c>
      <c r="AS93"/>
      <c r="AT93" s="33" t="str">
        <f>IF(OR(ISBLANK(AR93), ISBLANK(AS93)),"",CONCATENATE(" ",VLOOKUP(AS93,Literatuur!$A:$B,2,FALSE)," "))</f>
        <v/>
      </c>
      <c r="AU93">
        <v>223.1</v>
      </c>
      <c r="AV93" s="33" t="s">
        <v>1557</v>
      </c>
      <c r="AW93" s="33" t="str">
        <f>IF(OR(ISBLANK(AU93), ISBLANK(AV93)),"",CONCATENATE(" ",VLOOKUP(AV93,Literatuur!$A:$B,2,FALSE)," "))</f>
        <v xml:space="preserve"> 17 </v>
      </c>
      <c r="AZ93" s="44" t="str">
        <f t="shared" si="56"/>
        <v xml:space="preserve"> </v>
      </c>
      <c r="BA93" s="33" t="str">
        <f>IF(OR(ISBLANK(AY93), ISBLANK(AZ93)),"",CONCATENATE(" ",VLOOKUP(AZ93,Literatuur!$A:$B,2,FALSE)," "))</f>
        <v/>
      </c>
      <c r="BC93" s="44" t="str">
        <f t="shared" si="57"/>
        <v xml:space="preserve"> </v>
      </c>
      <c r="BD93" s="33" t="str">
        <f>IF(OR(ISBLANK(BB93), ISBLANK(BC93)),"",CONCATENATE(" ",VLOOKUP(BC93,Literatuur!$A:$B,2,FALSE)," "))</f>
        <v/>
      </c>
      <c r="BF93" s="44" t="str">
        <f t="shared" si="58"/>
        <v xml:space="preserve"> </v>
      </c>
      <c r="BG93" s="33" t="str">
        <f>IF(OR(ISBLANK(BE93), ISBLANK(BF93)),"",CONCATENATE(" ",VLOOKUP(BF93,Literatuur!$A:$B,2,FALSE)," "))</f>
        <v/>
      </c>
      <c r="BI93" s="44" t="str">
        <f t="shared" si="59"/>
        <v xml:space="preserve"> </v>
      </c>
      <c r="BJ93" s="33" t="str">
        <f>IF(OR(ISBLANK(BH93), ISBLANK(BI93)),"",CONCATENATE(" ",VLOOKUP(BI93,Literatuur!$A:$B,2,FALSE)," "))</f>
        <v/>
      </c>
      <c r="BL93" s="44" t="str">
        <f t="shared" si="60"/>
        <v xml:space="preserve"> </v>
      </c>
      <c r="BM93" s="33" t="str">
        <f>IF(OR(ISBLANK(BK93), ISBLANK(BL93)),"",CONCATENATE(" ",VLOOKUP(BL93,Literatuur!$A:$B,2,FALSE)," "))</f>
        <v/>
      </c>
      <c r="BN93">
        <v>4.9000000000000004</v>
      </c>
      <c r="BO93" s="4" t="s">
        <v>1666</v>
      </c>
      <c r="BP93" s="33" t="str">
        <f>IF(OR(ISBLANK(BN93), ISBLANK(BO93)),"",CONCATENATE(" ",VLOOKUP(BO93,Literatuur!$A:$B,2,FALSE)," "))</f>
        <v xml:space="preserve"> NA </v>
      </c>
      <c r="BQ93"/>
      <c r="BR93"/>
      <c r="BS93" s="33" t="str">
        <f>IF(OR(ISBLANK(BQ93), ISBLANK(BR93)),"",CONCATENATE(" ",VLOOKUP(BR93,Literatuur!$A:$B,2,FALSE)," "))</f>
        <v/>
      </c>
      <c r="BT93">
        <v>4.8</v>
      </c>
      <c r="BU93" s="33" t="s">
        <v>1557</v>
      </c>
      <c r="BV93" s="33" t="str">
        <f>IF(OR(ISBLANK(BT93), ISBLANK(BU93)),"",CONCATENATE(" ",VLOOKUP(BU93,Literatuur!$A:$B,2,FALSE)," "))</f>
        <v xml:space="preserve"> 17 </v>
      </c>
      <c r="BX93" s="33">
        <v>223.1</v>
      </c>
      <c r="BZ93" s="339">
        <v>200.2</v>
      </c>
      <c r="CB93" s="33" t="s">
        <v>1557</v>
      </c>
      <c r="CC93" s="33" t="s">
        <v>1736</v>
      </c>
      <c r="CD93" s="33">
        <f t="shared" si="71"/>
        <v>223.1</v>
      </c>
      <c r="CG93" s="33">
        <f t="shared" ref="CG93:CG118" si="72">LOG(J93)</f>
        <v>0.24849957028383757</v>
      </c>
      <c r="CR93" s="33" t="str">
        <f t="shared" si="62"/>
        <v>PCB 10</v>
      </c>
      <c r="CS93" s="33" t="str">
        <f t="shared" si="63"/>
        <v>PCB</v>
      </c>
      <c r="CT93" s="33">
        <f t="shared" si="64"/>
        <v>223.1</v>
      </c>
      <c r="CU93" s="33" t="str">
        <f t="shared" si="65"/>
        <v xml:space="preserve"> 17 </v>
      </c>
      <c r="CV93" s="33">
        <f t="shared" si="66"/>
        <v>1.7721462916698714</v>
      </c>
      <c r="CW93" s="33" t="str">
        <f t="shared" si="67"/>
        <v xml:space="preserve"> 17 </v>
      </c>
      <c r="CX93" s="33">
        <f t="shared" si="68"/>
        <v>4.8499999999999996</v>
      </c>
      <c r="CY93" s="33" t="str">
        <f t="shared" si="69"/>
        <v xml:space="preserve"> NA  17 </v>
      </c>
    </row>
    <row r="94" spans="1:103" x14ac:dyDescent="0.2">
      <c r="A94"/>
      <c r="B94">
        <v>-1725</v>
      </c>
      <c r="C94"/>
      <c r="D94" t="s">
        <v>1000</v>
      </c>
      <c r="E94" t="s">
        <v>1000</v>
      </c>
      <c r="F94" s="34"/>
      <c r="I94" s="33">
        <f t="shared" si="45"/>
        <v>326.39999999999998</v>
      </c>
      <c r="J94" s="33">
        <f t="shared" si="70"/>
        <v>0.20594447723833481</v>
      </c>
      <c r="K94" s="44">
        <f t="shared" si="46"/>
        <v>5.85</v>
      </c>
      <c r="L94" s="33">
        <f t="shared" si="47"/>
        <v>360.9</v>
      </c>
      <c r="M94" s="33" t="s">
        <v>1552</v>
      </c>
      <c r="Q94" s="44" t="str">
        <f t="shared" si="48"/>
        <v xml:space="preserve"> </v>
      </c>
      <c r="R94" s="33" t="str">
        <f>IF(OR(ISBLANK(P94), ISBLANK(Q94)),"",CONCATENATE(" ",VLOOKUP(Q94,Literatuur!$A:$B,2,FALSE)," "))</f>
        <v/>
      </c>
      <c r="T94" s="44" t="str">
        <f t="shared" si="49"/>
        <v xml:space="preserve"> </v>
      </c>
      <c r="U94" s="33" t="str">
        <f>IF(OR(ISBLANK(S94), ISBLANK(T94)),"",CONCATENATE(" ",VLOOKUP(T94,Literatuur!$A:$B,2,FALSE)," "))</f>
        <v/>
      </c>
      <c r="W94" s="44" t="str">
        <f t="shared" si="50"/>
        <v xml:space="preserve"> </v>
      </c>
      <c r="X94" s="33" t="str">
        <f>IF(OR(ISBLANK(V94), ISBLANK(W94)),"",CONCATENATE(" ",VLOOKUP(W94,Literatuur!$A:$B,2,FALSE)," "))</f>
        <v/>
      </c>
      <c r="Z94" s="44" t="str">
        <f t="shared" si="51"/>
        <v xml:space="preserve"> </v>
      </c>
      <c r="AA94" s="33" t="str">
        <f>IF(OR(ISBLANK(Y94), ISBLANK(Z94)),"",CONCATENATE(" ",VLOOKUP(Z94,Literatuur!$A:$B,2,FALSE)," "))</f>
        <v/>
      </c>
      <c r="AC94" s="36" t="str">
        <f t="shared" si="52"/>
        <v xml:space="preserve"> </v>
      </c>
      <c r="AD94" s="33" t="str">
        <f>IF(OR(ISBLANK(AB94), ISBLANK(AC94)),"",CONCATENATE(" ",VLOOKUP(AC94,Literatuur!$A:$B,2,FALSE)," "))</f>
        <v/>
      </c>
      <c r="AE94" s="365">
        <v>0.20594447723833481</v>
      </c>
      <c r="AF94" s="33" t="s">
        <v>1557</v>
      </c>
      <c r="AG94" s="33" t="str">
        <f>IF(OR(ISBLANK(AE94), ISBLANK(AF94)),"",CONCATENATE(" ",VLOOKUP(AF94,Literatuur!$A:$B,2,FALSE)," "))</f>
        <v xml:space="preserve"> 17 </v>
      </c>
      <c r="AJ94" s="44" t="str">
        <f t="shared" si="53"/>
        <v xml:space="preserve"> </v>
      </c>
      <c r="AK94" s="33" t="str">
        <f>IF(OR(ISBLANK(AI94), ISBLANK(AJ94)),"",CONCATENATE(" ",VLOOKUP(AJ94,Literatuur!$A:$B,2,FALSE)," "))</f>
        <v/>
      </c>
      <c r="AM94" s="44" t="str">
        <f t="shared" si="54"/>
        <v xml:space="preserve"> </v>
      </c>
      <c r="AN94" s="33" t="str">
        <f>IF(OR(ISBLANK(AL94), ISBLANK(AM94)),"",CONCATENATE(" ",VLOOKUP(AM94,Literatuur!$A:$B,2,FALSE)," "))</f>
        <v/>
      </c>
      <c r="AP94" s="44" t="str">
        <f t="shared" si="55"/>
        <v xml:space="preserve"> </v>
      </c>
      <c r="AQ94" s="33" t="str">
        <f>IF(OR(ISBLANK(AO94), ISBLANK(AP94)),"",CONCATENATE(" ",VLOOKUP(AP94,Literatuur!$A:$B,2,FALSE)," "))</f>
        <v/>
      </c>
      <c r="AS94"/>
      <c r="AT94" s="33" t="str">
        <f>IF(OR(ISBLANK(AR94), ISBLANK(AS94)),"",CONCATENATE(" ",VLOOKUP(AS94,Literatuur!$A:$B,2,FALSE)," "))</f>
        <v/>
      </c>
      <c r="AU94">
        <v>326.39999999999998</v>
      </c>
      <c r="AV94" s="33" t="s">
        <v>1557</v>
      </c>
      <c r="AW94" s="33" t="str">
        <f>IF(OR(ISBLANK(AU94), ISBLANK(AV94)),"",CONCATENATE(" ",VLOOKUP(AV94,Literatuur!$A:$B,2,FALSE)," "))</f>
        <v xml:space="preserve"> 17 </v>
      </c>
      <c r="AZ94" s="44" t="str">
        <f t="shared" si="56"/>
        <v xml:space="preserve"> </v>
      </c>
      <c r="BA94" s="33" t="str">
        <f>IF(OR(ISBLANK(AY94), ISBLANK(AZ94)),"",CONCATENATE(" ",VLOOKUP(AZ94,Literatuur!$A:$B,2,FALSE)," "))</f>
        <v/>
      </c>
      <c r="BC94" s="44" t="str">
        <f t="shared" si="57"/>
        <v xml:space="preserve"> </v>
      </c>
      <c r="BD94" s="33" t="str">
        <f>IF(OR(ISBLANK(BB94), ISBLANK(BC94)),"",CONCATENATE(" ",VLOOKUP(BC94,Literatuur!$A:$B,2,FALSE)," "))</f>
        <v/>
      </c>
      <c r="BF94" s="44" t="str">
        <f t="shared" si="58"/>
        <v xml:space="preserve"> </v>
      </c>
      <c r="BG94" s="33" t="str">
        <f>IF(OR(ISBLANK(BE94), ISBLANK(BF94)),"",CONCATENATE(" ",VLOOKUP(BF94,Literatuur!$A:$B,2,FALSE)," "))</f>
        <v/>
      </c>
      <c r="BI94" s="44" t="str">
        <f t="shared" si="59"/>
        <v xml:space="preserve"> </v>
      </c>
      <c r="BJ94" s="33" t="str">
        <f>IF(OR(ISBLANK(BH94), ISBLANK(BI94)),"",CONCATENATE(" ",VLOOKUP(BI94,Literatuur!$A:$B,2,FALSE)," "))</f>
        <v/>
      </c>
      <c r="BL94" s="44" t="str">
        <f t="shared" si="60"/>
        <v xml:space="preserve"> </v>
      </c>
      <c r="BM94" s="33" t="str">
        <f>IF(OR(ISBLANK(BK94), ISBLANK(BL94)),"",CONCATENATE(" ",VLOOKUP(BL94,Literatuur!$A:$B,2,FALSE)," "))</f>
        <v/>
      </c>
      <c r="BN94">
        <v>5.9</v>
      </c>
      <c r="BO94" s="4" t="s">
        <v>1666</v>
      </c>
      <c r="BP94" s="33" t="str">
        <f>IF(OR(ISBLANK(BN94), ISBLANK(BO94)),"",CONCATENATE(" ",VLOOKUP(BO94,Literatuur!$A:$B,2,FALSE)," "))</f>
        <v xml:space="preserve"> NA </v>
      </c>
      <c r="BQ94"/>
      <c r="BR94"/>
      <c r="BS94" s="33" t="str">
        <f>IF(OR(ISBLANK(BQ94), ISBLANK(BR94)),"",CONCATENATE(" ",VLOOKUP(BR94,Literatuur!$A:$B,2,FALSE)," "))</f>
        <v/>
      </c>
      <c r="BT94">
        <v>5.8</v>
      </c>
      <c r="BU94" s="33" t="s">
        <v>1557</v>
      </c>
      <c r="BV94" s="33" t="str">
        <f>IF(OR(ISBLANK(BT94), ISBLANK(BU94)),"",CONCATENATE(" ",VLOOKUP(BU94,Literatuur!$A:$B,2,FALSE)," "))</f>
        <v xml:space="preserve"> 17 </v>
      </c>
      <c r="BX94" s="33">
        <v>360.9</v>
      </c>
      <c r="BZ94" s="339">
        <v>187.9</v>
      </c>
      <c r="CB94" s="33" t="s">
        <v>1557</v>
      </c>
      <c r="CC94" s="33" t="s">
        <v>1736</v>
      </c>
      <c r="CD94" s="33">
        <f t="shared" si="71"/>
        <v>360.9</v>
      </c>
      <c r="CG94" s="33">
        <f t="shared" si="72"/>
        <v>-0.68624984991817706</v>
      </c>
      <c r="CR94" s="33" t="str">
        <f t="shared" si="62"/>
        <v>PCB 104</v>
      </c>
      <c r="CS94" s="33" t="str">
        <f t="shared" si="63"/>
        <v>PCB</v>
      </c>
      <c r="CT94" s="33">
        <f t="shared" si="64"/>
        <v>326.39999999999998</v>
      </c>
      <c r="CU94" s="33" t="str">
        <f t="shared" si="65"/>
        <v xml:space="preserve"> 17 </v>
      </c>
      <c r="CV94" s="33">
        <f t="shared" si="66"/>
        <v>0.20594447723833481</v>
      </c>
      <c r="CW94" s="33" t="str">
        <f t="shared" si="67"/>
        <v xml:space="preserve"> 17 </v>
      </c>
      <c r="CX94" s="33">
        <f t="shared" si="68"/>
        <v>5.85</v>
      </c>
      <c r="CY94" s="33" t="str">
        <f t="shared" si="69"/>
        <v xml:space="preserve"> NA  17 </v>
      </c>
    </row>
    <row r="95" spans="1:103" x14ac:dyDescent="0.2">
      <c r="A95"/>
      <c r="B95">
        <v>-1730</v>
      </c>
      <c r="C95"/>
      <c r="D95" t="s">
        <v>1005</v>
      </c>
      <c r="E95" t="s">
        <v>1005</v>
      </c>
      <c r="F95" s="34"/>
      <c r="I95" s="33">
        <f t="shared" si="45"/>
        <v>360.9</v>
      </c>
      <c r="J95" s="33">
        <f t="shared" si="70"/>
        <v>1.808784726160826E-2</v>
      </c>
      <c r="K95" s="44">
        <f t="shared" si="46"/>
        <v>6.75</v>
      </c>
      <c r="L95" s="33">
        <f t="shared" si="47"/>
        <v>360.9</v>
      </c>
      <c r="M95" s="33" t="s">
        <v>1552</v>
      </c>
      <c r="Q95" s="44" t="str">
        <f t="shared" si="48"/>
        <v xml:space="preserve"> </v>
      </c>
      <c r="R95" s="33" t="str">
        <f>IF(OR(ISBLANK(P95), ISBLANK(Q95)),"",CONCATENATE(" ",VLOOKUP(Q95,Literatuur!$A:$B,2,FALSE)," "))</f>
        <v/>
      </c>
      <c r="T95" s="44" t="str">
        <f t="shared" si="49"/>
        <v xml:space="preserve"> </v>
      </c>
      <c r="U95" s="33" t="str">
        <f>IF(OR(ISBLANK(S95), ISBLANK(T95)),"",CONCATENATE(" ",VLOOKUP(T95,Literatuur!$A:$B,2,FALSE)," "))</f>
        <v/>
      </c>
      <c r="W95" s="44" t="str">
        <f t="shared" si="50"/>
        <v xml:space="preserve"> </v>
      </c>
      <c r="X95" s="33" t="str">
        <f>IF(OR(ISBLANK(V95), ISBLANK(W95)),"",CONCATENATE(" ",VLOOKUP(W95,Literatuur!$A:$B,2,FALSE)," "))</f>
        <v/>
      </c>
      <c r="Z95" s="44" t="str">
        <f t="shared" si="51"/>
        <v xml:space="preserve"> </v>
      </c>
      <c r="AA95" s="33" t="str">
        <f>IF(OR(ISBLANK(Y95), ISBLANK(Z95)),"",CONCATENATE(" ",VLOOKUP(Z95,Literatuur!$A:$B,2,FALSE)," "))</f>
        <v/>
      </c>
      <c r="AC95" s="36" t="str">
        <f t="shared" si="52"/>
        <v xml:space="preserve"> </v>
      </c>
      <c r="AD95" s="33" t="str">
        <f>IF(OR(ISBLANK(AB95), ISBLANK(AC95)),"",CONCATENATE(" ",VLOOKUP(AC95,Literatuur!$A:$B,2,FALSE)," "))</f>
        <v/>
      </c>
      <c r="AE95" s="365">
        <v>1.808784726160826E-2</v>
      </c>
      <c r="AF95" s="33" t="s">
        <v>1557</v>
      </c>
      <c r="AG95" s="33" t="str">
        <f>IF(OR(ISBLANK(AE95), ISBLANK(AF95)),"",CONCATENATE(" ",VLOOKUP(AF95,Literatuur!$A:$B,2,FALSE)," "))</f>
        <v xml:space="preserve"> 17 </v>
      </c>
      <c r="AJ95" s="44" t="str">
        <f t="shared" si="53"/>
        <v xml:space="preserve"> </v>
      </c>
      <c r="AK95" s="33" t="str">
        <f>IF(OR(ISBLANK(AI95), ISBLANK(AJ95)),"",CONCATENATE(" ",VLOOKUP(AJ95,Literatuur!$A:$B,2,FALSE)," "))</f>
        <v/>
      </c>
      <c r="AM95" s="44" t="str">
        <f t="shared" si="54"/>
        <v xml:space="preserve"> </v>
      </c>
      <c r="AN95" s="33" t="str">
        <f>IF(OR(ISBLANK(AL95), ISBLANK(AM95)),"",CONCATENATE(" ",VLOOKUP(AM95,Literatuur!$A:$B,2,FALSE)," "))</f>
        <v/>
      </c>
      <c r="AP95" s="44" t="str">
        <f t="shared" si="55"/>
        <v xml:space="preserve"> </v>
      </c>
      <c r="AQ95" s="33" t="str">
        <f>IF(OR(ISBLANK(AO95), ISBLANK(AP95)),"",CONCATENATE(" ",VLOOKUP(AP95,Literatuur!$A:$B,2,FALSE)," "))</f>
        <v/>
      </c>
      <c r="AS95"/>
      <c r="AT95" s="33" t="str">
        <f>IF(OR(ISBLANK(AR95), ISBLANK(AS95)),"",CONCATENATE(" ",VLOOKUP(AS95,Literatuur!$A:$B,2,FALSE)," "))</f>
        <v/>
      </c>
      <c r="AU95">
        <v>360.9</v>
      </c>
      <c r="AV95" s="33" t="s">
        <v>1557</v>
      </c>
      <c r="AW95" s="33" t="str">
        <f>IF(OR(ISBLANK(AU95), ISBLANK(AV95)),"",CONCATENATE(" ",VLOOKUP(AV95,Literatuur!$A:$B,2,FALSE)," "))</f>
        <v xml:space="preserve"> 17 </v>
      </c>
      <c r="AZ95" s="44" t="str">
        <f t="shared" si="56"/>
        <v xml:space="preserve"> </v>
      </c>
      <c r="BA95" s="33" t="str">
        <f>IF(OR(ISBLANK(AY95), ISBLANK(AZ95)),"",CONCATENATE(" ",VLOOKUP(AZ95,Literatuur!$A:$B,2,FALSE)," "))</f>
        <v/>
      </c>
      <c r="BC95" s="44" t="str">
        <f t="shared" si="57"/>
        <v xml:space="preserve"> </v>
      </c>
      <c r="BD95" s="33" t="str">
        <f>IF(OR(ISBLANK(BB95), ISBLANK(BC95)),"",CONCATENATE(" ",VLOOKUP(BC95,Literatuur!$A:$B,2,FALSE)," "))</f>
        <v/>
      </c>
      <c r="BF95" s="44" t="str">
        <f t="shared" si="58"/>
        <v xml:space="preserve"> </v>
      </c>
      <c r="BG95" s="33" t="str">
        <f>IF(OR(ISBLANK(BE95), ISBLANK(BF95)),"",CONCATENATE(" ",VLOOKUP(BF95,Literatuur!$A:$B,2,FALSE)," "))</f>
        <v/>
      </c>
      <c r="BI95" s="44" t="str">
        <f t="shared" si="59"/>
        <v xml:space="preserve"> </v>
      </c>
      <c r="BJ95" s="33" t="str">
        <f>IF(OR(ISBLANK(BH95), ISBLANK(BI95)),"",CONCATENATE(" ",VLOOKUP(BI95,Literatuur!$A:$B,2,FALSE)," "))</f>
        <v/>
      </c>
      <c r="BL95" s="44" t="str">
        <f t="shared" si="60"/>
        <v xml:space="preserve"> </v>
      </c>
      <c r="BM95" s="33" t="str">
        <f>IF(OR(ISBLANK(BK95), ISBLANK(BL95)),"",CONCATENATE(" ",VLOOKUP(BL95,Literatuur!$A:$B,2,FALSE)," "))</f>
        <v/>
      </c>
      <c r="BN95">
        <v>6.8</v>
      </c>
      <c r="BO95" s="4" t="s">
        <v>1666</v>
      </c>
      <c r="BP95" s="33" t="str">
        <f>IF(OR(ISBLANK(BN95), ISBLANK(BO95)),"",CONCATENATE(" ",VLOOKUP(BO95,Literatuur!$A:$B,2,FALSE)," "))</f>
        <v xml:space="preserve"> NA </v>
      </c>
      <c r="BQ95"/>
      <c r="BR95"/>
      <c r="BS95" s="33" t="str">
        <f>IF(OR(ISBLANK(BQ95), ISBLANK(BR95)),"",CONCATENATE(" ",VLOOKUP(BR95,Literatuur!$A:$B,2,FALSE)," "))</f>
        <v/>
      </c>
      <c r="BT95">
        <v>6.7</v>
      </c>
      <c r="BU95" s="33" t="s">
        <v>1557</v>
      </c>
      <c r="BV95" s="33" t="str">
        <f>IF(OR(ISBLANK(BT95), ISBLANK(BU95)),"",CONCATENATE(" ",VLOOKUP(BU95,Literatuur!$A:$B,2,FALSE)," "))</f>
        <v xml:space="preserve"> 17 </v>
      </c>
      <c r="BX95" s="33">
        <v>360.9</v>
      </c>
      <c r="BZ95" s="339">
        <v>200.8</v>
      </c>
      <c r="CB95" s="33" t="s">
        <v>1557</v>
      </c>
      <c r="CC95" s="33" t="s">
        <v>1736</v>
      </c>
      <c r="CD95" s="33">
        <f t="shared" si="71"/>
        <v>360.9</v>
      </c>
      <c r="CG95" s="33">
        <f t="shared" si="72"/>
        <v>-1.7426131179404927</v>
      </c>
      <c r="CR95" s="33" t="str">
        <f t="shared" si="62"/>
        <v>PCB 129</v>
      </c>
      <c r="CS95" s="33" t="str">
        <f t="shared" si="63"/>
        <v>PCB</v>
      </c>
      <c r="CT95" s="33">
        <f t="shared" si="64"/>
        <v>360.9</v>
      </c>
      <c r="CU95" s="33" t="str">
        <f t="shared" si="65"/>
        <v xml:space="preserve"> 17 </v>
      </c>
      <c r="CV95" s="33">
        <f t="shared" si="66"/>
        <v>1.808784726160826E-2</v>
      </c>
      <c r="CW95" s="33" t="str">
        <f t="shared" si="67"/>
        <v xml:space="preserve"> 17 </v>
      </c>
      <c r="CX95" s="33">
        <f t="shared" si="68"/>
        <v>6.75</v>
      </c>
      <c r="CY95" s="33" t="str">
        <f t="shared" si="69"/>
        <v xml:space="preserve"> NA  17 </v>
      </c>
    </row>
    <row r="96" spans="1:103" ht="12.75" customHeight="1" x14ac:dyDescent="0.2">
      <c r="A96"/>
      <c r="B96">
        <v>-1731</v>
      </c>
      <c r="C96"/>
      <c r="D96" t="s">
        <v>1006</v>
      </c>
      <c r="E96" t="s">
        <v>1006</v>
      </c>
      <c r="F96" s="34"/>
      <c r="I96" s="33">
        <f t="shared" si="45"/>
        <v>360.9</v>
      </c>
      <c r="J96" s="33">
        <f t="shared" si="70"/>
        <v>1.4367687785275682E-2</v>
      </c>
      <c r="K96" s="44">
        <f t="shared" si="46"/>
        <v>6.85</v>
      </c>
      <c r="L96" s="33">
        <f t="shared" si="47"/>
        <v>360.9</v>
      </c>
      <c r="M96" s="33" t="s">
        <v>1552</v>
      </c>
      <c r="Q96" s="44" t="str">
        <f t="shared" si="48"/>
        <v xml:space="preserve"> </v>
      </c>
      <c r="R96" s="33" t="str">
        <f>IF(OR(ISBLANK(P96), ISBLANK(Q96)),"",CONCATENATE(" ",VLOOKUP(Q96,Literatuur!$A:$B,2,FALSE)," "))</f>
        <v/>
      </c>
      <c r="T96" s="44" t="str">
        <f t="shared" si="49"/>
        <v xml:space="preserve"> </v>
      </c>
      <c r="U96" s="33" t="str">
        <f>IF(OR(ISBLANK(S96), ISBLANK(T96)),"",CONCATENATE(" ",VLOOKUP(T96,Literatuur!$A:$B,2,FALSE)," "))</f>
        <v/>
      </c>
      <c r="W96" s="44" t="str">
        <f t="shared" si="50"/>
        <v xml:space="preserve"> </v>
      </c>
      <c r="X96" s="33" t="str">
        <f>IF(OR(ISBLANK(V96), ISBLANK(W96)),"",CONCATENATE(" ",VLOOKUP(W96,Literatuur!$A:$B,2,FALSE)," "))</f>
        <v/>
      </c>
      <c r="Z96" s="44" t="str">
        <f t="shared" si="51"/>
        <v xml:space="preserve"> </v>
      </c>
      <c r="AA96" s="33" t="str">
        <f>IF(OR(ISBLANK(Y96), ISBLANK(Z96)),"",CONCATENATE(" ",VLOOKUP(Z96,Literatuur!$A:$B,2,FALSE)," "))</f>
        <v/>
      </c>
      <c r="AC96" s="36" t="str">
        <f t="shared" si="52"/>
        <v xml:space="preserve"> </v>
      </c>
      <c r="AD96" s="33" t="str">
        <f>IF(OR(ISBLANK(AB96), ISBLANK(AC96)),"",CONCATENATE(" ",VLOOKUP(AC96,Literatuur!$A:$B,2,FALSE)," "))</f>
        <v/>
      </c>
      <c r="AE96" s="365">
        <v>1.4367687785275682E-2</v>
      </c>
      <c r="AF96" s="33" t="s">
        <v>1557</v>
      </c>
      <c r="AG96" s="33" t="str">
        <f>IF(OR(ISBLANK(AE96), ISBLANK(AF96)),"",CONCATENATE(" ",VLOOKUP(AF96,Literatuur!$A:$B,2,FALSE)," "))</f>
        <v xml:space="preserve"> 17 </v>
      </c>
      <c r="AJ96" s="44" t="str">
        <f t="shared" si="53"/>
        <v xml:space="preserve"> </v>
      </c>
      <c r="AK96" s="33" t="str">
        <f>IF(OR(ISBLANK(AI96), ISBLANK(AJ96)),"",CONCATENATE(" ",VLOOKUP(AJ96,Literatuur!$A:$B,2,FALSE)," "))</f>
        <v/>
      </c>
      <c r="AM96" s="44" t="str">
        <f t="shared" si="54"/>
        <v xml:space="preserve"> </v>
      </c>
      <c r="AN96" s="33" t="str">
        <f>IF(OR(ISBLANK(AL96), ISBLANK(AM96)),"",CONCATENATE(" ",VLOOKUP(AM96,Literatuur!$A:$B,2,FALSE)," "))</f>
        <v/>
      </c>
      <c r="AP96" s="44" t="str">
        <f t="shared" si="55"/>
        <v xml:space="preserve"> </v>
      </c>
      <c r="AQ96" s="33" t="str">
        <f>IF(OR(ISBLANK(AO96), ISBLANK(AP96)),"",CONCATENATE(" ",VLOOKUP(AP96,Literatuur!$A:$B,2,FALSE)," "))</f>
        <v/>
      </c>
      <c r="AS96"/>
      <c r="AT96" s="33" t="str">
        <f>IF(OR(ISBLANK(AR96), ISBLANK(AS96)),"",CONCATENATE(" ",VLOOKUP(AS96,Literatuur!$A:$B,2,FALSE)," "))</f>
        <v/>
      </c>
      <c r="AU96">
        <v>360.9</v>
      </c>
      <c r="AV96" s="33" t="s">
        <v>1557</v>
      </c>
      <c r="AW96" s="33" t="str">
        <f>IF(OR(ISBLANK(AU96), ISBLANK(AV96)),"",CONCATENATE(" ",VLOOKUP(AV96,Literatuur!$A:$B,2,FALSE)," "))</f>
        <v xml:space="preserve"> 17 </v>
      </c>
      <c r="AZ96" s="44" t="str">
        <f t="shared" si="56"/>
        <v xml:space="preserve"> </v>
      </c>
      <c r="BA96" s="33" t="str">
        <f>IF(OR(ISBLANK(AY96), ISBLANK(AZ96)),"",CONCATENATE(" ",VLOOKUP(AZ96,Literatuur!$A:$B,2,FALSE)," "))</f>
        <v/>
      </c>
      <c r="BC96" s="44" t="str">
        <f t="shared" si="57"/>
        <v xml:space="preserve"> </v>
      </c>
      <c r="BD96" s="33" t="str">
        <f>IF(OR(ISBLANK(BB96), ISBLANK(BC96)),"",CONCATENATE(" ",VLOOKUP(BC96,Literatuur!$A:$B,2,FALSE)," "))</f>
        <v/>
      </c>
      <c r="BF96" s="44" t="str">
        <f t="shared" si="58"/>
        <v xml:space="preserve"> </v>
      </c>
      <c r="BG96" s="33" t="str">
        <f>IF(OR(ISBLANK(BE96), ISBLANK(BF96)),"",CONCATENATE(" ",VLOOKUP(BF96,Literatuur!$A:$B,2,FALSE)," "))</f>
        <v/>
      </c>
      <c r="BI96" s="44" t="str">
        <f t="shared" si="59"/>
        <v xml:space="preserve"> </v>
      </c>
      <c r="BJ96" s="33" t="str">
        <f>IF(OR(ISBLANK(BH96), ISBLANK(BI96)),"",CONCATENATE(" ",VLOOKUP(BI96,Literatuur!$A:$B,2,FALSE)," "))</f>
        <v/>
      </c>
      <c r="BL96" s="44" t="str">
        <f t="shared" si="60"/>
        <v xml:space="preserve"> </v>
      </c>
      <c r="BM96" s="33" t="str">
        <f>IF(OR(ISBLANK(BK96), ISBLANK(BL96)),"",CONCATENATE(" ",VLOOKUP(BL96,Literatuur!$A:$B,2,FALSE)," "))</f>
        <v/>
      </c>
      <c r="BN96">
        <v>6.9</v>
      </c>
      <c r="BO96" s="4" t="s">
        <v>1666</v>
      </c>
      <c r="BP96" s="33" t="str">
        <f>IF(OR(ISBLANK(BN96), ISBLANK(BO96)),"",CONCATENATE(" ",VLOOKUP(BO96,Literatuur!$A:$B,2,FALSE)," "))</f>
        <v xml:space="preserve"> NA </v>
      </c>
      <c r="BQ96"/>
      <c r="BR96"/>
      <c r="BS96" s="33" t="str">
        <f>IF(OR(ISBLANK(BQ96), ISBLANK(BR96)),"",CONCATENATE(" ",VLOOKUP(BR96,Literatuur!$A:$B,2,FALSE)," "))</f>
        <v/>
      </c>
      <c r="BT96">
        <v>6.8</v>
      </c>
      <c r="BU96" s="33" t="s">
        <v>1557</v>
      </c>
      <c r="BV96" s="33" t="str">
        <f>IF(OR(ISBLANK(BT96), ISBLANK(BU96)),"",CONCATENATE(" ",VLOOKUP(BU96,Literatuur!$A:$B,2,FALSE)," "))</f>
        <v xml:space="preserve"> 17 </v>
      </c>
      <c r="BX96" s="33">
        <v>360.9</v>
      </c>
      <c r="BZ96" s="339">
        <v>199</v>
      </c>
      <c r="CB96" s="33" t="s">
        <v>1557</v>
      </c>
      <c r="CC96" s="33" t="s">
        <v>1736</v>
      </c>
      <c r="CD96" s="33">
        <f t="shared" si="71"/>
        <v>360.9</v>
      </c>
      <c r="CG96" s="33">
        <f t="shared" si="72"/>
        <v>-1.8426131179404939</v>
      </c>
      <c r="CR96" s="33" t="str">
        <f t="shared" si="62"/>
        <v>PCB 137</v>
      </c>
      <c r="CS96" s="33" t="str">
        <f t="shared" si="63"/>
        <v>PCB</v>
      </c>
      <c r="CT96" s="33">
        <f t="shared" si="64"/>
        <v>360.9</v>
      </c>
      <c r="CU96" s="33" t="str">
        <f t="shared" si="65"/>
        <v xml:space="preserve"> 17 </v>
      </c>
      <c r="CV96" s="33">
        <f t="shared" si="66"/>
        <v>1.4367687785275682E-2</v>
      </c>
      <c r="CW96" s="33" t="str">
        <f t="shared" si="67"/>
        <v xml:space="preserve"> 17 </v>
      </c>
      <c r="CX96" s="33">
        <f t="shared" si="68"/>
        <v>6.85</v>
      </c>
      <c r="CY96" s="33" t="str">
        <f t="shared" si="69"/>
        <v xml:space="preserve"> NA  17 </v>
      </c>
    </row>
    <row r="97" spans="1:103" ht="12.75" customHeight="1" x14ac:dyDescent="0.2">
      <c r="A97"/>
      <c r="B97">
        <v>-1703</v>
      </c>
      <c r="C97"/>
      <c r="D97" t="s">
        <v>978</v>
      </c>
      <c r="E97" t="s">
        <v>978</v>
      </c>
      <c r="F97" s="34"/>
      <c r="I97" s="33">
        <f t="shared" si="45"/>
        <v>223.1</v>
      </c>
      <c r="J97" s="33">
        <f t="shared" si="70"/>
        <v>0.56040186286978677</v>
      </c>
      <c r="K97" s="44">
        <f t="shared" si="46"/>
        <v>5.3</v>
      </c>
      <c r="L97" s="33" t="e">
        <f t="shared" si="47"/>
        <v>#DIV/0!</v>
      </c>
      <c r="M97" s="33" t="s">
        <v>1552</v>
      </c>
      <c r="Q97" s="44" t="str">
        <f t="shared" si="48"/>
        <v xml:space="preserve"> </v>
      </c>
      <c r="R97" s="33" t="str">
        <f>IF(OR(ISBLANK(P97), ISBLANK(Q97)),"",CONCATENATE(" ",VLOOKUP(Q97,Literatuur!$A:$B,2,FALSE)," "))</f>
        <v/>
      </c>
      <c r="T97" s="44" t="str">
        <f t="shared" si="49"/>
        <v xml:space="preserve"> </v>
      </c>
      <c r="U97" s="33" t="str">
        <f>IF(OR(ISBLANK(S97), ISBLANK(T97)),"",CONCATENATE(" ",VLOOKUP(T97,Literatuur!$A:$B,2,FALSE)," "))</f>
        <v/>
      </c>
      <c r="W97" s="44" t="str">
        <f t="shared" si="50"/>
        <v xml:space="preserve"> </v>
      </c>
      <c r="X97" s="33" t="str">
        <f>IF(OR(ISBLANK(V97), ISBLANK(W97)),"",CONCATENATE(" ",VLOOKUP(W97,Literatuur!$A:$B,2,FALSE)," "))</f>
        <v/>
      </c>
      <c r="Z97" s="44" t="str">
        <f t="shared" si="51"/>
        <v xml:space="preserve"> </v>
      </c>
      <c r="AA97" s="33" t="str">
        <f>IF(OR(ISBLANK(Y97), ISBLANK(Z97)),"",CONCATENATE(" ",VLOOKUP(Z97,Literatuur!$A:$B,2,FALSE)," "))</f>
        <v/>
      </c>
      <c r="AC97" s="36" t="str">
        <f t="shared" si="52"/>
        <v xml:space="preserve"> </v>
      </c>
      <c r="AD97" s="33" t="str">
        <f>IF(OR(ISBLANK(AB97), ISBLANK(AC97)),"",CONCATENATE(" ",VLOOKUP(AC97,Literatuur!$A:$B,2,FALSE)," "))</f>
        <v/>
      </c>
      <c r="AE97" s="365">
        <v>0.56040186286978677</v>
      </c>
      <c r="AF97" s="33" t="s">
        <v>1557</v>
      </c>
      <c r="AG97" s="33" t="str">
        <f>IF(OR(ISBLANK(AE97), ISBLANK(AF97)),"",CONCATENATE(" ",VLOOKUP(AF97,Literatuur!$A:$B,2,FALSE)," "))</f>
        <v xml:space="preserve"> 17 </v>
      </c>
      <c r="AJ97" s="44" t="str">
        <f t="shared" si="53"/>
        <v xml:space="preserve"> </v>
      </c>
      <c r="AK97" s="33" t="str">
        <f>IF(OR(ISBLANK(AI97), ISBLANK(AJ97)),"",CONCATENATE(" ",VLOOKUP(AJ97,Literatuur!$A:$B,2,FALSE)," "))</f>
        <v/>
      </c>
      <c r="AM97" s="44" t="str">
        <f t="shared" si="54"/>
        <v xml:space="preserve"> </v>
      </c>
      <c r="AN97" s="33" t="str">
        <f>IF(OR(ISBLANK(AL97), ISBLANK(AM97)),"",CONCATENATE(" ",VLOOKUP(AM97,Literatuur!$A:$B,2,FALSE)," "))</f>
        <v/>
      </c>
      <c r="AP97" s="44" t="str">
        <f t="shared" si="55"/>
        <v xml:space="preserve"> </v>
      </c>
      <c r="AQ97" s="33" t="str">
        <f>IF(OR(ISBLANK(AO97), ISBLANK(AP97)),"",CONCATENATE(" ",VLOOKUP(AP97,Literatuur!$A:$B,2,FALSE)," "))</f>
        <v/>
      </c>
      <c r="AS97"/>
      <c r="AT97" s="33" t="str">
        <f>IF(OR(ISBLANK(AR97), ISBLANK(AS97)),"",CONCATENATE(" ",VLOOKUP(AS97,Literatuur!$A:$B,2,FALSE)," "))</f>
        <v/>
      </c>
      <c r="AU97">
        <v>223.1</v>
      </c>
      <c r="AV97" s="33" t="s">
        <v>1557</v>
      </c>
      <c r="AW97" s="33" t="str">
        <f>IF(OR(ISBLANK(AU97), ISBLANK(AV97)),"",CONCATENATE(" ",VLOOKUP(AV97,Literatuur!$A:$B,2,FALSE)," "))</f>
        <v xml:space="preserve"> 17 </v>
      </c>
      <c r="AZ97" s="44" t="str">
        <f t="shared" si="56"/>
        <v xml:space="preserve"> </v>
      </c>
      <c r="BA97" s="33" t="str">
        <f>IF(OR(ISBLANK(AY97), ISBLANK(AZ97)),"",CONCATENATE(" ",VLOOKUP(AZ97,Literatuur!$A:$B,2,FALSE)," "))</f>
        <v/>
      </c>
      <c r="BC97" s="44" t="str">
        <f t="shared" si="57"/>
        <v xml:space="preserve"> </v>
      </c>
      <c r="BD97" s="33" t="str">
        <f>IF(OR(ISBLANK(BB97), ISBLANK(BC97)),"",CONCATENATE(" ",VLOOKUP(BC97,Literatuur!$A:$B,2,FALSE)," "))</f>
        <v/>
      </c>
      <c r="BF97" s="44" t="str">
        <f t="shared" si="58"/>
        <v xml:space="preserve"> </v>
      </c>
      <c r="BG97" s="33" t="str">
        <f>IF(OR(ISBLANK(BE97), ISBLANK(BF97)),"",CONCATENATE(" ",VLOOKUP(BF97,Literatuur!$A:$B,2,FALSE)," "))</f>
        <v/>
      </c>
      <c r="BI97" s="44" t="str">
        <f t="shared" si="59"/>
        <v xml:space="preserve"> </v>
      </c>
      <c r="BJ97" s="33" t="str">
        <f>IF(OR(ISBLANK(BH97), ISBLANK(BI97)),"",CONCATENATE(" ",VLOOKUP(BI97,Literatuur!$A:$B,2,FALSE)," "))</f>
        <v/>
      </c>
      <c r="BL97" s="44" t="str">
        <f t="shared" si="60"/>
        <v xml:space="preserve"> </v>
      </c>
      <c r="BM97" s="33" t="str">
        <f>IF(OR(ISBLANK(BK97), ISBLANK(BL97)),"",CONCATENATE(" ",VLOOKUP(BL97,Literatuur!$A:$B,2,FALSE)," "))</f>
        <v/>
      </c>
      <c r="BN97">
        <v>5.3</v>
      </c>
      <c r="BO97" s="4" t="s">
        <v>1666</v>
      </c>
      <c r="BP97" s="33" t="str">
        <f>IF(OR(ISBLANK(BN97), ISBLANK(BO97)),"",CONCATENATE(" ",VLOOKUP(BO97,Literatuur!$A:$B,2,FALSE)," "))</f>
        <v xml:space="preserve"> NA </v>
      </c>
      <c r="BQ97"/>
      <c r="BR97"/>
      <c r="BS97" s="33" t="str">
        <f>IF(OR(ISBLANK(BQ97), ISBLANK(BR97)),"",CONCATENATE(" ",VLOOKUP(BR97,Literatuur!$A:$B,2,FALSE)," "))</f>
        <v/>
      </c>
      <c r="BT97">
        <v>5.3</v>
      </c>
      <c r="BU97" s="33" t="s">
        <v>1557</v>
      </c>
      <c r="BV97" s="33" t="str">
        <f>IF(OR(ISBLANK(BT97), ISBLANK(BU97)),"",CONCATENATE(" ",VLOOKUP(BU97,Literatuur!$A:$B,2,FALSE)," "))</f>
        <v xml:space="preserve"> 17 </v>
      </c>
      <c r="BZ97" s="339">
        <v>200.8</v>
      </c>
      <c r="CB97" s="33" t="s">
        <v>1557</v>
      </c>
      <c r="CC97" s="33" t="s">
        <v>1736</v>
      </c>
      <c r="CG97" s="33">
        <f t="shared" si="72"/>
        <v>-0.25150042971616271</v>
      </c>
      <c r="CR97" s="33" t="str">
        <f t="shared" si="62"/>
        <v>PCB 14</v>
      </c>
      <c r="CS97" s="33" t="str">
        <f t="shared" si="63"/>
        <v>PCB</v>
      </c>
      <c r="CT97" s="33">
        <f t="shared" si="64"/>
        <v>223.1</v>
      </c>
      <c r="CU97" s="33" t="str">
        <f t="shared" si="65"/>
        <v xml:space="preserve"> 17 </v>
      </c>
      <c r="CV97" s="33">
        <f t="shared" si="66"/>
        <v>0.56040186286978677</v>
      </c>
      <c r="CW97" s="33" t="str">
        <f t="shared" si="67"/>
        <v xml:space="preserve"> 17 </v>
      </c>
      <c r="CX97" s="33">
        <f t="shared" si="68"/>
        <v>5.3</v>
      </c>
      <c r="CY97" s="33" t="str">
        <f t="shared" si="69"/>
        <v xml:space="preserve"> NA  17 </v>
      </c>
    </row>
    <row r="98" spans="1:103" x14ac:dyDescent="0.2">
      <c r="A98"/>
      <c r="B98">
        <v>-1734</v>
      </c>
      <c r="C98"/>
      <c r="D98" t="s">
        <v>1009</v>
      </c>
      <c r="E98" t="s">
        <v>1009</v>
      </c>
      <c r="F98" s="34"/>
      <c r="I98" s="33">
        <f t="shared" si="45"/>
        <v>360.9</v>
      </c>
      <c r="J98" s="33">
        <f t="shared" si="70"/>
        <v>2.2771250562290155E-2</v>
      </c>
      <c r="K98" s="44">
        <f t="shared" si="46"/>
        <v>6.65</v>
      </c>
      <c r="L98" s="33" t="e">
        <f t="shared" si="47"/>
        <v>#DIV/0!</v>
      </c>
      <c r="M98" s="33" t="s">
        <v>1552</v>
      </c>
      <c r="Q98" s="44" t="str">
        <f t="shared" si="48"/>
        <v xml:space="preserve"> </v>
      </c>
      <c r="R98" s="33" t="str">
        <f>IF(OR(ISBLANK(P98), ISBLANK(Q98)),"",CONCATENATE(" ",VLOOKUP(Q98,Literatuur!$A:$B,2,FALSE)," "))</f>
        <v/>
      </c>
      <c r="T98" s="44" t="str">
        <f t="shared" si="49"/>
        <v xml:space="preserve"> </v>
      </c>
      <c r="U98" s="33" t="str">
        <f>IF(OR(ISBLANK(S98), ISBLANK(T98)),"",CONCATENATE(" ",VLOOKUP(T98,Literatuur!$A:$B,2,FALSE)," "))</f>
        <v/>
      </c>
      <c r="W98" s="44" t="str">
        <f t="shared" si="50"/>
        <v xml:space="preserve"> </v>
      </c>
      <c r="X98" s="33" t="str">
        <f>IF(OR(ISBLANK(V98), ISBLANK(W98)),"",CONCATENATE(" ",VLOOKUP(W98,Literatuur!$A:$B,2,FALSE)," "))</f>
        <v/>
      </c>
      <c r="Z98" s="44" t="str">
        <f t="shared" si="51"/>
        <v xml:space="preserve"> </v>
      </c>
      <c r="AA98" s="33" t="str">
        <f>IF(OR(ISBLANK(Y98), ISBLANK(Z98)),"",CONCATENATE(" ",VLOOKUP(Z98,Literatuur!$A:$B,2,FALSE)," "))</f>
        <v/>
      </c>
      <c r="AC98" s="36" t="str">
        <f t="shared" si="52"/>
        <v xml:space="preserve"> </v>
      </c>
      <c r="AD98" s="33" t="str">
        <f>IF(OR(ISBLANK(AB98), ISBLANK(AC98)),"",CONCATENATE(" ",VLOOKUP(AC98,Literatuur!$A:$B,2,FALSE)," "))</f>
        <v/>
      </c>
      <c r="AE98" s="365">
        <v>2.2771250562290155E-2</v>
      </c>
      <c r="AF98" s="33" t="s">
        <v>1557</v>
      </c>
      <c r="AG98" s="33" t="str">
        <f>IF(OR(ISBLANK(AE98), ISBLANK(AF98)),"",CONCATENATE(" ",VLOOKUP(AF98,Literatuur!$A:$B,2,FALSE)," "))</f>
        <v xml:space="preserve"> 17 </v>
      </c>
      <c r="AJ98" s="44" t="str">
        <f t="shared" si="53"/>
        <v xml:space="preserve"> </v>
      </c>
      <c r="AK98" s="33" t="str">
        <f>IF(OR(ISBLANK(AI98), ISBLANK(AJ98)),"",CONCATENATE(" ",VLOOKUP(AJ98,Literatuur!$A:$B,2,FALSE)," "))</f>
        <v/>
      </c>
      <c r="AM98" s="44" t="str">
        <f t="shared" si="54"/>
        <v xml:space="preserve"> </v>
      </c>
      <c r="AN98" s="33" t="str">
        <f>IF(OR(ISBLANK(AL98), ISBLANK(AM98)),"",CONCATENATE(" ",VLOOKUP(AM98,Literatuur!$A:$B,2,FALSE)," "))</f>
        <v/>
      </c>
      <c r="AP98" s="44" t="str">
        <f t="shared" si="55"/>
        <v xml:space="preserve"> </v>
      </c>
      <c r="AQ98" s="33" t="str">
        <f>IF(OR(ISBLANK(AO98), ISBLANK(AP98)),"",CONCATENATE(" ",VLOOKUP(AP98,Literatuur!$A:$B,2,FALSE)," "))</f>
        <v/>
      </c>
      <c r="AS98"/>
      <c r="AT98" s="33" t="str">
        <f>IF(OR(ISBLANK(AR98), ISBLANK(AS98)),"",CONCATENATE(" ",VLOOKUP(AS98,Literatuur!$A:$B,2,FALSE)," "))</f>
        <v/>
      </c>
      <c r="AU98">
        <v>360.9</v>
      </c>
      <c r="AV98" s="33" t="s">
        <v>1557</v>
      </c>
      <c r="AW98" s="33" t="str">
        <f>IF(OR(ISBLANK(AU98), ISBLANK(AV98)),"",CONCATENATE(" ",VLOOKUP(AV98,Literatuur!$A:$B,2,FALSE)," "))</f>
        <v xml:space="preserve"> 17 </v>
      </c>
      <c r="AZ98" s="44" t="str">
        <f t="shared" si="56"/>
        <v xml:space="preserve"> </v>
      </c>
      <c r="BA98" s="33" t="str">
        <f>IF(OR(ISBLANK(AY98), ISBLANK(AZ98)),"",CONCATENATE(" ",VLOOKUP(AZ98,Literatuur!$A:$B,2,FALSE)," "))</f>
        <v/>
      </c>
      <c r="BC98" s="44" t="str">
        <f t="shared" si="57"/>
        <v xml:space="preserve"> </v>
      </c>
      <c r="BD98" s="33" t="str">
        <f>IF(OR(ISBLANK(BB98), ISBLANK(BC98)),"",CONCATENATE(" ",VLOOKUP(BC98,Literatuur!$A:$B,2,FALSE)," "))</f>
        <v/>
      </c>
      <c r="BF98" s="44" t="str">
        <f t="shared" si="58"/>
        <v xml:space="preserve"> </v>
      </c>
      <c r="BG98" s="33" t="str">
        <f>IF(OR(ISBLANK(BE98), ISBLANK(BF98)),"",CONCATENATE(" ",VLOOKUP(BF98,Literatuur!$A:$B,2,FALSE)," "))</f>
        <v/>
      </c>
      <c r="BI98" s="44" t="str">
        <f t="shared" si="59"/>
        <v xml:space="preserve"> </v>
      </c>
      <c r="BJ98" s="33" t="str">
        <f>IF(OR(ISBLANK(BH98), ISBLANK(BI98)),"",CONCATENATE(" ",VLOOKUP(BI98,Literatuur!$A:$B,2,FALSE)," "))</f>
        <v/>
      </c>
      <c r="BL98" s="44" t="str">
        <f t="shared" si="60"/>
        <v xml:space="preserve"> </v>
      </c>
      <c r="BM98" s="33" t="str">
        <f>IF(OR(ISBLANK(BK98), ISBLANK(BL98)),"",CONCATENATE(" ",VLOOKUP(BL98,Literatuur!$A:$B,2,FALSE)," "))</f>
        <v/>
      </c>
      <c r="BN98">
        <v>6.7</v>
      </c>
      <c r="BO98" s="4" t="s">
        <v>1666</v>
      </c>
      <c r="BP98" s="33" t="str">
        <f>IF(OR(ISBLANK(BN98), ISBLANK(BO98)),"",CONCATENATE(" ",VLOOKUP(BO98,Literatuur!$A:$B,2,FALSE)," "))</f>
        <v xml:space="preserve"> NA </v>
      </c>
      <c r="BQ98"/>
      <c r="BR98"/>
      <c r="BS98" s="33" t="str">
        <f>IF(OR(ISBLANK(BQ98), ISBLANK(BR98)),"",CONCATENATE(" ",VLOOKUP(BR98,Literatuur!$A:$B,2,FALSE)," "))</f>
        <v/>
      </c>
      <c r="BT98">
        <v>6.6</v>
      </c>
      <c r="BU98" s="33" t="s">
        <v>1557</v>
      </c>
      <c r="BV98" s="33" t="str">
        <f>IF(OR(ISBLANK(BT98), ISBLANK(BU98)),"",CONCATENATE(" ",VLOOKUP(BU98,Literatuur!$A:$B,2,FALSE)," "))</f>
        <v xml:space="preserve"> 17 </v>
      </c>
      <c r="BZ98" s="339">
        <v>198.1</v>
      </c>
      <c r="CB98" s="33" t="s">
        <v>1557</v>
      </c>
      <c r="CC98" s="33" t="s">
        <v>1736</v>
      </c>
      <c r="CG98" s="33">
        <f t="shared" si="72"/>
        <v>-1.6426131179404933</v>
      </c>
      <c r="CR98" s="33" t="str">
        <f t="shared" si="62"/>
        <v>PCB 143</v>
      </c>
      <c r="CS98" s="33" t="str">
        <f t="shared" si="63"/>
        <v>PCB</v>
      </c>
      <c r="CT98" s="33">
        <f t="shared" si="64"/>
        <v>360.9</v>
      </c>
      <c r="CU98" s="33" t="str">
        <f t="shared" si="65"/>
        <v xml:space="preserve"> 17 </v>
      </c>
      <c r="CV98" s="33">
        <f t="shared" si="66"/>
        <v>2.2771250562290155E-2</v>
      </c>
      <c r="CW98" s="33" t="str">
        <f t="shared" si="67"/>
        <v xml:space="preserve"> 17 </v>
      </c>
      <c r="CX98" s="33">
        <f t="shared" si="68"/>
        <v>6.65</v>
      </c>
      <c r="CY98" s="33" t="str">
        <f t="shared" si="69"/>
        <v xml:space="preserve"> NA  17 </v>
      </c>
    </row>
    <row r="99" spans="1:103" ht="12.75" customHeight="1" x14ac:dyDescent="0.2">
      <c r="A99"/>
      <c r="B99">
        <v>-1735</v>
      </c>
      <c r="C99"/>
      <c r="D99" t="s">
        <v>1010</v>
      </c>
      <c r="E99" t="s">
        <v>1010</v>
      </c>
      <c r="F99" s="34"/>
      <c r="I99" s="33">
        <f t="shared" si="45"/>
        <v>360.9</v>
      </c>
      <c r="J99" s="33">
        <f t="shared" si="70"/>
        <v>7.2009016947226723E-2</v>
      </c>
      <c r="K99" s="44">
        <f t="shared" si="46"/>
        <v>6.3</v>
      </c>
      <c r="L99" s="33" t="e">
        <f t="shared" si="47"/>
        <v>#DIV/0!</v>
      </c>
      <c r="M99" s="33" t="s">
        <v>1552</v>
      </c>
      <c r="Q99" s="44" t="str">
        <f t="shared" si="48"/>
        <v xml:space="preserve"> </v>
      </c>
      <c r="R99" s="33" t="str">
        <f>IF(OR(ISBLANK(P99), ISBLANK(Q99)),"",CONCATENATE(" ",VLOOKUP(Q99,Literatuur!$A:$B,2,FALSE)," "))</f>
        <v/>
      </c>
      <c r="T99" s="44" t="str">
        <f t="shared" si="49"/>
        <v xml:space="preserve"> </v>
      </c>
      <c r="U99" s="33" t="str">
        <f>IF(OR(ISBLANK(S99), ISBLANK(T99)),"",CONCATENATE(" ",VLOOKUP(T99,Literatuur!$A:$B,2,FALSE)," "))</f>
        <v/>
      </c>
      <c r="W99" s="44" t="str">
        <f t="shared" si="50"/>
        <v xml:space="preserve"> </v>
      </c>
      <c r="X99" s="33" t="str">
        <f>IF(OR(ISBLANK(V99), ISBLANK(W99)),"",CONCATENATE(" ",VLOOKUP(W99,Literatuur!$A:$B,2,FALSE)," "))</f>
        <v/>
      </c>
      <c r="Z99" s="44" t="str">
        <f t="shared" si="51"/>
        <v xml:space="preserve"> </v>
      </c>
      <c r="AA99" s="33" t="str">
        <f>IF(OR(ISBLANK(Y99), ISBLANK(Z99)),"",CONCATENATE(" ",VLOOKUP(Z99,Literatuur!$A:$B,2,FALSE)," "))</f>
        <v/>
      </c>
      <c r="AC99" s="36" t="str">
        <f t="shared" si="52"/>
        <v xml:space="preserve"> </v>
      </c>
      <c r="AD99" s="33" t="str">
        <f>IF(OR(ISBLANK(AB99), ISBLANK(AC99)),"",CONCATENATE(" ",VLOOKUP(AC99,Literatuur!$A:$B,2,FALSE)," "))</f>
        <v/>
      </c>
      <c r="AE99" s="365">
        <v>7.2009016947226723E-2</v>
      </c>
      <c r="AF99" s="33" t="s">
        <v>1557</v>
      </c>
      <c r="AG99" s="33" t="str">
        <f>IF(OR(ISBLANK(AE99), ISBLANK(AF99)),"",CONCATENATE(" ",VLOOKUP(AF99,Literatuur!$A:$B,2,FALSE)," "))</f>
        <v xml:space="preserve"> 17 </v>
      </c>
      <c r="AJ99" s="44" t="str">
        <f t="shared" si="53"/>
        <v xml:space="preserve"> </v>
      </c>
      <c r="AK99" s="33" t="str">
        <f>IF(OR(ISBLANK(AI99), ISBLANK(AJ99)),"",CONCATENATE(" ",VLOOKUP(AJ99,Literatuur!$A:$B,2,FALSE)," "))</f>
        <v/>
      </c>
      <c r="AM99" s="44" t="str">
        <f t="shared" si="54"/>
        <v xml:space="preserve"> </v>
      </c>
      <c r="AN99" s="33" t="str">
        <f>IF(OR(ISBLANK(AL99), ISBLANK(AM99)),"",CONCATENATE(" ",VLOOKUP(AM99,Literatuur!$A:$B,2,FALSE)," "))</f>
        <v/>
      </c>
      <c r="AP99" s="44" t="str">
        <f t="shared" si="55"/>
        <v xml:space="preserve"> </v>
      </c>
      <c r="AQ99" s="33" t="str">
        <f>IF(OR(ISBLANK(AO99), ISBLANK(AP99)),"",CONCATENATE(" ",VLOOKUP(AP99,Literatuur!$A:$B,2,FALSE)," "))</f>
        <v/>
      </c>
      <c r="AS99"/>
      <c r="AT99" s="33" t="str">
        <f>IF(OR(ISBLANK(AR99), ISBLANK(AS99)),"",CONCATENATE(" ",VLOOKUP(AS99,Literatuur!$A:$B,2,FALSE)," "))</f>
        <v/>
      </c>
      <c r="AU99">
        <v>360.9</v>
      </c>
      <c r="AV99" s="33" t="s">
        <v>1557</v>
      </c>
      <c r="AW99" s="33" t="str">
        <f>IF(OR(ISBLANK(AU99), ISBLANK(AV99)),"",CONCATENATE(" ",VLOOKUP(AV99,Literatuur!$A:$B,2,FALSE)," "))</f>
        <v xml:space="preserve"> 17 </v>
      </c>
      <c r="AZ99" s="44" t="str">
        <f t="shared" si="56"/>
        <v xml:space="preserve"> </v>
      </c>
      <c r="BA99" s="33" t="str">
        <f>IF(OR(ISBLANK(AY99), ISBLANK(AZ99)),"",CONCATENATE(" ",VLOOKUP(AZ99,Literatuur!$A:$B,2,FALSE)," "))</f>
        <v/>
      </c>
      <c r="BC99" s="44" t="str">
        <f t="shared" si="57"/>
        <v xml:space="preserve"> </v>
      </c>
      <c r="BD99" s="33" t="str">
        <f>IF(OR(ISBLANK(BB99), ISBLANK(BC99)),"",CONCATENATE(" ",VLOOKUP(BC99,Literatuur!$A:$B,2,FALSE)," "))</f>
        <v/>
      </c>
      <c r="BF99" s="44" t="str">
        <f t="shared" si="58"/>
        <v xml:space="preserve"> </v>
      </c>
      <c r="BG99" s="33" t="str">
        <f>IF(OR(ISBLANK(BE99), ISBLANK(BF99)),"",CONCATENATE(" ",VLOOKUP(BF99,Literatuur!$A:$B,2,FALSE)," "))</f>
        <v/>
      </c>
      <c r="BI99" s="44" t="str">
        <f t="shared" si="59"/>
        <v xml:space="preserve"> </v>
      </c>
      <c r="BJ99" s="33" t="str">
        <f>IF(OR(ISBLANK(BH99), ISBLANK(BI99)),"",CONCATENATE(" ",VLOOKUP(BI99,Literatuur!$A:$B,2,FALSE)," "))</f>
        <v/>
      </c>
      <c r="BL99" s="44" t="str">
        <f t="shared" si="60"/>
        <v xml:space="preserve"> </v>
      </c>
      <c r="BM99" s="33" t="str">
        <f>IF(OR(ISBLANK(BK99), ISBLANK(BL99)),"",CONCATENATE(" ",VLOOKUP(BL99,Literatuur!$A:$B,2,FALSE)," "))</f>
        <v/>
      </c>
      <c r="BN99">
        <v>6.3</v>
      </c>
      <c r="BO99" s="4" t="s">
        <v>1666</v>
      </c>
      <c r="BP99" s="33" t="str">
        <f>IF(OR(ISBLANK(BN99), ISBLANK(BO99)),"",CONCATENATE(" ",VLOOKUP(BO99,Literatuur!$A:$B,2,FALSE)," "))</f>
        <v xml:space="preserve"> NA </v>
      </c>
      <c r="BQ99"/>
      <c r="BR99"/>
      <c r="BS99" s="33" t="str">
        <f>IF(OR(ISBLANK(BQ99), ISBLANK(BR99)),"",CONCATENATE(" ",VLOOKUP(BR99,Literatuur!$A:$B,2,FALSE)," "))</f>
        <v/>
      </c>
      <c r="BT99">
        <v>6.3</v>
      </c>
      <c r="BU99" s="33" t="s">
        <v>1557</v>
      </c>
      <c r="BV99" s="33" t="str">
        <f>IF(OR(ISBLANK(BT99), ISBLANK(BU99)),"",CONCATENATE(" ",VLOOKUP(BU99,Literatuur!$A:$B,2,FALSE)," "))</f>
        <v xml:space="preserve"> 17 </v>
      </c>
      <c r="BZ99" s="339">
        <v>212.1</v>
      </c>
      <c r="CB99" s="33" t="s">
        <v>1557</v>
      </c>
      <c r="CC99" s="33" t="s">
        <v>1736</v>
      </c>
      <c r="CG99" s="33">
        <f t="shared" si="72"/>
        <v>-1.1426131179404937</v>
      </c>
      <c r="CR99" s="33" t="str">
        <f t="shared" si="62"/>
        <v>PCB 145</v>
      </c>
      <c r="CS99" s="33" t="str">
        <f t="shared" si="63"/>
        <v>PCB</v>
      </c>
      <c r="CT99" s="33">
        <f t="shared" si="64"/>
        <v>360.9</v>
      </c>
      <c r="CU99" s="33" t="str">
        <f t="shared" si="65"/>
        <v xml:space="preserve"> 17 </v>
      </c>
      <c r="CV99" s="33">
        <f t="shared" si="66"/>
        <v>7.2009016947226723E-2</v>
      </c>
      <c r="CW99" s="33" t="str">
        <f t="shared" si="67"/>
        <v xml:space="preserve"> 17 </v>
      </c>
      <c r="CX99" s="33">
        <f t="shared" si="68"/>
        <v>6.3</v>
      </c>
      <c r="CY99" s="33" t="str">
        <f t="shared" si="69"/>
        <v xml:space="preserve"> NA  17 </v>
      </c>
    </row>
    <row r="100" spans="1:103" ht="12.75" customHeight="1" x14ac:dyDescent="0.2">
      <c r="A100"/>
      <c r="B100">
        <v>-1736</v>
      </c>
      <c r="C100"/>
      <c r="D100" t="s">
        <v>1011</v>
      </c>
      <c r="E100" t="s">
        <v>1011</v>
      </c>
      <c r="F100" s="34"/>
      <c r="I100" s="33">
        <f t="shared" si="45"/>
        <v>360.9</v>
      </c>
      <c r="J100" s="33">
        <f t="shared" si="70"/>
        <v>2.2771250562290155E-2</v>
      </c>
      <c r="K100" s="44">
        <f t="shared" si="46"/>
        <v>6.75</v>
      </c>
      <c r="L100" s="33">
        <f t="shared" si="47"/>
        <v>360.9</v>
      </c>
      <c r="M100" s="33" t="s">
        <v>1552</v>
      </c>
      <c r="Q100" s="44" t="str">
        <f t="shared" si="48"/>
        <v xml:space="preserve"> </v>
      </c>
      <c r="R100" s="33" t="str">
        <f>IF(OR(ISBLANK(P100), ISBLANK(Q100)),"",CONCATENATE(" ",VLOOKUP(Q100,Literatuur!$A:$B,2,FALSE)," "))</f>
        <v/>
      </c>
      <c r="T100" s="44" t="str">
        <f t="shared" si="49"/>
        <v xml:space="preserve"> </v>
      </c>
      <c r="U100" s="33" t="str">
        <f>IF(OR(ISBLANK(S100), ISBLANK(T100)),"",CONCATENATE(" ",VLOOKUP(T100,Literatuur!$A:$B,2,FALSE)," "))</f>
        <v/>
      </c>
      <c r="W100" s="44" t="str">
        <f t="shared" si="50"/>
        <v xml:space="preserve"> </v>
      </c>
      <c r="X100" s="33" t="str">
        <f>IF(OR(ISBLANK(V100), ISBLANK(W100)),"",CONCATENATE(" ",VLOOKUP(W100,Literatuur!$A:$B,2,FALSE)," "))</f>
        <v/>
      </c>
      <c r="Z100" s="44" t="str">
        <f t="shared" si="51"/>
        <v xml:space="preserve"> </v>
      </c>
      <c r="AA100" s="33" t="str">
        <f>IF(OR(ISBLANK(Y100), ISBLANK(Z100)),"",CONCATENATE(" ",VLOOKUP(Z100,Literatuur!$A:$B,2,FALSE)," "))</f>
        <v/>
      </c>
      <c r="AC100" s="36" t="str">
        <f t="shared" si="52"/>
        <v xml:space="preserve"> </v>
      </c>
      <c r="AD100" s="33" t="str">
        <f>IF(OR(ISBLANK(AB100), ISBLANK(AC100)),"",CONCATENATE(" ",VLOOKUP(AC100,Literatuur!$A:$B,2,FALSE)," "))</f>
        <v/>
      </c>
      <c r="AE100" s="365">
        <v>2.2771250562290155E-2</v>
      </c>
      <c r="AF100" s="33" t="s">
        <v>1557</v>
      </c>
      <c r="AG100" s="33" t="str">
        <f>IF(OR(ISBLANK(AE100), ISBLANK(AF100)),"",CONCATENATE(" ",VLOOKUP(AF100,Literatuur!$A:$B,2,FALSE)," "))</f>
        <v xml:space="preserve"> 17 </v>
      </c>
      <c r="AJ100" s="44" t="str">
        <f t="shared" si="53"/>
        <v xml:space="preserve"> </v>
      </c>
      <c r="AK100" s="33" t="str">
        <f>IF(OR(ISBLANK(AI100), ISBLANK(AJ100)),"",CONCATENATE(" ",VLOOKUP(AJ100,Literatuur!$A:$B,2,FALSE)," "))</f>
        <v/>
      </c>
      <c r="AM100" s="44" t="str">
        <f t="shared" si="54"/>
        <v xml:space="preserve"> </v>
      </c>
      <c r="AN100" s="33" t="str">
        <f>IF(OR(ISBLANK(AL100), ISBLANK(AM100)),"",CONCATENATE(" ",VLOOKUP(AM100,Literatuur!$A:$B,2,FALSE)," "))</f>
        <v/>
      </c>
      <c r="AP100" s="44" t="str">
        <f t="shared" si="55"/>
        <v xml:space="preserve"> </v>
      </c>
      <c r="AQ100" s="33" t="str">
        <f>IF(OR(ISBLANK(AO100), ISBLANK(AP100)),"",CONCATENATE(" ",VLOOKUP(AP100,Literatuur!$A:$B,2,FALSE)," "))</f>
        <v/>
      </c>
      <c r="AS100"/>
      <c r="AT100" s="33" t="str">
        <f>IF(OR(ISBLANK(AR100), ISBLANK(AS100)),"",CONCATENATE(" ",VLOOKUP(AS100,Literatuur!$A:$B,2,FALSE)," "))</f>
        <v/>
      </c>
      <c r="AU100">
        <v>360.9</v>
      </c>
      <c r="AV100" s="33" t="s">
        <v>1557</v>
      </c>
      <c r="AW100" s="33" t="str">
        <f>IF(OR(ISBLANK(AU100), ISBLANK(AV100)),"",CONCATENATE(" ",VLOOKUP(AV100,Literatuur!$A:$B,2,FALSE)," "))</f>
        <v xml:space="preserve"> 17 </v>
      </c>
      <c r="AZ100" s="44" t="str">
        <f t="shared" si="56"/>
        <v xml:space="preserve"> </v>
      </c>
      <c r="BA100" s="33" t="str">
        <f>IF(OR(ISBLANK(AY100), ISBLANK(AZ100)),"",CONCATENATE(" ",VLOOKUP(AZ100,Literatuur!$A:$B,2,FALSE)," "))</f>
        <v/>
      </c>
      <c r="BC100" s="44" t="str">
        <f t="shared" si="57"/>
        <v xml:space="preserve"> </v>
      </c>
      <c r="BD100" s="33" t="str">
        <f>IF(OR(ISBLANK(BB100), ISBLANK(BC100)),"",CONCATENATE(" ",VLOOKUP(BC100,Literatuur!$A:$B,2,FALSE)," "))</f>
        <v/>
      </c>
      <c r="BF100" s="44" t="str">
        <f t="shared" si="58"/>
        <v xml:space="preserve"> </v>
      </c>
      <c r="BG100" s="33" t="str">
        <f>IF(OR(ISBLANK(BE100), ISBLANK(BF100)),"",CONCATENATE(" ",VLOOKUP(BF100,Literatuur!$A:$B,2,FALSE)," "))</f>
        <v/>
      </c>
      <c r="BI100" s="44" t="str">
        <f t="shared" si="59"/>
        <v xml:space="preserve"> </v>
      </c>
      <c r="BJ100" s="33" t="str">
        <f>IF(OR(ISBLANK(BH100), ISBLANK(BI100)),"",CONCATENATE(" ",VLOOKUP(BI100,Literatuur!$A:$B,2,FALSE)," "))</f>
        <v/>
      </c>
      <c r="BL100" s="44" t="str">
        <f t="shared" si="60"/>
        <v xml:space="preserve"> </v>
      </c>
      <c r="BM100" s="33" t="str">
        <f>IF(OR(ISBLANK(BK100), ISBLANK(BL100)),"",CONCATENATE(" ",VLOOKUP(BL100,Literatuur!$A:$B,2,FALSE)," "))</f>
        <v/>
      </c>
      <c r="BN100">
        <v>6.8</v>
      </c>
      <c r="BO100" s="4" t="s">
        <v>1666</v>
      </c>
      <c r="BP100" s="33" t="str">
        <f>IF(OR(ISBLANK(BN100), ISBLANK(BO100)),"",CONCATENATE(" ",VLOOKUP(BO100,Literatuur!$A:$B,2,FALSE)," "))</f>
        <v xml:space="preserve"> NA </v>
      </c>
      <c r="BQ100"/>
      <c r="BR100"/>
      <c r="BS100" s="33" t="str">
        <f>IF(OR(ISBLANK(BQ100), ISBLANK(BR100)),"",CONCATENATE(" ",VLOOKUP(BR100,Literatuur!$A:$B,2,FALSE)," "))</f>
        <v/>
      </c>
      <c r="BT100">
        <v>6.7</v>
      </c>
      <c r="BU100" s="33" t="s">
        <v>1557</v>
      </c>
      <c r="BV100" s="33" t="str">
        <f>IF(OR(ISBLANK(BT100), ISBLANK(BU100)),"",CONCATENATE(" ",VLOOKUP(BU100,Literatuur!$A:$B,2,FALSE)," "))</f>
        <v xml:space="preserve"> 17 </v>
      </c>
      <c r="BX100" s="33">
        <v>360.9</v>
      </c>
      <c r="BZ100" s="339">
        <v>212</v>
      </c>
      <c r="CB100" s="33" t="s">
        <v>1557</v>
      </c>
      <c r="CC100" s="33" t="s">
        <v>1736</v>
      </c>
      <c r="CD100" s="33">
        <f t="shared" ref="CD100:CD108" si="73">L100</f>
        <v>360.9</v>
      </c>
      <c r="CG100" s="33">
        <f t="shared" si="72"/>
        <v>-1.6426131179404933</v>
      </c>
      <c r="CR100" s="33" t="str">
        <f t="shared" si="62"/>
        <v>PCB 149</v>
      </c>
      <c r="CS100" s="33" t="str">
        <f t="shared" si="63"/>
        <v>PCB</v>
      </c>
      <c r="CT100" s="33">
        <f t="shared" si="64"/>
        <v>360.9</v>
      </c>
      <c r="CU100" s="33" t="str">
        <f t="shared" si="65"/>
        <v xml:space="preserve"> 17 </v>
      </c>
      <c r="CV100" s="33">
        <f t="shared" si="66"/>
        <v>2.2771250562290155E-2</v>
      </c>
      <c r="CW100" s="33" t="str">
        <f t="shared" si="67"/>
        <v xml:space="preserve"> 17 </v>
      </c>
      <c r="CX100" s="33">
        <f t="shared" si="68"/>
        <v>6.75</v>
      </c>
      <c r="CY100" s="33" t="str">
        <f t="shared" si="69"/>
        <v xml:space="preserve"> NA  17 </v>
      </c>
    </row>
    <row r="101" spans="1:103" x14ac:dyDescent="0.2">
      <c r="A101"/>
      <c r="B101">
        <v>-1741</v>
      </c>
      <c r="C101"/>
      <c r="D101" t="s">
        <v>1016</v>
      </c>
      <c r="E101" t="s">
        <v>1016</v>
      </c>
      <c r="F101" s="34"/>
      <c r="I101" s="33">
        <f t="shared" si="45"/>
        <v>395.3</v>
      </c>
      <c r="J101" s="33">
        <f t="shared" si="70"/>
        <v>4.9765321528223378E-3</v>
      </c>
      <c r="K101" s="44">
        <f t="shared" si="46"/>
        <v>7.35</v>
      </c>
      <c r="L101" s="33">
        <f t="shared" si="47"/>
        <v>360.9</v>
      </c>
      <c r="M101" s="33" t="s">
        <v>1552</v>
      </c>
      <c r="Q101" s="44" t="str">
        <f t="shared" si="48"/>
        <v xml:space="preserve"> </v>
      </c>
      <c r="R101" s="33" t="str">
        <f>IF(OR(ISBLANK(P101), ISBLANK(Q101)),"",CONCATENATE(" ",VLOOKUP(Q101,Literatuur!$A:$B,2,FALSE)," "))</f>
        <v/>
      </c>
      <c r="T101" s="44" t="str">
        <f t="shared" si="49"/>
        <v xml:space="preserve"> </v>
      </c>
      <c r="U101" s="33" t="str">
        <f>IF(OR(ISBLANK(S101), ISBLANK(T101)),"",CONCATENATE(" ",VLOOKUP(T101,Literatuur!$A:$B,2,FALSE)," "))</f>
        <v/>
      </c>
      <c r="W101" s="44" t="str">
        <f t="shared" si="50"/>
        <v xml:space="preserve"> </v>
      </c>
      <c r="X101" s="33" t="str">
        <f>IF(OR(ISBLANK(V101), ISBLANK(W101)),"",CONCATENATE(" ",VLOOKUP(W101,Literatuur!$A:$B,2,FALSE)," "))</f>
        <v/>
      </c>
      <c r="Z101" s="44" t="str">
        <f t="shared" si="51"/>
        <v xml:space="preserve"> </v>
      </c>
      <c r="AA101" s="33" t="str">
        <f>IF(OR(ISBLANK(Y101), ISBLANK(Z101)),"",CONCATENATE(" ",VLOOKUP(Z101,Literatuur!$A:$B,2,FALSE)," "))</f>
        <v/>
      </c>
      <c r="AC101" s="36" t="str">
        <f t="shared" si="52"/>
        <v xml:space="preserve"> </v>
      </c>
      <c r="AD101" s="33" t="str">
        <f>IF(OR(ISBLANK(AB101), ISBLANK(AC101)),"",CONCATENATE(" ",VLOOKUP(AC101,Literatuur!$A:$B,2,FALSE)," "))</f>
        <v/>
      </c>
      <c r="AE101" s="365">
        <v>4.9765321528223378E-3</v>
      </c>
      <c r="AF101" s="33" t="s">
        <v>1557</v>
      </c>
      <c r="AG101" s="33" t="str">
        <f>IF(OR(ISBLANK(AE101), ISBLANK(AF101)),"",CONCATENATE(" ",VLOOKUP(AF101,Literatuur!$A:$B,2,FALSE)," "))</f>
        <v xml:space="preserve"> 17 </v>
      </c>
      <c r="AJ101" s="44" t="str">
        <f t="shared" si="53"/>
        <v xml:space="preserve"> </v>
      </c>
      <c r="AK101" s="33" t="str">
        <f>IF(OR(ISBLANK(AI101), ISBLANK(AJ101)),"",CONCATENATE(" ",VLOOKUP(AJ101,Literatuur!$A:$B,2,FALSE)," "))</f>
        <v/>
      </c>
      <c r="AM101" s="44" t="str">
        <f t="shared" si="54"/>
        <v xml:space="preserve"> </v>
      </c>
      <c r="AN101" s="33" t="str">
        <f>IF(OR(ISBLANK(AL101), ISBLANK(AM101)),"",CONCATENATE(" ",VLOOKUP(AM101,Literatuur!$A:$B,2,FALSE)," "))</f>
        <v/>
      </c>
      <c r="AP101" s="44" t="str">
        <f t="shared" si="55"/>
        <v xml:space="preserve"> </v>
      </c>
      <c r="AQ101" s="33" t="str">
        <f>IF(OR(ISBLANK(AO101), ISBLANK(AP101)),"",CONCATENATE(" ",VLOOKUP(AP101,Literatuur!$A:$B,2,FALSE)," "))</f>
        <v/>
      </c>
      <c r="AS101"/>
      <c r="AT101" s="33" t="str">
        <f>IF(OR(ISBLANK(AR101), ISBLANK(AS101)),"",CONCATENATE(" ",VLOOKUP(AS101,Literatuur!$A:$B,2,FALSE)," "))</f>
        <v/>
      </c>
      <c r="AU101" s="33">
        <v>395.3</v>
      </c>
      <c r="AV101" s="33" t="s">
        <v>1557</v>
      </c>
      <c r="AW101" s="33" t="str">
        <f>IF(OR(ISBLANK(AU101), ISBLANK(AV101)),"",CONCATENATE(" ",VLOOKUP(AV101,Literatuur!$A:$B,2,FALSE)," "))</f>
        <v xml:space="preserve"> 17 </v>
      </c>
      <c r="AX101" s="33" t="s">
        <v>1922</v>
      </c>
      <c r="AZ101" s="44" t="str">
        <f t="shared" si="56"/>
        <v xml:space="preserve"> </v>
      </c>
      <c r="BA101" s="33" t="str">
        <f>IF(OR(ISBLANK(AY101), ISBLANK(AZ101)),"",CONCATENATE(" ",VLOOKUP(AZ101,Literatuur!$A:$B,2,FALSE)," "))</f>
        <v/>
      </c>
      <c r="BC101" s="44" t="str">
        <f t="shared" si="57"/>
        <v xml:space="preserve"> </v>
      </c>
      <c r="BD101" s="33" t="str">
        <f>IF(OR(ISBLANK(BB101), ISBLANK(BC101)),"",CONCATENATE(" ",VLOOKUP(BC101,Literatuur!$A:$B,2,FALSE)," "))</f>
        <v/>
      </c>
      <c r="BF101" s="44" t="str">
        <f t="shared" si="58"/>
        <v xml:space="preserve"> </v>
      </c>
      <c r="BG101" s="33" t="str">
        <f>IF(OR(ISBLANK(BE101), ISBLANK(BF101)),"",CONCATENATE(" ",VLOOKUP(BF101,Literatuur!$A:$B,2,FALSE)," "))</f>
        <v/>
      </c>
      <c r="BI101" s="44" t="str">
        <f t="shared" si="59"/>
        <v xml:space="preserve"> </v>
      </c>
      <c r="BJ101" s="33" t="str">
        <f>IF(OR(ISBLANK(BH101), ISBLANK(BI101)),"",CONCATENATE(" ",VLOOKUP(BI101,Literatuur!$A:$B,2,FALSE)," "))</f>
        <v/>
      </c>
      <c r="BL101" s="44" t="str">
        <f t="shared" si="60"/>
        <v xml:space="preserve"> </v>
      </c>
      <c r="BM101" s="33" t="str">
        <f>IF(OR(ISBLANK(BK101), ISBLANK(BL101)),"",CONCATENATE(" ",VLOOKUP(BL101,Literatuur!$A:$B,2,FALSE)," "))</f>
        <v/>
      </c>
      <c r="BN101">
        <v>7.4</v>
      </c>
      <c r="BO101" s="4" t="s">
        <v>1666</v>
      </c>
      <c r="BP101" s="33" t="str">
        <f>IF(OR(ISBLANK(BN101), ISBLANK(BO101)),"",CONCATENATE(" ",VLOOKUP(BO101,Literatuur!$A:$B,2,FALSE)," "))</f>
        <v xml:space="preserve"> NA </v>
      </c>
      <c r="BQ101"/>
      <c r="BR101"/>
      <c r="BS101" s="33" t="str">
        <f>IF(OR(ISBLANK(BQ101), ISBLANK(BR101)),"",CONCATENATE(" ",VLOOKUP(BR101,Literatuur!$A:$B,2,FALSE)," "))</f>
        <v/>
      </c>
      <c r="BT101">
        <v>7.3</v>
      </c>
      <c r="BU101" s="33" t="s">
        <v>1557</v>
      </c>
      <c r="BV101" s="33" t="str">
        <f>IF(OR(ISBLANK(BT101), ISBLANK(BU101)),"",CONCATENATE(" ",VLOOKUP(BU101,Literatuur!$A:$B,2,FALSE)," "))</f>
        <v xml:space="preserve"> 17 </v>
      </c>
      <c r="BX101" s="33">
        <v>360.9</v>
      </c>
      <c r="BZ101" s="339">
        <v>210.1</v>
      </c>
      <c r="CB101" s="33" t="s">
        <v>1557</v>
      </c>
      <c r="CC101" s="33" t="s">
        <v>1736</v>
      </c>
      <c r="CD101" s="33">
        <f t="shared" si="73"/>
        <v>360.9</v>
      </c>
      <c r="CG101" s="33">
        <f t="shared" si="72"/>
        <v>-2.3030731856570297</v>
      </c>
      <c r="CR101" s="33" t="str">
        <f t="shared" si="62"/>
        <v>PCB 170</v>
      </c>
      <c r="CS101" s="33" t="str">
        <f t="shared" si="63"/>
        <v>PCB</v>
      </c>
      <c r="CT101" s="33">
        <f t="shared" si="64"/>
        <v>395.3</v>
      </c>
      <c r="CU101" s="33" t="str">
        <f t="shared" si="65"/>
        <v xml:space="preserve"> 17 Lohmann 2011: Used value in S15</v>
      </c>
      <c r="CV101" s="33">
        <f t="shared" si="66"/>
        <v>4.9765321528223378E-3</v>
      </c>
      <c r="CW101" s="33" t="str">
        <f t="shared" si="67"/>
        <v xml:space="preserve"> 17 </v>
      </c>
      <c r="CX101" s="33">
        <f t="shared" si="68"/>
        <v>7.35</v>
      </c>
      <c r="CY101" s="33" t="str">
        <f t="shared" si="69"/>
        <v xml:space="preserve"> NA  17 </v>
      </c>
    </row>
    <row r="102" spans="1:103" x14ac:dyDescent="0.2">
      <c r="A102"/>
      <c r="B102">
        <v>-1742</v>
      </c>
      <c r="C102"/>
      <c r="D102" t="s">
        <v>1017</v>
      </c>
      <c r="E102" t="s">
        <v>1017</v>
      </c>
      <c r="F102" s="34"/>
      <c r="I102" s="33">
        <f t="shared" si="45"/>
        <v>395.3</v>
      </c>
      <c r="J102" s="33">
        <f t="shared" si="70"/>
        <v>6.2650827897987801E-3</v>
      </c>
      <c r="K102" s="44">
        <f t="shared" si="46"/>
        <v>7.3000000000000007</v>
      </c>
      <c r="L102" s="33">
        <f t="shared" si="47"/>
        <v>360.9</v>
      </c>
      <c r="M102" s="33" t="s">
        <v>1552</v>
      </c>
      <c r="Q102" s="44" t="str">
        <f t="shared" si="48"/>
        <v xml:space="preserve"> </v>
      </c>
      <c r="R102" s="33" t="str">
        <f>IF(OR(ISBLANK(P102), ISBLANK(Q102)),"",CONCATENATE(" ",VLOOKUP(Q102,Literatuur!$A:$B,2,FALSE)," "))</f>
        <v/>
      </c>
      <c r="T102" s="44" t="str">
        <f t="shared" si="49"/>
        <v xml:space="preserve"> </v>
      </c>
      <c r="U102" s="33" t="str">
        <f>IF(OR(ISBLANK(S102), ISBLANK(T102)),"",CONCATENATE(" ",VLOOKUP(T102,Literatuur!$A:$B,2,FALSE)," "))</f>
        <v/>
      </c>
      <c r="W102" s="44" t="str">
        <f t="shared" si="50"/>
        <v xml:space="preserve"> </v>
      </c>
      <c r="X102" s="33" t="str">
        <f>IF(OR(ISBLANK(V102), ISBLANK(W102)),"",CONCATENATE(" ",VLOOKUP(W102,Literatuur!$A:$B,2,FALSE)," "))</f>
        <v/>
      </c>
      <c r="Z102" s="44" t="str">
        <f t="shared" si="51"/>
        <v xml:space="preserve"> </v>
      </c>
      <c r="AA102" s="33" t="str">
        <f>IF(OR(ISBLANK(Y102), ISBLANK(Z102)),"",CONCATENATE(" ",VLOOKUP(Z102,Literatuur!$A:$B,2,FALSE)," "))</f>
        <v/>
      </c>
      <c r="AC102" s="36" t="str">
        <f t="shared" si="52"/>
        <v xml:space="preserve"> </v>
      </c>
      <c r="AD102" s="33" t="str">
        <f>IF(OR(ISBLANK(AB102), ISBLANK(AC102)),"",CONCATENATE(" ",VLOOKUP(AC102,Literatuur!$A:$B,2,FALSE)," "))</f>
        <v/>
      </c>
      <c r="AE102" s="365">
        <v>6.2650827897987801E-3</v>
      </c>
      <c r="AF102" s="33" t="s">
        <v>1557</v>
      </c>
      <c r="AG102" s="33" t="str">
        <f>IF(OR(ISBLANK(AE102), ISBLANK(AF102)),"",CONCATENATE(" ",VLOOKUP(AF102,Literatuur!$A:$B,2,FALSE)," "))</f>
        <v xml:space="preserve"> 17 </v>
      </c>
      <c r="AJ102" s="44" t="str">
        <f t="shared" si="53"/>
        <v xml:space="preserve"> </v>
      </c>
      <c r="AK102" s="33" t="str">
        <f>IF(OR(ISBLANK(AI102), ISBLANK(AJ102)),"",CONCATENATE(" ",VLOOKUP(AJ102,Literatuur!$A:$B,2,FALSE)," "))</f>
        <v/>
      </c>
      <c r="AM102" s="44" t="str">
        <f t="shared" si="54"/>
        <v xml:space="preserve"> </v>
      </c>
      <c r="AN102" s="33" t="str">
        <f>IF(OR(ISBLANK(AL102), ISBLANK(AM102)),"",CONCATENATE(" ",VLOOKUP(AM102,Literatuur!$A:$B,2,FALSE)," "))</f>
        <v/>
      </c>
      <c r="AP102" s="44" t="str">
        <f t="shared" si="55"/>
        <v xml:space="preserve"> </v>
      </c>
      <c r="AQ102" s="33" t="str">
        <f>IF(OR(ISBLANK(AO102), ISBLANK(AP102)),"",CONCATENATE(" ",VLOOKUP(AP102,Literatuur!$A:$B,2,FALSE)," "))</f>
        <v/>
      </c>
      <c r="AS102"/>
      <c r="AT102" s="33" t="str">
        <f>IF(OR(ISBLANK(AR102), ISBLANK(AS102)),"",CONCATENATE(" ",VLOOKUP(AS102,Literatuur!$A:$B,2,FALSE)," "))</f>
        <v/>
      </c>
      <c r="AU102" s="33">
        <v>395.3</v>
      </c>
      <c r="AV102" s="33" t="s">
        <v>1557</v>
      </c>
      <c r="AW102" s="33" t="str">
        <f>IF(OR(ISBLANK(AU102), ISBLANK(AV102)),"",CONCATENATE(" ",VLOOKUP(AV102,Literatuur!$A:$B,2,FALSE)," "))</f>
        <v xml:space="preserve"> 17 </v>
      </c>
      <c r="AX102" s="33" t="s">
        <v>1920</v>
      </c>
      <c r="AZ102" s="44" t="str">
        <f t="shared" si="56"/>
        <v xml:space="preserve"> </v>
      </c>
      <c r="BA102" s="33" t="str">
        <f>IF(OR(ISBLANK(AY102), ISBLANK(AZ102)),"",CONCATENATE(" ",VLOOKUP(AZ102,Literatuur!$A:$B,2,FALSE)," "))</f>
        <v/>
      </c>
      <c r="BC102" s="44" t="str">
        <f t="shared" si="57"/>
        <v xml:space="preserve"> </v>
      </c>
      <c r="BD102" s="33" t="str">
        <f>IF(OR(ISBLANK(BB102), ISBLANK(BC102)),"",CONCATENATE(" ",VLOOKUP(BC102,Literatuur!$A:$B,2,FALSE)," "))</f>
        <v/>
      </c>
      <c r="BF102" s="44" t="str">
        <f t="shared" si="58"/>
        <v xml:space="preserve"> </v>
      </c>
      <c r="BG102" s="33" t="str">
        <f>IF(OR(ISBLANK(BE102), ISBLANK(BF102)),"",CONCATENATE(" ",VLOOKUP(BF102,Literatuur!$A:$B,2,FALSE)," "))</f>
        <v/>
      </c>
      <c r="BI102" s="44" t="str">
        <f t="shared" si="59"/>
        <v xml:space="preserve"> </v>
      </c>
      <c r="BJ102" s="33" t="str">
        <f>IF(OR(ISBLANK(BH102), ISBLANK(BI102)),"",CONCATENATE(" ",VLOOKUP(BI102,Literatuur!$A:$B,2,FALSE)," "))</f>
        <v/>
      </c>
      <c r="BL102" s="44" t="str">
        <f t="shared" si="60"/>
        <v xml:space="preserve"> </v>
      </c>
      <c r="BM102" s="33" t="str">
        <f>IF(OR(ISBLANK(BK102), ISBLANK(BL102)),"",CONCATENATE(" ",VLOOKUP(BL102,Literatuur!$A:$B,2,FALSE)," "))</f>
        <v/>
      </c>
      <c r="BN102">
        <v>7.2</v>
      </c>
      <c r="BO102" s="4" t="s">
        <v>1666</v>
      </c>
      <c r="BP102" s="33" t="str">
        <f>IF(OR(ISBLANK(BN102), ISBLANK(BO102)),"",CONCATENATE(" ",VLOOKUP(BO102,Literatuur!$A:$B,2,FALSE)," "))</f>
        <v xml:space="preserve"> NA </v>
      </c>
      <c r="BQ102"/>
      <c r="BR102"/>
      <c r="BS102" s="33" t="str">
        <f>IF(OR(ISBLANK(BQ102), ISBLANK(BR102)),"",CONCATENATE(" ",VLOOKUP(BR102,Literatuur!$A:$B,2,FALSE)," "))</f>
        <v/>
      </c>
      <c r="BT102">
        <v>7.4</v>
      </c>
      <c r="BU102" s="33" t="s">
        <v>1557</v>
      </c>
      <c r="BV102" s="33" t="str">
        <f>IF(OR(ISBLANK(BT102), ISBLANK(BU102)),"",CONCATENATE(" ",VLOOKUP(BU102,Literatuur!$A:$B,2,FALSE)," "))</f>
        <v xml:space="preserve"> 17 </v>
      </c>
      <c r="BX102" s="33">
        <v>360.9</v>
      </c>
      <c r="BZ102" s="339">
        <v>210.9</v>
      </c>
      <c r="CB102" s="33" t="s">
        <v>1557</v>
      </c>
      <c r="CC102" s="33" t="s">
        <v>1736</v>
      </c>
      <c r="CD102" s="33">
        <f t="shared" si="73"/>
        <v>360.9</v>
      </c>
      <c r="CG102" s="33">
        <f t="shared" si="72"/>
        <v>-2.2030731856570296</v>
      </c>
      <c r="CR102" s="33" t="str">
        <f t="shared" si="62"/>
        <v>PCB 180</v>
      </c>
      <c r="CS102" s="33" t="str">
        <f t="shared" si="63"/>
        <v>PCB</v>
      </c>
      <c r="CT102" s="33">
        <f t="shared" si="64"/>
        <v>395.3</v>
      </c>
      <c r="CU102" s="33" t="str">
        <f t="shared" si="65"/>
        <v xml:space="preserve"> 17 ibid</v>
      </c>
      <c r="CV102" s="33">
        <f t="shared" si="66"/>
        <v>6.2650827897987801E-3</v>
      </c>
      <c r="CW102" s="33" t="str">
        <f t="shared" si="67"/>
        <v xml:space="preserve"> 17 </v>
      </c>
      <c r="CX102" s="33">
        <f t="shared" si="68"/>
        <v>7.3000000000000007</v>
      </c>
      <c r="CY102" s="33" t="str">
        <f t="shared" si="69"/>
        <v xml:space="preserve"> NA  17 </v>
      </c>
    </row>
    <row r="103" spans="1:103" ht="12.75" customHeight="1" x14ac:dyDescent="0.2">
      <c r="A103"/>
      <c r="B103">
        <v>-1743</v>
      </c>
      <c r="C103"/>
      <c r="D103" s="4" t="s">
        <v>1599</v>
      </c>
      <c r="E103" s="4" t="s">
        <v>1599</v>
      </c>
      <c r="F103" s="34"/>
      <c r="I103" s="33">
        <f t="shared" si="45"/>
        <v>395.3</v>
      </c>
      <c r="J103" s="33">
        <f t="shared" si="70"/>
        <v>6.2650827897987801E-3</v>
      </c>
      <c r="K103" s="44">
        <f t="shared" si="46"/>
        <v>7.25</v>
      </c>
      <c r="L103" s="33">
        <f t="shared" si="47"/>
        <v>235</v>
      </c>
      <c r="M103" s="33" t="s">
        <v>1552</v>
      </c>
      <c r="Q103" s="44" t="str">
        <f t="shared" si="48"/>
        <v xml:space="preserve"> </v>
      </c>
      <c r="R103" s="33" t="str">
        <f>IF(OR(ISBLANK(P103), ISBLANK(Q103)),"",CONCATENATE(" ",VLOOKUP(Q103,Literatuur!$A:$B,2,FALSE)," "))</f>
        <v/>
      </c>
      <c r="T103" s="44" t="str">
        <f t="shared" si="49"/>
        <v xml:space="preserve"> </v>
      </c>
      <c r="U103" s="33" t="str">
        <f>IF(OR(ISBLANK(S103), ISBLANK(T103)),"",CONCATENATE(" ",VLOOKUP(T103,Literatuur!$A:$B,2,FALSE)," "))</f>
        <v/>
      </c>
      <c r="W103" s="44" t="str">
        <f t="shared" si="50"/>
        <v xml:space="preserve"> </v>
      </c>
      <c r="X103" s="33" t="str">
        <f>IF(OR(ISBLANK(V103), ISBLANK(W103)),"",CONCATENATE(" ",VLOOKUP(W103,Literatuur!$A:$B,2,FALSE)," "))</f>
        <v/>
      </c>
      <c r="Z103" s="44" t="str">
        <f t="shared" si="51"/>
        <v xml:space="preserve"> </v>
      </c>
      <c r="AA103" s="33" t="str">
        <f>IF(OR(ISBLANK(Y103), ISBLANK(Z103)),"",CONCATENATE(" ",VLOOKUP(Z103,Literatuur!$A:$B,2,FALSE)," "))</f>
        <v/>
      </c>
      <c r="AC103" s="36" t="str">
        <f t="shared" si="52"/>
        <v xml:space="preserve"> </v>
      </c>
      <c r="AD103" s="33" t="str">
        <f>IF(OR(ISBLANK(AB103), ISBLANK(AC103)),"",CONCATENATE(" ",VLOOKUP(AC103,Literatuur!$A:$B,2,FALSE)," "))</f>
        <v/>
      </c>
      <c r="AE103" s="365">
        <v>6.2650827897987801E-3</v>
      </c>
      <c r="AF103" s="33" t="s">
        <v>1557</v>
      </c>
      <c r="AG103" s="33" t="str">
        <f>IF(OR(ISBLANK(AE103), ISBLANK(AF103)),"",CONCATENATE(" ",VLOOKUP(AF103,Literatuur!$A:$B,2,FALSE)," "))</f>
        <v xml:space="preserve"> 17 </v>
      </c>
      <c r="AJ103" s="44" t="str">
        <f t="shared" si="53"/>
        <v xml:space="preserve"> </v>
      </c>
      <c r="AK103" s="33" t="str">
        <f>IF(OR(ISBLANK(AI103), ISBLANK(AJ103)),"",CONCATENATE(" ",VLOOKUP(AJ103,Literatuur!$A:$B,2,FALSE)," "))</f>
        <v/>
      </c>
      <c r="AM103" s="44" t="str">
        <f t="shared" si="54"/>
        <v xml:space="preserve"> </v>
      </c>
      <c r="AN103" s="33" t="str">
        <f>IF(OR(ISBLANK(AL103), ISBLANK(AM103)),"",CONCATENATE(" ",VLOOKUP(AM103,Literatuur!$A:$B,2,FALSE)," "))</f>
        <v/>
      </c>
      <c r="AP103" s="44" t="str">
        <f t="shared" si="55"/>
        <v xml:space="preserve"> </v>
      </c>
      <c r="AQ103" s="33" t="str">
        <f>IF(OR(ISBLANK(AO103), ISBLANK(AP103)),"",CONCATENATE(" ",VLOOKUP(AP103,Literatuur!$A:$B,2,FALSE)," "))</f>
        <v/>
      </c>
      <c r="AS103"/>
      <c r="AT103" s="33" t="str">
        <f>IF(OR(ISBLANK(AR103), ISBLANK(AS103)),"",CONCATENATE(" ",VLOOKUP(AS103,Literatuur!$A:$B,2,FALSE)," "))</f>
        <v/>
      </c>
      <c r="AU103" s="33">
        <v>395.3</v>
      </c>
      <c r="AV103" s="33" t="s">
        <v>1557</v>
      </c>
      <c r="AW103" s="33" t="str">
        <f>IF(OR(ISBLANK(AU103), ISBLANK(AV103)),"",CONCATENATE(" ",VLOOKUP(AV103,Literatuur!$A:$B,2,FALSE)," "))</f>
        <v xml:space="preserve"> 17 </v>
      </c>
      <c r="AX103" s="33" t="s">
        <v>1920</v>
      </c>
      <c r="AZ103" s="44" t="str">
        <f t="shared" si="56"/>
        <v xml:space="preserve"> </v>
      </c>
      <c r="BA103" s="33" t="str">
        <f>IF(OR(ISBLANK(AY103), ISBLANK(AZ103)),"",CONCATENATE(" ",VLOOKUP(AZ103,Literatuur!$A:$B,2,FALSE)," "))</f>
        <v/>
      </c>
      <c r="BC103" s="44" t="str">
        <f t="shared" si="57"/>
        <v xml:space="preserve"> </v>
      </c>
      <c r="BD103" s="33" t="str">
        <f>IF(OR(ISBLANK(BB103), ISBLANK(BC103)),"",CONCATENATE(" ",VLOOKUP(BC103,Literatuur!$A:$B,2,FALSE)," "))</f>
        <v/>
      </c>
      <c r="BF103" s="44" t="str">
        <f t="shared" si="58"/>
        <v xml:space="preserve"> </v>
      </c>
      <c r="BG103" s="33" t="str">
        <f>IF(OR(ISBLANK(BE103), ISBLANK(BF103)),"",CONCATENATE(" ",VLOOKUP(BF103,Literatuur!$A:$B,2,FALSE)," "))</f>
        <v/>
      </c>
      <c r="BI103" s="44" t="str">
        <f t="shared" si="59"/>
        <v xml:space="preserve"> </v>
      </c>
      <c r="BJ103" s="33" t="str">
        <f>IF(OR(ISBLANK(BH103), ISBLANK(BI103)),"",CONCATENATE(" ",VLOOKUP(BI103,Literatuur!$A:$B,2,FALSE)," "))</f>
        <v/>
      </c>
      <c r="BL103" s="44" t="str">
        <f t="shared" si="60"/>
        <v xml:space="preserve"> </v>
      </c>
      <c r="BM103" s="33" t="str">
        <f>IF(OR(ISBLANK(BK103), ISBLANK(BL103)),"",CONCATENATE(" ",VLOOKUP(BL103,Literatuur!$A:$B,2,FALSE)," "))</f>
        <v/>
      </c>
      <c r="BN103">
        <v>7.3</v>
      </c>
      <c r="BO103" s="4" t="s">
        <v>1666</v>
      </c>
      <c r="BP103" s="33" t="str">
        <f>IF(OR(ISBLANK(BN103), ISBLANK(BO103)),"",CONCATENATE(" ",VLOOKUP(BO103,Literatuur!$A:$B,2,FALSE)," "))</f>
        <v xml:space="preserve"> NA </v>
      </c>
      <c r="BQ103"/>
      <c r="BR103"/>
      <c r="BS103" s="33" t="str">
        <f>IF(OR(ISBLANK(BQ103), ISBLANK(BR103)),"",CONCATENATE(" ",VLOOKUP(BR103,Literatuur!$A:$B,2,FALSE)," "))</f>
        <v/>
      </c>
      <c r="BT103">
        <v>7.2</v>
      </c>
      <c r="BU103" s="33" t="s">
        <v>1557</v>
      </c>
      <c r="BV103" s="33" t="str">
        <f>IF(OR(ISBLANK(BT103), ISBLANK(BU103)),"",CONCATENATE(" ",VLOOKUP(BU103,Literatuur!$A:$B,2,FALSE)," "))</f>
        <v xml:space="preserve"> 17 </v>
      </c>
      <c r="BX103" s="33">
        <v>235</v>
      </c>
      <c r="BZ103" s="339">
        <v>223.1</v>
      </c>
      <c r="CB103" s="33" t="s">
        <v>1557</v>
      </c>
      <c r="CD103" s="33">
        <f t="shared" si="73"/>
        <v>235</v>
      </c>
      <c r="CG103" s="33">
        <f t="shared" si="72"/>
        <v>-2.2030731856570296</v>
      </c>
      <c r="CR103" s="33" t="str">
        <f t="shared" si="62"/>
        <v>PCB 187</v>
      </c>
      <c r="CS103" s="33" t="str">
        <f t="shared" si="63"/>
        <v>PCB</v>
      </c>
      <c r="CT103" s="33">
        <f t="shared" si="64"/>
        <v>395.3</v>
      </c>
      <c r="CU103" s="33" t="str">
        <f t="shared" si="65"/>
        <v xml:space="preserve"> 17 ibid</v>
      </c>
      <c r="CV103" s="33">
        <f t="shared" si="66"/>
        <v>6.2650827897987801E-3</v>
      </c>
      <c r="CW103" s="33" t="str">
        <f t="shared" si="67"/>
        <v xml:space="preserve"> 17 </v>
      </c>
      <c r="CX103" s="33">
        <f t="shared" si="68"/>
        <v>7.25</v>
      </c>
      <c r="CY103" s="33" t="str">
        <f t="shared" si="69"/>
        <v xml:space="preserve"> NA  17 </v>
      </c>
    </row>
    <row r="104" spans="1:103" ht="12.75" customHeight="1" x14ac:dyDescent="0.2">
      <c r="A104"/>
      <c r="B104">
        <v>-1744</v>
      </c>
      <c r="C104"/>
      <c r="D104" s="4" t="s">
        <v>1600</v>
      </c>
      <c r="E104" s="4" t="s">
        <v>1600</v>
      </c>
      <c r="F104" s="34"/>
      <c r="I104" s="33">
        <f t="shared" si="45"/>
        <v>429.8</v>
      </c>
      <c r="J104" s="33">
        <f t="shared" si="70"/>
        <v>4.2980000000000006E-3</v>
      </c>
      <c r="K104" s="44">
        <f t="shared" si="46"/>
        <v>7.35</v>
      </c>
      <c r="L104" s="33">
        <f t="shared" si="47"/>
        <v>246.5</v>
      </c>
      <c r="M104" s="33" t="s">
        <v>1552</v>
      </c>
      <c r="Q104" s="44" t="str">
        <f t="shared" si="48"/>
        <v xml:space="preserve"> </v>
      </c>
      <c r="R104" s="33" t="str">
        <f>IF(OR(ISBLANK(P104), ISBLANK(Q104)),"",CONCATENATE(" ",VLOOKUP(Q104,Literatuur!$A:$B,2,FALSE)," "))</f>
        <v/>
      </c>
      <c r="T104" s="44" t="str">
        <f t="shared" si="49"/>
        <v xml:space="preserve"> </v>
      </c>
      <c r="U104" s="33" t="str">
        <f>IF(OR(ISBLANK(S104), ISBLANK(T104)),"",CONCATENATE(" ",VLOOKUP(T104,Literatuur!$A:$B,2,FALSE)," "))</f>
        <v/>
      </c>
      <c r="W104" s="44" t="str">
        <f t="shared" si="50"/>
        <v xml:space="preserve"> </v>
      </c>
      <c r="X104" s="33" t="str">
        <f>IF(OR(ISBLANK(V104), ISBLANK(W104)),"",CONCATENATE(" ",VLOOKUP(W104,Literatuur!$A:$B,2,FALSE)," "))</f>
        <v/>
      </c>
      <c r="Z104" s="44" t="str">
        <f t="shared" si="51"/>
        <v xml:space="preserve"> </v>
      </c>
      <c r="AA104" s="33" t="str">
        <f>IF(OR(ISBLANK(Y104), ISBLANK(Z104)),"",CONCATENATE(" ",VLOOKUP(Z104,Literatuur!$A:$B,2,FALSE)," "))</f>
        <v/>
      </c>
      <c r="AC104" s="36" t="str">
        <f t="shared" si="52"/>
        <v xml:space="preserve"> </v>
      </c>
      <c r="AD104" s="33" t="str">
        <f>IF(OR(ISBLANK(AB104), ISBLANK(AC104)),"",CONCATENATE(" ",VLOOKUP(AC104,Literatuur!$A:$B,2,FALSE)," "))</f>
        <v/>
      </c>
      <c r="AE104" s="365">
        <v>4.2980000000000006E-3</v>
      </c>
      <c r="AF104" s="33" t="s">
        <v>1557</v>
      </c>
      <c r="AG104" s="33" t="str">
        <f>IF(OR(ISBLANK(AE104), ISBLANK(AF104)),"",CONCATENATE(" ",VLOOKUP(AF104,Literatuur!$A:$B,2,FALSE)," "))</f>
        <v xml:space="preserve"> 17 </v>
      </c>
      <c r="AJ104" s="44" t="str">
        <f t="shared" si="53"/>
        <v xml:space="preserve"> </v>
      </c>
      <c r="AK104" s="33" t="str">
        <f>IF(OR(ISBLANK(AI104), ISBLANK(AJ104)),"",CONCATENATE(" ",VLOOKUP(AJ104,Literatuur!$A:$B,2,FALSE)," "))</f>
        <v/>
      </c>
      <c r="AM104" s="44" t="str">
        <f t="shared" si="54"/>
        <v xml:space="preserve"> </v>
      </c>
      <c r="AN104" s="33" t="str">
        <f>IF(OR(ISBLANK(AL104), ISBLANK(AM104)),"",CONCATENATE(" ",VLOOKUP(AM104,Literatuur!$A:$B,2,FALSE)," "))</f>
        <v/>
      </c>
      <c r="AP104" s="44" t="str">
        <f t="shared" si="55"/>
        <v xml:space="preserve"> </v>
      </c>
      <c r="AQ104" s="33" t="str">
        <f>IF(OR(ISBLANK(AO104), ISBLANK(AP104)),"",CONCATENATE(" ",VLOOKUP(AP104,Literatuur!$A:$B,2,FALSE)," "))</f>
        <v/>
      </c>
      <c r="AS104"/>
      <c r="AT104" s="33" t="str">
        <f>IF(OR(ISBLANK(AR104), ISBLANK(AS104)),"",CONCATENATE(" ",VLOOKUP(AS104,Literatuur!$A:$B,2,FALSE)," "))</f>
        <v/>
      </c>
      <c r="AU104">
        <v>429.8</v>
      </c>
      <c r="AV104" s="33" t="s">
        <v>1557</v>
      </c>
      <c r="AW104" s="33" t="str">
        <f>IF(OR(ISBLANK(AU104), ISBLANK(AV104)),"",CONCATENATE(" ",VLOOKUP(AV104,Literatuur!$A:$B,2,FALSE)," "))</f>
        <v xml:space="preserve"> 17 </v>
      </c>
      <c r="AZ104" s="44" t="str">
        <f t="shared" si="56"/>
        <v xml:space="preserve"> </v>
      </c>
      <c r="BA104" s="33" t="str">
        <f>IF(OR(ISBLANK(AY104), ISBLANK(AZ104)),"",CONCATENATE(" ",VLOOKUP(AZ104,Literatuur!$A:$B,2,FALSE)," "))</f>
        <v/>
      </c>
      <c r="BC104" s="44" t="str">
        <f t="shared" si="57"/>
        <v xml:space="preserve"> </v>
      </c>
      <c r="BD104" s="33" t="str">
        <f>IF(OR(ISBLANK(BB104), ISBLANK(BC104)),"",CONCATENATE(" ",VLOOKUP(BC104,Literatuur!$A:$B,2,FALSE)," "))</f>
        <v/>
      </c>
      <c r="BF104" s="44" t="str">
        <f t="shared" si="58"/>
        <v xml:space="preserve"> </v>
      </c>
      <c r="BG104" s="33" t="str">
        <f>IF(OR(ISBLANK(BE104), ISBLANK(BF104)),"",CONCATENATE(" ",VLOOKUP(BF104,Literatuur!$A:$B,2,FALSE)," "))</f>
        <v/>
      </c>
      <c r="BI104" s="44" t="str">
        <f t="shared" si="59"/>
        <v xml:space="preserve"> </v>
      </c>
      <c r="BJ104" s="33" t="str">
        <f>IF(OR(ISBLANK(BH104), ISBLANK(BI104)),"",CONCATENATE(" ",VLOOKUP(BI104,Literatuur!$A:$B,2,FALSE)," "))</f>
        <v/>
      </c>
      <c r="BL104" s="44" t="str">
        <f t="shared" si="60"/>
        <v xml:space="preserve"> </v>
      </c>
      <c r="BM104" s="33" t="str">
        <f>IF(OR(ISBLANK(BK104), ISBLANK(BL104)),"",CONCATENATE(" ",VLOOKUP(BL104,Literatuur!$A:$B,2,FALSE)," "))</f>
        <v/>
      </c>
      <c r="BN104">
        <v>7.4</v>
      </c>
      <c r="BO104" s="4" t="s">
        <v>1666</v>
      </c>
      <c r="BP104" s="33" t="str">
        <f>IF(OR(ISBLANK(BN104), ISBLANK(BO104)),"",CONCATENATE(" ",VLOOKUP(BO104,Literatuur!$A:$B,2,FALSE)," "))</f>
        <v xml:space="preserve"> NA </v>
      </c>
      <c r="BQ104"/>
      <c r="BR104"/>
      <c r="BS104" s="33" t="str">
        <f>IF(OR(ISBLANK(BQ104), ISBLANK(BR104)),"",CONCATENATE(" ",VLOOKUP(BR104,Literatuur!$A:$B,2,FALSE)," "))</f>
        <v/>
      </c>
      <c r="BT104">
        <v>7.3</v>
      </c>
      <c r="BU104" s="33" t="s">
        <v>1557</v>
      </c>
      <c r="BV104" s="33" t="str">
        <f>IF(OR(ISBLANK(BT104), ISBLANK(BU104)),"",CONCATENATE(" ",VLOOKUP(BU104,Literatuur!$A:$B,2,FALSE)," "))</f>
        <v xml:space="preserve"> 17 </v>
      </c>
      <c r="BX104" s="33">
        <v>246.5</v>
      </c>
      <c r="BZ104" s="339">
        <v>223.9</v>
      </c>
      <c r="CB104" s="33" t="s">
        <v>1557</v>
      </c>
      <c r="CD104" s="33">
        <f t="shared" si="73"/>
        <v>246.5</v>
      </c>
      <c r="CG104" s="33">
        <f t="shared" si="72"/>
        <v>-2.3667335888445753</v>
      </c>
      <c r="CR104" s="33" t="str">
        <f t="shared" si="62"/>
        <v>PCB 204</v>
      </c>
      <c r="CS104" s="33" t="str">
        <f t="shared" si="63"/>
        <v>PCB</v>
      </c>
      <c r="CT104" s="33">
        <f t="shared" si="64"/>
        <v>429.8</v>
      </c>
      <c r="CU104" s="33" t="str">
        <f t="shared" si="65"/>
        <v xml:space="preserve"> 17 </v>
      </c>
      <c r="CV104" s="33">
        <f t="shared" si="66"/>
        <v>4.2980000000000006E-3</v>
      </c>
      <c r="CW104" s="33" t="str">
        <f t="shared" si="67"/>
        <v xml:space="preserve"> 17 </v>
      </c>
      <c r="CX104" s="33">
        <f t="shared" si="68"/>
        <v>7.35</v>
      </c>
      <c r="CY104" s="33" t="str">
        <f t="shared" si="69"/>
        <v xml:space="preserve"> NA  17 </v>
      </c>
    </row>
    <row r="105" spans="1:103" ht="12.75" customHeight="1" x14ac:dyDescent="0.2">
      <c r="A105"/>
      <c r="B105">
        <v>-1705</v>
      </c>
      <c r="C105"/>
      <c r="D105" t="s">
        <v>980</v>
      </c>
      <c r="E105" t="s">
        <v>980</v>
      </c>
      <c r="F105" s="34"/>
      <c r="I105" s="33">
        <f t="shared" si="45"/>
        <v>257.5</v>
      </c>
      <c r="J105" s="33">
        <f t="shared" si="70"/>
        <v>0.32417329353699781</v>
      </c>
      <c r="K105" s="44">
        <f t="shared" si="46"/>
        <v>5.55</v>
      </c>
      <c r="L105" s="33">
        <f t="shared" si="47"/>
        <v>257.5</v>
      </c>
      <c r="M105" s="33" t="s">
        <v>1552</v>
      </c>
      <c r="Q105" s="44" t="str">
        <f t="shared" si="48"/>
        <v xml:space="preserve"> </v>
      </c>
      <c r="R105" s="33" t="str">
        <f>IF(OR(ISBLANK(P105), ISBLANK(Q105)),"",CONCATENATE(" ",VLOOKUP(Q105,Literatuur!$A:$B,2,FALSE)," "))</f>
        <v/>
      </c>
      <c r="T105" s="44" t="str">
        <f t="shared" si="49"/>
        <v xml:space="preserve"> </v>
      </c>
      <c r="U105" s="33" t="str">
        <f>IF(OR(ISBLANK(S105), ISBLANK(T105)),"",CONCATENATE(" ",VLOOKUP(T105,Literatuur!$A:$B,2,FALSE)," "))</f>
        <v/>
      </c>
      <c r="W105" s="44" t="str">
        <f t="shared" si="50"/>
        <v xml:space="preserve"> </v>
      </c>
      <c r="X105" s="33" t="str">
        <f>IF(OR(ISBLANK(V105), ISBLANK(W105)),"",CONCATENATE(" ",VLOOKUP(W105,Literatuur!$A:$B,2,FALSE)," "))</f>
        <v/>
      </c>
      <c r="Z105" s="44" t="str">
        <f t="shared" si="51"/>
        <v xml:space="preserve"> </v>
      </c>
      <c r="AA105" s="33" t="str">
        <f>IF(OR(ISBLANK(Y105), ISBLANK(Z105)),"",CONCATENATE(" ",VLOOKUP(Z105,Literatuur!$A:$B,2,FALSE)," "))</f>
        <v/>
      </c>
      <c r="AC105" s="36" t="str">
        <f t="shared" si="52"/>
        <v xml:space="preserve"> </v>
      </c>
      <c r="AD105" s="33" t="str">
        <f>IF(OR(ISBLANK(AB105), ISBLANK(AC105)),"",CONCATENATE(" ",VLOOKUP(AC105,Literatuur!$A:$B,2,FALSE)," "))</f>
        <v/>
      </c>
      <c r="AE105" s="365">
        <v>0.32417329353699781</v>
      </c>
      <c r="AF105" s="33" t="s">
        <v>1557</v>
      </c>
      <c r="AG105" s="33" t="str">
        <f>IF(OR(ISBLANK(AE105), ISBLANK(AF105)),"",CONCATENATE(" ",VLOOKUP(AF105,Literatuur!$A:$B,2,FALSE)," "))</f>
        <v xml:space="preserve"> 17 </v>
      </c>
      <c r="AJ105" s="44" t="str">
        <f t="shared" si="53"/>
        <v xml:space="preserve"> </v>
      </c>
      <c r="AK105" s="33" t="str">
        <f>IF(OR(ISBLANK(AI105), ISBLANK(AJ105)),"",CONCATENATE(" ",VLOOKUP(AJ105,Literatuur!$A:$B,2,FALSE)," "))</f>
        <v/>
      </c>
      <c r="AM105" s="44" t="str">
        <f t="shared" si="54"/>
        <v xml:space="preserve"> </v>
      </c>
      <c r="AN105" s="33" t="str">
        <f>IF(OR(ISBLANK(AL105), ISBLANK(AM105)),"",CONCATENATE(" ",VLOOKUP(AM105,Literatuur!$A:$B,2,FALSE)," "))</f>
        <v/>
      </c>
      <c r="AP105" s="44" t="str">
        <f t="shared" si="55"/>
        <v xml:space="preserve"> </v>
      </c>
      <c r="AQ105" s="33" t="str">
        <f>IF(OR(ISBLANK(AO105), ISBLANK(AP105)),"",CONCATENATE(" ",VLOOKUP(AP105,Literatuur!$A:$B,2,FALSE)," "))</f>
        <v/>
      </c>
      <c r="AS105"/>
      <c r="AT105" s="33" t="str">
        <f>IF(OR(ISBLANK(AR105), ISBLANK(AS105)),"",CONCATENATE(" ",VLOOKUP(AS105,Literatuur!$A:$B,2,FALSE)," "))</f>
        <v/>
      </c>
      <c r="AU105">
        <v>257.5</v>
      </c>
      <c r="AV105" s="33" t="s">
        <v>1557</v>
      </c>
      <c r="AW105" s="33" t="str">
        <f>IF(OR(ISBLANK(AU105), ISBLANK(AV105)),"",CONCATENATE(" ",VLOOKUP(AV105,Literatuur!$A:$B,2,FALSE)," "))</f>
        <v xml:space="preserve"> 17 </v>
      </c>
      <c r="AZ105" s="44" t="str">
        <f t="shared" si="56"/>
        <v xml:space="preserve"> </v>
      </c>
      <c r="BA105" s="33" t="str">
        <f>IF(OR(ISBLANK(AY105), ISBLANK(AZ105)),"",CONCATENATE(" ",VLOOKUP(AZ105,Literatuur!$A:$B,2,FALSE)," "))</f>
        <v/>
      </c>
      <c r="BC105" s="44" t="str">
        <f t="shared" si="57"/>
        <v xml:space="preserve"> </v>
      </c>
      <c r="BD105" s="33" t="str">
        <f>IF(OR(ISBLANK(BB105), ISBLANK(BC105)),"",CONCATENATE(" ",VLOOKUP(BC105,Literatuur!$A:$B,2,FALSE)," "))</f>
        <v/>
      </c>
      <c r="BF105" s="44" t="str">
        <f t="shared" si="58"/>
        <v xml:space="preserve"> </v>
      </c>
      <c r="BG105" s="33" t="str">
        <f>IF(OR(ISBLANK(BE105), ISBLANK(BF105)),"",CONCATENATE(" ",VLOOKUP(BF105,Literatuur!$A:$B,2,FALSE)," "))</f>
        <v/>
      </c>
      <c r="BI105" s="44" t="str">
        <f t="shared" si="59"/>
        <v xml:space="preserve"> </v>
      </c>
      <c r="BJ105" s="33" t="str">
        <f>IF(OR(ISBLANK(BH105), ISBLANK(BI105)),"",CONCATENATE(" ",VLOOKUP(BI105,Literatuur!$A:$B,2,FALSE)," "))</f>
        <v/>
      </c>
      <c r="BL105" s="44" t="str">
        <f t="shared" si="60"/>
        <v xml:space="preserve"> </v>
      </c>
      <c r="BM105" s="33" t="str">
        <f>IF(OR(ISBLANK(BK105), ISBLANK(BL105)),"",CONCATENATE(" ",VLOOKUP(BL105,Literatuur!$A:$B,2,FALSE)," "))</f>
        <v/>
      </c>
      <c r="BN105">
        <v>5.6</v>
      </c>
      <c r="BO105" s="4" t="s">
        <v>1666</v>
      </c>
      <c r="BP105" s="33" t="str">
        <f>IF(OR(ISBLANK(BN105), ISBLANK(BO105)),"",CONCATENATE(" ",VLOOKUP(BO105,Literatuur!$A:$B,2,FALSE)," "))</f>
        <v xml:space="preserve"> NA </v>
      </c>
      <c r="BQ105"/>
      <c r="BR105"/>
      <c r="BS105" s="33" t="str">
        <f>IF(OR(ISBLANK(BQ105), ISBLANK(BR105)),"",CONCATENATE(" ",VLOOKUP(BR105,Literatuur!$A:$B,2,FALSE)," "))</f>
        <v/>
      </c>
      <c r="BT105">
        <v>5.5</v>
      </c>
      <c r="BU105" s="33" t="s">
        <v>1557</v>
      </c>
      <c r="BV105" s="33" t="str">
        <f>IF(OR(ISBLANK(BT105), ISBLANK(BU105)),"",CONCATENATE(" ",VLOOKUP(BU105,Literatuur!$A:$B,2,FALSE)," "))</f>
        <v xml:space="preserve"> 17 </v>
      </c>
      <c r="BX105" s="33">
        <v>257.5</v>
      </c>
      <c r="BZ105" s="339">
        <v>212.5</v>
      </c>
      <c r="CB105" s="33" t="s">
        <v>1557</v>
      </c>
      <c r="CC105" s="33" t="s">
        <v>1736</v>
      </c>
      <c r="CD105" s="33">
        <f t="shared" si="73"/>
        <v>257.5</v>
      </c>
      <c r="CG105" s="33">
        <f t="shared" si="72"/>
        <v>-0.48922276662279052</v>
      </c>
      <c r="CR105" s="33" t="str">
        <f t="shared" si="62"/>
        <v>PCB 21</v>
      </c>
      <c r="CS105" s="33" t="str">
        <f t="shared" si="63"/>
        <v>PCB</v>
      </c>
      <c r="CT105" s="33">
        <f t="shared" si="64"/>
        <v>257.5</v>
      </c>
      <c r="CU105" s="33" t="str">
        <f t="shared" si="65"/>
        <v xml:space="preserve"> 17 </v>
      </c>
      <c r="CV105" s="33">
        <f t="shared" si="66"/>
        <v>0.32417329353699781</v>
      </c>
      <c r="CW105" s="33" t="str">
        <f t="shared" si="67"/>
        <v xml:space="preserve"> 17 </v>
      </c>
      <c r="CX105" s="33">
        <f t="shared" si="68"/>
        <v>5.55</v>
      </c>
      <c r="CY105" s="33" t="str">
        <f t="shared" si="69"/>
        <v xml:space="preserve"> NA  17 </v>
      </c>
    </row>
    <row r="106" spans="1:103" ht="12.75" customHeight="1" x14ac:dyDescent="0.2">
      <c r="A106"/>
      <c r="B106">
        <v>-1706</v>
      </c>
      <c r="C106"/>
      <c r="D106" t="s">
        <v>981</v>
      </c>
      <c r="E106" t="s">
        <v>981</v>
      </c>
      <c r="F106" s="34"/>
      <c r="I106" s="33">
        <f t="shared" si="45"/>
        <v>257.5</v>
      </c>
      <c r="J106" s="33">
        <f t="shared" si="70"/>
        <v>0.20453952044150236</v>
      </c>
      <c r="K106" s="44">
        <f t="shared" si="46"/>
        <v>5.65</v>
      </c>
      <c r="L106" s="33">
        <f t="shared" si="47"/>
        <v>257.5</v>
      </c>
      <c r="M106" s="33" t="s">
        <v>1552</v>
      </c>
      <c r="Q106" s="44" t="str">
        <f t="shared" si="48"/>
        <v xml:space="preserve"> </v>
      </c>
      <c r="R106" s="33" t="str">
        <f>IF(OR(ISBLANK(P106), ISBLANK(Q106)),"",CONCATENATE(" ",VLOOKUP(Q106,Literatuur!$A:$B,2,FALSE)," "))</f>
        <v/>
      </c>
      <c r="T106" s="44" t="str">
        <f t="shared" si="49"/>
        <v xml:space="preserve"> </v>
      </c>
      <c r="U106" s="33" t="str">
        <f>IF(OR(ISBLANK(S106), ISBLANK(T106)),"",CONCATENATE(" ",VLOOKUP(T106,Literatuur!$A:$B,2,FALSE)," "))</f>
        <v/>
      </c>
      <c r="W106" s="44" t="str">
        <f t="shared" si="50"/>
        <v xml:space="preserve"> </v>
      </c>
      <c r="X106" s="33" t="str">
        <f>IF(OR(ISBLANK(V106), ISBLANK(W106)),"",CONCATENATE(" ",VLOOKUP(W106,Literatuur!$A:$B,2,FALSE)," "))</f>
        <v/>
      </c>
      <c r="Z106" s="44" t="str">
        <f t="shared" si="51"/>
        <v xml:space="preserve"> </v>
      </c>
      <c r="AA106" s="33" t="str">
        <f>IF(OR(ISBLANK(Y106), ISBLANK(Z106)),"",CONCATENATE(" ",VLOOKUP(Z106,Literatuur!$A:$B,2,FALSE)," "))</f>
        <v/>
      </c>
      <c r="AC106" s="36" t="str">
        <f t="shared" si="52"/>
        <v xml:space="preserve"> </v>
      </c>
      <c r="AD106" s="33" t="str">
        <f>IF(OR(ISBLANK(AB106), ISBLANK(AC106)),"",CONCATENATE(" ",VLOOKUP(AC106,Literatuur!$A:$B,2,FALSE)," "))</f>
        <v/>
      </c>
      <c r="AE106" s="365">
        <v>0.20453952044150236</v>
      </c>
      <c r="AF106" s="33" t="s">
        <v>1557</v>
      </c>
      <c r="AG106" s="33" t="str">
        <f>IF(OR(ISBLANK(AE106), ISBLANK(AF106)),"",CONCATENATE(" ",VLOOKUP(AF106,Literatuur!$A:$B,2,FALSE)," "))</f>
        <v xml:space="preserve"> 17 </v>
      </c>
      <c r="AJ106" s="44" t="str">
        <f t="shared" si="53"/>
        <v xml:space="preserve"> </v>
      </c>
      <c r="AK106" s="33" t="str">
        <f>IF(OR(ISBLANK(AI106), ISBLANK(AJ106)),"",CONCATENATE(" ",VLOOKUP(AJ106,Literatuur!$A:$B,2,FALSE)," "))</f>
        <v/>
      </c>
      <c r="AM106" s="44" t="str">
        <f t="shared" si="54"/>
        <v xml:space="preserve"> </v>
      </c>
      <c r="AN106" s="33" t="str">
        <f>IF(OR(ISBLANK(AL106), ISBLANK(AM106)),"",CONCATENATE(" ",VLOOKUP(AM106,Literatuur!$A:$B,2,FALSE)," "))</f>
        <v/>
      </c>
      <c r="AP106" s="44" t="str">
        <f t="shared" si="55"/>
        <v xml:space="preserve"> </v>
      </c>
      <c r="AQ106" s="33" t="str">
        <f>IF(OR(ISBLANK(AO106), ISBLANK(AP106)),"",CONCATENATE(" ",VLOOKUP(AP106,Literatuur!$A:$B,2,FALSE)," "))</f>
        <v/>
      </c>
      <c r="AS106"/>
      <c r="AT106" s="33" t="str">
        <f>IF(OR(ISBLANK(AR106), ISBLANK(AS106)),"",CONCATENATE(" ",VLOOKUP(AS106,Literatuur!$A:$B,2,FALSE)," "))</f>
        <v/>
      </c>
      <c r="AU106">
        <v>257.5</v>
      </c>
      <c r="AV106" s="33" t="s">
        <v>1557</v>
      </c>
      <c r="AW106" s="33" t="str">
        <f>IF(OR(ISBLANK(AU106), ISBLANK(AV106)),"",CONCATENATE(" ",VLOOKUP(AV106,Literatuur!$A:$B,2,FALSE)," "))</f>
        <v xml:space="preserve"> 17 </v>
      </c>
      <c r="AZ106" s="44" t="str">
        <f t="shared" si="56"/>
        <v xml:space="preserve"> </v>
      </c>
      <c r="BA106" s="33" t="str">
        <f>IF(OR(ISBLANK(AY106), ISBLANK(AZ106)),"",CONCATENATE(" ",VLOOKUP(AZ106,Literatuur!$A:$B,2,FALSE)," "))</f>
        <v/>
      </c>
      <c r="BC106" s="44" t="str">
        <f t="shared" si="57"/>
        <v xml:space="preserve"> </v>
      </c>
      <c r="BD106" s="33" t="str">
        <f>IF(OR(ISBLANK(BB106), ISBLANK(BC106)),"",CONCATENATE(" ",VLOOKUP(BC106,Literatuur!$A:$B,2,FALSE)," "))</f>
        <v/>
      </c>
      <c r="BF106" s="44" t="str">
        <f t="shared" si="58"/>
        <v xml:space="preserve"> </v>
      </c>
      <c r="BG106" s="33" t="str">
        <f>IF(OR(ISBLANK(BE106), ISBLANK(BF106)),"",CONCATENATE(" ",VLOOKUP(BF106,Literatuur!$A:$B,2,FALSE)," "))</f>
        <v/>
      </c>
      <c r="BI106" s="44" t="str">
        <f t="shared" si="59"/>
        <v xml:space="preserve"> </v>
      </c>
      <c r="BJ106" s="33" t="str">
        <f>IF(OR(ISBLANK(BH106), ISBLANK(BI106)),"",CONCATENATE(" ",VLOOKUP(BI106,Literatuur!$A:$B,2,FALSE)," "))</f>
        <v/>
      </c>
      <c r="BL106" s="44" t="str">
        <f t="shared" si="60"/>
        <v xml:space="preserve"> </v>
      </c>
      <c r="BM106" s="33" t="str">
        <f>IF(OR(ISBLANK(BK106), ISBLANK(BL106)),"",CONCATENATE(" ",VLOOKUP(BL106,Literatuur!$A:$B,2,FALSE)," "))</f>
        <v/>
      </c>
      <c r="BN106">
        <v>5.6</v>
      </c>
      <c r="BO106" s="4" t="s">
        <v>1666</v>
      </c>
      <c r="BP106" s="33" t="str">
        <f>IF(OR(ISBLANK(BN106), ISBLANK(BO106)),"",CONCATENATE(" ",VLOOKUP(BO106,Literatuur!$A:$B,2,FALSE)," "))</f>
        <v xml:space="preserve"> NA </v>
      </c>
      <c r="BQ106"/>
      <c r="BR106"/>
      <c r="BS106" s="33" t="str">
        <f>IF(OR(ISBLANK(BQ106), ISBLANK(BR106)),"",CONCATENATE(" ",VLOOKUP(BR106,Literatuur!$A:$B,2,FALSE)," "))</f>
        <v/>
      </c>
      <c r="BT106">
        <v>5.7</v>
      </c>
      <c r="BU106" s="33" t="s">
        <v>1557</v>
      </c>
      <c r="BV106" s="33" t="str">
        <f>IF(OR(ISBLANK(BT106), ISBLANK(BU106)),"",CONCATENATE(" ",VLOOKUP(BU106,Literatuur!$A:$B,2,FALSE)," "))</f>
        <v xml:space="preserve"> 17 </v>
      </c>
      <c r="BX106" s="33">
        <v>257.5</v>
      </c>
      <c r="BZ106" s="339">
        <v>212.4</v>
      </c>
      <c r="CB106" s="33" t="s">
        <v>1557</v>
      </c>
      <c r="CC106" s="33" t="s">
        <v>1736</v>
      </c>
      <c r="CD106" s="33">
        <f t="shared" si="73"/>
        <v>257.5</v>
      </c>
      <c r="CG106" s="33">
        <f t="shared" si="72"/>
        <v>-0.68922276662279047</v>
      </c>
      <c r="CR106" s="33" t="str">
        <f t="shared" si="62"/>
        <v>PCB 28</v>
      </c>
      <c r="CS106" s="33" t="str">
        <f t="shared" si="63"/>
        <v>PCB</v>
      </c>
      <c r="CT106" s="33">
        <f t="shared" si="64"/>
        <v>257.5</v>
      </c>
      <c r="CU106" s="33" t="str">
        <f t="shared" si="65"/>
        <v xml:space="preserve"> 17 </v>
      </c>
      <c r="CV106" s="33">
        <f t="shared" si="66"/>
        <v>0.20453952044150236</v>
      </c>
      <c r="CW106" s="33" t="str">
        <f t="shared" si="67"/>
        <v xml:space="preserve"> 17 </v>
      </c>
      <c r="CX106" s="33">
        <f t="shared" si="68"/>
        <v>5.65</v>
      </c>
      <c r="CY106" s="33" t="str">
        <f t="shared" si="69"/>
        <v xml:space="preserve"> NA  17 </v>
      </c>
    </row>
    <row r="107" spans="1:103" ht="12.75" customHeight="1" x14ac:dyDescent="0.2">
      <c r="A107"/>
      <c r="B107">
        <v>-1708</v>
      </c>
      <c r="C107"/>
      <c r="D107" t="s">
        <v>983</v>
      </c>
      <c r="E107" t="s">
        <v>983</v>
      </c>
      <c r="F107" s="34"/>
      <c r="I107" s="33">
        <f t="shared" si="45"/>
        <v>257.5</v>
      </c>
      <c r="J107" s="33">
        <f t="shared" si="70"/>
        <v>0.40810999705873668</v>
      </c>
      <c r="K107" s="44">
        <f t="shared" si="46"/>
        <v>5.45</v>
      </c>
      <c r="L107" s="33">
        <f t="shared" si="47"/>
        <v>257.5</v>
      </c>
      <c r="M107" s="33" t="s">
        <v>1552</v>
      </c>
      <c r="Q107" s="44" t="str">
        <f t="shared" si="48"/>
        <v xml:space="preserve"> </v>
      </c>
      <c r="R107" s="33" t="str">
        <f>IF(OR(ISBLANK(P107), ISBLANK(Q107)),"",CONCATENATE(" ",VLOOKUP(Q107,Literatuur!$A:$B,2,FALSE)," "))</f>
        <v/>
      </c>
      <c r="T107" s="44" t="str">
        <f t="shared" si="49"/>
        <v xml:space="preserve"> </v>
      </c>
      <c r="U107" s="33" t="str">
        <f>IF(OR(ISBLANK(S107), ISBLANK(T107)),"",CONCATENATE(" ",VLOOKUP(T107,Literatuur!$A:$B,2,FALSE)," "))</f>
        <v/>
      </c>
      <c r="W107" s="44" t="str">
        <f t="shared" si="50"/>
        <v xml:space="preserve"> </v>
      </c>
      <c r="X107" s="33" t="str">
        <f>IF(OR(ISBLANK(V107), ISBLANK(W107)),"",CONCATENATE(" ",VLOOKUP(W107,Literatuur!$A:$B,2,FALSE)," "))</f>
        <v/>
      </c>
      <c r="Z107" s="44" t="str">
        <f t="shared" si="51"/>
        <v xml:space="preserve"> </v>
      </c>
      <c r="AA107" s="33" t="str">
        <f>IF(OR(ISBLANK(Y107), ISBLANK(Z107)),"",CONCATENATE(" ",VLOOKUP(Z107,Literatuur!$A:$B,2,FALSE)," "))</f>
        <v/>
      </c>
      <c r="AC107" s="36" t="str">
        <f t="shared" si="52"/>
        <v xml:space="preserve"> </v>
      </c>
      <c r="AD107" s="33" t="str">
        <f>IF(OR(ISBLANK(AB107), ISBLANK(AC107)),"",CONCATENATE(" ",VLOOKUP(AC107,Literatuur!$A:$B,2,FALSE)," "))</f>
        <v/>
      </c>
      <c r="AE107" s="365">
        <v>0.40810999705873668</v>
      </c>
      <c r="AF107" s="33" t="s">
        <v>1557</v>
      </c>
      <c r="AG107" s="33" t="str">
        <f>IF(OR(ISBLANK(AE107), ISBLANK(AF107)),"",CONCATENATE(" ",VLOOKUP(AF107,Literatuur!$A:$B,2,FALSE)," "))</f>
        <v xml:space="preserve"> 17 </v>
      </c>
      <c r="AJ107" s="44" t="str">
        <f t="shared" si="53"/>
        <v xml:space="preserve"> </v>
      </c>
      <c r="AK107" s="33" t="str">
        <f>IF(OR(ISBLANK(AI107), ISBLANK(AJ107)),"",CONCATENATE(" ",VLOOKUP(AJ107,Literatuur!$A:$B,2,FALSE)," "))</f>
        <v/>
      </c>
      <c r="AM107" s="44" t="str">
        <f t="shared" si="54"/>
        <v xml:space="preserve"> </v>
      </c>
      <c r="AN107" s="33" t="str">
        <f>IF(OR(ISBLANK(AL107), ISBLANK(AM107)),"",CONCATENATE(" ",VLOOKUP(AM107,Literatuur!$A:$B,2,FALSE)," "))</f>
        <v/>
      </c>
      <c r="AP107" s="44" t="str">
        <f t="shared" si="55"/>
        <v xml:space="preserve"> </v>
      </c>
      <c r="AQ107" s="33" t="str">
        <f>IF(OR(ISBLANK(AO107), ISBLANK(AP107)),"",CONCATENATE(" ",VLOOKUP(AP107,Literatuur!$A:$B,2,FALSE)," "))</f>
        <v/>
      </c>
      <c r="AS107"/>
      <c r="AT107" s="33" t="str">
        <f>IF(OR(ISBLANK(AR107), ISBLANK(AS107)),"",CONCATENATE(" ",VLOOKUP(AS107,Literatuur!$A:$B,2,FALSE)," "))</f>
        <v/>
      </c>
      <c r="AU107">
        <v>257.5</v>
      </c>
      <c r="AV107" s="33" t="s">
        <v>1557</v>
      </c>
      <c r="AW107" s="33" t="str">
        <f>IF(OR(ISBLANK(AU107), ISBLANK(AV107)),"",CONCATENATE(" ",VLOOKUP(AV107,Literatuur!$A:$B,2,FALSE)," "))</f>
        <v xml:space="preserve"> 17 </v>
      </c>
      <c r="AZ107" s="44" t="str">
        <f t="shared" si="56"/>
        <v xml:space="preserve"> </v>
      </c>
      <c r="BA107" s="33" t="str">
        <f>IF(OR(ISBLANK(AY107), ISBLANK(AZ107)),"",CONCATENATE(" ",VLOOKUP(AZ107,Literatuur!$A:$B,2,FALSE)," "))</f>
        <v/>
      </c>
      <c r="BC107" s="44" t="str">
        <f t="shared" si="57"/>
        <v xml:space="preserve"> </v>
      </c>
      <c r="BD107" s="33" t="str">
        <f>IF(OR(ISBLANK(BB107), ISBLANK(BC107)),"",CONCATENATE(" ",VLOOKUP(BC107,Literatuur!$A:$B,2,FALSE)," "))</f>
        <v/>
      </c>
      <c r="BF107" s="44" t="str">
        <f t="shared" si="58"/>
        <v xml:space="preserve"> </v>
      </c>
      <c r="BG107" s="33" t="str">
        <f>IF(OR(ISBLANK(BE107), ISBLANK(BF107)),"",CONCATENATE(" ",VLOOKUP(BF107,Literatuur!$A:$B,2,FALSE)," "))</f>
        <v/>
      </c>
      <c r="BI107" s="44" t="str">
        <f t="shared" si="59"/>
        <v xml:space="preserve"> </v>
      </c>
      <c r="BJ107" s="33" t="str">
        <f>IF(OR(ISBLANK(BH107), ISBLANK(BI107)),"",CONCATENATE(" ",VLOOKUP(BI107,Literatuur!$A:$B,2,FALSE)," "))</f>
        <v/>
      </c>
      <c r="BL107" s="44" t="str">
        <f t="shared" si="60"/>
        <v xml:space="preserve"> </v>
      </c>
      <c r="BM107" s="33" t="str">
        <f>IF(OR(ISBLANK(BK107), ISBLANK(BL107)),"",CONCATENATE(" ",VLOOKUP(BL107,Literatuur!$A:$B,2,FALSE)," "))</f>
        <v/>
      </c>
      <c r="BN107">
        <v>5.5</v>
      </c>
      <c r="BO107" s="4" t="s">
        <v>1666</v>
      </c>
      <c r="BP107" s="33" t="str">
        <f>IF(OR(ISBLANK(BN107), ISBLANK(BO107)),"",CONCATENATE(" ",VLOOKUP(BO107,Literatuur!$A:$B,2,FALSE)," "))</f>
        <v xml:space="preserve"> NA </v>
      </c>
      <c r="BQ107"/>
      <c r="BR107"/>
      <c r="BS107" s="33" t="str">
        <f>IF(OR(ISBLANK(BQ107), ISBLANK(BR107)),"",CONCATENATE(" ",VLOOKUP(BR107,Literatuur!$A:$B,2,FALSE)," "))</f>
        <v/>
      </c>
      <c r="BT107">
        <v>5.4</v>
      </c>
      <c r="BU107" s="33" t="s">
        <v>1557</v>
      </c>
      <c r="BV107" s="33" t="str">
        <f>IF(OR(ISBLANK(BT107), ISBLANK(BU107)),"",CONCATENATE(" ",VLOOKUP(BU107,Literatuur!$A:$B,2,FALSE)," "))</f>
        <v xml:space="preserve"> 17 </v>
      </c>
      <c r="BX107" s="33">
        <v>257.5</v>
      </c>
      <c r="BZ107" s="339">
        <v>210.1</v>
      </c>
      <c r="CB107" s="33" t="s">
        <v>1557</v>
      </c>
      <c r="CC107" s="33" t="s">
        <v>1736</v>
      </c>
      <c r="CD107" s="33">
        <f t="shared" si="73"/>
        <v>257.5</v>
      </c>
      <c r="CG107" s="33">
        <f t="shared" si="72"/>
        <v>-0.38922276662279021</v>
      </c>
      <c r="CR107" s="33" t="str">
        <f t="shared" si="62"/>
        <v>PCB 30</v>
      </c>
      <c r="CS107" s="33" t="str">
        <f t="shared" si="63"/>
        <v>PCB</v>
      </c>
      <c r="CT107" s="33">
        <f t="shared" si="64"/>
        <v>257.5</v>
      </c>
      <c r="CU107" s="33" t="str">
        <f t="shared" si="65"/>
        <v xml:space="preserve"> 17 </v>
      </c>
      <c r="CV107" s="33">
        <f t="shared" si="66"/>
        <v>0.40810999705873668</v>
      </c>
      <c r="CW107" s="33" t="str">
        <f t="shared" si="67"/>
        <v xml:space="preserve"> 17 </v>
      </c>
      <c r="CX107" s="33">
        <f t="shared" si="68"/>
        <v>5.45</v>
      </c>
      <c r="CY107" s="33" t="str">
        <f t="shared" si="69"/>
        <v xml:space="preserve"> NA  17 </v>
      </c>
    </row>
    <row r="108" spans="1:103" ht="12.75" customHeight="1" x14ac:dyDescent="0.2">
      <c r="A108"/>
      <c r="B108">
        <v>-1709</v>
      </c>
      <c r="C108"/>
      <c r="D108" t="s">
        <v>984</v>
      </c>
      <c r="E108" t="s">
        <v>984</v>
      </c>
      <c r="F108" s="34"/>
      <c r="I108" s="33">
        <f t="shared" si="45"/>
        <v>257.5</v>
      </c>
      <c r="J108" s="33">
        <f t="shared" si="70"/>
        <v>0.20453952044150236</v>
      </c>
      <c r="K108" s="44">
        <f t="shared" si="46"/>
        <v>5.75</v>
      </c>
      <c r="L108" s="33">
        <f t="shared" si="47"/>
        <v>292</v>
      </c>
      <c r="M108" s="33" t="s">
        <v>1552</v>
      </c>
      <c r="Q108" s="44" t="str">
        <f t="shared" si="48"/>
        <v xml:space="preserve"> </v>
      </c>
      <c r="R108" s="33" t="str">
        <f>IF(OR(ISBLANK(P108), ISBLANK(Q108)),"",CONCATENATE(" ",VLOOKUP(Q108,Literatuur!$A:$B,2,FALSE)," "))</f>
        <v/>
      </c>
      <c r="T108" s="44" t="str">
        <f t="shared" si="49"/>
        <v xml:space="preserve"> </v>
      </c>
      <c r="U108" s="33" t="str">
        <f>IF(OR(ISBLANK(S108), ISBLANK(T108)),"",CONCATENATE(" ",VLOOKUP(T108,Literatuur!$A:$B,2,FALSE)," "))</f>
        <v/>
      </c>
      <c r="W108" s="44" t="str">
        <f t="shared" si="50"/>
        <v xml:space="preserve"> </v>
      </c>
      <c r="X108" s="33" t="str">
        <f>IF(OR(ISBLANK(V108), ISBLANK(W108)),"",CONCATENATE(" ",VLOOKUP(W108,Literatuur!$A:$B,2,FALSE)," "))</f>
        <v/>
      </c>
      <c r="Z108" s="44" t="str">
        <f t="shared" si="51"/>
        <v xml:space="preserve"> </v>
      </c>
      <c r="AA108" s="33" t="str">
        <f>IF(OR(ISBLANK(Y108), ISBLANK(Z108)),"",CONCATENATE(" ",VLOOKUP(Z108,Literatuur!$A:$B,2,FALSE)," "))</f>
        <v/>
      </c>
      <c r="AC108" s="36" t="str">
        <f t="shared" si="52"/>
        <v xml:space="preserve"> </v>
      </c>
      <c r="AD108" s="33" t="str">
        <f>IF(OR(ISBLANK(AB108), ISBLANK(AC108)),"",CONCATENATE(" ",VLOOKUP(AC108,Literatuur!$A:$B,2,FALSE)," "))</f>
        <v/>
      </c>
      <c r="AE108" s="365">
        <v>0.20453952044150236</v>
      </c>
      <c r="AF108" s="33" t="s">
        <v>1557</v>
      </c>
      <c r="AG108" s="33" t="str">
        <f>IF(OR(ISBLANK(AE108), ISBLANK(AF108)),"",CONCATENATE(" ",VLOOKUP(AF108,Literatuur!$A:$B,2,FALSE)," "))</f>
        <v xml:space="preserve"> 17 </v>
      </c>
      <c r="AJ108" s="44" t="str">
        <f t="shared" si="53"/>
        <v xml:space="preserve"> </v>
      </c>
      <c r="AK108" s="33" t="str">
        <f>IF(OR(ISBLANK(AI108), ISBLANK(AJ108)),"",CONCATENATE(" ",VLOOKUP(AJ108,Literatuur!$A:$B,2,FALSE)," "))</f>
        <v/>
      </c>
      <c r="AM108" s="44" t="str">
        <f t="shared" si="54"/>
        <v xml:space="preserve"> </v>
      </c>
      <c r="AN108" s="33" t="str">
        <f>IF(OR(ISBLANK(AL108), ISBLANK(AM108)),"",CONCATENATE(" ",VLOOKUP(AM108,Literatuur!$A:$B,2,FALSE)," "))</f>
        <v/>
      </c>
      <c r="AP108" s="44" t="str">
        <f t="shared" si="55"/>
        <v xml:space="preserve"> </v>
      </c>
      <c r="AQ108" s="33" t="str">
        <f>IF(OR(ISBLANK(AO108), ISBLANK(AP108)),"",CONCATENATE(" ",VLOOKUP(AP108,Literatuur!$A:$B,2,FALSE)," "))</f>
        <v/>
      </c>
      <c r="AS108"/>
      <c r="AT108" s="33" t="str">
        <f>IF(OR(ISBLANK(AR108), ISBLANK(AS108)),"",CONCATENATE(" ",VLOOKUP(AS108,Literatuur!$A:$B,2,FALSE)," "))</f>
        <v/>
      </c>
      <c r="AU108">
        <v>257.5</v>
      </c>
      <c r="AV108" s="33" t="s">
        <v>1557</v>
      </c>
      <c r="AW108" s="33" t="str">
        <f>IF(OR(ISBLANK(AU108), ISBLANK(AV108)),"",CONCATENATE(" ",VLOOKUP(AV108,Literatuur!$A:$B,2,FALSE)," "))</f>
        <v xml:space="preserve"> 17 </v>
      </c>
      <c r="AZ108" s="44" t="str">
        <f t="shared" si="56"/>
        <v xml:space="preserve"> </v>
      </c>
      <c r="BA108" s="33" t="str">
        <f>IF(OR(ISBLANK(AY108), ISBLANK(AZ108)),"",CONCATENATE(" ",VLOOKUP(AZ108,Literatuur!$A:$B,2,FALSE)," "))</f>
        <v/>
      </c>
      <c r="BC108" s="44" t="str">
        <f t="shared" si="57"/>
        <v xml:space="preserve"> </v>
      </c>
      <c r="BD108" s="33" t="str">
        <f>IF(OR(ISBLANK(BB108), ISBLANK(BC108)),"",CONCATENATE(" ",VLOOKUP(BC108,Literatuur!$A:$B,2,FALSE)," "))</f>
        <v/>
      </c>
      <c r="BF108" s="44" t="str">
        <f t="shared" si="58"/>
        <v xml:space="preserve"> </v>
      </c>
      <c r="BG108" s="33" t="str">
        <f>IF(OR(ISBLANK(BE108), ISBLANK(BF108)),"",CONCATENATE(" ",VLOOKUP(BF108,Literatuur!$A:$B,2,FALSE)," "))</f>
        <v/>
      </c>
      <c r="BI108" s="44" t="str">
        <f t="shared" si="59"/>
        <v xml:space="preserve"> </v>
      </c>
      <c r="BJ108" s="33" t="str">
        <f>IF(OR(ISBLANK(BH108), ISBLANK(BI108)),"",CONCATENATE(" ",VLOOKUP(BI108,Literatuur!$A:$B,2,FALSE)," "))</f>
        <v/>
      </c>
      <c r="BL108" s="44" t="str">
        <f t="shared" si="60"/>
        <v xml:space="preserve"> </v>
      </c>
      <c r="BM108" s="33" t="str">
        <f>IF(OR(ISBLANK(BK108), ISBLANK(BL108)),"",CONCATENATE(" ",VLOOKUP(BL108,Literatuur!$A:$B,2,FALSE)," "))</f>
        <v/>
      </c>
      <c r="BN108">
        <v>5.8</v>
      </c>
      <c r="BO108" s="4" t="s">
        <v>1666</v>
      </c>
      <c r="BP108" s="33" t="str">
        <f>IF(OR(ISBLANK(BN108), ISBLANK(BO108)),"",CONCATENATE(" ",VLOOKUP(BO108,Literatuur!$A:$B,2,FALSE)," "))</f>
        <v xml:space="preserve"> NA </v>
      </c>
      <c r="BQ108"/>
      <c r="BR108"/>
      <c r="BS108" s="33" t="str">
        <f>IF(OR(ISBLANK(BQ108), ISBLANK(BR108)),"",CONCATENATE(" ",VLOOKUP(BR108,Literatuur!$A:$B,2,FALSE)," "))</f>
        <v/>
      </c>
      <c r="BT108">
        <v>5.7</v>
      </c>
      <c r="BU108" s="33" t="s">
        <v>1557</v>
      </c>
      <c r="BV108" s="33" t="str">
        <f>IF(OR(ISBLANK(BT108), ISBLANK(BU108)),"",CONCATENATE(" ",VLOOKUP(BU108,Literatuur!$A:$B,2,FALSE)," "))</f>
        <v xml:space="preserve"> 17 </v>
      </c>
      <c r="BX108" s="33">
        <v>292</v>
      </c>
      <c r="BZ108" s="339">
        <v>210.9</v>
      </c>
      <c r="CB108" s="33" t="s">
        <v>1557</v>
      </c>
      <c r="CC108" s="33" t="s">
        <v>1736</v>
      </c>
      <c r="CD108" s="33">
        <f t="shared" si="73"/>
        <v>292</v>
      </c>
      <c r="CG108" s="33">
        <f t="shared" si="72"/>
        <v>-0.68922276662279047</v>
      </c>
      <c r="CR108" s="33" t="str">
        <f t="shared" si="62"/>
        <v>PCB 31</v>
      </c>
      <c r="CS108" s="33" t="str">
        <f t="shared" si="63"/>
        <v>PCB</v>
      </c>
      <c r="CT108" s="33">
        <f t="shared" si="64"/>
        <v>257.5</v>
      </c>
      <c r="CU108" s="33" t="str">
        <f t="shared" si="65"/>
        <v xml:space="preserve"> 17 </v>
      </c>
      <c r="CV108" s="33">
        <f t="shared" si="66"/>
        <v>0.20453952044150236</v>
      </c>
      <c r="CW108" s="33" t="str">
        <f t="shared" si="67"/>
        <v xml:space="preserve"> 17 </v>
      </c>
      <c r="CX108" s="33">
        <f t="shared" si="68"/>
        <v>5.75</v>
      </c>
      <c r="CY108" s="33" t="str">
        <f t="shared" si="69"/>
        <v xml:space="preserve"> NA  17 </v>
      </c>
    </row>
    <row r="109" spans="1:103" ht="12.75" customHeight="1" x14ac:dyDescent="0.2">
      <c r="A109"/>
      <c r="B109">
        <v>-1700</v>
      </c>
      <c r="C109"/>
      <c r="D109" t="s">
        <v>975</v>
      </c>
      <c r="E109" t="s">
        <v>975</v>
      </c>
      <c r="F109" s="34"/>
      <c r="I109" s="33">
        <f t="shared" si="45"/>
        <v>223.1</v>
      </c>
      <c r="J109" s="33">
        <f t="shared" si="70"/>
        <v>2.8086625937127851</v>
      </c>
      <c r="K109" s="44">
        <f t="shared" si="46"/>
        <v>4.7</v>
      </c>
      <c r="L109" s="33" t="e">
        <f t="shared" si="47"/>
        <v>#DIV/0!</v>
      </c>
      <c r="M109" s="33" t="s">
        <v>1552</v>
      </c>
      <c r="Q109" s="44" t="str">
        <f t="shared" si="48"/>
        <v xml:space="preserve"> </v>
      </c>
      <c r="R109" s="33" t="str">
        <f>IF(OR(ISBLANK(P109), ISBLANK(Q109)),"",CONCATENATE(" ",VLOOKUP(Q109,Literatuur!$A:$B,2,FALSE)," "))</f>
        <v/>
      </c>
      <c r="T109" s="44" t="str">
        <f t="shared" si="49"/>
        <v xml:space="preserve"> </v>
      </c>
      <c r="U109" s="33" t="str">
        <f>IF(OR(ISBLANK(S109), ISBLANK(T109)),"",CONCATENATE(" ",VLOOKUP(T109,Literatuur!$A:$B,2,FALSE)," "))</f>
        <v/>
      </c>
      <c r="W109" s="44" t="str">
        <f t="shared" si="50"/>
        <v xml:space="preserve"> </v>
      </c>
      <c r="X109" s="33" t="str">
        <f>IF(OR(ISBLANK(V109), ISBLANK(W109)),"",CONCATENATE(" ",VLOOKUP(W109,Literatuur!$A:$B,2,FALSE)," "))</f>
        <v/>
      </c>
      <c r="Z109" s="44" t="str">
        <f t="shared" si="51"/>
        <v xml:space="preserve"> </v>
      </c>
      <c r="AA109" s="33" t="str">
        <f>IF(OR(ISBLANK(Y109), ISBLANK(Z109)),"",CONCATENATE(" ",VLOOKUP(Z109,Literatuur!$A:$B,2,FALSE)," "))</f>
        <v/>
      </c>
      <c r="AC109" s="36" t="str">
        <f t="shared" si="52"/>
        <v xml:space="preserve"> </v>
      </c>
      <c r="AD109" s="33" t="str">
        <f>IF(OR(ISBLANK(AB109), ISBLANK(AC109)),"",CONCATENATE(" ",VLOOKUP(AC109,Literatuur!$A:$B,2,FALSE)," "))</f>
        <v/>
      </c>
      <c r="AE109" s="365">
        <v>2.8086625937127851</v>
      </c>
      <c r="AF109" s="33" t="s">
        <v>1557</v>
      </c>
      <c r="AG109" s="33" t="str">
        <f>IF(OR(ISBLANK(AE109), ISBLANK(AF109)),"",CONCATENATE(" ",VLOOKUP(AF109,Literatuur!$A:$B,2,FALSE)," "))</f>
        <v xml:space="preserve"> 17 </v>
      </c>
      <c r="AJ109" s="44" t="str">
        <f t="shared" si="53"/>
        <v xml:space="preserve"> </v>
      </c>
      <c r="AK109" s="33" t="str">
        <f>IF(OR(ISBLANK(AI109), ISBLANK(AJ109)),"",CONCATENATE(" ",VLOOKUP(AJ109,Literatuur!$A:$B,2,FALSE)," "))</f>
        <v/>
      </c>
      <c r="AM109" s="44" t="str">
        <f t="shared" si="54"/>
        <v xml:space="preserve"> </v>
      </c>
      <c r="AN109" s="33" t="str">
        <f>IF(OR(ISBLANK(AL109), ISBLANK(AM109)),"",CONCATENATE(" ",VLOOKUP(AM109,Literatuur!$A:$B,2,FALSE)," "))</f>
        <v/>
      </c>
      <c r="AP109" s="44" t="str">
        <f t="shared" si="55"/>
        <v xml:space="preserve"> </v>
      </c>
      <c r="AQ109" s="33" t="str">
        <f>IF(OR(ISBLANK(AO109), ISBLANK(AP109)),"",CONCATENATE(" ",VLOOKUP(AP109,Literatuur!$A:$B,2,FALSE)," "))</f>
        <v/>
      </c>
      <c r="AS109"/>
      <c r="AT109" s="33" t="str">
        <f>IF(OR(ISBLANK(AR109), ISBLANK(AS109)),"",CONCATENATE(" ",VLOOKUP(AS109,Literatuur!$A:$B,2,FALSE)," "))</f>
        <v/>
      </c>
      <c r="AU109">
        <v>223.1</v>
      </c>
      <c r="AV109" s="33" t="s">
        <v>1557</v>
      </c>
      <c r="AW109" s="33" t="str">
        <f>IF(OR(ISBLANK(AU109), ISBLANK(AV109)),"",CONCATENATE(" ",VLOOKUP(AV109,Literatuur!$A:$B,2,FALSE)," "))</f>
        <v xml:space="preserve"> 17 </v>
      </c>
      <c r="AZ109" s="44" t="str">
        <f t="shared" si="56"/>
        <v xml:space="preserve"> </v>
      </c>
      <c r="BA109" s="33" t="str">
        <f>IF(OR(ISBLANK(AY109), ISBLANK(AZ109)),"",CONCATENATE(" ",VLOOKUP(AZ109,Literatuur!$A:$B,2,FALSE)," "))</f>
        <v/>
      </c>
      <c r="BC109" s="44" t="str">
        <f t="shared" si="57"/>
        <v xml:space="preserve"> </v>
      </c>
      <c r="BD109" s="33" t="str">
        <f>IF(OR(ISBLANK(BB109), ISBLANK(BC109)),"",CONCATENATE(" ",VLOOKUP(BC109,Literatuur!$A:$B,2,FALSE)," "))</f>
        <v/>
      </c>
      <c r="BF109" s="44" t="str">
        <f t="shared" si="58"/>
        <v xml:space="preserve"> </v>
      </c>
      <c r="BG109" s="33" t="str">
        <f>IF(OR(ISBLANK(BE109), ISBLANK(BF109)),"",CONCATENATE(" ",VLOOKUP(BF109,Literatuur!$A:$B,2,FALSE)," "))</f>
        <v/>
      </c>
      <c r="BI109" s="44" t="str">
        <f t="shared" si="59"/>
        <v xml:space="preserve"> </v>
      </c>
      <c r="BJ109" s="33" t="str">
        <f>IF(OR(ISBLANK(BH109), ISBLANK(BI109)),"",CONCATENATE(" ",VLOOKUP(BI109,Literatuur!$A:$B,2,FALSE)," "))</f>
        <v/>
      </c>
      <c r="BL109" s="44" t="str">
        <f t="shared" si="60"/>
        <v xml:space="preserve"> </v>
      </c>
      <c r="BM109" s="33" t="str">
        <f>IF(OR(ISBLANK(BK109), ISBLANK(BL109)),"",CONCATENATE(" ",VLOOKUP(BL109,Literatuur!$A:$B,2,FALSE)," "))</f>
        <v/>
      </c>
      <c r="BN109">
        <v>4.7</v>
      </c>
      <c r="BO109" s="4" t="s">
        <v>1666</v>
      </c>
      <c r="BP109" s="33" t="str">
        <f>IF(OR(ISBLANK(BN109), ISBLANK(BO109)),"",CONCATENATE(" ",VLOOKUP(BO109,Literatuur!$A:$B,2,FALSE)," "))</f>
        <v xml:space="preserve"> NA </v>
      </c>
      <c r="BQ109"/>
      <c r="BR109"/>
      <c r="BS109" s="33" t="str">
        <f>IF(OR(ISBLANK(BQ109), ISBLANK(BR109)),"",CONCATENATE(" ",VLOOKUP(BR109,Literatuur!$A:$B,2,FALSE)," "))</f>
        <v/>
      </c>
      <c r="BT109">
        <v>4.7</v>
      </c>
      <c r="BU109" s="33" t="s">
        <v>1557</v>
      </c>
      <c r="BV109" s="33" t="str">
        <f>IF(OR(ISBLANK(BT109), ISBLANK(BU109)),"",CONCATENATE(" ",VLOOKUP(BU109,Literatuur!$A:$B,2,FALSE)," "))</f>
        <v xml:space="preserve"> 17 </v>
      </c>
      <c r="BZ109" s="339">
        <v>188.6</v>
      </c>
      <c r="CB109" s="33" t="s">
        <v>1557</v>
      </c>
      <c r="CC109" s="33" t="s">
        <v>1736</v>
      </c>
      <c r="CG109" s="33">
        <f t="shared" si="72"/>
        <v>0.44849957028383741</v>
      </c>
      <c r="CR109" s="33" t="str">
        <f t="shared" si="62"/>
        <v>PCB 4</v>
      </c>
      <c r="CS109" s="33" t="str">
        <f t="shared" si="63"/>
        <v>PCB</v>
      </c>
      <c r="CT109" s="33">
        <f t="shared" si="64"/>
        <v>223.1</v>
      </c>
      <c r="CU109" s="33" t="str">
        <f t="shared" si="65"/>
        <v xml:space="preserve"> 17 </v>
      </c>
      <c r="CV109" s="33">
        <f t="shared" si="66"/>
        <v>2.8086625937127851</v>
      </c>
      <c r="CW109" s="33" t="str">
        <f t="shared" si="67"/>
        <v xml:space="preserve"> 17 </v>
      </c>
      <c r="CX109" s="33">
        <f t="shared" si="68"/>
        <v>4.7</v>
      </c>
      <c r="CY109" s="33" t="str">
        <f t="shared" si="69"/>
        <v xml:space="preserve"> NA  17 </v>
      </c>
    </row>
    <row r="110" spans="1:103" ht="12.75" customHeight="1" x14ac:dyDescent="0.2">
      <c r="A110"/>
      <c r="B110">
        <v>-1711</v>
      </c>
      <c r="C110"/>
      <c r="D110" t="s">
        <v>986</v>
      </c>
      <c r="E110" t="s">
        <v>986</v>
      </c>
      <c r="F110" s="34"/>
      <c r="I110" s="33">
        <f t="shared" ref="I110:I141" si="74">IF(ISNUMBER(AI110),AI110,AVERAGE(AL110:AU110))</f>
        <v>292</v>
      </c>
      <c r="J110" s="33">
        <f t="shared" si="70"/>
        <v>0.14634667221916345</v>
      </c>
      <c r="K110" s="44">
        <f t="shared" ref="K110:K141" si="75">IF(ISNUMBER(AY110),AY110,AVERAGE(BB110,BE110,BH110,BK110,BN110,BQ110,BT110))</f>
        <v>5.9</v>
      </c>
      <c r="L110" s="33">
        <f t="shared" ref="L110:L141" si="76">AVERAGE(BX110:BY110)</f>
        <v>292</v>
      </c>
      <c r="M110" s="33" t="s">
        <v>1552</v>
      </c>
      <c r="Q110" s="44" t="str">
        <f t="shared" ref="Q110:Q141" si="77">IF(ISBLANK(P110)," ","Sanscrit")</f>
        <v xml:space="preserve"> </v>
      </c>
      <c r="R110" s="33" t="str">
        <f>IF(OR(ISBLANK(P110), ISBLANK(Q110)),"",CONCATENATE(" ",VLOOKUP(Q110,Literatuur!$A:$B,2,FALSE)," "))</f>
        <v/>
      </c>
      <c r="T110" s="44" t="str">
        <f t="shared" ref="T110:T141" si="78">IF(ISBLANK(S110)," ","Gestis")</f>
        <v xml:space="preserve"> </v>
      </c>
      <c r="U110" s="33" t="str">
        <f>IF(OR(ISBLANK(S110), ISBLANK(T110)),"",CONCATENATE(" ",VLOOKUP(T110,Literatuur!$A:$B,2,FALSE)," "))</f>
        <v/>
      </c>
      <c r="W110" s="44" t="str">
        <f t="shared" ref="W110:W141" si="79">IF(ISBLANK(V110)," ","US EPA 1995")</f>
        <v xml:space="preserve"> </v>
      </c>
      <c r="X110" s="33" t="str">
        <f>IF(OR(ISBLANK(V110), ISBLANK(W110)),"",CONCATENATE(" ",VLOOKUP(W110,Literatuur!$A:$B,2,FALSE)," "))</f>
        <v/>
      </c>
      <c r="Z110" s="44" t="str">
        <f t="shared" ref="Z110:Z141" si="80">IF(ISBLANK(Y110)," ","US EPA suite")</f>
        <v xml:space="preserve"> </v>
      </c>
      <c r="AA110" s="33" t="str">
        <f>IF(OR(ISBLANK(Y110), ISBLANK(Z110)),"",CONCATENATE(" ",VLOOKUP(Z110,Literatuur!$A:$B,2,FALSE)," "))</f>
        <v/>
      </c>
      <c r="AC110" s="36" t="str">
        <f t="shared" ref="AC110:AC141" si="81">IF(ISBLANK(AB110)," ","Vonk 1985")</f>
        <v xml:space="preserve"> </v>
      </c>
      <c r="AD110" s="33" t="str">
        <f>IF(OR(ISBLANK(AB110), ISBLANK(AC110)),"",CONCATENATE(" ",VLOOKUP(AC110,Literatuur!$A:$B,2,FALSE)," "))</f>
        <v/>
      </c>
      <c r="AE110" s="365">
        <v>0.14634667221916345</v>
      </c>
      <c r="AF110" s="33" t="s">
        <v>1557</v>
      </c>
      <c r="AG110" s="33" t="str">
        <f>IF(OR(ISBLANK(AE110), ISBLANK(AF110)),"",CONCATENATE(" ",VLOOKUP(AF110,Literatuur!$A:$B,2,FALSE)," "))</f>
        <v xml:space="preserve"> 17 </v>
      </c>
      <c r="AJ110" s="44" t="str">
        <f t="shared" ref="AJ110:AJ141" si="82">IF(ISBLANK(AI110)," ","Sanscrit")</f>
        <v xml:space="preserve"> </v>
      </c>
      <c r="AK110" s="33" t="str">
        <f>IF(OR(ISBLANK(AI110), ISBLANK(AJ110)),"",CONCATENATE(" ",VLOOKUP(AJ110,Literatuur!$A:$B,2,FALSE)," "))</f>
        <v/>
      </c>
      <c r="AM110" s="44" t="str">
        <f t="shared" ref="AM110:AM141" si="83">IF(ISBLANK(AL110)," ","Gestis")</f>
        <v xml:space="preserve"> </v>
      </c>
      <c r="AN110" s="33" t="str">
        <f>IF(OR(ISBLANK(AL110), ISBLANK(AM110)),"",CONCATENATE(" ",VLOOKUP(AM110,Literatuur!$A:$B,2,FALSE)," "))</f>
        <v/>
      </c>
      <c r="AP110" s="44" t="str">
        <f t="shared" ref="AP110:AP141" si="84">IF(ISBLANK(AO110)," ","US EPA suite")</f>
        <v xml:space="preserve"> </v>
      </c>
      <c r="AQ110" s="33" t="str">
        <f>IF(OR(ISBLANK(AO110), ISBLANK(AP110)),"",CONCATENATE(" ",VLOOKUP(AP110,Literatuur!$A:$B,2,FALSE)," "))</f>
        <v/>
      </c>
      <c r="AS110"/>
      <c r="AT110" s="33" t="str">
        <f>IF(OR(ISBLANK(AR110), ISBLANK(AS110)),"",CONCATENATE(" ",VLOOKUP(AS110,Literatuur!$A:$B,2,FALSE)," "))</f>
        <v/>
      </c>
      <c r="AU110">
        <v>292</v>
      </c>
      <c r="AV110" s="33" t="s">
        <v>1557</v>
      </c>
      <c r="AW110" s="33" t="str">
        <f>IF(OR(ISBLANK(AU110), ISBLANK(AV110)),"",CONCATENATE(" ",VLOOKUP(AV110,Literatuur!$A:$B,2,FALSE)," "))</f>
        <v xml:space="preserve"> 17 </v>
      </c>
      <c r="AZ110" s="44" t="str">
        <f t="shared" ref="AZ110:AZ141" si="85">IF(ISBLANK(AY110)," ","Sanscrit")</f>
        <v xml:space="preserve"> </v>
      </c>
      <c r="BA110" s="33" t="str">
        <f>IF(OR(ISBLANK(AY110), ISBLANK(AZ110)),"",CONCATENATE(" ",VLOOKUP(AZ110,Literatuur!$A:$B,2,FALSE)," "))</f>
        <v/>
      </c>
      <c r="BC110" s="44" t="str">
        <f t="shared" ref="BC110:BC141" si="86">IF(ISBLANK(BB110)," ","Gestis")</f>
        <v xml:space="preserve"> </v>
      </c>
      <c r="BD110" s="33" t="str">
        <f>IF(OR(ISBLANK(BB110), ISBLANK(BC110)),"",CONCATENATE(" ",VLOOKUP(BC110,Literatuur!$A:$B,2,FALSE)," "))</f>
        <v/>
      </c>
      <c r="BF110" s="44" t="str">
        <f t="shared" ref="BF110:BF141" si="87">IF(ISBLANK(BE110)," ","US EPA 1995")</f>
        <v xml:space="preserve"> </v>
      </c>
      <c r="BG110" s="33" t="str">
        <f>IF(OR(ISBLANK(BE110), ISBLANK(BF110)),"",CONCATENATE(" ",VLOOKUP(BF110,Literatuur!$A:$B,2,FALSE)," "))</f>
        <v/>
      </c>
      <c r="BI110" s="44" t="str">
        <f t="shared" ref="BI110:BI141" si="88">IF(ISBLANK(BH110)," ","US EPA suite")</f>
        <v xml:space="preserve"> </v>
      </c>
      <c r="BJ110" s="33" t="str">
        <f>IF(OR(ISBLANK(BH110), ISBLANK(BI110)),"",CONCATENATE(" ",VLOOKUP(BI110,Literatuur!$A:$B,2,FALSE)," "))</f>
        <v/>
      </c>
      <c r="BL110" s="44" t="str">
        <f t="shared" ref="BL110:BL141" si="89">IF(ISBLANK(BK110)," ","Sangster 1989")</f>
        <v xml:space="preserve"> </v>
      </c>
      <c r="BM110" s="33" t="str">
        <f>IF(OR(ISBLANK(BK110), ISBLANK(BL110)),"",CONCATENATE(" ",VLOOKUP(BL110,Literatuur!$A:$B,2,FALSE)," "))</f>
        <v/>
      </c>
      <c r="BN110">
        <v>5.9</v>
      </c>
      <c r="BO110" s="4" t="s">
        <v>1666</v>
      </c>
      <c r="BP110" s="33" t="str">
        <f>IF(OR(ISBLANK(BN110), ISBLANK(BO110)),"",CONCATENATE(" ",VLOOKUP(BO110,Literatuur!$A:$B,2,FALSE)," "))</f>
        <v xml:space="preserve"> NA </v>
      </c>
      <c r="BQ110"/>
      <c r="BR110"/>
      <c r="BS110" s="33" t="str">
        <f>IF(OR(ISBLANK(BQ110), ISBLANK(BR110)),"",CONCATENATE(" ",VLOOKUP(BR110,Literatuur!$A:$B,2,FALSE)," "))</f>
        <v/>
      </c>
      <c r="BT110">
        <v>5.9</v>
      </c>
      <c r="BU110" s="33" t="s">
        <v>1557</v>
      </c>
      <c r="BV110" s="33" t="str">
        <f>IF(OR(ISBLANK(BT110), ISBLANK(BU110)),"",CONCATENATE(" ",VLOOKUP(BU110,Literatuur!$A:$B,2,FALSE)," "))</f>
        <v xml:space="preserve"> 17 </v>
      </c>
      <c r="BX110" s="33">
        <v>292</v>
      </c>
      <c r="BZ110" s="339">
        <v>223.5</v>
      </c>
      <c r="CB110" s="33" t="s">
        <v>1557</v>
      </c>
      <c r="CC110" s="33" t="s">
        <v>1736</v>
      </c>
      <c r="CD110" s="33">
        <f>L110</f>
        <v>292</v>
      </c>
      <c r="CG110" s="33">
        <f t="shared" si="72"/>
        <v>-0.83461714855158187</v>
      </c>
      <c r="CR110" s="33" t="str">
        <f t="shared" si="62"/>
        <v>PCB 47</v>
      </c>
      <c r="CS110" s="33" t="str">
        <f t="shared" si="63"/>
        <v>PCB</v>
      </c>
      <c r="CT110" s="33">
        <f t="shared" si="64"/>
        <v>292</v>
      </c>
      <c r="CU110" s="33" t="str">
        <f t="shared" si="65"/>
        <v xml:space="preserve"> 17 </v>
      </c>
      <c r="CV110" s="33">
        <f t="shared" si="66"/>
        <v>0.14634667221916345</v>
      </c>
      <c r="CW110" s="33" t="str">
        <f t="shared" si="67"/>
        <v xml:space="preserve"> 17 </v>
      </c>
      <c r="CX110" s="33">
        <f t="shared" si="68"/>
        <v>5.9</v>
      </c>
      <c r="CY110" s="33" t="str">
        <f t="shared" si="69"/>
        <v xml:space="preserve"> NA  17 </v>
      </c>
    </row>
    <row r="111" spans="1:103" ht="12.75" customHeight="1" x14ac:dyDescent="0.2">
      <c r="A111"/>
      <c r="B111">
        <v>-1712</v>
      </c>
      <c r="C111"/>
      <c r="D111" t="s">
        <v>987</v>
      </c>
      <c r="E111" t="s">
        <v>987</v>
      </c>
      <c r="F111" s="34"/>
      <c r="I111" s="33">
        <f t="shared" si="74"/>
        <v>292</v>
      </c>
      <c r="J111" s="33">
        <f t="shared" si="70"/>
        <v>0.14634667221916345</v>
      </c>
      <c r="K111" s="44">
        <f t="shared" si="75"/>
        <v>5.9</v>
      </c>
      <c r="L111" s="33">
        <f t="shared" si="76"/>
        <v>292</v>
      </c>
      <c r="M111" s="33" t="s">
        <v>1552</v>
      </c>
      <c r="Q111" s="44" t="str">
        <f t="shared" si="77"/>
        <v xml:space="preserve"> </v>
      </c>
      <c r="R111" s="33" t="str">
        <f>IF(OR(ISBLANK(P111), ISBLANK(Q111)),"",CONCATENATE(" ",VLOOKUP(Q111,Literatuur!$A:$B,2,FALSE)," "))</f>
        <v/>
      </c>
      <c r="T111" s="44" t="str">
        <f t="shared" si="78"/>
        <v xml:space="preserve"> </v>
      </c>
      <c r="U111" s="33" t="str">
        <f>IF(OR(ISBLANK(S111), ISBLANK(T111)),"",CONCATENATE(" ",VLOOKUP(T111,Literatuur!$A:$B,2,FALSE)," "))</f>
        <v/>
      </c>
      <c r="W111" s="44" t="str">
        <f t="shared" si="79"/>
        <v xml:space="preserve"> </v>
      </c>
      <c r="X111" s="33" t="str">
        <f>IF(OR(ISBLANK(V111), ISBLANK(W111)),"",CONCATENATE(" ",VLOOKUP(W111,Literatuur!$A:$B,2,FALSE)," "))</f>
        <v/>
      </c>
      <c r="Z111" s="44" t="str">
        <f t="shared" si="80"/>
        <v xml:space="preserve"> </v>
      </c>
      <c r="AA111" s="33" t="str">
        <f>IF(OR(ISBLANK(Y111), ISBLANK(Z111)),"",CONCATENATE(" ",VLOOKUP(Z111,Literatuur!$A:$B,2,FALSE)," "))</f>
        <v/>
      </c>
      <c r="AC111" s="36" t="str">
        <f t="shared" si="81"/>
        <v xml:space="preserve"> </v>
      </c>
      <c r="AD111" s="33" t="str">
        <f>IF(OR(ISBLANK(AB111), ISBLANK(AC111)),"",CONCATENATE(" ",VLOOKUP(AC111,Literatuur!$A:$B,2,FALSE)," "))</f>
        <v/>
      </c>
      <c r="AE111" s="365">
        <v>0.14634667221916345</v>
      </c>
      <c r="AF111" s="33" t="s">
        <v>1557</v>
      </c>
      <c r="AG111" s="33" t="str">
        <f>IF(OR(ISBLANK(AE111), ISBLANK(AF111)),"",CONCATENATE(" ",VLOOKUP(AF111,Literatuur!$A:$B,2,FALSE)," "))</f>
        <v xml:space="preserve"> 17 </v>
      </c>
      <c r="AJ111" s="44" t="str">
        <f t="shared" si="82"/>
        <v xml:space="preserve"> </v>
      </c>
      <c r="AK111" s="33" t="str">
        <f>IF(OR(ISBLANK(AI111), ISBLANK(AJ111)),"",CONCATENATE(" ",VLOOKUP(AJ111,Literatuur!$A:$B,2,FALSE)," "))</f>
        <v/>
      </c>
      <c r="AM111" s="44" t="str">
        <f t="shared" si="83"/>
        <v xml:space="preserve"> </v>
      </c>
      <c r="AN111" s="33" t="str">
        <f>IF(OR(ISBLANK(AL111), ISBLANK(AM111)),"",CONCATENATE(" ",VLOOKUP(AM111,Literatuur!$A:$B,2,FALSE)," "))</f>
        <v/>
      </c>
      <c r="AP111" s="44" t="str">
        <f t="shared" si="84"/>
        <v xml:space="preserve"> </v>
      </c>
      <c r="AQ111" s="33" t="str">
        <f>IF(OR(ISBLANK(AO111), ISBLANK(AP111)),"",CONCATENATE(" ",VLOOKUP(AP111,Literatuur!$A:$B,2,FALSE)," "))</f>
        <v/>
      </c>
      <c r="AS111"/>
      <c r="AT111" s="33" t="str">
        <f>IF(OR(ISBLANK(AR111), ISBLANK(AS111)),"",CONCATENATE(" ",VLOOKUP(AS111,Literatuur!$A:$B,2,FALSE)," "))</f>
        <v/>
      </c>
      <c r="AU111">
        <v>292</v>
      </c>
      <c r="AV111" s="33" t="s">
        <v>1557</v>
      </c>
      <c r="AW111" s="33" t="str">
        <f>IF(OR(ISBLANK(AU111), ISBLANK(AV111)),"",CONCATENATE(" ",VLOOKUP(AV111,Literatuur!$A:$B,2,FALSE)," "))</f>
        <v xml:space="preserve"> 17 </v>
      </c>
      <c r="AZ111" s="44" t="str">
        <f t="shared" si="85"/>
        <v xml:space="preserve"> </v>
      </c>
      <c r="BA111" s="33" t="str">
        <f>IF(OR(ISBLANK(AY111), ISBLANK(AZ111)),"",CONCATENATE(" ",VLOOKUP(AZ111,Literatuur!$A:$B,2,FALSE)," "))</f>
        <v/>
      </c>
      <c r="BC111" s="44" t="str">
        <f t="shared" si="86"/>
        <v xml:space="preserve"> </v>
      </c>
      <c r="BD111" s="33" t="str">
        <f>IF(OR(ISBLANK(BB111), ISBLANK(BC111)),"",CONCATENATE(" ",VLOOKUP(BC111,Literatuur!$A:$B,2,FALSE)," "))</f>
        <v/>
      </c>
      <c r="BF111" s="44" t="str">
        <f t="shared" si="87"/>
        <v xml:space="preserve"> </v>
      </c>
      <c r="BG111" s="33" t="str">
        <f>IF(OR(ISBLANK(BE111), ISBLANK(BF111)),"",CONCATENATE(" ",VLOOKUP(BF111,Literatuur!$A:$B,2,FALSE)," "))</f>
        <v/>
      </c>
      <c r="BI111" s="44" t="str">
        <f t="shared" si="88"/>
        <v xml:space="preserve"> </v>
      </c>
      <c r="BJ111" s="33" t="str">
        <f>IF(OR(ISBLANK(BH111), ISBLANK(BI111)),"",CONCATENATE(" ",VLOOKUP(BI111,Literatuur!$A:$B,2,FALSE)," "))</f>
        <v/>
      </c>
      <c r="BL111" s="44" t="str">
        <f t="shared" si="89"/>
        <v xml:space="preserve"> </v>
      </c>
      <c r="BM111" s="33" t="str">
        <f>IF(OR(ISBLANK(BK111), ISBLANK(BL111)),"",CONCATENATE(" ",VLOOKUP(BL111,Literatuur!$A:$B,2,FALSE)," "))</f>
        <v/>
      </c>
      <c r="BN111">
        <v>5.9</v>
      </c>
      <c r="BO111" s="4" t="s">
        <v>1666</v>
      </c>
      <c r="BP111" s="33" t="str">
        <f>IF(OR(ISBLANK(BN111), ISBLANK(BO111)),"",CONCATENATE(" ",VLOOKUP(BO111,Literatuur!$A:$B,2,FALSE)," "))</f>
        <v xml:space="preserve"> NA </v>
      </c>
      <c r="BQ111"/>
      <c r="BR111"/>
      <c r="BS111" s="33" t="str">
        <f>IF(OR(ISBLANK(BQ111), ISBLANK(BR111)),"",CONCATENATE(" ",VLOOKUP(BR111,Literatuur!$A:$B,2,FALSE)," "))</f>
        <v/>
      </c>
      <c r="BT111">
        <v>5.9</v>
      </c>
      <c r="BU111" s="33" t="s">
        <v>1557</v>
      </c>
      <c r="BV111" s="33" t="str">
        <f>IF(OR(ISBLANK(BT111), ISBLANK(BU111)),"",CONCATENATE(" ",VLOOKUP(BU111,Literatuur!$A:$B,2,FALSE)," "))</f>
        <v xml:space="preserve"> 17 </v>
      </c>
      <c r="BX111" s="33">
        <v>292</v>
      </c>
      <c r="BZ111" s="339">
        <v>224</v>
      </c>
      <c r="CB111" s="33" t="s">
        <v>1557</v>
      </c>
      <c r="CC111" s="33" t="s">
        <v>1736</v>
      </c>
      <c r="CD111" s="33">
        <f>L111</f>
        <v>292</v>
      </c>
      <c r="CG111" s="33">
        <f t="shared" si="72"/>
        <v>-0.83461714855158187</v>
      </c>
      <c r="CR111" s="33" t="str">
        <f t="shared" si="62"/>
        <v>PCB 49</v>
      </c>
      <c r="CS111" s="33" t="str">
        <f t="shared" si="63"/>
        <v>PCB</v>
      </c>
      <c r="CT111" s="33">
        <f t="shared" si="64"/>
        <v>292</v>
      </c>
      <c r="CU111" s="33" t="str">
        <f t="shared" si="65"/>
        <v xml:space="preserve"> 17 </v>
      </c>
      <c r="CV111" s="33">
        <f t="shared" si="66"/>
        <v>0.14634667221916345</v>
      </c>
      <c r="CW111" s="33" t="str">
        <f t="shared" si="67"/>
        <v xml:space="preserve"> 17 </v>
      </c>
      <c r="CX111" s="33">
        <f t="shared" si="68"/>
        <v>5.9</v>
      </c>
      <c r="CY111" s="33" t="str">
        <f t="shared" si="69"/>
        <v xml:space="preserve"> NA  17 </v>
      </c>
    </row>
    <row r="112" spans="1:103" ht="12.75" customHeight="1" x14ac:dyDescent="0.2">
      <c r="A112"/>
      <c r="B112">
        <v>-1713</v>
      </c>
      <c r="C112"/>
      <c r="D112" t="s">
        <v>988</v>
      </c>
      <c r="E112" t="s">
        <v>988</v>
      </c>
      <c r="F112" s="34"/>
      <c r="I112" s="33">
        <f t="shared" si="74"/>
        <v>292</v>
      </c>
      <c r="J112" s="33">
        <f t="shared" si="70"/>
        <v>0.29199999999999998</v>
      </c>
      <c r="K112" s="44">
        <f t="shared" si="75"/>
        <v>5.65</v>
      </c>
      <c r="L112" s="33">
        <f t="shared" si="76"/>
        <v>292</v>
      </c>
      <c r="M112" s="33" t="s">
        <v>1552</v>
      </c>
      <c r="Q112" s="44" t="str">
        <f t="shared" si="77"/>
        <v xml:space="preserve"> </v>
      </c>
      <c r="R112" s="33" t="str">
        <f>IF(OR(ISBLANK(P112), ISBLANK(Q112)),"",CONCATENATE(" ",VLOOKUP(Q112,Literatuur!$A:$B,2,FALSE)," "))</f>
        <v/>
      </c>
      <c r="T112" s="44" t="str">
        <f t="shared" si="78"/>
        <v xml:space="preserve"> </v>
      </c>
      <c r="U112" s="33" t="str">
        <f>IF(OR(ISBLANK(S112), ISBLANK(T112)),"",CONCATENATE(" ",VLOOKUP(T112,Literatuur!$A:$B,2,FALSE)," "))</f>
        <v/>
      </c>
      <c r="W112" s="44" t="str">
        <f t="shared" si="79"/>
        <v xml:space="preserve"> </v>
      </c>
      <c r="X112" s="33" t="str">
        <f>IF(OR(ISBLANK(V112), ISBLANK(W112)),"",CONCATENATE(" ",VLOOKUP(W112,Literatuur!$A:$B,2,FALSE)," "))</f>
        <v/>
      </c>
      <c r="Z112" s="44" t="str">
        <f t="shared" si="80"/>
        <v xml:space="preserve"> </v>
      </c>
      <c r="AA112" s="33" t="str">
        <f>IF(OR(ISBLANK(Y112), ISBLANK(Z112)),"",CONCATENATE(" ",VLOOKUP(Z112,Literatuur!$A:$B,2,FALSE)," "))</f>
        <v/>
      </c>
      <c r="AC112" s="36" t="str">
        <f t="shared" si="81"/>
        <v xml:space="preserve"> </v>
      </c>
      <c r="AD112" s="33" t="str">
        <f>IF(OR(ISBLANK(AB112), ISBLANK(AC112)),"",CONCATENATE(" ",VLOOKUP(AC112,Literatuur!$A:$B,2,FALSE)," "))</f>
        <v/>
      </c>
      <c r="AE112" s="365">
        <v>0.29199999999999998</v>
      </c>
      <c r="AF112" s="33" t="s">
        <v>1557</v>
      </c>
      <c r="AG112" s="33" t="str">
        <f>IF(OR(ISBLANK(AE112), ISBLANK(AF112)),"",CONCATENATE(" ",VLOOKUP(AF112,Literatuur!$A:$B,2,FALSE)," "))</f>
        <v xml:space="preserve"> 17 </v>
      </c>
      <c r="AJ112" s="44" t="str">
        <f t="shared" si="82"/>
        <v xml:space="preserve"> </v>
      </c>
      <c r="AK112" s="33" t="str">
        <f>IF(OR(ISBLANK(AI112), ISBLANK(AJ112)),"",CONCATENATE(" ",VLOOKUP(AJ112,Literatuur!$A:$B,2,FALSE)," "))</f>
        <v/>
      </c>
      <c r="AM112" s="44" t="str">
        <f t="shared" si="83"/>
        <v xml:space="preserve"> </v>
      </c>
      <c r="AN112" s="33" t="str">
        <f>IF(OR(ISBLANK(AL112), ISBLANK(AM112)),"",CONCATENATE(" ",VLOOKUP(AM112,Literatuur!$A:$B,2,FALSE)," "))</f>
        <v/>
      </c>
      <c r="AP112" s="44" t="str">
        <f t="shared" si="84"/>
        <v xml:space="preserve"> </v>
      </c>
      <c r="AQ112" s="33" t="str">
        <f>IF(OR(ISBLANK(AO112), ISBLANK(AP112)),"",CONCATENATE(" ",VLOOKUP(AP112,Literatuur!$A:$B,2,FALSE)," "))</f>
        <v/>
      </c>
      <c r="AS112"/>
      <c r="AT112" s="33" t="str">
        <f>IF(OR(ISBLANK(AR112), ISBLANK(AS112)),"",CONCATENATE(" ",VLOOKUP(AS112,Literatuur!$A:$B,2,FALSE)," "))</f>
        <v/>
      </c>
      <c r="AU112">
        <v>292</v>
      </c>
      <c r="AV112" s="33" t="s">
        <v>1557</v>
      </c>
      <c r="AW112" s="33" t="str">
        <f>IF(OR(ISBLANK(AU112), ISBLANK(AV112)),"",CONCATENATE(" ",VLOOKUP(AV112,Literatuur!$A:$B,2,FALSE)," "))</f>
        <v xml:space="preserve"> 17 </v>
      </c>
      <c r="AZ112" s="44" t="str">
        <f t="shared" si="85"/>
        <v xml:space="preserve"> </v>
      </c>
      <c r="BA112" s="33" t="str">
        <f>IF(OR(ISBLANK(AY112), ISBLANK(AZ112)),"",CONCATENATE(" ",VLOOKUP(AZ112,Literatuur!$A:$B,2,FALSE)," "))</f>
        <v/>
      </c>
      <c r="BC112" s="44" t="str">
        <f t="shared" si="86"/>
        <v xml:space="preserve"> </v>
      </c>
      <c r="BD112" s="33" t="str">
        <f>IF(OR(ISBLANK(BB112), ISBLANK(BC112)),"",CONCATENATE(" ",VLOOKUP(BC112,Literatuur!$A:$B,2,FALSE)," "))</f>
        <v/>
      </c>
      <c r="BF112" s="44" t="str">
        <f t="shared" si="87"/>
        <v xml:space="preserve"> </v>
      </c>
      <c r="BG112" s="33" t="str">
        <f>IF(OR(ISBLANK(BE112), ISBLANK(BF112)),"",CONCATENATE(" ",VLOOKUP(BF112,Literatuur!$A:$B,2,FALSE)," "))</f>
        <v/>
      </c>
      <c r="BI112" s="44" t="str">
        <f t="shared" si="88"/>
        <v xml:space="preserve"> </v>
      </c>
      <c r="BJ112" s="33" t="str">
        <f>IF(OR(ISBLANK(BH112), ISBLANK(BI112)),"",CONCATENATE(" ",VLOOKUP(BI112,Literatuur!$A:$B,2,FALSE)," "))</f>
        <v/>
      </c>
      <c r="BL112" s="44" t="str">
        <f t="shared" si="89"/>
        <v xml:space="preserve"> </v>
      </c>
      <c r="BM112" s="33" t="str">
        <f>IF(OR(ISBLANK(BK112), ISBLANK(BL112)),"",CONCATENATE(" ",VLOOKUP(BL112,Literatuur!$A:$B,2,FALSE)," "))</f>
        <v/>
      </c>
      <c r="BN112">
        <v>5.7</v>
      </c>
      <c r="BO112" s="4" t="s">
        <v>1666</v>
      </c>
      <c r="BP112" s="33" t="str">
        <f>IF(OR(ISBLANK(BN112), ISBLANK(BO112)),"",CONCATENATE(" ",VLOOKUP(BO112,Literatuur!$A:$B,2,FALSE)," "))</f>
        <v xml:space="preserve"> NA </v>
      </c>
      <c r="BQ112"/>
      <c r="BR112"/>
      <c r="BS112" s="33" t="str">
        <f>IF(OR(ISBLANK(BQ112), ISBLANK(BR112)),"",CONCATENATE(" ",VLOOKUP(BR112,Literatuur!$A:$B,2,FALSE)," "))</f>
        <v/>
      </c>
      <c r="BT112">
        <v>5.6</v>
      </c>
      <c r="BU112" s="33" t="s">
        <v>1557</v>
      </c>
      <c r="BV112" s="33" t="str">
        <f>IF(OR(ISBLANK(BT112), ISBLANK(BU112)),"",CONCATENATE(" ",VLOOKUP(BU112,Literatuur!$A:$B,2,FALSE)," "))</f>
        <v xml:space="preserve"> 17 </v>
      </c>
      <c r="BX112" s="33">
        <v>292</v>
      </c>
      <c r="BZ112" s="339">
        <v>235.4</v>
      </c>
      <c r="CB112" s="33" t="s">
        <v>1557</v>
      </c>
      <c r="CC112" s="33" t="s">
        <v>1736</v>
      </c>
      <c r="CD112" s="33">
        <f>L112</f>
        <v>292</v>
      </c>
      <c r="CG112" s="33">
        <f t="shared" si="72"/>
        <v>-0.53461714855158171</v>
      </c>
      <c r="CR112" s="33" t="str">
        <f t="shared" si="62"/>
        <v>PCB 50</v>
      </c>
      <c r="CS112" s="33" t="str">
        <f t="shared" si="63"/>
        <v>PCB</v>
      </c>
      <c r="CT112" s="33">
        <f t="shared" si="64"/>
        <v>292</v>
      </c>
      <c r="CU112" s="33" t="str">
        <f t="shared" si="65"/>
        <v xml:space="preserve"> 17 </v>
      </c>
      <c r="CV112" s="33">
        <f t="shared" si="66"/>
        <v>0.29199999999999998</v>
      </c>
      <c r="CW112" s="33" t="str">
        <f t="shared" si="67"/>
        <v xml:space="preserve"> 17 </v>
      </c>
      <c r="CX112" s="33">
        <f t="shared" si="68"/>
        <v>5.65</v>
      </c>
      <c r="CY112" s="33" t="str">
        <f t="shared" si="69"/>
        <v xml:space="preserve"> NA  17 </v>
      </c>
    </row>
    <row r="113" spans="1:103" ht="12.75" customHeight="1" x14ac:dyDescent="0.2">
      <c r="A113"/>
      <c r="B113">
        <v>-1714</v>
      </c>
      <c r="C113"/>
      <c r="D113" t="s">
        <v>989</v>
      </c>
      <c r="E113" t="s">
        <v>989</v>
      </c>
      <c r="F113" s="34"/>
      <c r="I113" s="33">
        <f t="shared" si="74"/>
        <v>292</v>
      </c>
      <c r="J113" s="33">
        <f t="shared" si="70"/>
        <v>0.11624729380162115</v>
      </c>
      <c r="K113" s="44">
        <f t="shared" si="75"/>
        <v>5.85</v>
      </c>
      <c r="L113" s="33" t="e">
        <f t="shared" si="76"/>
        <v>#DIV/0!</v>
      </c>
      <c r="M113" s="33" t="s">
        <v>1552</v>
      </c>
      <c r="Q113" s="44" t="str">
        <f t="shared" si="77"/>
        <v xml:space="preserve"> </v>
      </c>
      <c r="R113" s="33" t="str">
        <f>IF(OR(ISBLANK(P113), ISBLANK(Q113)),"",CONCATENATE(" ",VLOOKUP(Q113,Literatuur!$A:$B,2,FALSE)," "))</f>
        <v/>
      </c>
      <c r="T113" s="44" t="str">
        <f t="shared" si="78"/>
        <v xml:space="preserve"> </v>
      </c>
      <c r="U113" s="33" t="str">
        <f>IF(OR(ISBLANK(S113), ISBLANK(T113)),"",CONCATENATE(" ",VLOOKUP(T113,Literatuur!$A:$B,2,FALSE)," "))</f>
        <v/>
      </c>
      <c r="W113" s="44" t="str">
        <f t="shared" si="79"/>
        <v xml:space="preserve"> </v>
      </c>
      <c r="X113" s="33" t="str">
        <f>IF(OR(ISBLANK(V113), ISBLANK(W113)),"",CONCATENATE(" ",VLOOKUP(W113,Literatuur!$A:$B,2,FALSE)," "))</f>
        <v/>
      </c>
      <c r="Z113" s="44" t="str">
        <f t="shared" si="80"/>
        <v xml:space="preserve"> </v>
      </c>
      <c r="AA113" s="33" t="str">
        <f>IF(OR(ISBLANK(Y113), ISBLANK(Z113)),"",CONCATENATE(" ",VLOOKUP(Z113,Literatuur!$A:$B,2,FALSE)," "))</f>
        <v/>
      </c>
      <c r="AC113" s="36" t="str">
        <f t="shared" si="81"/>
        <v xml:space="preserve"> </v>
      </c>
      <c r="AD113" s="33" t="str">
        <f>IF(OR(ISBLANK(AB113), ISBLANK(AC113)),"",CONCATENATE(" ",VLOOKUP(AC113,Literatuur!$A:$B,2,FALSE)," "))</f>
        <v/>
      </c>
      <c r="AE113" s="365">
        <v>0.11624729380162115</v>
      </c>
      <c r="AF113" s="33" t="s">
        <v>1557</v>
      </c>
      <c r="AG113" s="33" t="str">
        <f>IF(OR(ISBLANK(AE113), ISBLANK(AF113)),"",CONCATENATE(" ",VLOOKUP(AF113,Literatuur!$A:$B,2,FALSE)," "))</f>
        <v xml:space="preserve"> 17 </v>
      </c>
      <c r="AJ113" s="44" t="str">
        <f t="shared" si="82"/>
        <v xml:space="preserve"> </v>
      </c>
      <c r="AK113" s="33" t="str">
        <f>IF(OR(ISBLANK(AI113), ISBLANK(AJ113)),"",CONCATENATE(" ",VLOOKUP(AJ113,Literatuur!$A:$B,2,FALSE)," "))</f>
        <v/>
      </c>
      <c r="AM113" s="44" t="str">
        <f t="shared" si="83"/>
        <v xml:space="preserve"> </v>
      </c>
      <c r="AN113" s="33" t="str">
        <f>IF(OR(ISBLANK(AL113), ISBLANK(AM113)),"",CONCATENATE(" ",VLOOKUP(AM113,Literatuur!$A:$B,2,FALSE)," "))</f>
        <v/>
      </c>
      <c r="AP113" s="44" t="str">
        <f t="shared" si="84"/>
        <v xml:space="preserve"> </v>
      </c>
      <c r="AQ113" s="33" t="str">
        <f>IF(OR(ISBLANK(AO113), ISBLANK(AP113)),"",CONCATENATE(" ",VLOOKUP(AP113,Literatuur!$A:$B,2,FALSE)," "))</f>
        <v/>
      </c>
      <c r="AS113"/>
      <c r="AT113" s="33" t="str">
        <f>IF(OR(ISBLANK(AR113), ISBLANK(AS113)),"",CONCATENATE(" ",VLOOKUP(AS113,Literatuur!$A:$B,2,FALSE)," "))</f>
        <v/>
      </c>
      <c r="AU113">
        <v>292</v>
      </c>
      <c r="AV113" s="33" t="s">
        <v>1557</v>
      </c>
      <c r="AW113" s="33" t="str">
        <f>IF(OR(ISBLANK(AU113), ISBLANK(AV113)),"",CONCATENATE(" ",VLOOKUP(AV113,Literatuur!$A:$B,2,FALSE)," "))</f>
        <v xml:space="preserve"> 17 </v>
      </c>
      <c r="AZ113" s="44" t="str">
        <f t="shared" si="85"/>
        <v xml:space="preserve"> </v>
      </c>
      <c r="BA113" s="33" t="str">
        <f>IF(OR(ISBLANK(AY113), ISBLANK(AZ113)),"",CONCATENATE(" ",VLOOKUP(AZ113,Literatuur!$A:$B,2,FALSE)," "))</f>
        <v/>
      </c>
      <c r="BC113" s="44" t="str">
        <f t="shared" si="86"/>
        <v xml:space="preserve"> </v>
      </c>
      <c r="BD113" s="33" t="str">
        <f>IF(OR(ISBLANK(BB113), ISBLANK(BC113)),"",CONCATENATE(" ",VLOOKUP(BC113,Literatuur!$A:$B,2,FALSE)," "))</f>
        <v/>
      </c>
      <c r="BF113" s="44" t="str">
        <f t="shared" si="87"/>
        <v xml:space="preserve"> </v>
      </c>
      <c r="BG113" s="33" t="str">
        <f>IF(OR(ISBLANK(BE113), ISBLANK(BF113)),"",CONCATENATE(" ",VLOOKUP(BF113,Literatuur!$A:$B,2,FALSE)," "))</f>
        <v/>
      </c>
      <c r="BI113" s="44" t="str">
        <f t="shared" si="88"/>
        <v xml:space="preserve"> </v>
      </c>
      <c r="BJ113" s="33" t="str">
        <f>IF(OR(ISBLANK(BH113), ISBLANK(BI113)),"",CONCATENATE(" ",VLOOKUP(BI113,Literatuur!$A:$B,2,FALSE)," "))</f>
        <v/>
      </c>
      <c r="BL113" s="44" t="str">
        <f t="shared" si="89"/>
        <v xml:space="preserve"> </v>
      </c>
      <c r="BM113" s="33" t="str">
        <f>IF(OR(ISBLANK(BK113), ISBLANK(BL113)),"",CONCATENATE(" ",VLOOKUP(BL113,Literatuur!$A:$B,2,FALSE)," "))</f>
        <v/>
      </c>
      <c r="BN113">
        <v>5.9</v>
      </c>
      <c r="BO113" s="4" t="s">
        <v>1666</v>
      </c>
      <c r="BP113" s="33" t="str">
        <f>IF(OR(ISBLANK(BN113), ISBLANK(BO113)),"",CONCATENATE(" ",VLOOKUP(BO113,Literatuur!$A:$B,2,FALSE)," "))</f>
        <v xml:space="preserve"> NA </v>
      </c>
      <c r="BQ113"/>
      <c r="BR113"/>
      <c r="BS113" s="33" t="str">
        <f>IF(OR(ISBLANK(BQ113), ISBLANK(BR113)),"",CONCATENATE(" ",VLOOKUP(BR113,Literatuur!$A:$B,2,FALSE)," "))</f>
        <v/>
      </c>
      <c r="BT113">
        <v>5.8</v>
      </c>
      <c r="BU113" s="33" t="s">
        <v>1557</v>
      </c>
      <c r="BV113" s="33" t="str">
        <f>IF(OR(ISBLANK(BT113), ISBLANK(BU113)),"",CONCATENATE(" ",VLOOKUP(BU113,Literatuur!$A:$B,2,FALSE)," "))</f>
        <v xml:space="preserve"> 17 </v>
      </c>
      <c r="BZ113" s="339">
        <v>188.1</v>
      </c>
      <c r="CB113" s="33" t="s">
        <v>1557</v>
      </c>
      <c r="CC113" s="33" t="s">
        <v>1736</v>
      </c>
      <c r="CG113" s="33">
        <f t="shared" si="72"/>
        <v>-0.93461714855158184</v>
      </c>
      <c r="CR113" s="33" t="str">
        <f t="shared" si="62"/>
        <v>PCB 52</v>
      </c>
      <c r="CS113" s="33" t="str">
        <f t="shared" si="63"/>
        <v>PCB</v>
      </c>
      <c r="CT113" s="33">
        <f t="shared" si="64"/>
        <v>292</v>
      </c>
      <c r="CU113" s="33" t="str">
        <f t="shared" si="65"/>
        <v xml:space="preserve"> 17 </v>
      </c>
      <c r="CV113" s="33">
        <f t="shared" si="66"/>
        <v>0.11624729380162115</v>
      </c>
      <c r="CW113" s="33" t="str">
        <f t="shared" si="67"/>
        <v xml:space="preserve"> 17 </v>
      </c>
      <c r="CX113" s="33">
        <f t="shared" si="68"/>
        <v>5.85</v>
      </c>
      <c r="CY113" s="33" t="str">
        <f t="shared" si="69"/>
        <v xml:space="preserve"> NA  17 </v>
      </c>
    </row>
    <row r="114" spans="1:103" ht="12.75" customHeight="1" x14ac:dyDescent="0.2">
      <c r="A114"/>
      <c r="B114">
        <v>-1715</v>
      </c>
      <c r="C114"/>
      <c r="D114" t="s">
        <v>990</v>
      </c>
      <c r="E114" t="s">
        <v>990</v>
      </c>
      <c r="F114" s="34"/>
      <c r="I114" s="33">
        <f t="shared" si="74"/>
        <v>292</v>
      </c>
      <c r="J114" s="33">
        <f t="shared" si="70"/>
        <v>7.3347083800079663E-2</v>
      </c>
      <c r="K114" s="44">
        <f t="shared" si="75"/>
        <v>6.15</v>
      </c>
      <c r="L114" s="33">
        <f t="shared" si="76"/>
        <v>292</v>
      </c>
      <c r="M114" s="33" t="s">
        <v>1552</v>
      </c>
      <c r="Q114" s="44" t="str">
        <f t="shared" si="77"/>
        <v xml:space="preserve"> </v>
      </c>
      <c r="R114" s="33" t="str">
        <f>IF(OR(ISBLANK(P114), ISBLANK(Q114)),"",CONCATENATE(" ",VLOOKUP(Q114,Literatuur!$A:$B,2,FALSE)," "))</f>
        <v/>
      </c>
      <c r="T114" s="44" t="str">
        <f t="shared" si="78"/>
        <v xml:space="preserve"> </v>
      </c>
      <c r="U114" s="33" t="str">
        <f>IF(OR(ISBLANK(S114), ISBLANK(T114)),"",CONCATENATE(" ",VLOOKUP(T114,Literatuur!$A:$B,2,FALSE)," "))</f>
        <v/>
      </c>
      <c r="W114" s="44" t="str">
        <f t="shared" si="79"/>
        <v xml:space="preserve"> </v>
      </c>
      <c r="X114" s="33" t="str">
        <f>IF(OR(ISBLANK(V114), ISBLANK(W114)),"",CONCATENATE(" ",VLOOKUP(W114,Literatuur!$A:$B,2,FALSE)," "))</f>
        <v/>
      </c>
      <c r="Z114" s="44" t="str">
        <f t="shared" si="80"/>
        <v xml:space="preserve"> </v>
      </c>
      <c r="AA114" s="33" t="str">
        <f>IF(OR(ISBLANK(Y114), ISBLANK(Z114)),"",CONCATENATE(" ",VLOOKUP(Z114,Literatuur!$A:$B,2,FALSE)," "))</f>
        <v/>
      </c>
      <c r="AC114" s="36" t="str">
        <f t="shared" si="81"/>
        <v xml:space="preserve"> </v>
      </c>
      <c r="AD114" s="33" t="str">
        <f>IF(OR(ISBLANK(AB114), ISBLANK(AC114)),"",CONCATENATE(" ",VLOOKUP(AC114,Literatuur!$A:$B,2,FALSE)," "))</f>
        <v/>
      </c>
      <c r="AE114" s="365">
        <v>7.3347083800079663E-2</v>
      </c>
      <c r="AF114" s="33" t="s">
        <v>1557</v>
      </c>
      <c r="AG114" s="33" t="str">
        <f>IF(OR(ISBLANK(AE114), ISBLANK(AF114)),"",CONCATENATE(" ",VLOOKUP(AF114,Literatuur!$A:$B,2,FALSE)," "))</f>
        <v xml:space="preserve"> 17 </v>
      </c>
      <c r="AJ114" s="44" t="str">
        <f t="shared" si="82"/>
        <v xml:space="preserve"> </v>
      </c>
      <c r="AK114" s="33" t="str">
        <f>IF(OR(ISBLANK(AI114), ISBLANK(AJ114)),"",CONCATENATE(" ",VLOOKUP(AJ114,Literatuur!$A:$B,2,FALSE)," "))</f>
        <v/>
      </c>
      <c r="AM114" s="44" t="str">
        <f t="shared" si="83"/>
        <v xml:space="preserve"> </v>
      </c>
      <c r="AN114" s="33" t="str">
        <f>IF(OR(ISBLANK(AL114), ISBLANK(AM114)),"",CONCATENATE(" ",VLOOKUP(AM114,Literatuur!$A:$B,2,FALSE)," "))</f>
        <v/>
      </c>
      <c r="AP114" s="44" t="str">
        <f t="shared" si="84"/>
        <v xml:space="preserve"> </v>
      </c>
      <c r="AQ114" s="33" t="str">
        <f>IF(OR(ISBLANK(AO114), ISBLANK(AP114)),"",CONCATENATE(" ",VLOOKUP(AP114,Literatuur!$A:$B,2,FALSE)," "))</f>
        <v/>
      </c>
      <c r="AS114"/>
      <c r="AT114" s="33" t="str">
        <f>IF(OR(ISBLANK(AR114), ISBLANK(AS114)),"",CONCATENATE(" ",VLOOKUP(AS114,Literatuur!$A:$B,2,FALSE)," "))</f>
        <v/>
      </c>
      <c r="AU114">
        <v>292</v>
      </c>
      <c r="AV114" s="33" t="s">
        <v>1557</v>
      </c>
      <c r="AW114" s="33" t="str">
        <f>IF(OR(ISBLANK(AU114), ISBLANK(AV114)),"",CONCATENATE(" ",VLOOKUP(AV114,Literatuur!$A:$B,2,FALSE)," "))</f>
        <v xml:space="preserve"> 17 </v>
      </c>
      <c r="AZ114" s="44" t="str">
        <f t="shared" si="85"/>
        <v xml:space="preserve"> </v>
      </c>
      <c r="BA114" s="33" t="str">
        <f>IF(OR(ISBLANK(AY114), ISBLANK(AZ114)),"",CONCATENATE(" ",VLOOKUP(AZ114,Literatuur!$A:$B,2,FALSE)," "))</f>
        <v/>
      </c>
      <c r="BC114" s="44" t="str">
        <f t="shared" si="86"/>
        <v xml:space="preserve"> </v>
      </c>
      <c r="BD114" s="33" t="str">
        <f>IF(OR(ISBLANK(BB114), ISBLANK(BC114)),"",CONCATENATE(" ",VLOOKUP(BC114,Literatuur!$A:$B,2,FALSE)," "))</f>
        <v/>
      </c>
      <c r="BF114" s="44" t="str">
        <f t="shared" si="87"/>
        <v xml:space="preserve"> </v>
      </c>
      <c r="BG114" s="33" t="str">
        <f>IF(OR(ISBLANK(BE114), ISBLANK(BF114)),"",CONCATENATE(" ",VLOOKUP(BF114,Literatuur!$A:$B,2,FALSE)," "))</f>
        <v/>
      </c>
      <c r="BI114" s="44" t="str">
        <f t="shared" si="88"/>
        <v xml:space="preserve"> </v>
      </c>
      <c r="BJ114" s="33" t="str">
        <f>IF(OR(ISBLANK(BH114), ISBLANK(BI114)),"",CONCATENATE(" ",VLOOKUP(BI114,Literatuur!$A:$B,2,FALSE)," "))</f>
        <v/>
      </c>
      <c r="BL114" s="44" t="str">
        <f t="shared" si="89"/>
        <v xml:space="preserve"> </v>
      </c>
      <c r="BM114" s="33" t="str">
        <f>IF(OR(ISBLANK(BK114), ISBLANK(BL114)),"",CONCATENATE(" ",VLOOKUP(BL114,Literatuur!$A:$B,2,FALSE)," "))</f>
        <v/>
      </c>
      <c r="BN114">
        <v>6.2</v>
      </c>
      <c r="BO114" s="4" t="s">
        <v>1666</v>
      </c>
      <c r="BP114" s="33" t="str">
        <f>IF(OR(ISBLANK(BN114), ISBLANK(BO114)),"",CONCATENATE(" ",VLOOKUP(BO114,Literatuur!$A:$B,2,FALSE)," "))</f>
        <v xml:space="preserve"> NA </v>
      </c>
      <c r="BQ114"/>
      <c r="BR114"/>
      <c r="BS114" s="33" t="str">
        <f>IF(OR(ISBLANK(BQ114), ISBLANK(BR114)),"",CONCATENATE(" ",VLOOKUP(BR114,Literatuur!$A:$B,2,FALSE)," "))</f>
        <v/>
      </c>
      <c r="BT114">
        <v>6.1</v>
      </c>
      <c r="BU114" s="33" t="s">
        <v>1557</v>
      </c>
      <c r="BV114" s="33" t="str">
        <f>IF(OR(ISBLANK(BT114), ISBLANK(BU114)),"",CONCATENATE(" ",VLOOKUP(BU114,Literatuur!$A:$B,2,FALSE)," "))</f>
        <v xml:space="preserve"> 17 </v>
      </c>
      <c r="BX114" s="33">
        <v>292</v>
      </c>
      <c r="BZ114" s="339">
        <v>200.8</v>
      </c>
      <c r="CB114" s="33" t="s">
        <v>1557</v>
      </c>
      <c r="CC114" s="33" t="s">
        <v>1736</v>
      </c>
      <c r="CD114" s="33">
        <f>L114</f>
        <v>292</v>
      </c>
      <c r="CG114" s="33">
        <f t="shared" si="72"/>
        <v>-1.1346171485515821</v>
      </c>
      <c r="CR114" s="33" t="str">
        <f t="shared" si="62"/>
        <v>PCB 55</v>
      </c>
      <c r="CS114" s="33" t="str">
        <f t="shared" si="63"/>
        <v>PCB</v>
      </c>
      <c r="CT114" s="33">
        <f t="shared" si="64"/>
        <v>292</v>
      </c>
      <c r="CU114" s="33" t="str">
        <f t="shared" si="65"/>
        <v xml:space="preserve"> 17 </v>
      </c>
      <c r="CV114" s="33">
        <f t="shared" si="66"/>
        <v>7.3347083800079663E-2</v>
      </c>
      <c r="CW114" s="33" t="str">
        <f t="shared" si="67"/>
        <v xml:space="preserve"> 17 </v>
      </c>
      <c r="CX114" s="33">
        <f t="shared" si="68"/>
        <v>6.15</v>
      </c>
      <c r="CY114" s="33" t="str">
        <f t="shared" si="69"/>
        <v xml:space="preserve"> NA  17 </v>
      </c>
    </row>
    <row r="115" spans="1:103" ht="12.75" customHeight="1" x14ac:dyDescent="0.2">
      <c r="A115"/>
      <c r="B115">
        <v>-1717</v>
      </c>
      <c r="C115"/>
      <c r="D115" t="s">
        <v>992</v>
      </c>
      <c r="E115" t="s">
        <v>992</v>
      </c>
      <c r="F115" s="34"/>
      <c r="I115" s="33">
        <f t="shared" si="74"/>
        <v>292</v>
      </c>
      <c r="J115" s="33">
        <f t="shared" si="70"/>
        <v>5.8261659597091175E-2</v>
      </c>
      <c r="K115" s="44">
        <f t="shared" si="75"/>
        <v>6.25</v>
      </c>
      <c r="L115" s="33" t="e">
        <f t="shared" si="76"/>
        <v>#DIV/0!</v>
      </c>
      <c r="M115" s="33" t="s">
        <v>1552</v>
      </c>
      <c r="Q115" s="44" t="str">
        <f t="shared" si="77"/>
        <v xml:space="preserve"> </v>
      </c>
      <c r="R115" s="33" t="str">
        <f>IF(OR(ISBLANK(P115), ISBLANK(Q115)),"",CONCATENATE(" ",VLOOKUP(Q115,Literatuur!$A:$B,2,FALSE)," "))</f>
        <v/>
      </c>
      <c r="T115" s="44" t="str">
        <f t="shared" si="78"/>
        <v xml:space="preserve"> </v>
      </c>
      <c r="U115" s="33" t="str">
        <f>IF(OR(ISBLANK(S115), ISBLANK(T115)),"",CONCATENATE(" ",VLOOKUP(T115,Literatuur!$A:$B,2,FALSE)," "))</f>
        <v/>
      </c>
      <c r="W115" s="44" t="str">
        <f t="shared" si="79"/>
        <v xml:space="preserve"> </v>
      </c>
      <c r="X115" s="33" t="str">
        <f>IF(OR(ISBLANK(V115), ISBLANK(W115)),"",CONCATENATE(" ",VLOOKUP(W115,Literatuur!$A:$B,2,FALSE)," "))</f>
        <v/>
      </c>
      <c r="Z115" s="44" t="str">
        <f t="shared" si="80"/>
        <v xml:space="preserve"> </v>
      </c>
      <c r="AA115" s="33" t="str">
        <f>IF(OR(ISBLANK(Y115), ISBLANK(Z115)),"",CONCATENATE(" ",VLOOKUP(Z115,Literatuur!$A:$B,2,FALSE)," "))</f>
        <v/>
      </c>
      <c r="AC115" s="36" t="str">
        <f t="shared" si="81"/>
        <v xml:space="preserve"> </v>
      </c>
      <c r="AD115" s="33" t="str">
        <f>IF(OR(ISBLANK(AB115), ISBLANK(AC115)),"",CONCATENATE(" ",VLOOKUP(AC115,Literatuur!$A:$B,2,FALSE)," "))</f>
        <v/>
      </c>
      <c r="AE115" s="365">
        <v>5.8261659597091175E-2</v>
      </c>
      <c r="AF115" s="33" t="s">
        <v>1557</v>
      </c>
      <c r="AG115" s="33" t="str">
        <f>IF(OR(ISBLANK(AE115), ISBLANK(AF115)),"",CONCATENATE(" ",VLOOKUP(AF115,Literatuur!$A:$B,2,FALSE)," "))</f>
        <v xml:space="preserve"> 17 </v>
      </c>
      <c r="AJ115" s="44" t="str">
        <f t="shared" si="82"/>
        <v xml:space="preserve"> </v>
      </c>
      <c r="AK115" s="33" t="str">
        <f>IF(OR(ISBLANK(AI115), ISBLANK(AJ115)),"",CONCATENATE(" ",VLOOKUP(AJ115,Literatuur!$A:$B,2,FALSE)," "))</f>
        <v/>
      </c>
      <c r="AM115" s="44" t="str">
        <f t="shared" si="83"/>
        <v xml:space="preserve"> </v>
      </c>
      <c r="AN115" s="33" t="str">
        <f>IF(OR(ISBLANK(AL115), ISBLANK(AM115)),"",CONCATENATE(" ",VLOOKUP(AM115,Literatuur!$A:$B,2,FALSE)," "))</f>
        <v/>
      </c>
      <c r="AP115" s="44" t="str">
        <f t="shared" si="84"/>
        <v xml:space="preserve"> </v>
      </c>
      <c r="AQ115" s="33" t="str">
        <f>IF(OR(ISBLANK(AO115), ISBLANK(AP115)),"",CONCATENATE(" ",VLOOKUP(AP115,Literatuur!$A:$B,2,FALSE)," "))</f>
        <v/>
      </c>
      <c r="AS115"/>
      <c r="AT115" s="33" t="str">
        <f>IF(OR(ISBLANK(AR115), ISBLANK(AS115)),"",CONCATENATE(" ",VLOOKUP(AS115,Literatuur!$A:$B,2,FALSE)," "))</f>
        <v/>
      </c>
      <c r="AU115">
        <v>292</v>
      </c>
      <c r="AV115" s="33" t="s">
        <v>1557</v>
      </c>
      <c r="AW115" s="33" t="str">
        <f>IF(OR(ISBLANK(AU115), ISBLANK(AV115)),"",CONCATENATE(" ",VLOOKUP(AV115,Literatuur!$A:$B,2,FALSE)," "))</f>
        <v xml:space="preserve"> 17 </v>
      </c>
      <c r="AZ115" s="44" t="str">
        <f t="shared" si="85"/>
        <v xml:space="preserve"> </v>
      </c>
      <c r="BA115" s="33" t="str">
        <f>IF(OR(ISBLANK(AY115), ISBLANK(AZ115)),"",CONCATENATE(" ",VLOOKUP(AZ115,Literatuur!$A:$B,2,FALSE)," "))</f>
        <v/>
      </c>
      <c r="BC115" s="44" t="str">
        <f t="shared" si="86"/>
        <v xml:space="preserve"> </v>
      </c>
      <c r="BD115" s="33" t="str">
        <f>IF(OR(ISBLANK(BB115), ISBLANK(BC115)),"",CONCATENATE(" ",VLOOKUP(BC115,Literatuur!$A:$B,2,FALSE)," "))</f>
        <v/>
      </c>
      <c r="BF115" s="44" t="str">
        <f t="shared" si="87"/>
        <v xml:space="preserve"> </v>
      </c>
      <c r="BG115" s="33" t="str">
        <f>IF(OR(ISBLANK(BE115), ISBLANK(BF115)),"",CONCATENATE(" ",VLOOKUP(BF115,Literatuur!$A:$B,2,FALSE)," "))</f>
        <v/>
      </c>
      <c r="BI115" s="44" t="str">
        <f t="shared" si="88"/>
        <v xml:space="preserve"> </v>
      </c>
      <c r="BJ115" s="33" t="str">
        <f>IF(OR(ISBLANK(BH115), ISBLANK(BI115)),"",CONCATENATE(" ",VLOOKUP(BI115,Literatuur!$A:$B,2,FALSE)," "))</f>
        <v/>
      </c>
      <c r="BL115" s="44" t="str">
        <f t="shared" si="89"/>
        <v xml:space="preserve"> </v>
      </c>
      <c r="BM115" s="33" t="str">
        <f>IF(OR(ISBLANK(BK115), ISBLANK(BL115)),"",CONCATENATE(" ",VLOOKUP(BL115,Literatuur!$A:$B,2,FALSE)," "))</f>
        <v/>
      </c>
      <c r="BN115">
        <v>6.3</v>
      </c>
      <c r="BO115" s="4" t="s">
        <v>1666</v>
      </c>
      <c r="BP115" s="33" t="str">
        <f>IF(OR(ISBLANK(BN115), ISBLANK(BO115)),"",CONCATENATE(" ",VLOOKUP(BO115,Literatuur!$A:$B,2,FALSE)," "))</f>
        <v xml:space="preserve"> NA </v>
      </c>
      <c r="BQ115"/>
      <c r="BR115"/>
      <c r="BS115" s="33" t="str">
        <f>IF(OR(ISBLANK(BQ115), ISBLANK(BR115)),"",CONCATENATE(" ",VLOOKUP(BR115,Literatuur!$A:$B,2,FALSE)," "))</f>
        <v/>
      </c>
      <c r="BT115">
        <v>6.2</v>
      </c>
      <c r="BU115" s="33" t="s">
        <v>1557</v>
      </c>
      <c r="BV115" s="33" t="str">
        <f>IF(OR(ISBLANK(BT115), ISBLANK(BU115)),"",CONCATENATE(" ",VLOOKUP(BU115,Literatuur!$A:$B,2,FALSE)," "))</f>
        <v xml:space="preserve"> 17 </v>
      </c>
      <c r="BZ115" s="339">
        <v>176.4</v>
      </c>
      <c r="CB115" s="33" t="s">
        <v>1557</v>
      </c>
      <c r="CC115" s="33" t="s">
        <v>1736</v>
      </c>
      <c r="CG115" s="33">
        <f t="shared" si="72"/>
        <v>-1.2346171485515824</v>
      </c>
      <c r="CR115" s="33" t="str">
        <f t="shared" si="62"/>
        <v>PCB 66</v>
      </c>
      <c r="CS115" s="33" t="str">
        <f t="shared" si="63"/>
        <v>PCB</v>
      </c>
      <c r="CT115" s="33">
        <f t="shared" si="64"/>
        <v>292</v>
      </c>
      <c r="CU115" s="33" t="str">
        <f t="shared" si="65"/>
        <v xml:space="preserve"> 17 </v>
      </c>
      <c r="CV115" s="33">
        <f t="shared" si="66"/>
        <v>5.8261659597091175E-2</v>
      </c>
      <c r="CW115" s="33" t="str">
        <f t="shared" si="67"/>
        <v xml:space="preserve"> 17 </v>
      </c>
      <c r="CX115" s="33">
        <f t="shared" si="68"/>
        <v>6.25</v>
      </c>
      <c r="CY115" s="33" t="str">
        <f t="shared" si="69"/>
        <v xml:space="preserve"> NA  17 </v>
      </c>
    </row>
    <row r="116" spans="1:103" ht="12.75" customHeight="1" x14ac:dyDescent="0.2">
      <c r="A116"/>
      <c r="B116">
        <v>-1719</v>
      </c>
      <c r="C116"/>
      <c r="D116" t="s">
        <v>994</v>
      </c>
      <c r="E116" t="s">
        <v>994</v>
      </c>
      <c r="F116" s="34"/>
      <c r="I116" s="33">
        <f t="shared" si="74"/>
        <v>292</v>
      </c>
      <c r="J116" s="33">
        <f t="shared" si="70"/>
        <v>3.6760622024389684E-2</v>
      </c>
      <c r="K116" s="44">
        <f t="shared" si="75"/>
        <v>6.4</v>
      </c>
      <c r="L116" s="33">
        <f t="shared" si="76"/>
        <v>326.39999999999998</v>
      </c>
      <c r="M116" s="33" t="s">
        <v>1552</v>
      </c>
      <c r="Q116" s="44" t="str">
        <f t="shared" si="77"/>
        <v xml:space="preserve"> </v>
      </c>
      <c r="R116" s="33" t="str">
        <f>IF(OR(ISBLANK(P116), ISBLANK(Q116)),"",CONCATENATE(" ",VLOOKUP(Q116,Literatuur!$A:$B,2,FALSE)," "))</f>
        <v/>
      </c>
      <c r="T116" s="44" t="str">
        <f t="shared" si="78"/>
        <v xml:space="preserve"> </v>
      </c>
      <c r="U116" s="33" t="str">
        <f>IF(OR(ISBLANK(S116), ISBLANK(T116)),"",CONCATENATE(" ",VLOOKUP(T116,Literatuur!$A:$B,2,FALSE)," "))</f>
        <v/>
      </c>
      <c r="W116" s="44" t="str">
        <f t="shared" si="79"/>
        <v xml:space="preserve"> </v>
      </c>
      <c r="X116" s="33" t="str">
        <f>IF(OR(ISBLANK(V116), ISBLANK(W116)),"",CONCATENATE(" ",VLOOKUP(W116,Literatuur!$A:$B,2,FALSE)," "))</f>
        <v/>
      </c>
      <c r="Z116" s="44" t="str">
        <f t="shared" si="80"/>
        <v xml:space="preserve"> </v>
      </c>
      <c r="AA116" s="33" t="str">
        <f>IF(OR(ISBLANK(Y116), ISBLANK(Z116)),"",CONCATENATE(" ",VLOOKUP(Z116,Literatuur!$A:$B,2,FALSE)," "))</f>
        <v/>
      </c>
      <c r="AC116" s="36" t="str">
        <f t="shared" si="81"/>
        <v xml:space="preserve"> </v>
      </c>
      <c r="AD116" s="33" t="str">
        <f>IF(OR(ISBLANK(AB116), ISBLANK(AC116)),"",CONCATENATE(" ",VLOOKUP(AC116,Literatuur!$A:$B,2,FALSE)," "))</f>
        <v/>
      </c>
      <c r="AE116" s="365">
        <v>3.6760622024389684E-2</v>
      </c>
      <c r="AF116" s="33" t="s">
        <v>1557</v>
      </c>
      <c r="AG116" s="33" t="str">
        <f>IF(OR(ISBLANK(AE116), ISBLANK(AF116)),"",CONCATENATE(" ",VLOOKUP(AF116,Literatuur!$A:$B,2,FALSE)," "))</f>
        <v xml:space="preserve"> 17 </v>
      </c>
      <c r="AJ116" s="44" t="str">
        <f t="shared" si="82"/>
        <v xml:space="preserve"> </v>
      </c>
      <c r="AK116" s="33" t="str">
        <f>IF(OR(ISBLANK(AI116), ISBLANK(AJ116)),"",CONCATENATE(" ",VLOOKUP(AJ116,Literatuur!$A:$B,2,FALSE)," "))</f>
        <v/>
      </c>
      <c r="AM116" s="44" t="str">
        <f t="shared" si="83"/>
        <v xml:space="preserve"> </v>
      </c>
      <c r="AN116" s="33" t="str">
        <f>IF(OR(ISBLANK(AL116), ISBLANK(AM116)),"",CONCATENATE(" ",VLOOKUP(AM116,Literatuur!$A:$B,2,FALSE)," "))</f>
        <v/>
      </c>
      <c r="AP116" s="44" t="str">
        <f t="shared" si="84"/>
        <v xml:space="preserve"> </v>
      </c>
      <c r="AQ116" s="33" t="str">
        <f>IF(OR(ISBLANK(AO116), ISBLANK(AP116)),"",CONCATENATE(" ",VLOOKUP(AP116,Literatuur!$A:$B,2,FALSE)," "))</f>
        <v/>
      </c>
      <c r="AS116"/>
      <c r="AT116" s="33" t="str">
        <f>IF(OR(ISBLANK(AR116), ISBLANK(AS116)),"",CONCATENATE(" ",VLOOKUP(AS116,Literatuur!$A:$B,2,FALSE)," "))</f>
        <v/>
      </c>
      <c r="AU116">
        <v>292</v>
      </c>
      <c r="AV116" s="33" t="s">
        <v>1557</v>
      </c>
      <c r="AW116" s="33" t="str">
        <f>IF(OR(ISBLANK(AU116), ISBLANK(AV116)),"",CONCATENATE(" ",VLOOKUP(AV116,Literatuur!$A:$B,2,FALSE)," "))</f>
        <v xml:space="preserve"> 17 </v>
      </c>
      <c r="AZ116" s="44" t="str">
        <f t="shared" si="85"/>
        <v xml:space="preserve"> </v>
      </c>
      <c r="BA116" s="33" t="str">
        <f>IF(OR(ISBLANK(AY116), ISBLANK(AZ116)),"",CONCATENATE(" ",VLOOKUP(AZ116,Literatuur!$A:$B,2,FALSE)," "))</f>
        <v/>
      </c>
      <c r="BC116" s="44" t="str">
        <f t="shared" si="86"/>
        <v xml:space="preserve"> </v>
      </c>
      <c r="BD116" s="33" t="str">
        <f>IF(OR(ISBLANK(BB116), ISBLANK(BC116)),"",CONCATENATE(" ",VLOOKUP(BC116,Literatuur!$A:$B,2,FALSE)," "))</f>
        <v/>
      </c>
      <c r="BF116" s="44" t="str">
        <f t="shared" si="87"/>
        <v xml:space="preserve"> </v>
      </c>
      <c r="BG116" s="33" t="str">
        <f>IF(OR(ISBLANK(BE116), ISBLANK(BF116)),"",CONCATENATE(" ",VLOOKUP(BF116,Literatuur!$A:$B,2,FALSE)," "))</f>
        <v/>
      </c>
      <c r="BI116" s="44" t="str">
        <f t="shared" si="88"/>
        <v xml:space="preserve"> </v>
      </c>
      <c r="BJ116" s="33" t="str">
        <f>IF(OR(ISBLANK(BH116), ISBLANK(BI116)),"",CONCATENATE(" ",VLOOKUP(BI116,Literatuur!$A:$B,2,FALSE)," "))</f>
        <v/>
      </c>
      <c r="BL116" s="44" t="str">
        <f t="shared" si="89"/>
        <v xml:space="preserve"> </v>
      </c>
      <c r="BM116" s="33" t="str">
        <f>IF(OR(ISBLANK(BK116), ISBLANK(BL116)),"",CONCATENATE(" ",VLOOKUP(BL116,Literatuur!$A:$B,2,FALSE)," "))</f>
        <v/>
      </c>
      <c r="BN116">
        <v>6.4</v>
      </c>
      <c r="BO116" s="4" t="s">
        <v>1666</v>
      </c>
      <c r="BP116" s="33" t="str">
        <f>IF(OR(ISBLANK(BN116), ISBLANK(BO116)),"",CONCATENATE(" ",VLOOKUP(BO116,Literatuur!$A:$B,2,FALSE)," "))</f>
        <v xml:space="preserve"> NA </v>
      </c>
      <c r="BQ116"/>
      <c r="BR116"/>
      <c r="BS116" s="33" t="str">
        <f>IF(OR(ISBLANK(BQ116), ISBLANK(BR116)),"",CONCATENATE(" ",VLOOKUP(BR116,Literatuur!$A:$B,2,FALSE)," "))</f>
        <v/>
      </c>
      <c r="BT116">
        <v>6.4</v>
      </c>
      <c r="BU116" s="33" t="s">
        <v>1557</v>
      </c>
      <c r="BV116" s="33" t="str">
        <f>IF(OR(ISBLANK(BT116), ISBLANK(BU116)),"",CONCATENATE(" ",VLOOKUP(BU116,Literatuur!$A:$B,2,FALSE)," "))</f>
        <v xml:space="preserve"> 17 </v>
      </c>
      <c r="BX116" s="33">
        <v>326.39999999999998</v>
      </c>
      <c r="BZ116" s="339">
        <v>175.1</v>
      </c>
      <c r="CB116" s="33" t="s">
        <v>1557</v>
      </c>
      <c r="CC116" s="33" t="s">
        <v>1736</v>
      </c>
      <c r="CD116" s="33">
        <f>L116</f>
        <v>326.39999999999998</v>
      </c>
      <c r="CG116" s="33">
        <f t="shared" si="72"/>
        <v>-1.4346171485515817</v>
      </c>
      <c r="CR116" s="33" t="str">
        <f t="shared" si="62"/>
        <v>PCB 78</v>
      </c>
      <c r="CS116" s="33" t="str">
        <f t="shared" si="63"/>
        <v>PCB</v>
      </c>
      <c r="CT116" s="33">
        <f t="shared" si="64"/>
        <v>292</v>
      </c>
      <c r="CU116" s="33" t="str">
        <f t="shared" si="65"/>
        <v xml:space="preserve"> 17 </v>
      </c>
      <c r="CV116" s="33">
        <f t="shared" si="66"/>
        <v>3.6760622024389684E-2</v>
      </c>
      <c r="CW116" s="33" t="str">
        <f t="shared" si="67"/>
        <v xml:space="preserve"> 17 </v>
      </c>
      <c r="CX116" s="33">
        <f t="shared" si="68"/>
        <v>6.4</v>
      </c>
      <c r="CY116" s="33" t="str">
        <f t="shared" si="69"/>
        <v xml:space="preserve"> NA  17 </v>
      </c>
    </row>
    <row r="117" spans="1:103" ht="12.75" customHeight="1" x14ac:dyDescent="0.2">
      <c r="A117"/>
      <c r="B117">
        <v>-1701</v>
      </c>
      <c r="C117"/>
      <c r="D117" t="s">
        <v>976</v>
      </c>
      <c r="E117" t="s">
        <v>976</v>
      </c>
      <c r="F117" s="34"/>
      <c r="I117" s="33">
        <f t="shared" si="74"/>
        <v>223.1</v>
      </c>
      <c r="J117" s="33">
        <f t="shared" si="70"/>
        <v>1.4076658355353096</v>
      </c>
      <c r="K117" s="44">
        <f t="shared" si="75"/>
        <v>5.0999999999999996</v>
      </c>
      <c r="L117" s="33" t="e">
        <f t="shared" si="76"/>
        <v>#DIV/0!</v>
      </c>
      <c r="M117" s="33" t="s">
        <v>1552</v>
      </c>
      <c r="Q117" s="44" t="str">
        <f t="shared" si="77"/>
        <v xml:space="preserve"> </v>
      </c>
      <c r="R117" s="33" t="str">
        <f>IF(OR(ISBLANK(P117), ISBLANK(Q117)),"",CONCATENATE(" ",VLOOKUP(Q117,Literatuur!$A:$B,2,FALSE)," "))</f>
        <v/>
      </c>
      <c r="T117" s="44" t="str">
        <f t="shared" si="78"/>
        <v xml:space="preserve"> </v>
      </c>
      <c r="U117" s="33" t="str">
        <f>IF(OR(ISBLANK(S117), ISBLANK(T117)),"",CONCATENATE(" ",VLOOKUP(T117,Literatuur!$A:$B,2,FALSE)," "))</f>
        <v/>
      </c>
      <c r="W117" s="44" t="str">
        <f t="shared" si="79"/>
        <v xml:space="preserve"> </v>
      </c>
      <c r="X117" s="33" t="str">
        <f>IF(OR(ISBLANK(V117), ISBLANK(W117)),"",CONCATENATE(" ",VLOOKUP(W117,Literatuur!$A:$B,2,FALSE)," "))</f>
        <v/>
      </c>
      <c r="Z117" s="44" t="str">
        <f t="shared" si="80"/>
        <v xml:space="preserve"> </v>
      </c>
      <c r="AA117" s="33" t="str">
        <f>IF(OR(ISBLANK(Y117), ISBLANK(Z117)),"",CONCATENATE(" ",VLOOKUP(Z117,Literatuur!$A:$B,2,FALSE)," "))</f>
        <v/>
      </c>
      <c r="AC117" s="36" t="str">
        <f t="shared" si="81"/>
        <v xml:space="preserve"> </v>
      </c>
      <c r="AD117" s="33" t="str">
        <f>IF(OR(ISBLANK(AB117), ISBLANK(AC117)),"",CONCATENATE(" ",VLOOKUP(AC117,Literatuur!$A:$B,2,FALSE)," "))</f>
        <v/>
      </c>
      <c r="AE117" s="365">
        <v>1.4076658355353096</v>
      </c>
      <c r="AF117" s="33" t="s">
        <v>1557</v>
      </c>
      <c r="AG117" s="33" t="str">
        <f>IF(OR(ISBLANK(AE117), ISBLANK(AF117)),"",CONCATENATE(" ",VLOOKUP(AF117,Literatuur!$A:$B,2,FALSE)," "))</f>
        <v xml:space="preserve"> 17 </v>
      </c>
      <c r="AJ117" s="44" t="str">
        <f t="shared" si="82"/>
        <v xml:space="preserve"> </v>
      </c>
      <c r="AK117" s="33" t="str">
        <f>IF(OR(ISBLANK(AI117), ISBLANK(AJ117)),"",CONCATENATE(" ",VLOOKUP(AJ117,Literatuur!$A:$B,2,FALSE)," "))</f>
        <v/>
      </c>
      <c r="AM117" s="44" t="str">
        <f t="shared" si="83"/>
        <v xml:space="preserve"> </v>
      </c>
      <c r="AN117" s="33" t="str">
        <f>IF(OR(ISBLANK(AL117), ISBLANK(AM117)),"",CONCATENATE(" ",VLOOKUP(AM117,Literatuur!$A:$B,2,FALSE)," "))</f>
        <v/>
      </c>
      <c r="AP117" s="44" t="str">
        <f t="shared" si="84"/>
        <v xml:space="preserve"> </v>
      </c>
      <c r="AQ117" s="33" t="str">
        <f>IF(OR(ISBLANK(AO117), ISBLANK(AP117)),"",CONCATENATE(" ",VLOOKUP(AP117,Literatuur!$A:$B,2,FALSE)," "))</f>
        <v/>
      </c>
      <c r="AS117"/>
      <c r="AT117" s="33" t="str">
        <f>IF(OR(ISBLANK(AR117), ISBLANK(AS117)),"",CONCATENATE(" ",VLOOKUP(AS117,Literatuur!$A:$B,2,FALSE)," "))</f>
        <v/>
      </c>
      <c r="AU117">
        <v>223.1</v>
      </c>
      <c r="AV117" s="33" t="s">
        <v>1557</v>
      </c>
      <c r="AW117" s="33" t="str">
        <f>IF(OR(ISBLANK(AU117), ISBLANK(AV117)),"",CONCATENATE(" ",VLOOKUP(AV117,Literatuur!$A:$B,2,FALSE)," "))</f>
        <v xml:space="preserve"> 17 </v>
      </c>
      <c r="AZ117" s="44" t="str">
        <f t="shared" si="85"/>
        <v xml:space="preserve"> </v>
      </c>
      <c r="BA117" s="33" t="str">
        <f>IF(OR(ISBLANK(AY117), ISBLANK(AZ117)),"",CONCATENATE(" ",VLOOKUP(AZ117,Literatuur!$A:$B,2,FALSE)," "))</f>
        <v/>
      </c>
      <c r="BC117" s="44" t="str">
        <f t="shared" si="86"/>
        <v xml:space="preserve"> </v>
      </c>
      <c r="BD117" s="33" t="str">
        <f>IF(OR(ISBLANK(BB117), ISBLANK(BC117)),"",CONCATENATE(" ",VLOOKUP(BC117,Literatuur!$A:$B,2,FALSE)," "))</f>
        <v/>
      </c>
      <c r="BF117" s="44" t="str">
        <f t="shared" si="87"/>
        <v xml:space="preserve"> </v>
      </c>
      <c r="BG117" s="33" t="str">
        <f>IF(OR(ISBLANK(BE117), ISBLANK(BF117)),"",CONCATENATE(" ",VLOOKUP(BF117,Literatuur!$A:$B,2,FALSE)," "))</f>
        <v/>
      </c>
      <c r="BI117" s="44" t="str">
        <f t="shared" si="88"/>
        <v xml:space="preserve"> </v>
      </c>
      <c r="BJ117" s="33" t="str">
        <f>IF(OR(ISBLANK(BH117), ISBLANK(BI117)),"",CONCATENATE(" ",VLOOKUP(BI117,Literatuur!$A:$B,2,FALSE)," "))</f>
        <v/>
      </c>
      <c r="BL117" s="44" t="str">
        <f t="shared" si="89"/>
        <v xml:space="preserve"> </v>
      </c>
      <c r="BM117" s="33" t="str">
        <f>IF(OR(ISBLANK(BK117), ISBLANK(BL117)),"",CONCATENATE(" ",VLOOKUP(BL117,Literatuur!$A:$B,2,FALSE)," "))</f>
        <v/>
      </c>
      <c r="BN117">
        <v>5.0999999999999996</v>
      </c>
      <c r="BO117" s="4" t="s">
        <v>1666</v>
      </c>
      <c r="BP117" s="33" t="str">
        <f>IF(OR(ISBLANK(BN117), ISBLANK(BO117)),"",CONCATENATE(" ",VLOOKUP(BO117,Literatuur!$A:$B,2,FALSE)," "))</f>
        <v xml:space="preserve"> NA </v>
      </c>
      <c r="BQ117"/>
      <c r="BR117"/>
      <c r="BS117" s="33" t="str">
        <f>IF(OR(ISBLANK(BQ117), ISBLANK(BR117)),"",CONCATENATE(" ",VLOOKUP(BR117,Literatuur!$A:$B,2,FALSE)," "))</f>
        <v/>
      </c>
      <c r="BT117">
        <v>5.0999999999999996</v>
      </c>
      <c r="BU117" s="33" t="s">
        <v>1557</v>
      </c>
      <c r="BV117" s="33" t="str">
        <f>IF(OR(ISBLANK(BT117), ISBLANK(BU117)),"",CONCATENATE(" ",VLOOKUP(BU117,Literatuur!$A:$B,2,FALSE)," "))</f>
        <v xml:space="preserve"> 17 </v>
      </c>
      <c r="BZ117" s="339">
        <v>188.1</v>
      </c>
      <c r="CB117" s="33" t="s">
        <v>1557</v>
      </c>
      <c r="CC117" s="33" t="s">
        <v>1736</v>
      </c>
      <c r="CG117" s="33">
        <f t="shared" si="72"/>
        <v>0.14849957028383723</v>
      </c>
      <c r="CR117" s="33" t="str">
        <f t="shared" si="62"/>
        <v>PCB 8</v>
      </c>
      <c r="CS117" s="33" t="str">
        <f t="shared" si="63"/>
        <v>PCB</v>
      </c>
      <c r="CT117" s="33">
        <f t="shared" si="64"/>
        <v>223.1</v>
      </c>
      <c r="CU117" s="33" t="str">
        <f t="shared" si="65"/>
        <v xml:space="preserve"> 17 </v>
      </c>
      <c r="CV117" s="33">
        <f t="shared" si="66"/>
        <v>1.4076658355353096</v>
      </c>
      <c r="CW117" s="33" t="str">
        <f t="shared" si="67"/>
        <v xml:space="preserve"> 17 </v>
      </c>
      <c r="CX117" s="33">
        <f t="shared" si="68"/>
        <v>5.0999999999999996</v>
      </c>
      <c r="CY117" s="33" t="str">
        <f t="shared" si="69"/>
        <v xml:space="preserve"> NA  17 </v>
      </c>
    </row>
    <row r="118" spans="1:103" ht="12.75" customHeight="1" x14ac:dyDescent="0.2">
      <c r="A118"/>
      <c r="B118">
        <v>-1723</v>
      </c>
      <c r="C118"/>
      <c r="D118" t="s">
        <v>998</v>
      </c>
      <c r="E118" t="s">
        <v>998</v>
      </c>
      <c r="F118" s="34"/>
      <c r="I118" s="33">
        <f t="shared" si="74"/>
        <v>326.39999999999998</v>
      </c>
      <c r="J118" s="33">
        <f t="shared" si="70"/>
        <v>4.1091325440961612E-2</v>
      </c>
      <c r="K118" s="44">
        <f t="shared" si="75"/>
        <v>6.45</v>
      </c>
      <c r="L118" s="33">
        <f t="shared" si="76"/>
        <v>326.39999999999998</v>
      </c>
      <c r="M118" s="33" t="s">
        <v>1552</v>
      </c>
      <c r="Q118" s="44" t="str">
        <f t="shared" si="77"/>
        <v xml:space="preserve"> </v>
      </c>
      <c r="R118" s="33" t="str">
        <f>IF(OR(ISBLANK(P118), ISBLANK(Q118)),"",CONCATENATE(" ",VLOOKUP(Q118,Literatuur!$A:$B,2,FALSE)," "))</f>
        <v/>
      </c>
      <c r="T118" s="44" t="str">
        <f t="shared" si="78"/>
        <v xml:space="preserve"> </v>
      </c>
      <c r="U118" s="33" t="str">
        <f>IF(OR(ISBLANK(S118), ISBLANK(T118)),"",CONCATENATE(" ",VLOOKUP(T118,Literatuur!$A:$B,2,FALSE)," "))</f>
        <v/>
      </c>
      <c r="W118" s="44" t="str">
        <f t="shared" si="79"/>
        <v xml:space="preserve"> </v>
      </c>
      <c r="X118" s="33" t="str">
        <f>IF(OR(ISBLANK(V118), ISBLANK(W118)),"",CONCATENATE(" ",VLOOKUP(W118,Literatuur!$A:$B,2,FALSE)," "))</f>
        <v/>
      </c>
      <c r="Z118" s="44" t="str">
        <f t="shared" si="80"/>
        <v xml:space="preserve"> </v>
      </c>
      <c r="AA118" s="33" t="str">
        <f>IF(OR(ISBLANK(Y118), ISBLANK(Z118)),"",CONCATENATE(" ",VLOOKUP(Z118,Literatuur!$A:$B,2,FALSE)," "))</f>
        <v/>
      </c>
      <c r="AC118" s="36" t="str">
        <f t="shared" si="81"/>
        <v xml:space="preserve"> </v>
      </c>
      <c r="AD118" s="33" t="str">
        <f>IF(OR(ISBLANK(AB118), ISBLANK(AC118)),"",CONCATENATE(" ",VLOOKUP(AC118,Literatuur!$A:$B,2,FALSE)," "))</f>
        <v/>
      </c>
      <c r="AE118" s="365">
        <v>4.1091325440961612E-2</v>
      </c>
      <c r="AF118" s="33" t="s">
        <v>1557</v>
      </c>
      <c r="AG118" s="33" t="str">
        <f>IF(OR(ISBLANK(AE118), ISBLANK(AF118)),"",CONCATENATE(" ",VLOOKUP(AF118,Literatuur!$A:$B,2,FALSE)," "))</f>
        <v xml:space="preserve"> 17 </v>
      </c>
      <c r="AJ118" s="44" t="str">
        <f t="shared" si="82"/>
        <v xml:space="preserve"> </v>
      </c>
      <c r="AK118" s="33" t="str">
        <f>IF(OR(ISBLANK(AI118), ISBLANK(AJ118)),"",CONCATENATE(" ",VLOOKUP(AJ118,Literatuur!$A:$B,2,FALSE)," "))</f>
        <v/>
      </c>
      <c r="AM118" s="44" t="str">
        <f t="shared" si="83"/>
        <v xml:space="preserve"> </v>
      </c>
      <c r="AN118" s="33" t="str">
        <f>IF(OR(ISBLANK(AL118), ISBLANK(AM118)),"",CONCATENATE(" ",VLOOKUP(AM118,Literatuur!$A:$B,2,FALSE)," "))</f>
        <v/>
      </c>
      <c r="AP118" s="44" t="str">
        <f t="shared" si="84"/>
        <v xml:space="preserve"> </v>
      </c>
      <c r="AQ118" s="33" t="str">
        <f>IF(OR(ISBLANK(AO118), ISBLANK(AP118)),"",CONCATENATE(" ",VLOOKUP(AP118,Literatuur!$A:$B,2,FALSE)," "))</f>
        <v/>
      </c>
      <c r="AS118"/>
      <c r="AT118" s="33" t="str">
        <f>IF(OR(ISBLANK(AR118), ISBLANK(AS118)),"",CONCATENATE(" ",VLOOKUP(AS118,Literatuur!$A:$B,2,FALSE)," "))</f>
        <v/>
      </c>
      <c r="AU118">
        <v>326.39999999999998</v>
      </c>
      <c r="AV118" s="33" t="s">
        <v>1557</v>
      </c>
      <c r="AW118" s="33" t="str">
        <f>IF(OR(ISBLANK(AU118), ISBLANK(AV118)),"",CONCATENATE(" ",VLOOKUP(AV118,Literatuur!$A:$B,2,FALSE)," "))</f>
        <v xml:space="preserve"> 17 </v>
      </c>
      <c r="AZ118" s="44" t="str">
        <f t="shared" si="85"/>
        <v xml:space="preserve"> </v>
      </c>
      <c r="BA118" s="33" t="str">
        <f>IF(OR(ISBLANK(AY118), ISBLANK(AZ118)),"",CONCATENATE(" ",VLOOKUP(AZ118,Literatuur!$A:$B,2,FALSE)," "))</f>
        <v/>
      </c>
      <c r="BC118" s="44" t="str">
        <f t="shared" si="86"/>
        <v xml:space="preserve"> </v>
      </c>
      <c r="BD118" s="33" t="str">
        <f>IF(OR(ISBLANK(BB118), ISBLANK(BC118)),"",CONCATENATE(" ",VLOOKUP(BC118,Literatuur!$A:$B,2,FALSE)," "))</f>
        <v/>
      </c>
      <c r="BF118" s="44" t="str">
        <f t="shared" si="87"/>
        <v xml:space="preserve"> </v>
      </c>
      <c r="BG118" s="33" t="str">
        <f>IF(OR(ISBLANK(BE118), ISBLANK(BF118)),"",CONCATENATE(" ",VLOOKUP(BF118,Literatuur!$A:$B,2,FALSE)," "))</f>
        <v/>
      </c>
      <c r="BI118" s="44" t="str">
        <f t="shared" si="88"/>
        <v xml:space="preserve"> </v>
      </c>
      <c r="BJ118" s="33" t="str">
        <f>IF(OR(ISBLANK(BH118), ISBLANK(BI118)),"",CONCATENATE(" ",VLOOKUP(BI118,Literatuur!$A:$B,2,FALSE)," "))</f>
        <v/>
      </c>
      <c r="BL118" s="44" t="str">
        <f t="shared" si="89"/>
        <v xml:space="preserve"> </v>
      </c>
      <c r="BM118" s="33" t="str">
        <f>IF(OR(ISBLANK(BK118), ISBLANK(BL118)),"",CONCATENATE(" ",VLOOKUP(BL118,Literatuur!$A:$B,2,FALSE)," "))</f>
        <v/>
      </c>
      <c r="BN118">
        <v>6.5</v>
      </c>
      <c r="BO118" s="4" t="s">
        <v>1666</v>
      </c>
      <c r="BP118" s="33" t="str">
        <f>IF(OR(ISBLANK(BN118), ISBLANK(BO118)),"",CONCATENATE(" ",VLOOKUP(BO118,Literatuur!$A:$B,2,FALSE)," "))</f>
        <v xml:space="preserve"> NA </v>
      </c>
      <c r="BQ118"/>
      <c r="BR118"/>
      <c r="BS118" s="33" t="str">
        <f>IF(OR(ISBLANK(BQ118), ISBLANK(BR118)),"",CONCATENATE(" ",VLOOKUP(BR118,Literatuur!$A:$B,2,FALSE)," "))</f>
        <v/>
      </c>
      <c r="BT118">
        <v>6.4</v>
      </c>
      <c r="BU118" s="33" t="s">
        <v>1557</v>
      </c>
      <c r="BV118" s="33" t="str">
        <f>IF(OR(ISBLANK(BT118), ISBLANK(BU118)),"",CONCATENATE(" ",VLOOKUP(BU118,Literatuur!$A:$B,2,FALSE)," "))</f>
        <v xml:space="preserve"> 17 </v>
      </c>
      <c r="BX118" s="33">
        <v>326.39999999999998</v>
      </c>
      <c r="BZ118" s="339">
        <v>188.1</v>
      </c>
      <c r="CB118" s="33" t="s">
        <v>1557</v>
      </c>
      <c r="CC118" s="33" t="s">
        <v>1736</v>
      </c>
      <c r="CD118" s="33">
        <f t="shared" ref="CD118:CD151" si="90">L118</f>
        <v>326.39999999999998</v>
      </c>
      <c r="CG118" s="33">
        <f t="shared" si="72"/>
        <v>-1.3862498499181766</v>
      </c>
      <c r="CR118" s="33" t="str">
        <f t="shared" si="62"/>
        <v>PCB 99</v>
      </c>
      <c r="CS118" s="33" t="str">
        <f t="shared" si="63"/>
        <v>PCB</v>
      </c>
      <c r="CT118" s="33">
        <f t="shared" si="64"/>
        <v>326.39999999999998</v>
      </c>
      <c r="CU118" s="33" t="str">
        <f t="shared" si="65"/>
        <v xml:space="preserve"> 17 </v>
      </c>
      <c r="CV118" s="33">
        <f t="shared" si="66"/>
        <v>4.1091325440961612E-2</v>
      </c>
      <c r="CW118" s="33" t="str">
        <f t="shared" si="67"/>
        <v xml:space="preserve"> 17 </v>
      </c>
      <c r="CX118" s="33">
        <f t="shared" si="68"/>
        <v>6.45</v>
      </c>
      <c r="CY118" s="33" t="str">
        <f t="shared" si="69"/>
        <v xml:space="preserve"> NA  17 </v>
      </c>
    </row>
    <row r="119" spans="1:103" ht="12.75" customHeight="1" x14ac:dyDescent="0.2">
      <c r="B119" s="33">
        <v>-1557</v>
      </c>
      <c r="C119" s="33" t="e">
        <f>VLOOKUP(B119,Lohman2011!$I$7:$U$28,2,FALSE)</f>
        <v>#N/A</v>
      </c>
      <c r="D119" s="105" t="s">
        <v>584</v>
      </c>
      <c r="E119" s="105" t="s">
        <v>584</v>
      </c>
      <c r="F119" s="34"/>
      <c r="G119" s="34"/>
      <c r="I119" s="33">
        <f t="shared" si="74"/>
        <v>156</v>
      </c>
      <c r="J119" s="33" t="e">
        <f t="shared" si="70"/>
        <v>#DIV/0!</v>
      </c>
      <c r="K119" s="44">
        <f t="shared" si="75"/>
        <v>4.3099999999999996</v>
      </c>
      <c r="L119" s="33">
        <f t="shared" si="76"/>
        <v>154.19999999999999</v>
      </c>
      <c r="M119" s="33" t="s">
        <v>1550</v>
      </c>
      <c r="Q119" s="44" t="str">
        <f t="shared" si="77"/>
        <v xml:space="preserve"> </v>
      </c>
      <c r="R119" s="33" t="str">
        <f>IF(OR(ISBLANK(P119), ISBLANK(Q119)),"",CONCATENATE(" ",VLOOKUP(Q119,Literatuur!$A:$B,2,FALSE)," "))</f>
        <v/>
      </c>
      <c r="T119" s="44" t="str">
        <f t="shared" si="78"/>
        <v xml:space="preserve"> </v>
      </c>
      <c r="U119" s="33" t="str">
        <f>IF(OR(ISBLANK(S119), ISBLANK(T119)),"",CONCATENATE(" ",VLOOKUP(T119,Literatuur!$A:$B,2,FALSE)," "))</f>
        <v/>
      </c>
      <c r="W119" s="44" t="str">
        <f t="shared" si="79"/>
        <v xml:space="preserve"> </v>
      </c>
      <c r="X119" s="33" t="str">
        <f>IF(OR(ISBLANK(V119), ISBLANK(W119)),"",CONCATENATE(" ",VLOOKUP(W119,Literatuur!$A:$B,2,FALSE)," "))</f>
        <v/>
      </c>
      <c r="Z119" s="44" t="str">
        <f t="shared" si="80"/>
        <v xml:space="preserve"> </v>
      </c>
      <c r="AA119" s="33" t="str">
        <f>IF(OR(ISBLANK(Y119), ISBLANK(Z119)),"",CONCATENATE(" ",VLOOKUP(Z119,Literatuur!$A:$B,2,FALSE)," "))</f>
        <v/>
      </c>
      <c r="AC119" s="186" t="str">
        <f t="shared" si="81"/>
        <v xml:space="preserve"> </v>
      </c>
      <c r="AD119" s="33" t="str">
        <f>IF(OR(ISBLANK(AB119), ISBLANK(AC119)),"",CONCATENATE(" ",VLOOKUP(AC119,Literatuur!$A:$B,2,FALSE)," "))</f>
        <v/>
      </c>
      <c r="AG119" s="33" t="str">
        <f>IF(OR(ISBLANK(AE119), ISBLANK(AF119)),"",CONCATENATE(" ",VLOOKUP(AF119,Literatuur!$A:$B,2,FALSE)," "))</f>
        <v/>
      </c>
      <c r="AJ119" s="44" t="str">
        <f t="shared" si="82"/>
        <v xml:space="preserve"> </v>
      </c>
      <c r="AK119" s="33" t="str">
        <f>IF(OR(ISBLANK(AI119), ISBLANK(AJ119)),"",CONCATENATE(" ",VLOOKUP(AJ119,Literatuur!$A:$B,2,FALSE)," "))</f>
        <v/>
      </c>
      <c r="AM119" s="44" t="str">
        <f t="shared" si="83"/>
        <v xml:space="preserve"> </v>
      </c>
      <c r="AN119" s="33" t="str">
        <f>IF(OR(ISBLANK(AL119), ISBLANK(AM119)),"",CONCATENATE(" ",VLOOKUP(AM119,Literatuur!$A:$B,2,FALSE)," "))</f>
        <v/>
      </c>
      <c r="AP119" s="44" t="str">
        <f t="shared" si="84"/>
        <v xml:space="preserve"> </v>
      </c>
      <c r="AQ119" s="33" t="str">
        <f>IF(OR(ISBLANK(AO119), ISBLANK(AP119)),"",CONCATENATE(" ",VLOOKUP(AP119,Literatuur!$A:$B,2,FALSE)," "))</f>
        <v/>
      </c>
      <c r="AT119" s="33" t="str">
        <f>IF(OR(ISBLANK(AR119), ISBLANK(AS119)),"",CONCATENATE(" ",VLOOKUP(AS119,Literatuur!$A:$B,2,FALSE)," "))</f>
        <v/>
      </c>
      <c r="AU119" s="33">
        <v>156</v>
      </c>
      <c r="AV119" s="33" t="s">
        <v>2066</v>
      </c>
      <c r="AW119" s="33" t="str">
        <f>IF(OR(ISBLANK(AU119), ISBLANK(AV119)),"",CONCATENATE(" ",VLOOKUP(AV119,Literatuur!$A:$B,2,FALSE)," "))</f>
        <v xml:space="preserve"> 8 </v>
      </c>
      <c r="AZ119" s="44" t="str">
        <f t="shared" si="85"/>
        <v xml:space="preserve"> </v>
      </c>
      <c r="BA119" s="33" t="str">
        <f>IF(OR(ISBLANK(AY119), ISBLANK(AZ119)),"",CONCATENATE(" ",VLOOKUP(AZ119,Literatuur!$A:$B,2,FALSE)," "))</f>
        <v/>
      </c>
      <c r="BC119" s="44" t="str">
        <f t="shared" si="86"/>
        <v xml:space="preserve"> </v>
      </c>
      <c r="BD119" s="33" t="str">
        <f>IF(OR(ISBLANK(BB119), ISBLANK(BC119)),"",CONCATENATE(" ",VLOOKUP(BC119,Literatuur!$A:$B,2,FALSE)," "))</f>
        <v/>
      </c>
      <c r="BF119" s="44" t="str">
        <f t="shared" si="87"/>
        <v xml:space="preserve"> </v>
      </c>
      <c r="BG119" s="33" t="str">
        <f>IF(OR(ISBLANK(BE119), ISBLANK(BF119)),"",CONCATENATE(" ",VLOOKUP(BF119,Literatuur!$A:$B,2,FALSE)," "))</f>
        <v/>
      </c>
      <c r="BI119" s="44" t="str">
        <f t="shared" si="88"/>
        <v xml:space="preserve"> </v>
      </c>
      <c r="BJ119" s="33" t="str">
        <f>IF(OR(ISBLANK(BH119), ISBLANK(BI119)),"",CONCATENATE(" ",VLOOKUP(BI119,Literatuur!$A:$B,2,FALSE)," "))</f>
        <v/>
      </c>
      <c r="BL119" s="44" t="str">
        <f t="shared" si="89"/>
        <v xml:space="preserve"> </v>
      </c>
      <c r="BM119" s="33" t="str">
        <f>IF(OR(ISBLANK(BK119), ISBLANK(BL119)),"",CONCATENATE(" ",VLOOKUP(BL119,Literatuur!$A:$B,2,FALSE)," "))</f>
        <v/>
      </c>
      <c r="BP119" s="33" t="str">
        <f>IF(OR(ISBLANK(BN119), ISBLANK(BO119)),"",CONCATENATE(" ",VLOOKUP(BO119,Literatuur!$A:$B,2,FALSE)," "))</f>
        <v/>
      </c>
      <c r="BS119" s="33" t="str">
        <f>IF(OR(ISBLANK(BQ119), ISBLANK(BR119)),"",CONCATENATE(" ",VLOOKUP(BR119,Literatuur!$A:$B,2,FALSE)," "))</f>
        <v/>
      </c>
      <c r="BT119" s="33">
        <v>4.3099999999999996</v>
      </c>
      <c r="BU119" s="33" t="s">
        <v>2066</v>
      </c>
      <c r="BV119" s="33" t="str">
        <f>IF(OR(ISBLANK(BT119), ISBLANK(BU119)),"",CONCATENATE(" ",VLOOKUP(BU119,Literatuur!$A:$B,2,FALSE)," "))</f>
        <v xml:space="preserve"> 8 </v>
      </c>
      <c r="BY119" s="33">
        <v>154.19999999999999</v>
      </c>
      <c r="CB119" s="33" t="s">
        <v>2066</v>
      </c>
      <c r="CD119" s="33">
        <f t="shared" si="90"/>
        <v>154.19999999999999</v>
      </c>
      <c r="CE119" s="37">
        <f t="shared" ref="CE119:CE141" si="91">I119</f>
        <v>156</v>
      </c>
      <c r="CH119" s="33">
        <f t="shared" ref="CH119:CH141" si="92">K119</f>
        <v>4.3099999999999996</v>
      </c>
      <c r="CR119" s="33" t="str">
        <f t="shared" si="62"/>
        <v>1,2-dimethylnaphthalene</v>
      </c>
      <c r="CS119" s="33" t="str">
        <f t="shared" si="63"/>
        <v>PAK</v>
      </c>
      <c r="CT119" s="33">
        <f t="shared" si="64"/>
        <v>156</v>
      </c>
      <c r="CU119" s="33" t="str">
        <f t="shared" si="65"/>
        <v xml:space="preserve"> 8 </v>
      </c>
      <c r="CV119" s="33" t="str">
        <f t="shared" si="66"/>
        <v/>
      </c>
      <c r="CW119" s="33" t="str">
        <f t="shared" si="67"/>
        <v/>
      </c>
      <c r="CX119" s="33">
        <f t="shared" si="68"/>
        <v>4.3099999999999996</v>
      </c>
      <c r="CY119" s="33" t="str">
        <f t="shared" si="69"/>
        <v xml:space="preserve"> 8 </v>
      </c>
    </row>
    <row r="120" spans="1:103" ht="12.75" customHeight="1" x14ac:dyDescent="0.2">
      <c r="B120" s="33">
        <v>-1555</v>
      </c>
      <c r="C120" s="33" t="e">
        <f>VLOOKUP(B120,Lohman2011!$I$7:$U$28,2,FALSE)</f>
        <v>#N/A</v>
      </c>
      <c r="D120" s="105" t="s">
        <v>582</v>
      </c>
      <c r="E120" s="105" t="s">
        <v>582</v>
      </c>
      <c r="F120" s="34"/>
      <c r="G120" s="34"/>
      <c r="I120" s="33">
        <f t="shared" si="74"/>
        <v>156</v>
      </c>
      <c r="J120" s="33" t="e">
        <f t="shared" si="70"/>
        <v>#DIV/0!</v>
      </c>
      <c r="K120" s="44">
        <f t="shared" si="75"/>
        <v>4.42</v>
      </c>
      <c r="L120" s="33">
        <f t="shared" si="76"/>
        <v>155.80000000000001</v>
      </c>
      <c r="M120" s="33" t="s">
        <v>1550</v>
      </c>
      <c r="Q120" s="44" t="str">
        <f t="shared" si="77"/>
        <v xml:space="preserve"> </v>
      </c>
      <c r="R120" s="33" t="str">
        <f>IF(OR(ISBLANK(P120), ISBLANK(Q120)),"",CONCATENATE(" ",VLOOKUP(Q120,Literatuur!$A:$B,2,FALSE)," "))</f>
        <v/>
      </c>
      <c r="T120" s="44" t="str">
        <f t="shared" si="78"/>
        <v xml:space="preserve"> </v>
      </c>
      <c r="U120" s="33" t="str">
        <f>IF(OR(ISBLANK(S120), ISBLANK(T120)),"",CONCATENATE(" ",VLOOKUP(T120,Literatuur!$A:$B,2,FALSE)," "))</f>
        <v/>
      </c>
      <c r="W120" s="44" t="str">
        <f t="shared" si="79"/>
        <v xml:space="preserve"> </v>
      </c>
      <c r="X120" s="33" t="str">
        <f>IF(OR(ISBLANK(V120), ISBLANK(W120)),"",CONCATENATE(" ",VLOOKUP(W120,Literatuur!$A:$B,2,FALSE)," "))</f>
        <v/>
      </c>
      <c r="Z120" s="44" t="str">
        <f t="shared" si="80"/>
        <v xml:space="preserve"> </v>
      </c>
      <c r="AA120" s="33" t="str">
        <f>IF(OR(ISBLANK(Y120), ISBLANK(Z120)),"",CONCATENATE(" ",VLOOKUP(Z120,Literatuur!$A:$B,2,FALSE)," "))</f>
        <v/>
      </c>
      <c r="AC120" s="186" t="str">
        <f t="shared" si="81"/>
        <v xml:space="preserve"> </v>
      </c>
      <c r="AD120" s="33" t="str">
        <f>IF(OR(ISBLANK(AB120), ISBLANK(AC120)),"",CONCATENATE(" ",VLOOKUP(AC120,Literatuur!$A:$B,2,FALSE)," "))</f>
        <v/>
      </c>
      <c r="AG120" s="33" t="str">
        <f>IF(OR(ISBLANK(AE120), ISBLANK(AF120)),"",CONCATENATE(" ",VLOOKUP(AF120,Literatuur!$A:$B,2,FALSE)," "))</f>
        <v/>
      </c>
      <c r="AJ120" s="44" t="str">
        <f t="shared" si="82"/>
        <v xml:space="preserve"> </v>
      </c>
      <c r="AK120" s="33" t="str">
        <f>IF(OR(ISBLANK(AI120), ISBLANK(AJ120)),"",CONCATENATE(" ",VLOOKUP(AJ120,Literatuur!$A:$B,2,FALSE)," "))</f>
        <v/>
      </c>
      <c r="AM120" s="44" t="str">
        <f t="shared" si="83"/>
        <v xml:space="preserve"> </v>
      </c>
      <c r="AN120" s="33" t="str">
        <f>IF(OR(ISBLANK(AL120), ISBLANK(AM120)),"",CONCATENATE(" ",VLOOKUP(AM120,Literatuur!$A:$B,2,FALSE)," "))</f>
        <v/>
      </c>
      <c r="AP120" s="44" t="str">
        <f t="shared" si="84"/>
        <v xml:space="preserve"> </v>
      </c>
      <c r="AQ120" s="33" t="str">
        <f>IF(OR(ISBLANK(AO120), ISBLANK(AP120)),"",CONCATENATE(" ",VLOOKUP(AP120,Literatuur!$A:$B,2,FALSE)," "))</f>
        <v/>
      </c>
      <c r="AT120" s="33" t="str">
        <f>IF(OR(ISBLANK(AR120), ISBLANK(AS120)),"",CONCATENATE(" ",VLOOKUP(AS120,Literatuur!$A:$B,2,FALSE)," "))</f>
        <v/>
      </c>
      <c r="AU120" s="33">
        <v>156</v>
      </c>
      <c r="AV120" s="33" t="s">
        <v>2066</v>
      </c>
      <c r="AW120" s="33" t="str">
        <f>IF(OR(ISBLANK(AU120), ISBLANK(AV120)),"",CONCATENATE(" ",VLOOKUP(AV120,Literatuur!$A:$B,2,FALSE)," "))</f>
        <v xml:space="preserve"> 8 </v>
      </c>
      <c r="AZ120" s="44" t="str">
        <f t="shared" si="85"/>
        <v xml:space="preserve"> </v>
      </c>
      <c r="BA120" s="33" t="str">
        <f>IF(OR(ISBLANK(AY120), ISBLANK(AZ120)),"",CONCATENATE(" ",VLOOKUP(AZ120,Literatuur!$A:$B,2,FALSE)," "))</f>
        <v/>
      </c>
      <c r="BC120" s="44" t="str">
        <f t="shared" si="86"/>
        <v xml:space="preserve"> </v>
      </c>
      <c r="BD120" s="33" t="str">
        <f>IF(OR(ISBLANK(BB120), ISBLANK(BC120)),"",CONCATENATE(" ",VLOOKUP(BC120,Literatuur!$A:$B,2,FALSE)," "))</f>
        <v/>
      </c>
      <c r="BF120" s="44" t="str">
        <f t="shared" si="87"/>
        <v xml:space="preserve"> </v>
      </c>
      <c r="BG120" s="33" t="str">
        <f>IF(OR(ISBLANK(BE120), ISBLANK(BF120)),"",CONCATENATE(" ",VLOOKUP(BF120,Literatuur!$A:$B,2,FALSE)," "))</f>
        <v/>
      </c>
      <c r="BI120" s="44" t="str">
        <f t="shared" si="88"/>
        <v xml:space="preserve"> </v>
      </c>
      <c r="BJ120" s="33" t="str">
        <f>IF(OR(ISBLANK(BH120), ISBLANK(BI120)),"",CONCATENATE(" ",VLOOKUP(BI120,Literatuur!$A:$B,2,FALSE)," "))</f>
        <v/>
      </c>
      <c r="BL120" s="44" t="str">
        <f t="shared" si="89"/>
        <v xml:space="preserve"> </v>
      </c>
      <c r="BM120" s="33" t="str">
        <f>IF(OR(ISBLANK(BK120), ISBLANK(BL120)),"",CONCATENATE(" ",VLOOKUP(BL120,Literatuur!$A:$B,2,FALSE)," "))</f>
        <v/>
      </c>
      <c r="BP120" s="33" t="str">
        <f>IF(OR(ISBLANK(BN120), ISBLANK(BO120)),"",CONCATENATE(" ",VLOOKUP(BO120,Literatuur!$A:$B,2,FALSE)," "))</f>
        <v/>
      </c>
      <c r="BS120" s="33" t="str">
        <f>IF(OR(ISBLANK(BQ120), ISBLANK(BR120)),"",CONCATENATE(" ",VLOOKUP(BR120,Literatuur!$A:$B,2,FALSE)," "))</f>
        <v/>
      </c>
      <c r="BT120" s="33">
        <v>4.42</v>
      </c>
      <c r="BU120" s="33" t="s">
        <v>2066</v>
      </c>
      <c r="BV120" s="33" t="str">
        <f>IF(OR(ISBLANK(BT120), ISBLANK(BU120)),"",CONCATENATE(" ",VLOOKUP(BU120,Literatuur!$A:$B,2,FALSE)," "))</f>
        <v xml:space="preserve"> 8 </v>
      </c>
      <c r="BY120" s="33">
        <v>155.80000000000001</v>
      </c>
      <c r="CB120" s="33" t="s">
        <v>2066</v>
      </c>
      <c r="CD120" s="33">
        <f t="shared" si="90"/>
        <v>155.80000000000001</v>
      </c>
      <c r="CE120" s="37">
        <f t="shared" si="91"/>
        <v>156</v>
      </c>
      <c r="CH120" s="33">
        <f t="shared" si="92"/>
        <v>4.42</v>
      </c>
      <c r="CR120" s="33" t="str">
        <f t="shared" si="62"/>
        <v>1,3-dimethylnaphthalene</v>
      </c>
      <c r="CS120" s="33" t="str">
        <f t="shared" si="63"/>
        <v>PAK</v>
      </c>
      <c r="CT120" s="33">
        <f t="shared" si="64"/>
        <v>156</v>
      </c>
      <c r="CU120" s="33" t="str">
        <f t="shared" si="65"/>
        <v xml:space="preserve"> 8 </v>
      </c>
      <c r="CV120" s="33" t="str">
        <f t="shared" si="66"/>
        <v/>
      </c>
      <c r="CW120" s="33" t="str">
        <f t="shared" si="67"/>
        <v/>
      </c>
      <c r="CX120" s="33">
        <f t="shared" si="68"/>
        <v>4.42</v>
      </c>
      <c r="CY120" s="33" t="str">
        <f t="shared" si="69"/>
        <v xml:space="preserve"> 8 </v>
      </c>
    </row>
    <row r="121" spans="1:103" ht="12.75" customHeight="1" x14ac:dyDescent="0.2">
      <c r="B121" s="33">
        <v>-1561</v>
      </c>
      <c r="C121" s="33" t="e">
        <f>VLOOKUP(B121,Lohman2011!$I$7:$U$28,2,FALSE)</f>
        <v>#N/A</v>
      </c>
      <c r="D121" s="105" t="s">
        <v>590</v>
      </c>
      <c r="E121" s="105" t="s">
        <v>590</v>
      </c>
      <c r="F121" s="34"/>
      <c r="G121" s="34"/>
      <c r="I121" s="33">
        <f t="shared" si="74"/>
        <v>184</v>
      </c>
      <c r="J121" s="33" t="e">
        <f t="shared" si="70"/>
        <v>#DIV/0!</v>
      </c>
      <c r="K121" s="44">
        <f t="shared" si="75"/>
        <v>5.36</v>
      </c>
      <c r="L121" s="33">
        <f t="shared" si="76"/>
        <v>186</v>
      </c>
      <c r="M121" s="33" t="s">
        <v>1550</v>
      </c>
      <c r="Q121" s="44" t="str">
        <f t="shared" si="77"/>
        <v xml:space="preserve"> </v>
      </c>
      <c r="R121" s="33" t="str">
        <f>IF(OR(ISBLANK(P121), ISBLANK(Q121)),"",CONCATENATE(" ",VLOOKUP(Q121,Literatuur!$A:$B,2,FALSE)," "))</f>
        <v/>
      </c>
      <c r="T121" s="44" t="str">
        <f t="shared" si="78"/>
        <v xml:space="preserve"> </v>
      </c>
      <c r="U121" s="33" t="str">
        <f>IF(OR(ISBLANK(S121), ISBLANK(T121)),"",CONCATENATE(" ",VLOOKUP(T121,Literatuur!$A:$B,2,FALSE)," "))</f>
        <v/>
      </c>
      <c r="W121" s="44" t="str">
        <f t="shared" si="79"/>
        <v xml:space="preserve"> </v>
      </c>
      <c r="X121" s="33" t="str">
        <f>IF(OR(ISBLANK(V121), ISBLANK(W121)),"",CONCATENATE(" ",VLOOKUP(W121,Literatuur!$A:$B,2,FALSE)," "))</f>
        <v/>
      </c>
      <c r="Z121" s="44" t="str">
        <f t="shared" si="80"/>
        <v xml:space="preserve"> </v>
      </c>
      <c r="AA121" s="33" t="str">
        <f>IF(OR(ISBLANK(Y121), ISBLANK(Z121)),"",CONCATENATE(" ",VLOOKUP(Z121,Literatuur!$A:$B,2,FALSE)," "))</f>
        <v/>
      </c>
      <c r="AC121" s="186" t="str">
        <f t="shared" si="81"/>
        <v xml:space="preserve"> </v>
      </c>
      <c r="AD121" s="33" t="str">
        <f>IF(OR(ISBLANK(AB121), ISBLANK(AC121)),"",CONCATENATE(" ",VLOOKUP(AC121,Literatuur!$A:$B,2,FALSE)," "))</f>
        <v/>
      </c>
      <c r="AG121" s="33" t="str">
        <f>IF(OR(ISBLANK(AE121), ISBLANK(AF121)),"",CONCATENATE(" ",VLOOKUP(AF121,Literatuur!$A:$B,2,FALSE)," "))</f>
        <v/>
      </c>
      <c r="AJ121" s="44" t="str">
        <f t="shared" si="82"/>
        <v xml:space="preserve"> </v>
      </c>
      <c r="AK121" s="33" t="str">
        <f>IF(OR(ISBLANK(AI121), ISBLANK(AJ121)),"",CONCATENATE(" ",VLOOKUP(AJ121,Literatuur!$A:$B,2,FALSE)," "))</f>
        <v/>
      </c>
      <c r="AM121" s="44" t="str">
        <f t="shared" si="83"/>
        <v xml:space="preserve"> </v>
      </c>
      <c r="AN121" s="33" t="str">
        <f>IF(OR(ISBLANK(AL121), ISBLANK(AM121)),"",CONCATENATE(" ",VLOOKUP(AM121,Literatuur!$A:$B,2,FALSE)," "))</f>
        <v/>
      </c>
      <c r="AP121" s="44" t="str">
        <f t="shared" si="84"/>
        <v xml:space="preserve"> </v>
      </c>
      <c r="AQ121" s="33" t="str">
        <f>IF(OR(ISBLANK(AO121), ISBLANK(AP121)),"",CONCATENATE(" ",VLOOKUP(AP121,Literatuur!$A:$B,2,FALSE)," "))</f>
        <v/>
      </c>
      <c r="AT121" s="33" t="str">
        <f>IF(OR(ISBLANK(AR121), ISBLANK(AS121)),"",CONCATENATE(" ",VLOOKUP(AS121,Literatuur!$A:$B,2,FALSE)," "))</f>
        <v/>
      </c>
      <c r="AU121" s="33">
        <v>184</v>
      </c>
      <c r="AV121" s="33" t="s">
        <v>2066</v>
      </c>
      <c r="AW121" s="33" t="str">
        <f>IF(OR(ISBLANK(AU121), ISBLANK(AV121)),"",CONCATENATE(" ",VLOOKUP(AV121,Literatuur!$A:$B,2,FALSE)," "))</f>
        <v xml:space="preserve"> 8 </v>
      </c>
      <c r="AZ121" s="44" t="str">
        <f t="shared" si="85"/>
        <v xml:space="preserve"> </v>
      </c>
      <c r="BA121" s="33" t="str">
        <f>IF(OR(ISBLANK(AY121), ISBLANK(AZ121)),"",CONCATENATE(" ",VLOOKUP(AZ121,Literatuur!$A:$B,2,FALSE)," "))</f>
        <v/>
      </c>
      <c r="BC121" s="44" t="str">
        <f t="shared" si="86"/>
        <v xml:space="preserve"> </v>
      </c>
      <c r="BD121" s="33" t="str">
        <f>IF(OR(ISBLANK(BB121), ISBLANK(BC121)),"",CONCATENATE(" ",VLOOKUP(BC121,Literatuur!$A:$B,2,FALSE)," "))</f>
        <v/>
      </c>
      <c r="BF121" s="44" t="str">
        <f t="shared" si="87"/>
        <v xml:space="preserve"> </v>
      </c>
      <c r="BG121" s="33" t="str">
        <f>IF(OR(ISBLANK(BE121), ISBLANK(BF121)),"",CONCATENATE(" ",VLOOKUP(BF121,Literatuur!$A:$B,2,FALSE)," "))</f>
        <v/>
      </c>
      <c r="BI121" s="44" t="str">
        <f t="shared" si="88"/>
        <v xml:space="preserve"> </v>
      </c>
      <c r="BJ121" s="33" t="str">
        <f>IF(OR(ISBLANK(BH121), ISBLANK(BI121)),"",CONCATENATE(" ",VLOOKUP(BI121,Literatuur!$A:$B,2,FALSE)," "))</f>
        <v/>
      </c>
      <c r="BL121" s="44" t="str">
        <f t="shared" si="89"/>
        <v xml:space="preserve"> </v>
      </c>
      <c r="BM121" s="33" t="str">
        <f>IF(OR(ISBLANK(BK121), ISBLANK(BL121)),"",CONCATENATE(" ",VLOOKUP(BL121,Literatuur!$A:$B,2,FALSE)," "))</f>
        <v/>
      </c>
      <c r="BP121" s="33" t="str">
        <f>IF(OR(ISBLANK(BN121), ISBLANK(BO121)),"",CONCATENATE(" ",VLOOKUP(BO121,Literatuur!$A:$B,2,FALSE)," "))</f>
        <v/>
      </c>
      <c r="BS121" s="33" t="str">
        <f>IF(OR(ISBLANK(BQ121), ISBLANK(BR121)),"",CONCATENATE(" ",VLOOKUP(BR121,Literatuur!$A:$B,2,FALSE)," "))</f>
        <v/>
      </c>
      <c r="BT121" s="33">
        <v>5.36</v>
      </c>
      <c r="BU121" s="33" t="s">
        <v>2066</v>
      </c>
      <c r="BV121" s="33" t="str">
        <f>IF(OR(ISBLANK(BT121), ISBLANK(BU121)),"",CONCATENATE(" ",VLOOKUP(BU121,Literatuur!$A:$B,2,FALSE)," "))</f>
        <v xml:space="preserve"> 8 </v>
      </c>
      <c r="BY121" s="33">
        <v>186</v>
      </c>
      <c r="CB121" s="33" t="s">
        <v>2066</v>
      </c>
      <c r="CD121" s="33">
        <f t="shared" si="90"/>
        <v>186</v>
      </c>
      <c r="CE121" s="37">
        <f t="shared" si="91"/>
        <v>184</v>
      </c>
      <c r="CH121" s="33">
        <f t="shared" si="92"/>
        <v>5.36</v>
      </c>
      <c r="CR121" s="33" t="str">
        <f t="shared" si="62"/>
        <v>1,4,6,7-tetramethylnaphthalene</v>
      </c>
      <c r="CS121" s="33" t="str">
        <f t="shared" si="63"/>
        <v>PAK</v>
      </c>
      <c r="CT121" s="33">
        <f t="shared" si="64"/>
        <v>184</v>
      </c>
      <c r="CU121" s="33" t="str">
        <f t="shared" si="65"/>
        <v xml:space="preserve"> 8 </v>
      </c>
      <c r="CV121" s="33" t="str">
        <f t="shared" si="66"/>
        <v/>
      </c>
      <c r="CW121" s="33" t="str">
        <f t="shared" si="67"/>
        <v/>
      </c>
      <c r="CX121" s="33">
        <f t="shared" si="68"/>
        <v>5.36</v>
      </c>
      <c r="CY121" s="33" t="str">
        <f t="shared" si="69"/>
        <v xml:space="preserve"> 8 </v>
      </c>
    </row>
    <row r="122" spans="1:103" ht="12.75" customHeight="1" x14ac:dyDescent="0.2">
      <c r="B122" s="33">
        <v>-1556</v>
      </c>
      <c r="C122" s="33" t="e">
        <f>VLOOKUP(B122,Lohman2011!$I$7:$U$28,2,FALSE)</f>
        <v>#N/A</v>
      </c>
      <c r="D122" s="105" t="s">
        <v>583</v>
      </c>
      <c r="E122" s="105" t="s">
        <v>583</v>
      </c>
      <c r="F122" s="34"/>
      <c r="G122" s="34"/>
      <c r="I122" s="33">
        <f t="shared" si="74"/>
        <v>156</v>
      </c>
      <c r="J122" s="33" t="e">
        <f t="shared" si="70"/>
        <v>#DIV/0!</v>
      </c>
      <c r="K122" s="44">
        <f t="shared" si="75"/>
        <v>4.37</v>
      </c>
      <c r="L122" s="33">
        <f t="shared" si="76"/>
        <v>155.6</v>
      </c>
      <c r="M122" s="33" t="s">
        <v>1550</v>
      </c>
      <c r="Q122" s="44" t="str">
        <f t="shared" si="77"/>
        <v xml:space="preserve"> </v>
      </c>
      <c r="R122" s="33" t="str">
        <f>IF(OR(ISBLANK(P122), ISBLANK(Q122)),"",CONCATENATE(" ",VLOOKUP(Q122,Literatuur!$A:$B,2,FALSE)," "))</f>
        <v/>
      </c>
      <c r="T122" s="44" t="str">
        <f t="shared" si="78"/>
        <v xml:space="preserve"> </v>
      </c>
      <c r="U122" s="33" t="str">
        <f>IF(OR(ISBLANK(S122), ISBLANK(T122)),"",CONCATENATE(" ",VLOOKUP(T122,Literatuur!$A:$B,2,FALSE)," "))</f>
        <v/>
      </c>
      <c r="W122" s="44" t="str">
        <f t="shared" si="79"/>
        <v xml:space="preserve"> </v>
      </c>
      <c r="X122" s="33" t="str">
        <f>IF(OR(ISBLANK(V122), ISBLANK(W122)),"",CONCATENATE(" ",VLOOKUP(W122,Literatuur!$A:$B,2,FALSE)," "))</f>
        <v/>
      </c>
      <c r="Z122" s="44" t="str">
        <f t="shared" si="80"/>
        <v xml:space="preserve"> </v>
      </c>
      <c r="AA122" s="33" t="str">
        <f>IF(OR(ISBLANK(Y122), ISBLANK(Z122)),"",CONCATENATE(" ",VLOOKUP(Z122,Literatuur!$A:$B,2,FALSE)," "))</f>
        <v/>
      </c>
      <c r="AC122" s="186" t="str">
        <f t="shared" si="81"/>
        <v xml:space="preserve"> </v>
      </c>
      <c r="AD122" s="33" t="str">
        <f>IF(OR(ISBLANK(AB122), ISBLANK(AC122)),"",CONCATENATE(" ",VLOOKUP(AC122,Literatuur!$A:$B,2,FALSE)," "))</f>
        <v/>
      </c>
      <c r="AG122" s="33" t="str">
        <f>IF(OR(ISBLANK(AE122), ISBLANK(AF122)),"",CONCATENATE(" ",VLOOKUP(AF122,Literatuur!$A:$B,2,FALSE)," "))</f>
        <v/>
      </c>
      <c r="AJ122" s="44" t="str">
        <f t="shared" si="82"/>
        <v xml:space="preserve"> </v>
      </c>
      <c r="AK122" s="33" t="str">
        <f>IF(OR(ISBLANK(AI122), ISBLANK(AJ122)),"",CONCATENATE(" ",VLOOKUP(AJ122,Literatuur!$A:$B,2,FALSE)," "))</f>
        <v/>
      </c>
      <c r="AM122" s="44" t="str">
        <f t="shared" si="83"/>
        <v xml:space="preserve"> </v>
      </c>
      <c r="AN122" s="33" t="str">
        <f>IF(OR(ISBLANK(AL122), ISBLANK(AM122)),"",CONCATENATE(" ",VLOOKUP(AM122,Literatuur!$A:$B,2,FALSE)," "))</f>
        <v/>
      </c>
      <c r="AP122" s="44" t="str">
        <f t="shared" si="84"/>
        <v xml:space="preserve"> </v>
      </c>
      <c r="AQ122" s="33" t="str">
        <f>IF(OR(ISBLANK(AO122), ISBLANK(AP122)),"",CONCATENATE(" ",VLOOKUP(AP122,Literatuur!$A:$B,2,FALSE)," "))</f>
        <v/>
      </c>
      <c r="AT122" s="33" t="str">
        <f>IF(OR(ISBLANK(AR122), ISBLANK(AS122)),"",CONCATENATE(" ",VLOOKUP(AS122,Literatuur!$A:$B,2,FALSE)," "))</f>
        <v/>
      </c>
      <c r="AU122" s="33">
        <v>156</v>
      </c>
      <c r="AV122" s="33" t="s">
        <v>2066</v>
      </c>
      <c r="AW122" s="33" t="str">
        <f>IF(OR(ISBLANK(AU122), ISBLANK(AV122)),"",CONCATENATE(" ",VLOOKUP(AV122,Literatuur!$A:$B,2,FALSE)," "))</f>
        <v xml:space="preserve"> 8 </v>
      </c>
      <c r="AZ122" s="44" t="str">
        <f t="shared" si="85"/>
        <v xml:space="preserve"> </v>
      </c>
      <c r="BA122" s="33" t="str">
        <f>IF(OR(ISBLANK(AY122), ISBLANK(AZ122)),"",CONCATENATE(" ",VLOOKUP(AZ122,Literatuur!$A:$B,2,FALSE)," "))</f>
        <v/>
      </c>
      <c r="BC122" s="44" t="str">
        <f t="shared" si="86"/>
        <v xml:space="preserve"> </v>
      </c>
      <c r="BD122" s="33" t="str">
        <f>IF(OR(ISBLANK(BB122), ISBLANK(BC122)),"",CONCATENATE(" ",VLOOKUP(BC122,Literatuur!$A:$B,2,FALSE)," "))</f>
        <v/>
      </c>
      <c r="BF122" s="44" t="str">
        <f t="shared" si="87"/>
        <v xml:space="preserve"> </v>
      </c>
      <c r="BG122" s="33" t="str">
        <f>IF(OR(ISBLANK(BE122), ISBLANK(BF122)),"",CONCATENATE(" ",VLOOKUP(BF122,Literatuur!$A:$B,2,FALSE)," "))</f>
        <v/>
      </c>
      <c r="BI122" s="44" t="str">
        <f t="shared" si="88"/>
        <v xml:space="preserve"> </v>
      </c>
      <c r="BJ122" s="33" t="str">
        <f>IF(OR(ISBLANK(BH122), ISBLANK(BI122)),"",CONCATENATE(" ",VLOOKUP(BI122,Literatuur!$A:$B,2,FALSE)," "))</f>
        <v/>
      </c>
      <c r="BL122" s="44" t="str">
        <f t="shared" si="89"/>
        <v xml:space="preserve"> </v>
      </c>
      <c r="BM122" s="33" t="str">
        <f>IF(OR(ISBLANK(BK122), ISBLANK(BL122)),"",CONCATENATE(" ",VLOOKUP(BL122,Literatuur!$A:$B,2,FALSE)," "))</f>
        <v/>
      </c>
      <c r="BP122" s="33" t="str">
        <f>IF(OR(ISBLANK(BN122), ISBLANK(BO122)),"",CONCATENATE(" ",VLOOKUP(BO122,Literatuur!$A:$B,2,FALSE)," "))</f>
        <v/>
      </c>
      <c r="BS122" s="33" t="str">
        <f>IF(OR(ISBLANK(BQ122), ISBLANK(BR122)),"",CONCATENATE(" ",VLOOKUP(BR122,Literatuur!$A:$B,2,FALSE)," "))</f>
        <v/>
      </c>
      <c r="BT122" s="33">
        <v>4.37</v>
      </c>
      <c r="BU122" s="33" t="s">
        <v>2066</v>
      </c>
      <c r="BV122" s="33" t="str">
        <f>IF(OR(ISBLANK(BT122), ISBLANK(BU122)),"",CONCATENATE(" ",VLOOKUP(BU122,Literatuur!$A:$B,2,FALSE)," "))</f>
        <v xml:space="preserve"> 8 </v>
      </c>
      <c r="BY122" s="33">
        <v>155.6</v>
      </c>
      <c r="CB122" s="33" t="s">
        <v>2066</v>
      </c>
      <c r="CD122" s="33">
        <f t="shared" si="90"/>
        <v>155.6</v>
      </c>
      <c r="CE122" s="37">
        <f t="shared" si="91"/>
        <v>156</v>
      </c>
      <c r="CH122" s="33">
        <f t="shared" si="92"/>
        <v>4.37</v>
      </c>
      <c r="CR122" s="33" t="str">
        <f t="shared" si="62"/>
        <v>1,4-dimethylnaphthalene</v>
      </c>
      <c r="CS122" s="33" t="str">
        <f t="shared" si="63"/>
        <v>PAK</v>
      </c>
      <c r="CT122" s="33">
        <f t="shared" si="64"/>
        <v>156</v>
      </c>
      <c r="CU122" s="33" t="str">
        <f t="shared" si="65"/>
        <v xml:space="preserve"> 8 </v>
      </c>
      <c r="CV122" s="33" t="str">
        <f t="shared" si="66"/>
        <v/>
      </c>
      <c r="CW122" s="33" t="str">
        <f t="shared" si="67"/>
        <v/>
      </c>
      <c r="CX122" s="33">
        <f t="shared" si="68"/>
        <v>4.37</v>
      </c>
      <c r="CY122" s="33" t="str">
        <f t="shared" si="69"/>
        <v xml:space="preserve"> 8 </v>
      </c>
    </row>
    <row r="123" spans="1:103" ht="12.75" customHeight="1" x14ac:dyDescent="0.2">
      <c r="B123" s="33">
        <v>-1558</v>
      </c>
      <c r="C123" s="33" t="e">
        <f>VLOOKUP(B123,Lohman2011!$I$7:$U$28,2,FALSE)</f>
        <v>#N/A</v>
      </c>
      <c r="D123" s="105" t="s">
        <v>585</v>
      </c>
      <c r="E123" s="105" t="s">
        <v>585</v>
      </c>
      <c r="F123" s="34"/>
      <c r="G123" s="34"/>
      <c r="I123" s="33">
        <f t="shared" si="74"/>
        <v>156</v>
      </c>
      <c r="J123" s="33" t="e">
        <f t="shared" si="70"/>
        <v>#DIV/0!</v>
      </c>
      <c r="K123" s="44">
        <f t="shared" si="75"/>
        <v>4.32</v>
      </c>
      <c r="L123" s="33">
        <f t="shared" si="76"/>
        <v>155.6</v>
      </c>
      <c r="M123" s="33" t="s">
        <v>1550</v>
      </c>
      <c r="Q123" s="44" t="str">
        <f t="shared" si="77"/>
        <v xml:space="preserve"> </v>
      </c>
      <c r="R123" s="33" t="str">
        <f>IF(OR(ISBLANK(P123), ISBLANK(Q123)),"",CONCATENATE(" ",VLOOKUP(Q123,Literatuur!$A:$B,2,FALSE)," "))</f>
        <v/>
      </c>
      <c r="T123" s="44" t="str">
        <f t="shared" si="78"/>
        <v xml:space="preserve"> </v>
      </c>
      <c r="U123" s="33" t="str">
        <f>IF(OR(ISBLANK(S123), ISBLANK(T123)),"",CONCATENATE(" ",VLOOKUP(T123,Literatuur!$A:$B,2,FALSE)," "))</f>
        <v/>
      </c>
      <c r="W123" s="44" t="str">
        <f t="shared" si="79"/>
        <v xml:space="preserve"> </v>
      </c>
      <c r="X123" s="33" t="str">
        <f>IF(OR(ISBLANK(V123), ISBLANK(W123)),"",CONCATENATE(" ",VLOOKUP(W123,Literatuur!$A:$B,2,FALSE)," "))</f>
        <v/>
      </c>
      <c r="Z123" s="44" t="str">
        <f t="shared" si="80"/>
        <v xml:space="preserve"> </v>
      </c>
      <c r="AA123" s="33" t="str">
        <f>IF(OR(ISBLANK(Y123), ISBLANK(Z123)),"",CONCATENATE(" ",VLOOKUP(Z123,Literatuur!$A:$B,2,FALSE)," "))</f>
        <v/>
      </c>
      <c r="AC123" s="186" t="str">
        <f t="shared" si="81"/>
        <v xml:space="preserve"> </v>
      </c>
      <c r="AD123" s="33" t="str">
        <f>IF(OR(ISBLANK(AB123), ISBLANK(AC123)),"",CONCATENATE(" ",VLOOKUP(AC123,Literatuur!$A:$B,2,FALSE)," "))</f>
        <v/>
      </c>
      <c r="AG123" s="33" t="str">
        <f>IF(OR(ISBLANK(AE123), ISBLANK(AF123)),"",CONCATENATE(" ",VLOOKUP(AF123,Literatuur!$A:$B,2,FALSE)," "))</f>
        <v/>
      </c>
      <c r="AJ123" s="44" t="str">
        <f t="shared" si="82"/>
        <v xml:space="preserve"> </v>
      </c>
      <c r="AK123" s="33" t="str">
        <f>IF(OR(ISBLANK(AI123), ISBLANK(AJ123)),"",CONCATENATE(" ",VLOOKUP(AJ123,Literatuur!$A:$B,2,FALSE)," "))</f>
        <v/>
      </c>
      <c r="AM123" s="44" t="str">
        <f t="shared" si="83"/>
        <v xml:space="preserve"> </v>
      </c>
      <c r="AN123" s="33" t="str">
        <f>IF(OR(ISBLANK(AL123), ISBLANK(AM123)),"",CONCATENATE(" ",VLOOKUP(AM123,Literatuur!$A:$B,2,FALSE)," "))</f>
        <v/>
      </c>
      <c r="AP123" s="44" t="str">
        <f t="shared" si="84"/>
        <v xml:space="preserve"> </v>
      </c>
      <c r="AQ123" s="33" t="str">
        <f>IF(OR(ISBLANK(AO123), ISBLANK(AP123)),"",CONCATENATE(" ",VLOOKUP(AP123,Literatuur!$A:$B,2,FALSE)," "))</f>
        <v/>
      </c>
      <c r="AT123" s="33" t="str">
        <f>IF(OR(ISBLANK(AR123), ISBLANK(AS123)),"",CONCATENATE(" ",VLOOKUP(AS123,Literatuur!$A:$B,2,FALSE)," "))</f>
        <v/>
      </c>
      <c r="AU123" s="33">
        <v>156</v>
      </c>
      <c r="AV123" s="33" t="s">
        <v>2066</v>
      </c>
      <c r="AW123" s="33" t="str">
        <f>IF(OR(ISBLANK(AU123), ISBLANK(AV123)),"",CONCATENATE(" ",VLOOKUP(AV123,Literatuur!$A:$B,2,FALSE)," "))</f>
        <v xml:space="preserve"> 8 </v>
      </c>
      <c r="AZ123" s="44" t="str">
        <f t="shared" si="85"/>
        <v xml:space="preserve"> </v>
      </c>
      <c r="BA123" s="33" t="str">
        <f>IF(OR(ISBLANK(AY123), ISBLANK(AZ123)),"",CONCATENATE(" ",VLOOKUP(AZ123,Literatuur!$A:$B,2,FALSE)," "))</f>
        <v/>
      </c>
      <c r="BC123" s="44" t="str">
        <f t="shared" si="86"/>
        <v xml:space="preserve"> </v>
      </c>
      <c r="BD123" s="33" t="str">
        <f>IF(OR(ISBLANK(BB123), ISBLANK(BC123)),"",CONCATENATE(" ",VLOOKUP(BC123,Literatuur!$A:$B,2,FALSE)," "))</f>
        <v/>
      </c>
      <c r="BF123" s="44" t="str">
        <f t="shared" si="87"/>
        <v xml:space="preserve"> </v>
      </c>
      <c r="BG123" s="33" t="str">
        <f>IF(OR(ISBLANK(BE123), ISBLANK(BF123)),"",CONCATENATE(" ",VLOOKUP(BF123,Literatuur!$A:$B,2,FALSE)," "))</f>
        <v/>
      </c>
      <c r="BI123" s="44" t="str">
        <f t="shared" si="88"/>
        <v xml:space="preserve"> </v>
      </c>
      <c r="BJ123" s="33" t="str">
        <f>IF(OR(ISBLANK(BH123), ISBLANK(BI123)),"",CONCATENATE(" ",VLOOKUP(BI123,Literatuur!$A:$B,2,FALSE)," "))</f>
        <v/>
      </c>
      <c r="BL123" s="44" t="str">
        <f t="shared" si="89"/>
        <v xml:space="preserve"> </v>
      </c>
      <c r="BM123" s="33" t="str">
        <f>IF(OR(ISBLANK(BK123), ISBLANK(BL123)),"",CONCATENATE(" ",VLOOKUP(BL123,Literatuur!$A:$B,2,FALSE)," "))</f>
        <v/>
      </c>
      <c r="BP123" s="33" t="str">
        <f>IF(OR(ISBLANK(BN123), ISBLANK(BO123)),"",CONCATENATE(" ",VLOOKUP(BO123,Literatuur!$A:$B,2,FALSE)," "))</f>
        <v/>
      </c>
      <c r="BS123" s="33" t="str">
        <f>IF(OR(ISBLANK(BQ123), ISBLANK(BR123)),"",CONCATENATE(" ",VLOOKUP(BR123,Literatuur!$A:$B,2,FALSE)," "))</f>
        <v/>
      </c>
      <c r="BT123" s="33">
        <v>4.32</v>
      </c>
      <c r="BU123" s="33" t="s">
        <v>2066</v>
      </c>
      <c r="BV123" s="33" t="str">
        <f>IF(OR(ISBLANK(BT123), ISBLANK(BU123)),"",CONCATENATE(" ",VLOOKUP(BU123,Literatuur!$A:$B,2,FALSE)," "))</f>
        <v xml:space="preserve"> 8 </v>
      </c>
      <c r="BY123" s="33">
        <v>155.6</v>
      </c>
      <c r="CB123" s="33" t="s">
        <v>2066</v>
      </c>
      <c r="CD123" s="33">
        <f t="shared" si="90"/>
        <v>155.6</v>
      </c>
      <c r="CE123" s="37">
        <f t="shared" si="91"/>
        <v>156</v>
      </c>
      <c r="CH123" s="33">
        <f t="shared" si="92"/>
        <v>4.32</v>
      </c>
      <c r="CR123" s="33" t="str">
        <f t="shared" si="62"/>
        <v>1,8-dimethylnaphthalene</v>
      </c>
      <c r="CS123" s="33" t="str">
        <f t="shared" si="63"/>
        <v>PAK</v>
      </c>
      <c r="CT123" s="33">
        <f t="shared" si="64"/>
        <v>156</v>
      </c>
      <c r="CU123" s="33" t="str">
        <f t="shared" si="65"/>
        <v xml:space="preserve"> 8 </v>
      </c>
      <c r="CV123" s="33" t="str">
        <f t="shared" si="66"/>
        <v/>
      </c>
      <c r="CW123" s="33" t="str">
        <f t="shared" si="67"/>
        <v/>
      </c>
      <c r="CX123" s="33">
        <f t="shared" si="68"/>
        <v>4.32</v>
      </c>
      <c r="CY123" s="33" t="str">
        <f t="shared" si="69"/>
        <v xml:space="preserve"> 8 </v>
      </c>
    </row>
    <row r="124" spans="1:103" ht="12.75" customHeight="1" x14ac:dyDescent="0.2">
      <c r="B124" s="33">
        <v>-1562</v>
      </c>
      <c r="C124" s="33" t="e">
        <f>VLOOKUP(B124,Lohman2011!$I$7:$U$28,2,FALSE)</f>
        <v>#N/A</v>
      </c>
      <c r="D124" s="105" t="s">
        <v>592</v>
      </c>
      <c r="E124" s="105" t="s">
        <v>592</v>
      </c>
      <c r="F124" s="34"/>
      <c r="G124" s="34"/>
      <c r="I124" s="33">
        <f t="shared" si="74"/>
        <v>180</v>
      </c>
      <c r="J124" s="33" t="e">
        <f t="shared" si="70"/>
        <v>#DIV/0!</v>
      </c>
      <c r="K124" s="44">
        <f t="shared" si="75"/>
        <v>4.97</v>
      </c>
      <c r="L124" s="33">
        <f t="shared" si="76"/>
        <v>169.4</v>
      </c>
      <c r="M124" s="33" t="s">
        <v>1550</v>
      </c>
      <c r="Q124" s="44" t="str">
        <f t="shared" si="77"/>
        <v xml:space="preserve"> </v>
      </c>
      <c r="R124" s="33" t="str">
        <f>IF(OR(ISBLANK(P124), ISBLANK(Q124)),"",CONCATENATE(" ",VLOOKUP(Q124,Literatuur!$A:$B,2,FALSE)," "))</f>
        <v/>
      </c>
      <c r="T124" s="44" t="str">
        <f t="shared" si="78"/>
        <v xml:space="preserve"> </v>
      </c>
      <c r="U124" s="33" t="str">
        <f>IF(OR(ISBLANK(S124), ISBLANK(T124)),"",CONCATENATE(" ",VLOOKUP(T124,Literatuur!$A:$B,2,FALSE)," "))</f>
        <v/>
      </c>
      <c r="W124" s="44" t="str">
        <f t="shared" si="79"/>
        <v xml:space="preserve"> </v>
      </c>
      <c r="X124" s="33" t="str">
        <f>IF(OR(ISBLANK(V124), ISBLANK(W124)),"",CONCATENATE(" ",VLOOKUP(W124,Literatuur!$A:$B,2,FALSE)," "))</f>
        <v/>
      </c>
      <c r="Z124" s="44" t="str">
        <f t="shared" si="80"/>
        <v xml:space="preserve"> </v>
      </c>
      <c r="AA124" s="33" t="str">
        <f>IF(OR(ISBLANK(Y124), ISBLANK(Z124)),"",CONCATENATE(" ",VLOOKUP(Z124,Literatuur!$A:$B,2,FALSE)," "))</f>
        <v/>
      </c>
      <c r="AC124" s="186" t="str">
        <f t="shared" si="81"/>
        <v xml:space="preserve"> </v>
      </c>
      <c r="AD124" s="33" t="str">
        <f>IF(OR(ISBLANK(AB124), ISBLANK(AC124)),"",CONCATENATE(" ",VLOOKUP(AC124,Literatuur!$A:$B,2,FALSE)," "))</f>
        <v/>
      </c>
      <c r="AG124" s="33" t="str">
        <f>IF(OR(ISBLANK(AE124), ISBLANK(AF124)),"",CONCATENATE(" ",VLOOKUP(AF124,Literatuur!$A:$B,2,FALSE)," "))</f>
        <v/>
      </c>
      <c r="AJ124" s="44" t="str">
        <f t="shared" si="82"/>
        <v xml:space="preserve"> </v>
      </c>
      <c r="AK124" s="33" t="str">
        <f>IF(OR(ISBLANK(AI124), ISBLANK(AJ124)),"",CONCATENATE(" ",VLOOKUP(AJ124,Literatuur!$A:$B,2,FALSE)," "))</f>
        <v/>
      </c>
      <c r="AM124" s="44" t="str">
        <f t="shared" si="83"/>
        <v xml:space="preserve"> </v>
      </c>
      <c r="AN124" s="33" t="str">
        <f>IF(OR(ISBLANK(AL124), ISBLANK(AM124)),"",CONCATENATE(" ",VLOOKUP(AM124,Literatuur!$A:$B,2,FALSE)," "))</f>
        <v/>
      </c>
      <c r="AP124" s="44" t="str">
        <f t="shared" si="84"/>
        <v xml:space="preserve"> </v>
      </c>
      <c r="AQ124" s="33" t="str">
        <f>IF(OR(ISBLANK(AO124), ISBLANK(AP124)),"",CONCATENATE(" ",VLOOKUP(AP124,Literatuur!$A:$B,2,FALSE)," "))</f>
        <v/>
      </c>
      <c r="AT124" s="33" t="str">
        <f>IF(OR(ISBLANK(AR124), ISBLANK(AS124)),"",CONCATENATE(" ",VLOOKUP(AS124,Literatuur!$A:$B,2,FALSE)," "))</f>
        <v/>
      </c>
      <c r="AU124" s="33">
        <v>180</v>
      </c>
      <c r="AV124" s="33" t="s">
        <v>2066</v>
      </c>
      <c r="AW124" s="33" t="str">
        <f>IF(OR(ISBLANK(AU124), ISBLANK(AV124)),"",CONCATENATE(" ",VLOOKUP(AV124,Literatuur!$A:$B,2,FALSE)," "))</f>
        <v xml:space="preserve"> 8 </v>
      </c>
      <c r="AZ124" s="44" t="str">
        <f t="shared" si="85"/>
        <v xml:space="preserve"> </v>
      </c>
      <c r="BA124" s="33" t="str">
        <f>IF(OR(ISBLANK(AY124), ISBLANK(AZ124)),"",CONCATENATE(" ",VLOOKUP(AZ124,Literatuur!$A:$B,2,FALSE)," "))</f>
        <v/>
      </c>
      <c r="BC124" s="44" t="str">
        <f t="shared" si="86"/>
        <v xml:space="preserve"> </v>
      </c>
      <c r="BD124" s="33" t="str">
        <f>IF(OR(ISBLANK(BB124), ISBLANK(BC124)),"",CONCATENATE(" ",VLOOKUP(BC124,Literatuur!$A:$B,2,FALSE)," "))</f>
        <v/>
      </c>
      <c r="BF124" s="44" t="str">
        <f t="shared" si="87"/>
        <v xml:space="preserve"> </v>
      </c>
      <c r="BG124" s="33" t="str">
        <f>IF(OR(ISBLANK(BE124), ISBLANK(BF124)),"",CONCATENATE(" ",VLOOKUP(BF124,Literatuur!$A:$B,2,FALSE)," "))</f>
        <v/>
      </c>
      <c r="BI124" s="44" t="str">
        <f t="shared" si="88"/>
        <v xml:space="preserve"> </v>
      </c>
      <c r="BJ124" s="33" t="str">
        <f>IF(OR(ISBLANK(BH124), ISBLANK(BI124)),"",CONCATENATE(" ",VLOOKUP(BI124,Literatuur!$A:$B,2,FALSE)," "))</f>
        <v/>
      </c>
      <c r="BL124" s="44" t="str">
        <f t="shared" si="89"/>
        <v xml:space="preserve"> </v>
      </c>
      <c r="BM124" s="33" t="str">
        <f>IF(OR(ISBLANK(BK124), ISBLANK(BL124)),"",CONCATENATE(" ",VLOOKUP(BL124,Literatuur!$A:$B,2,FALSE)," "))</f>
        <v/>
      </c>
      <c r="BP124" s="33" t="str">
        <f>IF(OR(ISBLANK(BN124), ISBLANK(BO124)),"",CONCATENATE(" ",VLOOKUP(BO124,Literatuur!$A:$B,2,FALSE)," "))</f>
        <v/>
      </c>
      <c r="BS124" s="33" t="str">
        <f>IF(OR(ISBLANK(BQ124), ISBLANK(BR124)),"",CONCATENATE(" ",VLOOKUP(BR124,Literatuur!$A:$B,2,FALSE)," "))</f>
        <v/>
      </c>
      <c r="BT124" s="33">
        <v>4.97</v>
      </c>
      <c r="BU124" s="33" t="s">
        <v>2066</v>
      </c>
      <c r="BV124" s="33" t="str">
        <f>IF(OR(ISBLANK(BT124), ISBLANK(BU124)),"",CONCATENATE(" ",VLOOKUP(BU124,Literatuur!$A:$B,2,FALSE)," "))</f>
        <v xml:space="preserve"> 8 </v>
      </c>
      <c r="BY124" s="33">
        <v>169.4</v>
      </c>
      <c r="CB124" s="33" t="s">
        <v>2066</v>
      </c>
      <c r="CD124" s="33">
        <f t="shared" si="90"/>
        <v>169.4</v>
      </c>
      <c r="CE124" s="37">
        <f t="shared" si="91"/>
        <v>180</v>
      </c>
      <c r="CH124" s="33">
        <f t="shared" si="92"/>
        <v>4.97</v>
      </c>
      <c r="CR124" s="33" t="str">
        <f t="shared" si="62"/>
        <v>1-methylfluorene</v>
      </c>
      <c r="CS124" s="33" t="str">
        <f t="shared" si="63"/>
        <v>PAK</v>
      </c>
      <c r="CT124" s="33">
        <f t="shared" si="64"/>
        <v>180</v>
      </c>
      <c r="CU124" s="33" t="str">
        <f t="shared" si="65"/>
        <v xml:space="preserve"> 8 </v>
      </c>
      <c r="CV124" s="33" t="str">
        <f t="shared" si="66"/>
        <v/>
      </c>
      <c r="CW124" s="33" t="str">
        <f t="shared" si="67"/>
        <v/>
      </c>
      <c r="CX124" s="33">
        <f t="shared" si="68"/>
        <v>4.97</v>
      </c>
      <c r="CY124" s="33" t="str">
        <f t="shared" si="69"/>
        <v xml:space="preserve"> 8 </v>
      </c>
    </row>
    <row r="125" spans="1:103" ht="12.75" customHeight="1" x14ac:dyDescent="0.2">
      <c r="B125" s="33">
        <v>-1553</v>
      </c>
      <c r="C125" s="33" t="e">
        <f>VLOOKUP(B125,Lohman2011!$I$7:$U$28,2,FALSE)</f>
        <v>#N/A</v>
      </c>
      <c r="D125" s="105" t="s">
        <v>579</v>
      </c>
      <c r="E125" s="105" t="s">
        <v>579</v>
      </c>
      <c r="F125" s="34"/>
      <c r="G125" s="34"/>
      <c r="I125" s="33">
        <f t="shared" si="74"/>
        <v>142</v>
      </c>
      <c r="J125" s="33" t="e">
        <f t="shared" si="70"/>
        <v>#DIV/0!</v>
      </c>
      <c r="K125" s="44">
        <f t="shared" si="75"/>
        <v>3.87</v>
      </c>
      <c r="L125" s="33">
        <f t="shared" si="76"/>
        <v>139.9</v>
      </c>
      <c r="M125" s="33" t="s">
        <v>1550</v>
      </c>
      <c r="Q125" s="44" t="str">
        <f t="shared" si="77"/>
        <v xml:space="preserve"> </v>
      </c>
      <c r="R125" s="33" t="str">
        <f>IF(OR(ISBLANK(P125), ISBLANK(Q125)),"",CONCATENATE(" ",VLOOKUP(Q125,Literatuur!$A:$B,2,FALSE)," "))</f>
        <v/>
      </c>
      <c r="T125" s="44" t="str">
        <f t="shared" si="78"/>
        <v xml:space="preserve"> </v>
      </c>
      <c r="U125" s="33" t="str">
        <f>IF(OR(ISBLANK(S125), ISBLANK(T125)),"",CONCATENATE(" ",VLOOKUP(T125,Literatuur!$A:$B,2,FALSE)," "))</f>
        <v/>
      </c>
      <c r="W125" s="44" t="str">
        <f t="shared" si="79"/>
        <v xml:space="preserve"> </v>
      </c>
      <c r="X125" s="33" t="str">
        <f>IF(OR(ISBLANK(V125), ISBLANK(W125)),"",CONCATENATE(" ",VLOOKUP(W125,Literatuur!$A:$B,2,FALSE)," "))</f>
        <v/>
      </c>
      <c r="Z125" s="44" t="str">
        <f t="shared" si="80"/>
        <v xml:space="preserve"> </v>
      </c>
      <c r="AA125" s="33" t="str">
        <f>IF(OR(ISBLANK(Y125), ISBLANK(Z125)),"",CONCATENATE(" ",VLOOKUP(Z125,Literatuur!$A:$B,2,FALSE)," "))</f>
        <v/>
      </c>
      <c r="AC125" s="186" t="str">
        <f t="shared" si="81"/>
        <v xml:space="preserve"> </v>
      </c>
      <c r="AD125" s="33" t="str">
        <f>IF(OR(ISBLANK(AB125), ISBLANK(AC125)),"",CONCATENATE(" ",VLOOKUP(AC125,Literatuur!$A:$B,2,FALSE)," "))</f>
        <v/>
      </c>
      <c r="AG125" s="33" t="str">
        <f>IF(OR(ISBLANK(AE125), ISBLANK(AF125)),"",CONCATENATE(" ",VLOOKUP(AF125,Literatuur!$A:$B,2,FALSE)," "))</f>
        <v/>
      </c>
      <c r="AJ125" s="44" t="str">
        <f t="shared" si="82"/>
        <v xml:space="preserve"> </v>
      </c>
      <c r="AK125" s="33" t="str">
        <f>IF(OR(ISBLANK(AI125), ISBLANK(AJ125)),"",CONCATENATE(" ",VLOOKUP(AJ125,Literatuur!$A:$B,2,FALSE)," "))</f>
        <v/>
      </c>
      <c r="AM125" s="44" t="str">
        <f t="shared" si="83"/>
        <v xml:space="preserve"> </v>
      </c>
      <c r="AN125" s="33" t="str">
        <f>IF(OR(ISBLANK(AL125), ISBLANK(AM125)),"",CONCATENATE(" ",VLOOKUP(AM125,Literatuur!$A:$B,2,FALSE)," "))</f>
        <v/>
      </c>
      <c r="AP125" s="44" t="str">
        <f t="shared" si="84"/>
        <v xml:space="preserve"> </v>
      </c>
      <c r="AQ125" s="33" t="str">
        <f>IF(OR(ISBLANK(AO125), ISBLANK(AP125)),"",CONCATENATE(" ",VLOOKUP(AP125,Literatuur!$A:$B,2,FALSE)," "))</f>
        <v/>
      </c>
      <c r="AT125" s="33" t="str">
        <f>IF(OR(ISBLANK(AR125), ISBLANK(AS125)),"",CONCATENATE(" ",VLOOKUP(AS125,Literatuur!$A:$B,2,FALSE)," "))</f>
        <v/>
      </c>
      <c r="AU125" s="33">
        <v>142</v>
      </c>
      <c r="AV125" s="33" t="s">
        <v>2066</v>
      </c>
      <c r="AW125" s="33" t="str">
        <f>IF(OR(ISBLANK(AU125), ISBLANK(AV125)),"",CONCATENATE(" ",VLOOKUP(AV125,Literatuur!$A:$B,2,FALSE)," "))</f>
        <v xml:space="preserve"> 8 </v>
      </c>
      <c r="AZ125" s="44" t="str">
        <f t="shared" si="85"/>
        <v xml:space="preserve"> </v>
      </c>
      <c r="BA125" s="33" t="str">
        <f>IF(OR(ISBLANK(AY125), ISBLANK(AZ125)),"",CONCATENATE(" ",VLOOKUP(AZ125,Literatuur!$A:$B,2,FALSE)," "))</f>
        <v/>
      </c>
      <c r="BC125" s="44" t="str">
        <f t="shared" si="86"/>
        <v xml:space="preserve"> </v>
      </c>
      <c r="BD125" s="33" t="str">
        <f>IF(OR(ISBLANK(BB125), ISBLANK(BC125)),"",CONCATENATE(" ",VLOOKUP(BC125,Literatuur!$A:$B,2,FALSE)," "))</f>
        <v/>
      </c>
      <c r="BF125" s="44" t="str">
        <f t="shared" si="87"/>
        <v xml:space="preserve"> </v>
      </c>
      <c r="BG125" s="33" t="str">
        <f>IF(OR(ISBLANK(BE125), ISBLANK(BF125)),"",CONCATENATE(" ",VLOOKUP(BF125,Literatuur!$A:$B,2,FALSE)," "))</f>
        <v/>
      </c>
      <c r="BI125" s="44" t="str">
        <f t="shared" si="88"/>
        <v xml:space="preserve"> </v>
      </c>
      <c r="BJ125" s="33" t="str">
        <f>IF(OR(ISBLANK(BH125), ISBLANK(BI125)),"",CONCATENATE(" ",VLOOKUP(BI125,Literatuur!$A:$B,2,FALSE)," "))</f>
        <v/>
      </c>
      <c r="BL125" s="44" t="str">
        <f t="shared" si="89"/>
        <v xml:space="preserve"> </v>
      </c>
      <c r="BM125" s="33" t="str">
        <f>IF(OR(ISBLANK(BK125), ISBLANK(BL125)),"",CONCATENATE(" ",VLOOKUP(BL125,Literatuur!$A:$B,2,FALSE)," "))</f>
        <v/>
      </c>
      <c r="BP125" s="33" t="str">
        <f>IF(OR(ISBLANK(BN125), ISBLANK(BO125)),"",CONCATENATE(" ",VLOOKUP(BO125,Literatuur!$A:$B,2,FALSE)," "))</f>
        <v/>
      </c>
      <c r="BS125" s="33" t="str">
        <f>IF(OR(ISBLANK(BQ125), ISBLANK(BR125)),"",CONCATENATE(" ",VLOOKUP(BR125,Literatuur!$A:$B,2,FALSE)," "))</f>
        <v/>
      </c>
      <c r="BT125" s="33">
        <v>3.87</v>
      </c>
      <c r="BU125" s="33" t="s">
        <v>2066</v>
      </c>
      <c r="BV125" s="33" t="str">
        <f>IF(OR(ISBLANK(BT125), ISBLANK(BU125)),"",CONCATENATE(" ",VLOOKUP(BU125,Literatuur!$A:$B,2,FALSE)," "))</f>
        <v xml:space="preserve"> 8 </v>
      </c>
      <c r="BY125" s="33">
        <v>139.9</v>
      </c>
      <c r="CB125" s="33" t="s">
        <v>2066</v>
      </c>
      <c r="CD125" s="33">
        <f t="shared" si="90"/>
        <v>139.9</v>
      </c>
      <c r="CE125" s="37">
        <f t="shared" si="91"/>
        <v>142</v>
      </c>
      <c r="CH125" s="33">
        <f t="shared" si="92"/>
        <v>3.87</v>
      </c>
      <c r="CR125" s="33" t="str">
        <f t="shared" si="62"/>
        <v>1-methylnaphthalene</v>
      </c>
      <c r="CS125" s="33" t="str">
        <f t="shared" si="63"/>
        <v>PAK</v>
      </c>
      <c r="CT125" s="33">
        <f t="shared" si="64"/>
        <v>142</v>
      </c>
      <c r="CU125" s="33" t="str">
        <f t="shared" si="65"/>
        <v xml:space="preserve"> 8 </v>
      </c>
      <c r="CV125" s="33" t="str">
        <f t="shared" si="66"/>
        <v/>
      </c>
      <c r="CW125" s="33" t="str">
        <f t="shared" si="67"/>
        <v/>
      </c>
      <c r="CX125" s="33">
        <f t="shared" si="68"/>
        <v>3.87</v>
      </c>
      <c r="CY125" s="33" t="str">
        <f t="shared" si="69"/>
        <v xml:space="preserve"> 8 </v>
      </c>
    </row>
    <row r="126" spans="1:103" ht="12.75" customHeight="1" x14ac:dyDescent="0.2">
      <c r="B126" s="33">
        <v>-1565</v>
      </c>
      <c r="C126" s="33" t="e">
        <f>VLOOKUP(B126,Lohman2011!$I$7:$U$28,2,FALSE)</f>
        <v>#N/A</v>
      </c>
      <c r="D126" s="105" t="s">
        <v>596</v>
      </c>
      <c r="E126" s="105" t="s">
        <v>596</v>
      </c>
      <c r="F126" s="34"/>
      <c r="G126" s="34"/>
      <c r="I126" s="33">
        <f t="shared" si="74"/>
        <v>192</v>
      </c>
      <c r="J126" s="33" t="e">
        <f t="shared" si="70"/>
        <v>#DIV/0!</v>
      </c>
      <c r="K126" s="44">
        <f t="shared" si="75"/>
        <v>5.08</v>
      </c>
      <c r="L126" s="33">
        <f t="shared" si="76"/>
        <v>175.9</v>
      </c>
      <c r="M126" s="33" t="s">
        <v>1550</v>
      </c>
      <c r="Q126" s="44" t="str">
        <f t="shared" si="77"/>
        <v xml:space="preserve"> </v>
      </c>
      <c r="R126" s="33" t="str">
        <f>IF(OR(ISBLANK(P126), ISBLANK(Q126)),"",CONCATENATE(" ",VLOOKUP(Q126,Literatuur!$A:$B,2,FALSE)," "))</f>
        <v/>
      </c>
      <c r="T126" s="44" t="str">
        <f t="shared" si="78"/>
        <v xml:space="preserve"> </v>
      </c>
      <c r="U126" s="33" t="str">
        <f>IF(OR(ISBLANK(S126), ISBLANK(T126)),"",CONCATENATE(" ",VLOOKUP(T126,Literatuur!$A:$B,2,FALSE)," "))</f>
        <v/>
      </c>
      <c r="W126" s="44" t="str">
        <f t="shared" si="79"/>
        <v xml:space="preserve"> </v>
      </c>
      <c r="X126" s="33" t="str">
        <f>IF(OR(ISBLANK(V126), ISBLANK(W126)),"",CONCATENATE(" ",VLOOKUP(W126,Literatuur!$A:$B,2,FALSE)," "))</f>
        <v/>
      </c>
      <c r="Z126" s="44" t="str">
        <f t="shared" si="80"/>
        <v xml:space="preserve"> </v>
      </c>
      <c r="AA126" s="33" t="str">
        <f>IF(OR(ISBLANK(Y126), ISBLANK(Z126)),"",CONCATENATE(" ",VLOOKUP(Z126,Literatuur!$A:$B,2,FALSE)," "))</f>
        <v/>
      </c>
      <c r="AC126" s="186" t="str">
        <f t="shared" si="81"/>
        <v xml:space="preserve"> </v>
      </c>
      <c r="AD126" s="33" t="str">
        <f>IF(OR(ISBLANK(AB126), ISBLANK(AC126)),"",CONCATENATE(" ",VLOOKUP(AC126,Literatuur!$A:$B,2,FALSE)," "))</f>
        <v/>
      </c>
      <c r="AG126" s="33" t="str">
        <f>IF(OR(ISBLANK(AE126), ISBLANK(AF126)),"",CONCATENATE(" ",VLOOKUP(AF126,Literatuur!$A:$B,2,FALSE)," "))</f>
        <v/>
      </c>
      <c r="AJ126" s="44" t="str">
        <f t="shared" si="82"/>
        <v xml:space="preserve"> </v>
      </c>
      <c r="AK126" s="33" t="str">
        <f>IF(OR(ISBLANK(AI126), ISBLANK(AJ126)),"",CONCATENATE(" ",VLOOKUP(AJ126,Literatuur!$A:$B,2,FALSE)," "))</f>
        <v/>
      </c>
      <c r="AM126" s="44" t="str">
        <f t="shared" si="83"/>
        <v xml:space="preserve"> </v>
      </c>
      <c r="AN126" s="33" t="str">
        <f>IF(OR(ISBLANK(AL126), ISBLANK(AM126)),"",CONCATENATE(" ",VLOOKUP(AM126,Literatuur!$A:$B,2,FALSE)," "))</f>
        <v/>
      </c>
      <c r="AP126" s="44" t="str">
        <f t="shared" si="84"/>
        <v xml:space="preserve"> </v>
      </c>
      <c r="AQ126" s="33" t="str">
        <f>IF(OR(ISBLANK(AO126), ISBLANK(AP126)),"",CONCATENATE(" ",VLOOKUP(AP126,Literatuur!$A:$B,2,FALSE)," "))</f>
        <v/>
      </c>
      <c r="AT126" s="33" t="str">
        <f>IF(OR(ISBLANK(AR126), ISBLANK(AS126)),"",CONCATENATE(" ",VLOOKUP(AS126,Literatuur!$A:$B,2,FALSE)," "))</f>
        <v/>
      </c>
      <c r="AU126" s="33">
        <v>192</v>
      </c>
      <c r="AV126" s="33" t="s">
        <v>2066</v>
      </c>
      <c r="AW126" s="33" t="str">
        <f>IF(OR(ISBLANK(AU126), ISBLANK(AV126)),"",CONCATENATE(" ",VLOOKUP(AV126,Literatuur!$A:$B,2,FALSE)," "))</f>
        <v xml:space="preserve"> 8 </v>
      </c>
      <c r="AZ126" s="44" t="str">
        <f t="shared" si="85"/>
        <v xml:space="preserve"> </v>
      </c>
      <c r="BA126" s="33" t="str">
        <f>IF(OR(ISBLANK(AY126), ISBLANK(AZ126)),"",CONCATENATE(" ",VLOOKUP(AZ126,Literatuur!$A:$B,2,FALSE)," "))</f>
        <v/>
      </c>
      <c r="BC126" s="44" t="str">
        <f t="shared" si="86"/>
        <v xml:space="preserve"> </v>
      </c>
      <c r="BD126" s="33" t="str">
        <f>IF(OR(ISBLANK(BB126), ISBLANK(BC126)),"",CONCATENATE(" ",VLOOKUP(BC126,Literatuur!$A:$B,2,FALSE)," "))</f>
        <v/>
      </c>
      <c r="BF126" s="44" t="str">
        <f t="shared" si="87"/>
        <v xml:space="preserve"> </v>
      </c>
      <c r="BG126" s="33" t="str">
        <f>IF(OR(ISBLANK(BE126), ISBLANK(BF126)),"",CONCATENATE(" ",VLOOKUP(BF126,Literatuur!$A:$B,2,FALSE)," "))</f>
        <v/>
      </c>
      <c r="BI126" s="44" t="str">
        <f t="shared" si="88"/>
        <v xml:space="preserve"> </v>
      </c>
      <c r="BJ126" s="33" t="str">
        <f>IF(OR(ISBLANK(BH126), ISBLANK(BI126)),"",CONCATENATE(" ",VLOOKUP(BI126,Literatuur!$A:$B,2,FALSE)," "))</f>
        <v/>
      </c>
      <c r="BL126" s="44" t="str">
        <f t="shared" si="89"/>
        <v xml:space="preserve"> </v>
      </c>
      <c r="BM126" s="33" t="str">
        <f>IF(OR(ISBLANK(BK126), ISBLANK(BL126)),"",CONCATENATE(" ",VLOOKUP(BL126,Literatuur!$A:$B,2,FALSE)," "))</f>
        <v/>
      </c>
      <c r="BP126" s="33" t="str">
        <f>IF(OR(ISBLANK(BN126), ISBLANK(BO126)),"",CONCATENATE(" ",VLOOKUP(BO126,Literatuur!$A:$B,2,FALSE)," "))</f>
        <v/>
      </c>
      <c r="BS126" s="33" t="str">
        <f>IF(OR(ISBLANK(BQ126), ISBLANK(BR126)),"",CONCATENATE(" ",VLOOKUP(BR126,Literatuur!$A:$B,2,FALSE)," "))</f>
        <v/>
      </c>
      <c r="BT126" s="33">
        <v>5.08</v>
      </c>
      <c r="BU126" s="33" t="s">
        <v>2066</v>
      </c>
      <c r="BV126" s="33" t="str">
        <f>IF(OR(ISBLANK(BT126), ISBLANK(BU126)),"",CONCATENATE(" ",VLOOKUP(BU126,Literatuur!$A:$B,2,FALSE)," "))</f>
        <v xml:space="preserve"> 8 </v>
      </c>
      <c r="BY126" s="33">
        <v>175.9</v>
      </c>
      <c r="CB126" s="33" t="s">
        <v>2066</v>
      </c>
      <c r="CD126" s="33">
        <f t="shared" si="90"/>
        <v>175.9</v>
      </c>
      <c r="CE126" s="37">
        <f t="shared" si="91"/>
        <v>192</v>
      </c>
      <c r="CH126" s="33">
        <f t="shared" si="92"/>
        <v>5.08</v>
      </c>
      <c r="CR126" s="33" t="str">
        <f t="shared" si="62"/>
        <v>1-methylphenanthrene</v>
      </c>
      <c r="CS126" s="33" t="str">
        <f t="shared" si="63"/>
        <v>PAK</v>
      </c>
      <c r="CT126" s="33">
        <f t="shared" si="64"/>
        <v>192</v>
      </c>
      <c r="CU126" s="33" t="str">
        <f t="shared" si="65"/>
        <v xml:space="preserve"> 8 </v>
      </c>
      <c r="CV126" s="33" t="str">
        <f t="shared" si="66"/>
        <v/>
      </c>
      <c r="CW126" s="33" t="str">
        <f t="shared" si="67"/>
        <v/>
      </c>
      <c r="CX126" s="33">
        <f t="shared" si="68"/>
        <v>5.08</v>
      </c>
      <c r="CY126" s="33" t="str">
        <f t="shared" si="69"/>
        <v xml:space="preserve"> 8 </v>
      </c>
    </row>
    <row r="127" spans="1:103" ht="12.75" customHeight="1" x14ac:dyDescent="0.2">
      <c r="B127" s="33">
        <v>-1570</v>
      </c>
      <c r="C127" s="33" t="e">
        <f>VLOOKUP(B127,Lohman2011!$I$7:$U$28,2,FALSE)</f>
        <v>#N/A</v>
      </c>
      <c r="D127" s="481" t="s">
        <v>603</v>
      </c>
      <c r="E127" s="481" t="s">
        <v>603</v>
      </c>
      <c r="F127" s="34"/>
      <c r="G127" s="34"/>
      <c r="I127" s="33">
        <f t="shared" si="74"/>
        <v>216</v>
      </c>
      <c r="J127" s="33" t="e">
        <f t="shared" si="70"/>
        <v>#DIV/0!</v>
      </c>
      <c r="K127" s="44">
        <f t="shared" si="75"/>
        <v>5.48</v>
      </c>
      <c r="L127" s="33">
        <f t="shared" si="76"/>
        <v>197.7</v>
      </c>
      <c r="M127" s="33" t="s">
        <v>1550</v>
      </c>
      <c r="Q127" s="44" t="str">
        <f t="shared" si="77"/>
        <v xml:space="preserve"> </v>
      </c>
      <c r="R127" s="33" t="str">
        <f>IF(OR(ISBLANK(P127), ISBLANK(Q127)),"",CONCATENATE(" ",VLOOKUP(Q127,Literatuur!$A:$B,2,FALSE)," "))</f>
        <v/>
      </c>
      <c r="T127" s="44" t="str">
        <f t="shared" si="78"/>
        <v xml:space="preserve"> </v>
      </c>
      <c r="U127" s="33" t="str">
        <f>IF(OR(ISBLANK(S127), ISBLANK(T127)),"",CONCATENATE(" ",VLOOKUP(T127,Literatuur!$A:$B,2,FALSE)," "))</f>
        <v/>
      </c>
      <c r="W127" s="44" t="str">
        <f t="shared" si="79"/>
        <v xml:space="preserve"> </v>
      </c>
      <c r="X127" s="33" t="str">
        <f>IF(OR(ISBLANK(V127), ISBLANK(W127)),"",CONCATENATE(" ",VLOOKUP(W127,Literatuur!$A:$B,2,FALSE)," "))</f>
        <v/>
      </c>
      <c r="Z127" s="44" t="str">
        <f t="shared" si="80"/>
        <v xml:space="preserve"> </v>
      </c>
      <c r="AA127" s="33" t="str">
        <f>IF(OR(ISBLANK(Y127), ISBLANK(Z127)),"",CONCATENATE(" ",VLOOKUP(Z127,Literatuur!$A:$B,2,FALSE)," "))</f>
        <v/>
      </c>
      <c r="AC127" s="186" t="str">
        <f t="shared" si="81"/>
        <v xml:space="preserve"> </v>
      </c>
      <c r="AD127" s="33" t="str">
        <f>IF(OR(ISBLANK(AB127), ISBLANK(AC127)),"",CONCATENATE(" ",VLOOKUP(AC127,Literatuur!$A:$B,2,FALSE)," "))</f>
        <v/>
      </c>
      <c r="AG127" s="33" t="str">
        <f>IF(OR(ISBLANK(AE127), ISBLANK(AF127)),"",CONCATENATE(" ",VLOOKUP(AF127,Literatuur!$A:$B,2,FALSE)," "))</f>
        <v/>
      </c>
      <c r="AJ127" s="44" t="str">
        <f t="shared" si="82"/>
        <v xml:space="preserve"> </v>
      </c>
      <c r="AK127" s="33" t="str">
        <f>IF(OR(ISBLANK(AI127), ISBLANK(AJ127)),"",CONCATENATE(" ",VLOOKUP(AJ127,Literatuur!$A:$B,2,FALSE)," "))</f>
        <v/>
      </c>
      <c r="AM127" s="44" t="str">
        <f t="shared" si="83"/>
        <v xml:space="preserve"> </v>
      </c>
      <c r="AN127" s="33" t="str">
        <f>IF(OR(ISBLANK(AL127), ISBLANK(AM127)),"",CONCATENATE(" ",VLOOKUP(AM127,Literatuur!$A:$B,2,FALSE)," "))</f>
        <v/>
      </c>
      <c r="AP127" s="44" t="str">
        <f t="shared" si="84"/>
        <v xml:space="preserve"> </v>
      </c>
      <c r="AQ127" s="33" t="str">
        <f>IF(OR(ISBLANK(AO127), ISBLANK(AP127)),"",CONCATENATE(" ",VLOOKUP(AP127,Literatuur!$A:$B,2,FALSE)," "))</f>
        <v/>
      </c>
      <c r="AT127" s="33" t="str">
        <f>IF(OR(ISBLANK(AR127), ISBLANK(AS127)),"",CONCATENATE(" ",VLOOKUP(AS127,Literatuur!$A:$B,2,FALSE)," "))</f>
        <v/>
      </c>
      <c r="AU127" s="33">
        <v>216</v>
      </c>
      <c r="AV127" s="33" t="s">
        <v>2066</v>
      </c>
      <c r="AW127" s="33" t="str">
        <f>IF(OR(ISBLANK(AU127), ISBLANK(AV127)),"",CONCATENATE(" ",VLOOKUP(AV127,Literatuur!$A:$B,2,FALSE)," "))</f>
        <v xml:space="preserve"> 8 </v>
      </c>
      <c r="AZ127" s="44" t="str">
        <f t="shared" si="85"/>
        <v xml:space="preserve"> </v>
      </c>
      <c r="BA127" s="33" t="str">
        <f>IF(OR(ISBLANK(AY127), ISBLANK(AZ127)),"",CONCATENATE(" ",VLOOKUP(AZ127,Literatuur!$A:$B,2,FALSE)," "))</f>
        <v/>
      </c>
      <c r="BC127" s="44" t="str">
        <f t="shared" si="86"/>
        <v xml:space="preserve"> </v>
      </c>
      <c r="BD127" s="33" t="str">
        <f>IF(OR(ISBLANK(BB127), ISBLANK(BC127)),"",CONCATENATE(" ",VLOOKUP(BC127,Literatuur!$A:$B,2,FALSE)," "))</f>
        <v/>
      </c>
      <c r="BF127" s="44" t="str">
        <f t="shared" si="87"/>
        <v xml:space="preserve"> </v>
      </c>
      <c r="BG127" s="33" t="str">
        <f>IF(OR(ISBLANK(BE127), ISBLANK(BF127)),"",CONCATENATE(" ",VLOOKUP(BF127,Literatuur!$A:$B,2,FALSE)," "))</f>
        <v/>
      </c>
      <c r="BI127" s="44" t="str">
        <f t="shared" si="88"/>
        <v xml:space="preserve"> </v>
      </c>
      <c r="BJ127" s="33" t="str">
        <f>IF(OR(ISBLANK(BH127), ISBLANK(BI127)),"",CONCATENATE(" ",VLOOKUP(BI127,Literatuur!$A:$B,2,FALSE)," "))</f>
        <v/>
      </c>
      <c r="BL127" s="44" t="str">
        <f t="shared" si="89"/>
        <v xml:space="preserve"> </v>
      </c>
      <c r="BM127" s="33" t="str">
        <f>IF(OR(ISBLANK(BK127), ISBLANK(BL127)),"",CONCATENATE(" ",VLOOKUP(BL127,Literatuur!$A:$B,2,FALSE)," "))</f>
        <v/>
      </c>
      <c r="BP127" s="33" t="str">
        <f>IF(OR(ISBLANK(BN127), ISBLANK(BO127)),"",CONCATENATE(" ",VLOOKUP(BO127,Literatuur!$A:$B,2,FALSE)," "))</f>
        <v/>
      </c>
      <c r="BS127" s="33" t="str">
        <f>IF(OR(ISBLANK(BQ127), ISBLANK(BR127)),"",CONCATENATE(" ",VLOOKUP(BR127,Literatuur!$A:$B,2,FALSE)," "))</f>
        <v/>
      </c>
      <c r="BT127" s="33">
        <v>5.48</v>
      </c>
      <c r="BU127" s="33" t="s">
        <v>2066</v>
      </c>
      <c r="BV127" s="33" t="str">
        <f>IF(OR(ISBLANK(BT127), ISBLANK(BU127)),"",CONCATENATE(" ",VLOOKUP(BU127,Literatuur!$A:$B,2,FALSE)," "))</f>
        <v xml:space="preserve"> 8 </v>
      </c>
      <c r="BY127" s="33">
        <v>197.7</v>
      </c>
      <c r="CB127" s="33" t="s">
        <v>2066</v>
      </c>
      <c r="CD127" s="33">
        <f t="shared" si="90"/>
        <v>197.7</v>
      </c>
      <c r="CE127" s="37">
        <f t="shared" si="91"/>
        <v>216</v>
      </c>
      <c r="CH127" s="33">
        <f t="shared" si="92"/>
        <v>5.48</v>
      </c>
      <c r="CR127" s="33" t="str">
        <f t="shared" si="62"/>
        <v>1-methylpyrene</v>
      </c>
      <c r="CS127" s="33" t="str">
        <f t="shared" si="63"/>
        <v>PAK</v>
      </c>
      <c r="CT127" s="33">
        <f t="shared" si="64"/>
        <v>216</v>
      </c>
      <c r="CU127" s="33" t="str">
        <f t="shared" si="65"/>
        <v xml:space="preserve"> 8 </v>
      </c>
      <c r="CV127" s="33" t="str">
        <f t="shared" si="66"/>
        <v/>
      </c>
      <c r="CW127" s="33" t="str">
        <f t="shared" si="67"/>
        <v/>
      </c>
      <c r="CX127" s="33">
        <f t="shared" si="68"/>
        <v>5.48</v>
      </c>
      <c r="CY127" s="33" t="str">
        <f t="shared" si="69"/>
        <v xml:space="preserve"> 8 </v>
      </c>
    </row>
    <row r="128" spans="1:103" x14ac:dyDescent="0.2">
      <c r="B128" s="33">
        <v>-1560</v>
      </c>
      <c r="C128" s="33" t="e">
        <f>VLOOKUP(B128,Lohman2011!$I$7:$U$28,2,FALSE)</f>
        <v>#N/A</v>
      </c>
      <c r="D128" s="481" t="s">
        <v>588</v>
      </c>
      <c r="E128" s="481" t="s">
        <v>588</v>
      </c>
      <c r="F128" s="34"/>
      <c r="G128" s="34"/>
      <c r="I128" s="33">
        <f t="shared" si="74"/>
        <v>170</v>
      </c>
      <c r="J128" s="33" t="e">
        <f t="shared" si="70"/>
        <v>#DIV/0!</v>
      </c>
      <c r="K128" s="44">
        <f t="shared" si="75"/>
        <v>4.8099999999999996</v>
      </c>
      <c r="L128" s="33">
        <f t="shared" si="76"/>
        <v>170.2</v>
      </c>
      <c r="M128" s="33" t="s">
        <v>1550</v>
      </c>
      <c r="Q128" s="44" t="str">
        <f t="shared" si="77"/>
        <v xml:space="preserve"> </v>
      </c>
      <c r="R128" s="33" t="str">
        <f>IF(OR(ISBLANK(P128), ISBLANK(Q128)),"",CONCATENATE(" ",VLOOKUP(Q128,Literatuur!$A:$B,2,FALSE)," "))</f>
        <v/>
      </c>
      <c r="T128" s="44" t="str">
        <f t="shared" si="78"/>
        <v xml:space="preserve"> </v>
      </c>
      <c r="U128" s="33" t="str">
        <f>IF(OR(ISBLANK(S128), ISBLANK(T128)),"",CONCATENATE(" ",VLOOKUP(T128,Literatuur!$A:$B,2,FALSE)," "))</f>
        <v/>
      </c>
      <c r="W128" s="44" t="str">
        <f t="shared" si="79"/>
        <v xml:space="preserve"> </v>
      </c>
      <c r="X128" s="33" t="str">
        <f>IF(OR(ISBLANK(V128), ISBLANK(W128)),"",CONCATENATE(" ",VLOOKUP(W128,Literatuur!$A:$B,2,FALSE)," "))</f>
        <v/>
      </c>
      <c r="Z128" s="44" t="str">
        <f t="shared" si="80"/>
        <v xml:space="preserve"> </v>
      </c>
      <c r="AA128" s="33" t="str">
        <f>IF(OR(ISBLANK(Y128), ISBLANK(Z128)),"",CONCATENATE(" ",VLOOKUP(Z128,Literatuur!$A:$B,2,FALSE)," "))</f>
        <v/>
      </c>
      <c r="AC128" s="186" t="str">
        <f t="shared" si="81"/>
        <v xml:space="preserve"> </v>
      </c>
      <c r="AD128" s="33" t="str">
        <f>IF(OR(ISBLANK(AB128), ISBLANK(AC128)),"",CONCATENATE(" ",VLOOKUP(AC128,Literatuur!$A:$B,2,FALSE)," "))</f>
        <v/>
      </c>
      <c r="AG128" s="33" t="str">
        <f>IF(OR(ISBLANK(AE128), ISBLANK(AF128)),"",CONCATENATE(" ",VLOOKUP(AF128,Literatuur!$A:$B,2,FALSE)," "))</f>
        <v/>
      </c>
      <c r="AJ128" s="44" t="str">
        <f t="shared" si="82"/>
        <v xml:space="preserve"> </v>
      </c>
      <c r="AK128" s="33" t="str">
        <f>IF(OR(ISBLANK(AI128), ISBLANK(AJ128)),"",CONCATENATE(" ",VLOOKUP(AJ128,Literatuur!$A:$B,2,FALSE)," "))</f>
        <v/>
      </c>
      <c r="AM128" s="44" t="str">
        <f t="shared" si="83"/>
        <v xml:space="preserve"> </v>
      </c>
      <c r="AN128" s="33" t="str">
        <f>IF(OR(ISBLANK(AL128), ISBLANK(AM128)),"",CONCATENATE(" ",VLOOKUP(AM128,Literatuur!$A:$B,2,FALSE)," "))</f>
        <v/>
      </c>
      <c r="AP128" s="44" t="str">
        <f t="shared" si="84"/>
        <v xml:space="preserve"> </v>
      </c>
      <c r="AQ128" s="33" t="str">
        <f>IF(OR(ISBLANK(AO128), ISBLANK(AP128)),"",CONCATENATE(" ",VLOOKUP(AP128,Literatuur!$A:$B,2,FALSE)," "))</f>
        <v/>
      </c>
      <c r="AT128" s="33" t="str">
        <f>IF(OR(ISBLANK(AR128), ISBLANK(AS128)),"",CONCATENATE(" ",VLOOKUP(AS128,Literatuur!$A:$B,2,FALSE)," "))</f>
        <v/>
      </c>
      <c r="AU128" s="33">
        <v>170</v>
      </c>
      <c r="AV128" s="33" t="s">
        <v>2066</v>
      </c>
      <c r="AW128" s="33" t="str">
        <f>IF(OR(ISBLANK(AU128), ISBLANK(AV128)),"",CONCATENATE(" ",VLOOKUP(AV128,Literatuur!$A:$B,2,FALSE)," "))</f>
        <v xml:space="preserve"> 8 </v>
      </c>
      <c r="AZ128" s="44" t="str">
        <f t="shared" si="85"/>
        <v xml:space="preserve"> </v>
      </c>
      <c r="BA128" s="33" t="str">
        <f>IF(OR(ISBLANK(AY128), ISBLANK(AZ128)),"",CONCATENATE(" ",VLOOKUP(AZ128,Literatuur!$A:$B,2,FALSE)," "))</f>
        <v/>
      </c>
      <c r="BC128" s="44" t="str">
        <f t="shared" si="86"/>
        <v xml:space="preserve"> </v>
      </c>
      <c r="BD128" s="33" t="str">
        <f>IF(OR(ISBLANK(BB128), ISBLANK(BC128)),"",CONCATENATE(" ",VLOOKUP(BC128,Literatuur!$A:$B,2,FALSE)," "))</f>
        <v/>
      </c>
      <c r="BF128" s="44" t="str">
        <f t="shared" si="87"/>
        <v xml:space="preserve"> </v>
      </c>
      <c r="BG128" s="33" t="str">
        <f>IF(OR(ISBLANK(BE128), ISBLANK(BF128)),"",CONCATENATE(" ",VLOOKUP(BF128,Literatuur!$A:$B,2,FALSE)," "))</f>
        <v/>
      </c>
      <c r="BI128" s="44" t="str">
        <f t="shared" si="88"/>
        <v xml:space="preserve"> </v>
      </c>
      <c r="BJ128" s="33" t="str">
        <f>IF(OR(ISBLANK(BH128), ISBLANK(BI128)),"",CONCATENATE(" ",VLOOKUP(BI128,Literatuur!$A:$B,2,FALSE)," "))</f>
        <v/>
      </c>
      <c r="BL128" s="44" t="str">
        <f t="shared" si="89"/>
        <v xml:space="preserve"> </v>
      </c>
      <c r="BM128" s="33" t="str">
        <f>IF(OR(ISBLANK(BK128), ISBLANK(BL128)),"",CONCATENATE(" ",VLOOKUP(BL128,Literatuur!$A:$B,2,FALSE)," "))</f>
        <v/>
      </c>
      <c r="BP128" s="33" t="str">
        <f>IF(OR(ISBLANK(BN128), ISBLANK(BO128)),"",CONCATENATE(" ",VLOOKUP(BO128,Literatuur!$A:$B,2,FALSE)," "))</f>
        <v/>
      </c>
      <c r="BS128" s="33" t="str">
        <f>IF(OR(ISBLANK(BQ128), ISBLANK(BR128)),"",CONCATENATE(" ",VLOOKUP(BR128,Literatuur!$A:$B,2,FALSE)," "))</f>
        <v/>
      </c>
      <c r="BT128" s="33">
        <v>4.8099999999999996</v>
      </c>
      <c r="BU128" s="33" t="s">
        <v>2066</v>
      </c>
      <c r="BV128" s="33" t="str">
        <f>IF(OR(ISBLANK(BT128), ISBLANK(BU128)),"",CONCATENATE(" ",VLOOKUP(BU128,Literatuur!$A:$B,2,FALSE)," "))</f>
        <v xml:space="preserve"> 8 </v>
      </c>
      <c r="BY128" s="33">
        <v>170.2</v>
      </c>
      <c r="CB128" s="33" t="s">
        <v>2066</v>
      </c>
      <c r="CD128" s="33">
        <f t="shared" si="90"/>
        <v>170.2</v>
      </c>
      <c r="CE128" s="37">
        <f t="shared" si="91"/>
        <v>170</v>
      </c>
      <c r="CH128" s="33">
        <f t="shared" si="92"/>
        <v>4.8099999999999996</v>
      </c>
      <c r="CR128" s="33" t="str">
        <f t="shared" si="62"/>
        <v>2,3,5-trimethylnaphthalene</v>
      </c>
      <c r="CS128" s="33" t="str">
        <f t="shared" si="63"/>
        <v>PAK</v>
      </c>
      <c r="CT128" s="33">
        <f t="shared" si="64"/>
        <v>170</v>
      </c>
      <c r="CU128" s="33" t="str">
        <f t="shared" si="65"/>
        <v xml:space="preserve"> 8 </v>
      </c>
      <c r="CV128" s="33" t="str">
        <f t="shared" si="66"/>
        <v/>
      </c>
      <c r="CW128" s="33" t="str">
        <f t="shared" si="67"/>
        <v/>
      </c>
      <c r="CX128" s="33">
        <f t="shared" si="68"/>
        <v>4.8099999999999996</v>
      </c>
      <c r="CY128" s="33" t="str">
        <f t="shared" si="69"/>
        <v xml:space="preserve"> 8 </v>
      </c>
    </row>
    <row r="129" spans="2:103" x14ac:dyDescent="0.2">
      <c r="B129" s="33">
        <v>-1559</v>
      </c>
      <c r="C129" s="33" t="e">
        <f>VLOOKUP(B129,Lohman2011!$I$7:$U$28,2,FALSE)</f>
        <v>#N/A</v>
      </c>
      <c r="D129" s="481" t="s">
        <v>587</v>
      </c>
      <c r="E129" s="481" t="s">
        <v>587</v>
      </c>
      <c r="F129" s="34"/>
      <c r="G129" s="34"/>
      <c r="I129" s="33">
        <f t="shared" si="74"/>
        <v>170</v>
      </c>
      <c r="J129" s="33" t="e">
        <f t="shared" si="70"/>
        <v>#DIV/0!</v>
      </c>
      <c r="K129" s="44">
        <f t="shared" si="75"/>
        <v>4.7300000000000004</v>
      </c>
      <c r="L129" s="33">
        <f t="shared" si="76"/>
        <v>170.3</v>
      </c>
      <c r="M129" s="33" t="s">
        <v>1550</v>
      </c>
      <c r="Q129" s="44" t="str">
        <f t="shared" si="77"/>
        <v xml:space="preserve"> </v>
      </c>
      <c r="R129" s="33" t="str">
        <f>IF(OR(ISBLANK(P129), ISBLANK(Q129)),"",CONCATENATE(" ",VLOOKUP(Q129,Literatuur!$A:$B,2,FALSE)," "))</f>
        <v/>
      </c>
      <c r="T129" s="44" t="str">
        <f t="shared" si="78"/>
        <v xml:space="preserve"> </v>
      </c>
      <c r="U129" s="33" t="str">
        <f>IF(OR(ISBLANK(S129), ISBLANK(T129)),"",CONCATENATE(" ",VLOOKUP(T129,Literatuur!$A:$B,2,FALSE)," "))</f>
        <v/>
      </c>
      <c r="W129" s="44" t="str">
        <f t="shared" si="79"/>
        <v xml:space="preserve"> </v>
      </c>
      <c r="X129" s="33" t="str">
        <f>IF(OR(ISBLANK(V129), ISBLANK(W129)),"",CONCATENATE(" ",VLOOKUP(W129,Literatuur!$A:$B,2,FALSE)," "))</f>
        <v/>
      </c>
      <c r="Z129" s="44" t="str">
        <f t="shared" si="80"/>
        <v xml:space="preserve"> </v>
      </c>
      <c r="AA129" s="33" t="str">
        <f>IF(OR(ISBLANK(Y129), ISBLANK(Z129)),"",CONCATENATE(" ",VLOOKUP(Z129,Literatuur!$A:$B,2,FALSE)," "))</f>
        <v/>
      </c>
      <c r="AC129" s="186" t="str">
        <f t="shared" si="81"/>
        <v xml:space="preserve"> </v>
      </c>
      <c r="AD129" s="33" t="str">
        <f>IF(OR(ISBLANK(AB129), ISBLANK(AC129)),"",CONCATENATE(" ",VLOOKUP(AC129,Literatuur!$A:$B,2,FALSE)," "))</f>
        <v/>
      </c>
      <c r="AG129" s="33" t="str">
        <f>IF(OR(ISBLANK(AE129), ISBLANK(AF129)),"",CONCATENATE(" ",VLOOKUP(AF129,Literatuur!$A:$B,2,FALSE)," "))</f>
        <v/>
      </c>
      <c r="AJ129" s="44" t="str">
        <f t="shared" si="82"/>
        <v xml:space="preserve"> </v>
      </c>
      <c r="AK129" s="33" t="str">
        <f>IF(OR(ISBLANK(AI129), ISBLANK(AJ129)),"",CONCATENATE(" ",VLOOKUP(AJ129,Literatuur!$A:$B,2,FALSE)," "))</f>
        <v/>
      </c>
      <c r="AM129" s="44" t="str">
        <f t="shared" si="83"/>
        <v xml:space="preserve"> </v>
      </c>
      <c r="AN129" s="33" t="str">
        <f>IF(OR(ISBLANK(AL129), ISBLANK(AM129)),"",CONCATENATE(" ",VLOOKUP(AM129,Literatuur!$A:$B,2,FALSE)," "))</f>
        <v/>
      </c>
      <c r="AP129" s="44" t="str">
        <f t="shared" si="84"/>
        <v xml:space="preserve"> </v>
      </c>
      <c r="AQ129" s="33" t="str">
        <f>IF(OR(ISBLANK(AO129), ISBLANK(AP129)),"",CONCATENATE(" ",VLOOKUP(AP129,Literatuur!$A:$B,2,FALSE)," "))</f>
        <v/>
      </c>
      <c r="AT129" s="33" t="str">
        <f>IF(OR(ISBLANK(AR129), ISBLANK(AS129)),"",CONCATENATE(" ",VLOOKUP(AS129,Literatuur!$A:$B,2,FALSE)," "))</f>
        <v/>
      </c>
      <c r="AU129" s="33">
        <v>170</v>
      </c>
      <c r="AV129" s="33" t="s">
        <v>2066</v>
      </c>
      <c r="AW129" s="33" t="str">
        <f>IF(OR(ISBLANK(AU129), ISBLANK(AV129)),"",CONCATENATE(" ",VLOOKUP(AV129,Literatuur!$A:$B,2,FALSE)," "))</f>
        <v xml:space="preserve"> 8 </v>
      </c>
      <c r="AZ129" s="44" t="str">
        <f t="shared" si="85"/>
        <v xml:space="preserve"> </v>
      </c>
      <c r="BA129" s="33" t="str">
        <f>IF(OR(ISBLANK(AY129), ISBLANK(AZ129)),"",CONCATENATE(" ",VLOOKUP(AZ129,Literatuur!$A:$B,2,FALSE)," "))</f>
        <v/>
      </c>
      <c r="BC129" s="44" t="str">
        <f t="shared" si="86"/>
        <v xml:space="preserve"> </v>
      </c>
      <c r="BD129" s="33" t="str">
        <f>IF(OR(ISBLANK(BB129), ISBLANK(BC129)),"",CONCATENATE(" ",VLOOKUP(BC129,Literatuur!$A:$B,2,FALSE)," "))</f>
        <v/>
      </c>
      <c r="BF129" s="44" t="str">
        <f t="shared" si="87"/>
        <v xml:space="preserve"> </v>
      </c>
      <c r="BG129" s="33" t="str">
        <f>IF(OR(ISBLANK(BE129), ISBLANK(BF129)),"",CONCATENATE(" ",VLOOKUP(BF129,Literatuur!$A:$B,2,FALSE)," "))</f>
        <v/>
      </c>
      <c r="BI129" s="44" t="str">
        <f t="shared" si="88"/>
        <v xml:space="preserve"> </v>
      </c>
      <c r="BJ129" s="33" t="str">
        <f>IF(OR(ISBLANK(BH129), ISBLANK(BI129)),"",CONCATENATE(" ",VLOOKUP(BI129,Literatuur!$A:$B,2,FALSE)," "))</f>
        <v/>
      </c>
      <c r="BL129" s="44" t="str">
        <f t="shared" si="89"/>
        <v xml:space="preserve"> </v>
      </c>
      <c r="BM129" s="33" t="str">
        <f>IF(OR(ISBLANK(BK129), ISBLANK(BL129)),"",CONCATENATE(" ",VLOOKUP(BL129,Literatuur!$A:$B,2,FALSE)," "))</f>
        <v/>
      </c>
      <c r="BP129" s="33" t="str">
        <f>IF(OR(ISBLANK(BN129), ISBLANK(BO129)),"",CONCATENATE(" ",VLOOKUP(BO129,Literatuur!$A:$B,2,FALSE)," "))</f>
        <v/>
      </c>
      <c r="BS129" s="33" t="str">
        <f>IF(OR(ISBLANK(BQ129), ISBLANK(BR129)),"",CONCATENATE(" ",VLOOKUP(BR129,Literatuur!$A:$B,2,FALSE)," "))</f>
        <v/>
      </c>
      <c r="BT129" s="33">
        <v>4.7300000000000004</v>
      </c>
      <c r="BU129" s="33" t="s">
        <v>2066</v>
      </c>
      <c r="BV129" s="33" t="str">
        <f>IF(OR(ISBLANK(BT129), ISBLANK(BU129)),"",CONCATENATE(" ",VLOOKUP(BU129,Literatuur!$A:$B,2,FALSE)," "))</f>
        <v xml:space="preserve"> 8 </v>
      </c>
      <c r="BY129" s="33">
        <v>170.3</v>
      </c>
      <c r="CB129" s="33" t="s">
        <v>2066</v>
      </c>
      <c r="CD129" s="33">
        <f t="shared" si="90"/>
        <v>170.3</v>
      </c>
      <c r="CE129" s="37">
        <f t="shared" si="91"/>
        <v>170</v>
      </c>
      <c r="CH129" s="33">
        <f t="shared" si="92"/>
        <v>4.7300000000000004</v>
      </c>
      <c r="CR129" s="33" t="str">
        <f t="shared" si="62"/>
        <v>2,3,6-trimethylnaphthalene</v>
      </c>
      <c r="CS129" s="33" t="str">
        <f t="shared" si="63"/>
        <v>PAK</v>
      </c>
      <c r="CT129" s="33">
        <f t="shared" si="64"/>
        <v>170</v>
      </c>
      <c r="CU129" s="33" t="str">
        <f t="shared" si="65"/>
        <v xml:space="preserve"> 8 </v>
      </c>
      <c r="CV129" s="33" t="str">
        <f t="shared" si="66"/>
        <v/>
      </c>
      <c r="CW129" s="33" t="str">
        <f t="shared" si="67"/>
        <v/>
      </c>
      <c r="CX129" s="33">
        <f t="shared" si="68"/>
        <v>4.7300000000000004</v>
      </c>
      <c r="CY129" s="33" t="str">
        <f t="shared" si="69"/>
        <v xml:space="preserve"> 8 </v>
      </c>
    </row>
    <row r="130" spans="2:103" x14ac:dyDescent="0.2">
      <c r="B130" s="33">
        <v>-1554</v>
      </c>
      <c r="C130" s="33" t="e">
        <f>VLOOKUP(B130,Lohman2011!$I$7:$U$28,2,FALSE)</f>
        <v>#N/A</v>
      </c>
      <c r="D130" s="481" t="s">
        <v>581</v>
      </c>
      <c r="E130" s="481" t="s">
        <v>581</v>
      </c>
      <c r="F130" s="34"/>
      <c r="G130" s="34"/>
      <c r="I130" s="33">
        <f t="shared" si="74"/>
        <v>156</v>
      </c>
      <c r="J130" s="33" t="e">
        <f t="shared" si="70"/>
        <v>#DIV/0!</v>
      </c>
      <c r="K130" s="44">
        <f t="shared" si="75"/>
        <v>4.3099999999999996</v>
      </c>
      <c r="L130" s="33">
        <f t="shared" si="76"/>
        <v>155.9</v>
      </c>
      <c r="M130" s="33" t="s">
        <v>1550</v>
      </c>
      <c r="Q130" s="44" t="str">
        <f t="shared" si="77"/>
        <v xml:space="preserve"> </v>
      </c>
      <c r="R130" s="33" t="str">
        <f>IF(OR(ISBLANK(P130), ISBLANK(Q130)),"",CONCATENATE(" ",VLOOKUP(Q130,Literatuur!$A:$B,2,FALSE)," "))</f>
        <v/>
      </c>
      <c r="T130" s="44" t="str">
        <f t="shared" si="78"/>
        <v xml:space="preserve"> </v>
      </c>
      <c r="U130" s="33" t="str">
        <f>IF(OR(ISBLANK(S130), ISBLANK(T130)),"",CONCATENATE(" ",VLOOKUP(T130,Literatuur!$A:$B,2,FALSE)," "))</f>
        <v/>
      </c>
      <c r="W130" s="44" t="str">
        <f t="shared" si="79"/>
        <v xml:space="preserve"> </v>
      </c>
      <c r="X130" s="33" t="str">
        <f>IF(OR(ISBLANK(V130), ISBLANK(W130)),"",CONCATENATE(" ",VLOOKUP(W130,Literatuur!$A:$B,2,FALSE)," "))</f>
        <v/>
      </c>
      <c r="Z130" s="44" t="str">
        <f t="shared" si="80"/>
        <v xml:space="preserve"> </v>
      </c>
      <c r="AA130" s="33" t="str">
        <f>IF(OR(ISBLANK(Y130), ISBLANK(Z130)),"",CONCATENATE(" ",VLOOKUP(Z130,Literatuur!$A:$B,2,FALSE)," "))</f>
        <v/>
      </c>
      <c r="AC130" s="186" t="str">
        <f t="shared" si="81"/>
        <v xml:space="preserve"> </v>
      </c>
      <c r="AD130" s="33" t="str">
        <f>IF(OR(ISBLANK(AB130), ISBLANK(AC130)),"",CONCATENATE(" ",VLOOKUP(AC130,Literatuur!$A:$B,2,FALSE)," "))</f>
        <v/>
      </c>
      <c r="AG130" s="33" t="str">
        <f>IF(OR(ISBLANK(AE130), ISBLANK(AF130)),"",CONCATENATE(" ",VLOOKUP(AF130,Literatuur!$A:$B,2,FALSE)," "))</f>
        <v/>
      </c>
      <c r="AJ130" s="44" t="str">
        <f t="shared" si="82"/>
        <v xml:space="preserve"> </v>
      </c>
      <c r="AK130" s="33" t="str">
        <f>IF(OR(ISBLANK(AI130), ISBLANK(AJ130)),"",CONCATENATE(" ",VLOOKUP(AJ130,Literatuur!$A:$B,2,FALSE)," "))</f>
        <v/>
      </c>
      <c r="AM130" s="44" t="str">
        <f t="shared" si="83"/>
        <v xml:space="preserve"> </v>
      </c>
      <c r="AN130" s="33" t="str">
        <f>IF(OR(ISBLANK(AL130), ISBLANK(AM130)),"",CONCATENATE(" ",VLOOKUP(AM130,Literatuur!$A:$B,2,FALSE)," "))</f>
        <v/>
      </c>
      <c r="AP130" s="44" t="str">
        <f t="shared" si="84"/>
        <v xml:space="preserve"> </v>
      </c>
      <c r="AQ130" s="33" t="str">
        <f>IF(OR(ISBLANK(AO130), ISBLANK(AP130)),"",CONCATENATE(" ",VLOOKUP(AP130,Literatuur!$A:$B,2,FALSE)," "))</f>
        <v/>
      </c>
      <c r="AT130" s="33" t="str">
        <f>IF(OR(ISBLANK(AR130), ISBLANK(AS130)),"",CONCATENATE(" ",VLOOKUP(AS130,Literatuur!$A:$B,2,FALSE)," "))</f>
        <v/>
      </c>
      <c r="AU130" s="33">
        <v>156</v>
      </c>
      <c r="AV130" s="33" t="s">
        <v>2066</v>
      </c>
      <c r="AW130" s="33" t="str">
        <f>IF(OR(ISBLANK(AU130), ISBLANK(AV130)),"",CONCATENATE(" ",VLOOKUP(AV130,Literatuur!$A:$B,2,FALSE)," "))</f>
        <v xml:space="preserve"> 8 </v>
      </c>
      <c r="AZ130" s="44" t="str">
        <f t="shared" si="85"/>
        <v xml:space="preserve"> </v>
      </c>
      <c r="BA130" s="33" t="str">
        <f>IF(OR(ISBLANK(AY130), ISBLANK(AZ130)),"",CONCATENATE(" ",VLOOKUP(AZ130,Literatuur!$A:$B,2,FALSE)," "))</f>
        <v/>
      </c>
      <c r="BC130" s="44" t="str">
        <f t="shared" si="86"/>
        <v xml:space="preserve"> </v>
      </c>
      <c r="BD130" s="33" t="str">
        <f>IF(OR(ISBLANK(BB130), ISBLANK(BC130)),"",CONCATENATE(" ",VLOOKUP(BC130,Literatuur!$A:$B,2,FALSE)," "))</f>
        <v/>
      </c>
      <c r="BF130" s="44" t="str">
        <f t="shared" si="87"/>
        <v xml:space="preserve"> </v>
      </c>
      <c r="BG130" s="33" t="str">
        <f>IF(OR(ISBLANK(BE130), ISBLANK(BF130)),"",CONCATENATE(" ",VLOOKUP(BF130,Literatuur!$A:$B,2,FALSE)," "))</f>
        <v/>
      </c>
      <c r="BI130" s="44" t="str">
        <f t="shared" si="88"/>
        <v xml:space="preserve"> </v>
      </c>
      <c r="BJ130" s="33" t="str">
        <f>IF(OR(ISBLANK(BH130), ISBLANK(BI130)),"",CONCATENATE(" ",VLOOKUP(BI130,Literatuur!$A:$B,2,FALSE)," "))</f>
        <v/>
      </c>
      <c r="BL130" s="44" t="str">
        <f t="shared" si="89"/>
        <v xml:space="preserve"> </v>
      </c>
      <c r="BM130" s="33" t="str">
        <f>IF(OR(ISBLANK(BK130), ISBLANK(BL130)),"",CONCATENATE(" ",VLOOKUP(BL130,Literatuur!$A:$B,2,FALSE)," "))</f>
        <v/>
      </c>
      <c r="BP130" s="33" t="str">
        <f>IF(OR(ISBLANK(BN130), ISBLANK(BO130)),"",CONCATENATE(" ",VLOOKUP(BO130,Literatuur!$A:$B,2,FALSE)," "))</f>
        <v/>
      </c>
      <c r="BS130" s="33" t="str">
        <f>IF(OR(ISBLANK(BQ130), ISBLANK(BR130)),"",CONCATENATE(" ",VLOOKUP(BR130,Literatuur!$A:$B,2,FALSE)," "))</f>
        <v/>
      </c>
      <c r="BT130" s="33">
        <v>4.3099999999999996</v>
      </c>
      <c r="BU130" s="33" t="s">
        <v>2066</v>
      </c>
      <c r="BV130" s="33" t="str">
        <f>IF(OR(ISBLANK(BT130), ISBLANK(BU130)),"",CONCATENATE(" ",VLOOKUP(BU130,Literatuur!$A:$B,2,FALSE)," "))</f>
        <v xml:space="preserve"> 8 </v>
      </c>
      <c r="BY130" s="33">
        <v>155.9</v>
      </c>
      <c r="CB130" s="33" t="s">
        <v>2066</v>
      </c>
      <c r="CD130" s="33">
        <f t="shared" si="90"/>
        <v>155.9</v>
      </c>
      <c r="CE130" s="37">
        <f t="shared" si="91"/>
        <v>156</v>
      </c>
      <c r="CH130" s="33">
        <f t="shared" si="92"/>
        <v>4.3099999999999996</v>
      </c>
      <c r="CR130" s="33" t="str">
        <f t="shared" si="62"/>
        <v>2,6-dimethylnaphthalene</v>
      </c>
      <c r="CS130" s="33" t="str">
        <f t="shared" si="63"/>
        <v>PAK</v>
      </c>
      <c r="CT130" s="33">
        <f t="shared" si="64"/>
        <v>156</v>
      </c>
      <c r="CU130" s="33" t="str">
        <f t="shared" si="65"/>
        <v xml:space="preserve"> 8 </v>
      </c>
      <c r="CV130" s="33" t="str">
        <f t="shared" si="66"/>
        <v/>
      </c>
      <c r="CW130" s="33" t="str">
        <f t="shared" si="67"/>
        <v/>
      </c>
      <c r="CX130" s="33">
        <f t="shared" si="68"/>
        <v>4.3099999999999996</v>
      </c>
      <c r="CY130" s="33" t="str">
        <f t="shared" si="69"/>
        <v xml:space="preserve"> 8 </v>
      </c>
    </row>
    <row r="131" spans="2:103" x14ac:dyDescent="0.2">
      <c r="B131" s="33">
        <v>-1568</v>
      </c>
      <c r="C131" s="33" t="e">
        <f>VLOOKUP(B131,Lohman2011!$I$7:$U$28,2,FALSE)</f>
        <v>#N/A</v>
      </c>
      <c r="D131" s="481" t="s">
        <v>600</v>
      </c>
      <c r="E131" s="105" t="s">
        <v>600</v>
      </c>
      <c r="F131" s="34"/>
      <c r="G131" s="34"/>
      <c r="I131" s="33">
        <f t="shared" si="74"/>
        <v>206</v>
      </c>
      <c r="J131" s="33" t="e">
        <f t="shared" si="70"/>
        <v>#DIV/0!</v>
      </c>
      <c r="K131" s="44">
        <f t="shared" si="75"/>
        <v>5.85</v>
      </c>
      <c r="L131" s="33">
        <f t="shared" si="76"/>
        <v>191.2</v>
      </c>
      <c r="M131" s="33" t="s">
        <v>1550</v>
      </c>
      <c r="Q131" s="44" t="str">
        <f t="shared" si="77"/>
        <v xml:space="preserve"> </v>
      </c>
      <c r="R131" s="33" t="str">
        <f>IF(OR(ISBLANK(P131), ISBLANK(Q131)),"",CONCATENATE(" ",VLOOKUP(Q131,Literatuur!$A:$B,2,FALSE)," "))</f>
        <v/>
      </c>
      <c r="T131" s="44" t="str">
        <f t="shared" si="78"/>
        <v xml:space="preserve"> </v>
      </c>
      <c r="U131" s="33" t="str">
        <f>IF(OR(ISBLANK(S131), ISBLANK(T131)),"",CONCATENATE(" ",VLOOKUP(T131,Literatuur!$A:$B,2,FALSE)," "))</f>
        <v/>
      </c>
      <c r="W131" s="44" t="str">
        <f t="shared" si="79"/>
        <v xml:space="preserve"> </v>
      </c>
      <c r="X131" s="33" t="str">
        <f>IF(OR(ISBLANK(V131), ISBLANK(W131)),"",CONCATENATE(" ",VLOOKUP(W131,Literatuur!$A:$B,2,FALSE)," "))</f>
        <v/>
      </c>
      <c r="Z131" s="44" t="str">
        <f t="shared" si="80"/>
        <v xml:space="preserve"> </v>
      </c>
      <c r="AA131" s="33" t="str">
        <f>IF(OR(ISBLANK(Y131), ISBLANK(Z131)),"",CONCATENATE(" ",VLOOKUP(Z131,Literatuur!$A:$B,2,FALSE)," "))</f>
        <v/>
      </c>
      <c r="AC131" s="186" t="str">
        <f t="shared" si="81"/>
        <v xml:space="preserve"> </v>
      </c>
      <c r="AD131" s="33" t="str">
        <f>IF(OR(ISBLANK(AB131), ISBLANK(AC131)),"",CONCATENATE(" ",VLOOKUP(AC131,Literatuur!$A:$B,2,FALSE)," "))</f>
        <v/>
      </c>
      <c r="AG131" s="33" t="str">
        <f>IF(OR(ISBLANK(AE131), ISBLANK(AF131)),"",CONCATENATE(" ",VLOOKUP(AF131,Literatuur!$A:$B,2,FALSE)," "))</f>
        <v/>
      </c>
      <c r="AJ131" s="44" t="str">
        <f t="shared" si="82"/>
        <v xml:space="preserve"> </v>
      </c>
      <c r="AK131" s="33" t="str">
        <f>IF(OR(ISBLANK(AI131), ISBLANK(AJ131)),"",CONCATENATE(" ",VLOOKUP(AJ131,Literatuur!$A:$B,2,FALSE)," "))</f>
        <v/>
      </c>
      <c r="AM131" s="44" t="str">
        <f t="shared" si="83"/>
        <v xml:space="preserve"> </v>
      </c>
      <c r="AN131" s="33" t="str">
        <f>IF(OR(ISBLANK(AL131), ISBLANK(AM131)),"",CONCATENATE(" ",VLOOKUP(AM131,Literatuur!$A:$B,2,FALSE)," "))</f>
        <v/>
      </c>
      <c r="AP131" s="44" t="str">
        <f t="shared" si="84"/>
        <v xml:space="preserve"> </v>
      </c>
      <c r="AQ131" s="33" t="str">
        <f>IF(OR(ISBLANK(AO131), ISBLANK(AP131)),"",CONCATENATE(" ",VLOOKUP(AP131,Literatuur!$A:$B,2,FALSE)," "))</f>
        <v/>
      </c>
      <c r="AT131" s="33" t="str">
        <f>IF(OR(ISBLANK(AR131), ISBLANK(AS131)),"",CONCATENATE(" ",VLOOKUP(AS131,Literatuur!$A:$B,2,FALSE)," "))</f>
        <v/>
      </c>
      <c r="AU131" s="33">
        <v>206</v>
      </c>
      <c r="AV131" s="33" t="s">
        <v>2066</v>
      </c>
      <c r="AW131" s="33" t="str">
        <f>IF(OR(ISBLANK(AU131), ISBLANK(AV131)),"",CONCATENATE(" ",VLOOKUP(AV131,Literatuur!$A:$B,2,FALSE)," "))</f>
        <v xml:space="preserve"> 8 </v>
      </c>
      <c r="AZ131" s="44" t="str">
        <f t="shared" si="85"/>
        <v xml:space="preserve"> </v>
      </c>
      <c r="BA131" s="33" t="str">
        <f>IF(OR(ISBLANK(AY131), ISBLANK(AZ131)),"",CONCATENATE(" ",VLOOKUP(AZ131,Literatuur!$A:$B,2,FALSE)," "))</f>
        <v/>
      </c>
      <c r="BC131" s="44" t="str">
        <f t="shared" si="86"/>
        <v xml:space="preserve"> </v>
      </c>
      <c r="BD131" s="33" t="str">
        <f>IF(OR(ISBLANK(BB131), ISBLANK(BC131)),"",CONCATENATE(" ",VLOOKUP(BC131,Literatuur!$A:$B,2,FALSE)," "))</f>
        <v/>
      </c>
      <c r="BF131" s="44" t="str">
        <f t="shared" si="87"/>
        <v xml:space="preserve"> </v>
      </c>
      <c r="BG131" s="33" t="str">
        <f>IF(OR(ISBLANK(BE131), ISBLANK(BF131)),"",CONCATENATE(" ",VLOOKUP(BF131,Literatuur!$A:$B,2,FALSE)," "))</f>
        <v/>
      </c>
      <c r="BI131" s="44" t="str">
        <f t="shared" si="88"/>
        <v xml:space="preserve"> </v>
      </c>
      <c r="BJ131" s="33" t="str">
        <f>IF(OR(ISBLANK(BH131), ISBLANK(BI131)),"",CONCATENATE(" ",VLOOKUP(BI131,Literatuur!$A:$B,2,FALSE)," "))</f>
        <v/>
      </c>
      <c r="BL131" s="44" t="str">
        <f t="shared" si="89"/>
        <v xml:space="preserve"> </v>
      </c>
      <c r="BM131" s="33" t="str">
        <f>IF(OR(ISBLANK(BK131), ISBLANK(BL131)),"",CONCATENATE(" ",VLOOKUP(BL131,Literatuur!$A:$B,2,FALSE)," "))</f>
        <v/>
      </c>
      <c r="BP131" s="33" t="str">
        <f>IF(OR(ISBLANK(BN131), ISBLANK(BO131)),"",CONCATENATE(" ",VLOOKUP(BO131,Literatuur!$A:$B,2,FALSE)," "))</f>
        <v/>
      </c>
      <c r="BS131" s="33" t="str">
        <f>IF(OR(ISBLANK(BQ131), ISBLANK(BR131)),"",CONCATENATE(" ",VLOOKUP(BR131,Literatuur!$A:$B,2,FALSE)," "))</f>
        <v/>
      </c>
      <c r="BT131" s="33">
        <v>5.85</v>
      </c>
      <c r="BU131" s="33" t="s">
        <v>2066</v>
      </c>
      <c r="BV131" s="33" t="str">
        <f>IF(OR(ISBLANK(BT131), ISBLANK(BU131)),"",CONCATENATE(" ",VLOOKUP(BU131,Literatuur!$A:$B,2,FALSE)," "))</f>
        <v xml:space="preserve"> 8 </v>
      </c>
      <c r="BY131" s="33">
        <v>191.2</v>
      </c>
      <c r="CB131" s="33" t="s">
        <v>2066</v>
      </c>
      <c r="CD131" s="33">
        <f t="shared" si="90"/>
        <v>191.2</v>
      </c>
      <c r="CE131" s="37">
        <f t="shared" si="91"/>
        <v>206</v>
      </c>
      <c r="CH131" s="33">
        <f t="shared" si="92"/>
        <v>5.85</v>
      </c>
      <c r="CR131" s="33" t="str">
        <f t="shared" si="62"/>
        <v>2-ethylanthracene</v>
      </c>
      <c r="CS131" s="33" t="str">
        <f t="shared" si="63"/>
        <v>PAK</v>
      </c>
      <c r="CT131" s="33">
        <f t="shared" si="64"/>
        <v>206</v>
      </c>
      <c r="CU131" s="33" t="str">
        <f t="shared" si="65"/>
        <v xml:space="preserve"> 8 </v>
      </c>
      <c r="CV131" s="33" t="str">
        <f t="shared" si="66"/>
        <v/>
      </c>
      <c r="CW131" s="33" t="str">
        <f t="shared" si="67"/>
        <v/>
      </c>
      <c r="CX131" s="33">
        <f t="shared" si="68"/>
        <v>5.85</v>
      </c>
      <c r="CY131" s="33" t="str">
        <f t="shared" si="69"/>
        <v xml:space="preserve"> 8 </v>
      </c>
    </row>
    <row r="132" spans="2:103" x14ac:dyDescent="0.2">
      <c r="B132" s="33">
        <v>-1564</v>
      </c>
      <c r="C132" s="33" t="e">
        <f>VLOOKUP(B132,Lohman2011!$I$7:$U$28,2,FALSE)</f>
        <v>#N/A</v>
      </c>
      <c r="D132" s="482" t="s">
        <v>595</v>
      </c>
      <c r="E132" s="482" t="s">
        <v>595</v>
      </c>
      <c r="F132" s="34"/>
      <c r="G132" s="34"/>
      <c r="I132" s="33">
        <f t="shared" si="74"/>
        <v>192.15</v>
      </c>
      <c r="J132" s="33">
        <f t="shared" si="70"/>
        <v>1.6610369145756172</v>
      </c>
      <c r="K132" s="44">
        <f t="shared" si="75"/>
        <v>4.8499999999999996</v>
      </c>
      <c r="L132" s="33">
        <f t="shared" si="76"/>
        <v>174.8</v>
      </c>
      <c r="M132" s="33" t="s">
        <v>1550</v>
      </c>
      <c r="Q132" s="44" t="str">
        <f t="shared" si="77"/>
        <v xml:space="preserve"> </v>
      </c>
      <c r="R132" s="33" t="str">
        <f>IF(OR(ISBLANK(P132), ISBLANK(Q132)),"",CONCATENATE(" ",VLOOKUP(Q132,Literatuur!$A:$B,2,FALSE)," "))</f>
        <v/>
      </c>
      <c r="T132" s="44" t="str">
        <f t="shared" si="78"/>
        <v xml:space="preserve"> </v>
      </c>
      <c r="U132" s="33" t="str">
        <f>IF(OR(ISBLANK(S132), ISBLANK(T132)),"",CONCATENATE(" ",VLOOKUP(T132,Literatuur!$A:$B,2,FALSE)," "))</f>
        <v/>
      </c>
      <c r="W132" s="44" t="str">
        <f t="shared" si="79"/>
        <v xml:space="preserve"> </v>
      </c>
      <c r="X132" s="33" t="str">
        <f>IF(OR(ISBLANK(V132), ISBLANK(W132)),"",CONCATENATE(" ",VLOOKUP(W132,Literatuur!$A:$B,2,FALSE)," "))</f>
        <v/>
      </c>
      <c r="Z132" s="44" t="str">
        <f t="shared" si="80"/>
        <v xml:space="preserve"> </v>
      </c>
      <c r="AA132" s="33" t="str">
        <f>IF(OR(ISBLANK(Y132), ISBLANK(Z132)),"",CONCATENATE(" ",VLOOKUP(Z132,Literatuur!$A:$B,2,FALSE)," "))</f>
        <v/>
      </c>
      <c r="AC132" s="186" t="str">
        <f t="shared" si="81"/>
        <v xml:space="preserve"> </v>
      </c>
      <c r="AD132" s="33" t="str">
        <f>IF(OR(ISBLANK(AB132), ISBLANK(AC132)),"",CONCATENATE(" ",VLOOKUP(AC132,Literatuur!$A:$B,2,FALSE)," "))</f>
        <v/>
      </c>
      <c r="AE132" s="39">
        <v>1.6610369145756172</v>
      </c>
      <c r="AF132" s="33" t="s">
        <v>1557</v>
      </c>
      <c r="AG132" s="33" t="str">
        <f>IF(OR(ISBLANK(AE132), ISBLANK(AF132)),"",CONCATENATE(" ",VLOOKUP(AF132,Literatuur!$A:$B,2,FALSE)," "))</f>
        <v xml:space="preserve"> 17 </v>
      </c>
      <c r="AJ132" s="44" t="str">
        <f t="shared" si="82"/>
        <v xml:space="preserve"> </v>
      </c>
      <c r="AK132" s="33" t="str">
        <f>IF(OR(ISBLANK(AI132), ISBLANK(AJ132)),"",CONCATENATE(" ",VLOOKUP(AJ132,Literatuur!$A:$B,2,FALSE)," "))</f>
        <v/>
      </c>
      <c r="AM132" s="44" t="str">
        <f t="shared" si="83"/>
        <v xml:space="preserve"> </v>
      </c>
      <c r="AN132" s="33" t="str">
        <f>IF(OR(ISBLANK(AL132), ISBLANK(AM132)),"",CONCATENATE(" ",VLOOKUP(AM132,Literatuur!$A:$B,2,FALSE)," "))</f>
        <v/>
      </c>
      <c r="AP132" s="44" t="str">
        <f t="shared" si="84"/>
        <v xml:space="preserve"> </v>
      </c>
      <c r="AQ132" s="33" t="str">
        <f>IF(OR(ISBLANK(AO132), ISBLANK(AP132)),"",CONCATENATE(" ",VLOOKUP(AP132,Literatuur!$A:$B,2,FALSE)," "))</f>
        <v/>
      </c>
      <c r="AR132" s="33">
        <v>192.3</v>
      </c>
      <c r="AS132" s="33" t="s">
        <v>1557</v>
      </c>
      <c r="AT132" s="33" t="str">
        <f>IF(OR(ISBLANK(AR132), ISBLANK(AS132)),"",CONCATENATE(" ",VLOOKUP(AS132,Literatuur!$A:$B,2,FALSE)," "))</f>
        <v xml:space="preserve"> 17 </v>
      </c>
      <c r="AU132" s="33">
        <v>192</v>
      </c>
      <c r="AV132" s="33" t="s">
        <v>2066</v>
      </c>
      <c r="AW132" s="33" t="str">
        <f>IF(OR(ISBLANK(AU132), ISBLANK(AV132)),"",CONCATENATE(" ",VLOOKUP(AV132,Literatuur!$A:$B,2,FALSE)," "))</f>
        <v xml:space="preserve"> 8 </v>
      </c>
      <c r="AZ132" s="44" t="str">
        <f t="shared" si="85"/>
        <v xml:space="preserve"> </v>
      </c>
      <c r="BA132" s="33" t="str">
        <f>IF(OR(ISBLANK(AY132), ISBLANK(AZ132)),"",CONCATENATE(" ",VLOOKUP(AZ132,Literatuur!$A:$B,2,FALSE)," "))</f>
        <v/>
      </c>
      <c r="BC132" s="44" t="str">
        <f t="shared" si="86"/>
        <v xml:space="preserve"> </v>
      </c>
      <c r="BD132" s="33" t="str">
        <f>IF(OR(ISBLANK(BB132), ISBLANK(BC132)),"",CONCATENATE(" ",VLOOKUP(BC132,Literatuur!$A:$B,2,FALSE)," "))</f>
        <v/>
      </c>
      <c r="BF132" s="44" t="str">
        <f t="shared" si="87"/>
        <v xml:space="preserve"> </v>
      </c>
      <c r="BG132" s="33" t="str">
        <f>IF(OR(ISBLANK(BE132), ISBLANK(BF132)),"",CONCATENATE(" ",VLOOKUP(BF132,Literatuur!$A:$B,2,FALSE)," "))</f>
        <v/>
      </c>
      <c r="BI132" s="44" t="str">
        <f t="shared" si="88"/>
        <v xml:space="preserve"> </v>
      </c>
      <c r="BJ132" s="33" t="str">
        <f>IF(OR(ISBLANK(BH132), ISBLANK(BI132)),"",CONCATENATE(" ",VLOOKUP(BI132,Literatuur!$A:$B,2,FALSE)," "))</f>
        <v/>
      </c>
      <c r="BL132" s="44" t="str">
        <f t="shared" si="89"/>
        <v xml:space="preserve"> </v>
      </c>
      <c r="BM132" s="33" t="str">
        <f>IF(OR(ISBLANK(BK132), ISBLANK(BL132)),"",CONCATENATE(" ",VLOOKUP(BL132,Literatuur!$A:$B,2,FALSE)," "))</f>
        <v/>
      </c>
      <c r="BN132" s="33">
        <v>4.7</v>
      </c>
      <c r="BO132" s="33" t="s">
        <v>1557</v>
      </c>
      <c r="BP132" s="33" t="str">
        <f>IF(OR(ISBLANK(BN132), ISBLANK(BO132)),"",CONCATENATE(" ",VLOOKUP(BO132,Literatuur!$A:$B,2,FALSE)," "))</f>
        <v xml:space="preserve"> 17 </v>
      </c>
      <c r="BS132" s="33" t="str">
        <f>IF(OR(ISBLANK(BQ132), ISBLANK(BR132)),"",CONCATENATE(" ",VLOOKUP(BR132,Literatuur!$A:$B,2,FALSE)," "))</f>
        <v/>
      </c>
      <c r="BT132" s="33">
        <v>5</v>
      </c>
      <c r="BU132" s="33" t="s">
        <v>2066</v>
      </c>
      <c r="BV132" s="33" t="str">
        <f>IF(OR(ISBLANK(BT132), ISBLANK(BU132)),"",CONCATENATE(" ",VLOOKUP(BU132,Literatuur!$A:$B,2,FALSE)," "))</f>
        <v xml:space="preserve"> 8 </v>
      </c>
      <c r="BX132" s="33">
        <v>175</v>
      </c>
      <c r="BY132" s="33">
        <v>174.6</v>
      </c>
      <c r="CA132" s="33" t="s">
        <v>1557</v>
      </c>
      <c r="CB132" s="33" t="s">
        <v>2066</v>
      </c>
      <c r="CD132" s="33">
        <f t="shared" si="90"/>
        <v>174.8</v>
      </c>
      <c r="CE132" s="37">
        <f t="shared" si="91"/>
        <v>192.15</v>
      </c>
      <c r="CG132" s="33">
        <f>LOG(J132)</f>
        <v>0.22037928423847888</v>
      </c>
      <c r="CH132" s="33">
        <f t="shared" si="92"/>
        <v>4.8499999999999996</v>
      </c>
      <c r="CR132" s="33" t="str">
        <f t="shared" si="62"/>
        <v>2-methylanthracene</v>
      </c>
      <c r="CS132" s="33" t="str">
        <f t="shared" si="63"/>
        <v>PAK</v>
      </c>
      <c r="CT132" s="33">
        <f t="shared" si="64"/>
        <v>192.15</v>
      </c>
      <c r="CU132" s="33" t="str">
        <f t="shared" si="65"/>
        <v xml:space="preserve"> 17  8 </v>
      </c>
      <c r="CV132" s="33">
        <f t="shared" si="66"/>
        <v>1.6610369145756172</v>
      </c>
      <c r="CW132" s="33" t="str">
        <f t="shared" si="67"/>
        <v xml:space="preserve"> 17 </v>
      </c>
      <c r="CX132" s="33">
        <f t="shared" si="68"/>
        <v>4.8499999999999996</v>
      </c>
      <c r="CY132" s="33" t="str">
        <f t="shared" si="69"/>
        <v xml:space="preserve"> 17  8 </v>
      </c>
    </row>
    <row r="133" spans="2:103" x14ac:dyDescent="0.2">
      <c r="B133" s="33">
        <v>-1552</v>
      </c>
      <c r="C133" s="33" t="e">
        <f>VLOOKUP(B133,Lohman2011!$I$7:$U$28,2,FALSE)</f>
        <v>#N/A</v>
      </c>
      <c r="D133" s="105" t="s">
        <v>578</v>
      </c>
      <c r="E133" s="105" t="s">
        <v>578</v>
      </c>
      <c r="F133" s="34"/>
      <c r="G133" s="34"/>
      <c r="I133" s="33">
        <f t="shared" si="74"/>
        <v>167.15</v>
      </c>
      <c r="J133" s="33">
        <f t="shared" si="70"/>
        <v>1.6610369145756172</v>
      </c>
      <c r="K133" s="44">
        <f t="shared" si="75"/>
        <v>4.28</v>
      </c>
      <c r="L133" s="33">
        <f t="shared" si="76"/>
        <v>158.25</v>
      </c>
      <c r="M133" s="33" t="s">
        <v>1550</v>
      </c>
      <c r="Q133" s="44" t="str">
        <f t="shared" si="77"/>
        <v xml:space="preserve"> </v>
      </c>
      <c r="R133" s="33" t="str">
        <f>IF(OR(ISBLANK(P133), ISBLANK(Q133)),"",CONCATENATE(" ",VLOOKUP(Q133,Literatuur!$A:$B,2,FALSE)," "))</f>
        <v/>
      </c>
      <c r="T133" s="44" t="str">
        <f t="shared" si="78"/>
        <v xml:space="preserve"> </v>
      </c>
      <c r="U133" s="33" t="str">
        <f>IF(OR(ISBLANK(S133), ISBLANK(T133)),"",CONCATENATE(" ",VLOOKUP(T133,Literatuur!$A:$B,2,FALSE)," "))</f>
        <v/>
      </c>
      <c r="W133" s="44" t="str">
        <f t="shared" si="79"/>
        <v xml:space="preserve"> </v>
      </c>
      <c r="X133" s="33" t="str">
        <f>IF(OR(ISBLANK(V133), ISBLANK(W133)),"",CONCATENATE(" ",VLOOKUP(W133,Literatuur!$A:$B,2,FALSE)," "))</f>
        <v/>
      </c>
      <c r="Z133" s="44" t="str">
        <f t="shared" si="80"/>
        <v xml:space="preserve"> </v>
      </c>
      <c r="AA133" s="33" t="str">
        <f>IF(OR(ISBLANK(Y133), ISBLANK(Z133)),"",CONCATENATE(" ",VLOOKUP(Z133,Literatuur!$A:$B,2,FALSE)," "))</f>
        <v/>
      </c>
      <c r="AC133" s="186" t="str">
        <f t="shared" si="81"/>
        <v xml:space="preserve"> </v>
      </c>
      <c r="AD133" s="33" t="str">
        <f>IF(OR(ISBLANK(AB133), ISBLANK(AC133)),"",CONCATENATE(" ",VLOOKUP(AC133,Literatuur!$A:$B,2,FALSE)," "))</f>
        <v/>
      </c>
      <c r="AE133" s="39">
        <v>1.6610369145756172</v>
      </c>
      <c r="AF133" s="33" t="s">
        <v>1557</v>
      </c>
      <c r="AG133" s="33" t="str">
        <f>IF(OR(ISBLANK(AE133), ISBLANK(AF133)),"",CONCATENATE(" ",VLOOKUP(AF133,Literatuur!$A:$B,2,FALSE)," "))</f>
        <v xml:space="preserve"> 17 </v>
      </c>
      <c r="AJ133" s="44" t="str">
        <f t="shared" si="82"/>
        <v xml:space="preserve"> </v>
      </c>
      <c r="AK133" s="33" t="str">
        <f>IF(OR(ISBLANK(AI133), ISBLANK(AJ133)),"",CONCATENATE(" ",VLOOKUP(AJ133,Literatuur!$A:$B,2,FALSE)," "))</f>
        <v/>
      </c>
      <c r="AM133" s="44" t="str">
        <f t="shared" si="83"/>
        <v xml:space="preserve"> </v>
      </c>
      <c r="AN133" s="33" t="str">
        <f>IF(OR(ISBLANK(AL133), ISBLANK(AM133)),"",CONCATENATE(" ",VLOOKUP(AM133,Literatuur!$A:$B,2,FALSE)," "))</f>
        <v/>
      </c>
      <c r="AP133" s="44" t="str">
        <f t="shared" si="84"/>
        <v xml:space="preserve"> </v>
      </c>
      <c r="AQ133" s="33" t="str">
        <f>IF(OR(ISBLANK(AO133), ISBLANK(AP133)),"",CONCATENATE(" ",VLOOKUP(AP133,Literatuur!$A:$B,2,FALSE)," "))</f>
        <v/>
      </c>
      <c r="AR133" s="33">
        <v>192.3</v>
      </c>
      <c r="AS133" s="33" t="s">
        <v>1557</v>
      </c>
      <c r="AT133" s="33" t="str">
        <f>IF(OR(ISBLANK(AR133), ISBLANK(AS133)),"",CONCATENATE(" ",VLOOKUP(AS133,Literatuur!$A:$B,2,FALSE)," "))</f>
        <v xml:space="preserve"> 17 </v>
      </c>
      <c r="AU133" s="33">
        <v>142</v>
      </c>
      <c r="AV133" s="33" t="s">
        <v>2066</v>
      </c>
      <c r="AW133" s="33" t="str">
        <f>IF(OR(ISBLANK(AU133), ISBLANK(AV133)),"",CONCATENATE(" ",VLOOKUP(AV133,Literatuur!$A:$B,2,FALSE)," "))</f>
        <v xml:space="preserve"> 8 </v>
      </c>
      <c r="AZ133" s="44" t="str">
        <f t="shared" si="85"/>
        <v xml:space="preserve"> </v>
      </c>
      <c r="BA133" s="33" t="str">
        <f>IF(OR(ISBLANK(AY133), ISBLANK(AZ133)),"",CONCATENATE(" ",VLOOKUP(AZ133,Literatuur!$A:$B,2,FALSE)," "))</f>
        <v/>
      </c>
      <c r="BC133" s="44" t="str">
        <f t="shared" si="86"/>
        <v xml:space="preserve"> </v>
      </c>
      <c r="BD133" s="33" t="str">
        <f>IF(OR(ISBLANK(BB133), ISBLANK(BC133)),"",CONCATENATE(" ",VLOOKUP(BC133,Literatuur!$A:$B,2,FALSE)," "))</f>
        <v/>
      </c>
      <c r="BF133" s="44" t="str">
        <f t="shared" si="87"/>
        <v xml:space="preserve"> </v>
      </c>
      <c r="BG133" s="33" t="str">
        <f>IF(OR(ISBLANK(BE133), ISBLANK(BF133)),"",CONCATENATE(" ",VLOOKUP(BF133,Literatuur!$A:$B,2,FALSE)," "))</f>
        <v/>
      </c>
      <c r="BI133" s="44" t="str">
        <f t="shared" si="88"/>
        <v xml:space="preserve"> </v>
      </c>
      <c r="BJ133" s="33" t="str">
        <f>IF(OR(ISBLANK(BH133), ISBLANK(BI133)),"",CONCATENATE(" ",VLOOKUP(BI133,Literatuur!$A:$B,2,FALSE)," "))</f>
        <v/>
      </c>
      <c r="BL133" s="44" t="str">
        <f t="shared" si="89"/>
        <v xml:space="preserve"> </v>
      </c>
      <c r="BM133" s="33" t="str">
        <f>IF(OR(ISBLANK(BK133), ISBLANK(BL133)),"",CONCATENATE(" ",VLOOKUP(BL133,Literatuur!$A:$B,2,FALSE)," "))</f>
        <v/>
      </c>
      <c r="BN133" s="33">
        <v>4.7</v>
      </c>
      <c r="BO133" s="33" t="s">
        <v>1557</v>
      </c>
      <c r="BP133" s="33" t="str">
        <f>IF(OR(ISBLANK(BN133), ISBLANK(BO133)),"",CONCATENATE(" ",VLOOKUP(BO133,Literatuur!$A:$B,2,FALSE)," "))</f>
        <v xml:space="preserve"> 17 </v>
      </c>
      <c r="BS133" s="33" t="str">
        <f>IF(OR(ISBLANK(BQ133), ISBLANK(BR133)),"",CONCATENATE(" ",VLOOKUP(BR133,Literatuur!$A:$B,2,FALSE)," "))</f>
        <v/>
      </c>
      <c r="BT133" s="33">
        <v>3.86</v>
      </c>
      <c r="BU133" s="33" t="s">
        <v>2066</v>
      </c>
      <c r="BV133" s="33" t="str">
        <f>IF(OR(ISBLANK(BT133), ISBLANK(BU133)),"",CONCATENATE(" ",VLOOKUP(BU133,Literatuur!$A:$B,2,FALSE)," "))</f>
        <v xml:space="preserve"> 8 </v>
      </c>
      <c r="BX133" s="33">
        <v>176.5</v>
      </c>
      <c r="BY133" s="33">
        <v>140</v>
      </c>
      <c r="CA133" s="33" t="s">
        <v>1557</v>
      </c>
      <c r="CB133" s="33" t="s">
        <v>2066</v>
      </c>
      <c r="CD133" s="33">
        <f t="shared" si="90"/>
        <v>158.25</v>
      </c>
      <c r="CE133" s="37">
        <f t="shared" si="91"/>
        <v>167.15</v>
      </c>
      <c r="CG133" s="33">
        <f>LOG(J133)</f>
        <v>0.22037928423847888</v>
      </c>
      <c r="CH133" s="33">
        <f t="shared" si="92"/>
        <v>4.28</v>
      </c>
      <c r="CR133" s="33" t="str">
        <f t="shared" si="62"/>
        <v>2-methylnaphthalene</v>
      </c>
      <c r="CS133" s="33" t="str">
        <f t="shared" si="63"/>
        <v>PAK</v>
      </c>
      <c r="CT133" s="33">
        <f t="shared" si="64"/>
        <v>167.15</v>
      </c>
      <c r="CU133" s="33" t="str">
        <f t="shared" si="65"/>
        <v xml:space="preserve"> 17  8 </v>
      </c>
      <c r="CV133" s="33">
        <f t="shared" si="66"/>
        <v>1.6610369145756172</v>
      </c>
      <c r="CW133" s="33" t="str">
        <f t="shared" si="67"/>
        <v xml:space="preserve"> 17 </v>
      </c>
      <c r="CX133" s="33">
        <f t="shared" si="68"/>
        <v>4.28</v>
      </c>
      <c r="CY133" s="33" t="str">
        <f t="shared" si="69"/>
        <v xml:space="preserve"> 17  8 </v>
      </c>
    </row>
    <row r="134" spans="2:103" x14ac:dyDescent="0.2">
      <c r="B134" s="33">
        <v>-1563</v>
      </c>
      <c r="C134" s="33" t="e">
        <f>VLOOKUP(B134,Lohman2011!$I$7:$U$28,2,FALSE)</f>
        <v>#N/A</v>
      </c>
      <c r="D134" s="105" t="s">
        <v>594</v>
      </c>
      <c r="E134" s="105" t="s">
        <v>594</v>
      </c>
      <c r="F134" s="34"/>
      <c r="G134" s="34"/>
      <c r="I134" s="33">
        <f t="shared" si="74"/>
        <v>192</v>
      </c>
      <c r="J134" s="33" t="e">
        <f t="shared" si="70"/>
        <v>#DIV/0!</v>
      </c>
      <c r="K134" s="44">
        <f t="shared" si="75"/>
        <v>5.01</v>
      </c>
      <c r="L134" s="33">
        <f t="shared" si="76"/>
        <v>176</v>
      </c>
      <c r="M134" s="33" t="s">
        <v>1550</v>
      </c>
      <c r="Q134" s="44" t="str">
        <f t="shared" si="77"/>
        <v xml:space="preserve"> </v>
      </c>
      <c r="R134" s="33" t="str">
        <f>IF(OR(ISBLANK(P134), ISBLANK(Q134)),"",CONCATENATE(" ",VLOOKUP(Q134,Literatuur!$A:$B,2,FALSE)," "))</f>
        <v/>
      </c>
      <c r="T134" s="44" t="str">
        <f t="shared" si="78"/>
        <v xml:space="preserve"> </v>
      </c>
      <c r="U134" s="33" t="str">
        <f>IF(OR(ISBLANK(S134), ISBLANK(T134)),"",CONCATENATE(" ",VLOOKUP(T134,Literatuur!$A:$B,2,FALSE)," "))</f>
        <v/>
      </c>
      <c r="W134" s="44" t="str">
        <f t="shared" si="79"/>
        <v xml:space="preserve"> </v>
      </c>
      <c r="X134" s="33" t="str">
        <f>IF(OR(ISBLANK(V134), ISBLANK(W134)),"",CONCATENATE(" ",VLOOKUP(W134,Literatuur!$A:$B,2,FALSE)," "))</f>
        <v/>
      </c>
      <c r="Z134" s="44" t="str">
        <f t="shared" si="80"/>
        <v xml:space="preserve"> </v>
      </c>
      <c r="AA134" s="33" t="str">
        <f>IF(OR(ISBLANK(Y134), ISBLANK(Z134)),"",CONCATENATE(" ",VLOOKUP(Z134,Literatuur!$A:$B,2,FALSE)," "))</f>
        <v/>
      </c>
      <c r="AC134" s="186" t="str">
        <f t="shared" si="81"/>
        <v xml:space="preserve"> </v>
      </c>
      <c r="AD134" s="33" t="str">
        <f>IF(OR(ISBLANK(AB134), ISBLANK(AC134)),"",CONCATENATE(" ",VLOOKUP(AC134,Literatuur!$A:$B,2,FALSE)," "))</f>
        <v/>
      </c>
      <c r="AG134" s="33" t="str">
        <f>IF(OR(ISBLANK(AE134), ISBLANK(AF134)),"",CONCATENATE(" ",VLOOKUP(AF134,Literatuur!$A:$B,2,FALSE)," "))</f>
        <v/>
      </c>
      <c r="AJ134" s="44" t="str">
        <f t="shared" si="82"/>
        <v xml:space="preserve"> </v>
      </c>
      <c r="AK134" s="33" t="str">
        <f>IF(OR(ISBLANK(AI134), ISBLANK(AJ134)),"",CONCATENATE(" ",VLOOKUP(AJ134,Literatuur!$A:$B,2,FALSE)," "))</f>
        <v/>
      </c>
      <c r="AM134" s="44" t="str">
        <f t="shared" si="83"/>
        <v xml:space="preserve"> </v>
      </c>
      <c r="AN134" s="33" t="str">
        <f>IF(OR(ISBLANK(AL134), ISBLANK(AM134)),"",CONCATENATE(" ",VLOOKUP(AM134,Literatuur!$A:$B,2,FALSE)," "))</f>
        <v/>
      </c>
      <c r="AP134" s="44" t="str">
        <f t="shared" si="84"/>
        <v xml:space="preserve"> </v>
      </c>
      <c r="AQ134" s="33" t="str">
        <f>IF(OR(ISBLANK(AO134), ISBLANK(AP134)),"",CONCATENATE(" ",VLOOKUP(AP134,Literatuur!$A:$B,2,FALSE)," "))</f>
        <v/>
      </c>
      <c r="AT134" s="33" t="str">
        <f>IF(OR(ISBLANK(AR134), ISBLANK(AS134)),"",CONCATENATE(" ",VLOOKUP(AS134,Literatuur!$A:$B,2,FALSE)," "))</f>
        <v/>
      </c>
      <c r="AU134" s="33">
        <v>192</v>
      </c>
      <c r="AV134" s="33" t="s">
        <v>2066</v>
      </c>
      <c r="AW134" s="33" t="str">
        <f>IF(OR(ISBLANK(AU134), ISBLANK(AV134)),"",CONCATENATE(" ",VLOOKUP(AV134,Literatuur!$A:$B,2,FALSE)," "))</f>
        <v xml:space="preserve"> 8 </v>
      </c>
      <c r="AZ134" s="44" t="str">
        <f t="shared" si="85"/>
        <v xml:space="preserve"> </v>
      </c>
      <c r="BA134" s="33" t="str">
        <f>IF(OR(ISBLANK(AY134), ISBLANK(AZ134)),"",CONCATENATE(" ",VLOOKUP(AZ134,Literatuur!$A:$B,2,FALSE)," "))</f>
        <v/>
      </c>
      <c r="BC134" s="44" t="str">
        <f t="shared" si="86"/>
        <v xml:space="preserve"> </v>
      </c>
      <c r="BD134" s="33" t="str">
        <f>IF(OR(ISBLANK(BB134), ISBLANK(BC134)),"",CONCATENATE(" ",VLOOKUP(BC134,Literatuur!$A:$B,2,FALSE)," "))</f>
        <v/>
      </c>
      <c r="BF134" s="44" t="str">
        <f t="shared" si="87"/>
        <v xml:space="preserve"> </v>
      </c>
      <c r="BG134" s="33" t="str">
        <f>IF(OR(ISBLANK(BE134), ISBLANK(BF134)),"",CONCATENATE(" ",VLOOKUP(BF134,Literatuur!$A:$B,2,FALSE)," "))</f>
        <v/>
      </c>
      <c r="BI134" s="44" t="str">
        <f t="shared" si="88"/>
        <v xml:space="preserve"> </v>
      </c>
      <c r="BJ134" s="33" t="str">
        <f>IF(OR(ISBLANK(BH134), ISBLANK(BI134)),"",CONCATENATE(" ",VLOOKUP(BI134,Literatuur!$A:$B,2,FALSE)," "))</f>
        <v/>
      </c>
      <c r="BL134" s="44" t="str">
        <f t="shared" si="89"/>
        <v xml:space="preserve"> </v>
      </c>
      <c r="BM134" s="33" t="str">
        <f>IF(OR(ISBLANK(BK134), ISBLANK(BL134)),"",CONCATENATE(" ",VLOOKUP(BL134,Literatuur!$A:$B,2,FALSE)," "))</f>
        <v/>
      </c>
      <c r="BP134" s="33" t="str">
        <f>IF(OR(ISBLANK(BN134), ISBLANK(BO134)),"",CONCATENATE(" ",VLOOKUP(BO134,Literatuur!$A:$B,2,FALSE)," "))</f>
        <v/>
      </c>
      <c r="BS134" s="33" t="str">
        <f>IF(OR(ISBLANK(BQ134), ISBLANK(BR134)),"",CONCATENATE(" ",VLOOKUP(BR134,Literatuur!$A:$B,2,FALSE)," "))</f>
        <v/>
      </c>
      <c r="BT134" s="33">
        <v>5.01</v>
      </c>
      <c r="BU134" s="33" t="s">
        <v>2066</v>
      </c>
      <c r="BV134" s="33" t="str">
        <f>IF(OR(ISBLANK(BT134), ISBLANK(BU134)),"",CONCATENATE(" ",VLOOKUP(BU134,Literatuur!$A:$B,2,FALSE)," "))</f>
        <v xml:space="preserve"> 8 </v>
      </c>
      <c r="BY134" s="33">
        <v>176</v>
      </c>
      <c r="CB134" s="33" t="s">
        <v>2066</v>
      </c>
      <c r="CD134" s="33">
        <f t="shared" si="90"/>
        <v>176</v>
      </c>
      <c r="CE134" s="37">
        <f t="shared" si="91"/>
        <v>192</v>
      </c>
      <c r="CH134" s="33">
        <f t="shared" si="92"/>
        <v>5.01</v>
      </c>
      <c r="CR134" s="33" t="str">
        <f t="shared" si="62"/>
        <v>2-methylphenanthrene</v>
      </c>
      <c r="CS134" s="33" t="str">
        <f t="shared" si="63"/>
        <v>PAK</v>
      </c>
      <c r="CT134" s="33">
        <f t="shared" si="64"/>
        <v>192</v>
      </c>
      <c r="CU134" s="33" t="str">
        <f t="shared" si="65"/>
        <v xml:space="preserve"> 8 </v>
      </c>
      <c r="CV134" s="33" t="str">
        <f t="shared" si="66"/>
        <v/>
      </c>
      <c r="CW134" s="33" t="str">
        <f t="shared" si="67"/>
        <v/>
      </c>
      <c r="CX134" s="33">
        <f t="shared" si="68"/>
        <v>5.01</v>
      </c>
      <c r="CY134" s="33" t="str">
        <f t="shared" si="69"/>
        <v xml:space="preserve"> 8 </v>
      </c>
    </row>
    <row r="135" spans="2:103" x14ac:dyDescent="0.2">
      <c r="B135" s="33">
        <v>-1567</v>
      </c>
      <c r="C135" s="33" t="e">
        <f>VLOOKUP(B135,Lohman2011!$I$7:$U$28,2,FALSE)</f>
        <v>#N/A</v>
      </c>
      <c r="D135" s="105" t="s">
        <v>599</v>
      </c>
      <c r="E135" s="105" t="s">
        <v>599</v>
      </c>
      <c r="F135" s="34"/>
      <c r="G135" s="34"/>
      <c r="I135" s="33">
        <f t="shared" si="74"/>
        <v>206.15</v>
      </c>
      <c r="J135" s="33">
        <f t="shared" si="70"/>
        <v>0.6351835291996929</v>
      </c>
      <c r="K135" s="44">
        <f t="shared" si="75"/>
        <v>5.17</v>
      </c>
      <c r="L135" s="33">
        <f t="shared" si="76"/>
        <v>192.2</v>
      </c>
      <c r="M135" s="33" t="s">
        <v>1550</v>
      </c>
      <c r="Q135" s="44" t="str">
        <f t="shared" si="77"/>
        <v xml:space="preserve"> </v>
      </c>
      <c r="R135" s="33" t="str">
        <f>IF(OR(ISBLANK(P135), ISBLANK(Q135)),"",CONCATENATE(" ",VLOOKUP(Q135,Literatuur!$A:$B,2,FALSE)," "))</f>
        <v/>
      </c>
      <c r="T135" s="44" t="str">
        <f t="shared" si="78"/>
        <v xml:space="preserve"> </v>
      </c>
      <c r="U135" s="33" t="str">
        <f>IF(OR(ISBLANK(S135), ISBLANK(T135)),"",CONCATENATE(" ",VLOOKUP(T135,Literatuur!$A:$B,2,FALSE)," "))</f>
        <v/>
      </c>
      <c r="W135" s="44" t="str">
        <f t="shared" si="79"/>
        <v xml:space="preserve"> </v>
      </c>
      <c r="X135" s="33" t="str">
        <f>IF(OR(ISBLANK(V135), ISBLANK(W135)),"",CONCATENATE(" ",VLOOKUP(W135,Literatuur!$A:$B,2,FALSE)," "))</f>
        <v/>
      </c>
      <c r="Z135" s="44" t="str">
        <f t="shared" si="80"/>
        <v xml:space="preserve"> </v>
      </c>
      <c r="AA135" s="33" t="str">
        <f>IF(OR(ISBLANK(Y135), ISBLANK(Z135)),"",CONCATENATE(" ",VLOOKUP(Z135,Literatuur!$A:$B,2,FALSE)," "))</f>
        <v/>
      </c>
      <c r="AC135" s="186" t="str">
        <f t="shared" si="81"/>
        <v xml:space="preserve"> </v>
      </c>
      <c r="AD135" s="33" t="str">
        <f>IF(OR(ISBLANK(AB135), ISBLANK(AC135)),"",CONCATENATE(" ",VLOOKUP(AC135,Literatuur!$A:$B,2,FALSE)," "))</f>
        <v/>
      </c>
      <c r="AE135" s="39">
        <v>0.6351835291996929</v>
      </c>
      <c r="AF135" s="33" t="s">
        <v>1557</v>
      </c>
      <c r="AG135" s="33" t="str">
        <f>IF(OR(ISBLANK(AE135), ISBLANK(AF135)),"",CONCATENATE(" ",VLOOKUP(AF135,Literatuur!$A:$B,2,FALSE)," "))</f>
        <v xml:space="preserve"> 17 </v>
      </c>
      <c r="AJ135" s="44" t="str">
        <f t="shared" si="82"/>
        <v xml:space="preserve"> </v>
      </c>
      <c r="AK135" s="33" t="str">
        <f>IF(OR(ISBLANK(AI135), ISBLANK(AJ135)),"",CONCATENATE(" ",VLOOKUP(AJ135,Literatuur!$A:$B,2,FALSE)," "))</f>
        <v/>
      </c>
      <c r="AM135" s="44" t="str">
        <f t="shared" si="83"/>
        <v xml:space="preserve"> </v>
      </c>
      <c r="AN135" s="33" t="str">
        <f>IF(OR(ISBLANK(AL135), ISBLANK(AM135)),"",CONCATENATE(" ",VLOOKUP(AM135,Literatuur!$A:$B,2,FALSE)," "))</f>
        <v/>
      </c>
      <c r="AP135" s="44" t="str">
        <f t="shared" si="84"/>
        <v xml:space="preserve"> </v>
      </c>
      <c r="AQ135" s="33" t="str">
        <f>IF(OR(ISBLANK(AO135), ISBLANK(AP135)),"",CONCATENATE(" ",VLOOKUP(AP135,Literatuur!$A:$B,2,FALSE)," "))</f>
        <v/>
      </c>
      <c r="AR135" s="33">
        <v>206.3</v>
      </c>
      <c r="AS135" s="33" t="s">
        <v>1557</v>
      </c>
      <c r="AT135" s="33" t="str">
        <f>IF(OR(ISBLANK(AR135), ISBLANK(AS135)),"",CONCATENATE(" ",VLOOKUP(AS135,Literatuur!$A:$B,2,FALSE)," "))</f>
        <v xml:space="preserve"> 17 </v>
      </c>
      <c r="AU135" s="33">
        <v>206</v>
      </c>
      <c r="AV135" s="33" t="s">
        <v>2066</v>
      </c>
      <c r="AW135" s="33" t="str">
        <f>IF(OR(ISBLANK(AU135), ISBLANK(AV135)),"",CONCATENATE(" ",VLOOKUP(AV135,Literatuur!$A:$B,2,FALSE)," "))</f>
        <v xml:space="preserve"> 8 </v>
      </c>
      <c r="AZ135" s="44" t="str">
        <f t="shared" si="85"/>
        <v xml:space="preserve"> </v>
      </c>
      <c r="BA135" s="33" t="str">
        <f>IF(OR(ISBLANK(AY135), ISBLANK(AZ135)),"",CONCATENATE(" ",VLOOKUP(AZ135,Literatuur!$A:$B,2,FALSE)," "))</f>
        <v/>
      </c>
      <c r="BC135" s="44" t="str">
        <f t="shared" si="86"/>
        <v xml:space="preserve"> </v>
      </c>
      <c r="BD135" s="33" t="str">
        <f>IF(OR(ISBLANK(BB135), ISBLANK(BC135)),"",CONCATENATE(" ",VLOOKUP(BC135,Literatuur!$A:$B,2,FALSE)," "))</f>
        <v/>
      </c>
      <c r="BF135" s="44" t="str">
        <f t="shared" si="87"/>
        <v xml:space="preserve"> </v>
      </c>
      <c r="BG135" s="33" t="str">
        <f>IF(OR(ISBLANK(BE135), ISBLANK(BF135)),"",CONCATENATE(" ",VLOOKUP(BF135,Literatuur!$A:$B,2,FALSE)," "))</f>
        <v/>
      </c>
      <c r="BI135" s="44" t="str">
        <f t="shared" si="88"/>
        <v xml:space="preserve"> </v>
      </c>
      <c r="BJ135" s="33" t="str">
        <f>IF(OR(ISBLANK(BH135), ISBLANK(BI135)),"",CONCATENATE(" ",VLOOKUP(BI135,Literatuur!$A:$B,2,FALSE)," "))</f>
        <v/>
      </c>
      <c r="BL135" s="44" t="str">
        <f t="shared" si="89"/>
        <v xml:space="preserve"> </v>
      </c>
      <c r="BM135" s="33" t="str">
        <f>IF(OR(ISBLANK(BK135), ISBLANK(BL135)),"",CONCATENATE(" ",VLOOKUP(BL135,Literatuur!$A:$B,2,FALSE)," "))</f>
        <v/>
      </c>
      <c r="BN135" s="33">
        <v>4.9000000000000004</v>
      </c>
      <c r="BO135" s="33" t="s">
        <v>1557</v>
      </c>
      <c r="BP135" s="33" t="str">
        <f>IF(OR(ISBLANK(BN135), ISBLANK(BO135)),"",CONCATENATE(" ",VLOOKUP(BO135,Literatuur!$A:$B,2,FALSE)," "))</f>
        <v xml:space="preserve"> 17 </v>
      </c>
      <c r="BS135" s="33" t="str">
        <f>IF(OR(ISBLANK(BQ135), ISBLANK(BR135)),"",CONCATENATE(" ",VLOOKUP(BR135,Literatuur!$A:$B,2,FALSE)," "))</f>
        <v/>
      </c>
      <c r="BT135" s="33">
        <v>5.44</v>
      </c>
      <c r="BU135" s="33" t="s">
        <v>2066</v>
      </c>
      <c r="BV135" s="33" t="str">
        <f>IF(OR(ISBLANK(BT135), ISBLANK(BU135)),"",CONCATENATE(" ",VLOOKUP(BU135,Literatuur!$A:$B,2,FALSE)," "))</f>
        <v xml:space="preserve"> 8 </v>
      </c>
      <c r="BX135" s="33">
        <v>192.4</v>
      </c>
      <c r="BY135" s="33">
        <v>192</v>
      </c>
      <c r="CA135" s="33" t="s">
        <v>1557</v>
      </c>
      <c r="CB135" s="33" t="s">
        <v>2066</v>
      </c>
      <c r="CD135" s="33">
        <f t="shared" si="90"/>
        <v>192.2</v>
      </c>
      <c r="CE135" s="37">
        <f t="shared" si="91"/>
        <v>206.15</v>
      </c>
      <c r="CG135" s="33">
        <f>LOG(J135)</f>
        <v>-0.19710077202684936</v>
      </c>
      <c r="CH135" s="33">
        <f t="shared" si="92"/>
        <v>5.17</v>
      </c>
      <c r="CR135" s="33" t="str">
        <f t="shared" si="62"/>
        <v>3,6-dimethylphenanthrene</v>
      </c>
      <c r="CS135" s="33" t="str">
        <f t="shared" si="63"/>
        <v>PAK</v>
      </c>
      <c r="CT135" s="33">
        <f t="shared" si="64"/>
        <v>206.15</v>
      </c>
      <c r="CU135" s="33" t="str">
        <f t="shared" si="65"/>
        <v xml:space="preserve"> 17  8 </v>
      </c>
      <c r="CV135" s="33">
        <f t="shared" si="66"/>
        <v>0.6351835291996929</v>
      </c>
      <c r="CW135" s="33" t="str">
        <f t="shared" si="67"/>
        <v xml:space="preserve"> 17 </v>
      </c>
      <c r="CX135" s="33">
        <f t="shared" si="68"/>
        <v>5.17</v>
      </c>
      <c r="CY135" s="33" t="str">
        <f t="shared" si="69"/>
        <v xml:space="preserve"> 17  8 </v>
      </c>
    </row>
    <row r="136" spans="2:103" x14ac:dyDescent="0.2">
      <c r="B136" s="33">
        <v>-1572</v>
      </c>
      <c r="C136" s="33" t="e">
        <f>VLOOKUP(B136,Lohman2011!$I$7:$U$28,2,FALSE)</f>
        <v>#N/A</v>
      </c>
      <c r="D136" s="105" t="s">
        <v>606</v>
      </c>
      <c r="E136" s="105" t="s">
        <v>606</v>
      </c>
      <c r="F136" s="34"/>
      <c r="G136" s="34"/>
      <c r="I136" s="33">
        <f t="shared" si="74"/>
        <v>242</v>
      </c>
      <c r="J136" s="33" t="e">
        <f t="shared" si="70"/>
        <v>#DIV/0!</v>
      </c>
      <c r="K136" s="44">
        <f t="shared" si="75"/>
        <v>6.07</v>
      </c>
      <c r="L136" s="33">
        <f t="shared" si="76"/>
        <v>211.9</v>
      </c>
      <c r="M136" s="33" t="s">
        <v>1550</v>
      </c>
      <c r="Q136" s="44" t="str">
        <f t="shared" si="77"/>
        <v xml:space="preserve"> </v>
      </c>
      <c r="R136" s="33" t="str">
        <f>IF(OR(ISBLANK(P136), ISBLANK(Q136)),"",CONCATENATE(" ",VLOOKUP(Q136,Literatuur!$A:$B,2,FALSE)," "))</f>
        <v/>
      </c>
      <c r="T136" s="44" t="str">
        <f t="shared" si="78"/>
        <v xml:space="preserve"> </v>
      </c>
      <c r="U136" s="33" t="str">
        <f>IF(OR(ISBLANK(S136), ISBLANK(T136)),"",CONCATENATE(" ",VLOOKUP(T136,Literatuur!$A:$B,2,FALSE)," "))</f>
        <v/>
      </c>
      <c r="W136" s="44" t="str">
        <f t="shared" si="79"/>
        <v xml:space="preserve"> </v>
      </c>
      <c r="X136" s="33" t="str">
        <f>IF(OR(ISBLANK(V136), ISBLANK(W136)),"",CONCATENATE(" ",VLOOKUP(W136,Literatuur!$A:$B,2,FALSE)," "))</f>
        <v/>
      </c>
      <c r="Z136" s="44" t="str">
        <f t="shared" si="80"/>
        <v xml:space="preserve"> </v>
      </c>
      <c r="AA136" s="33" t="str">
        <f>IF(OR(ISBLANK(Y136), ISBLANK(Z136)),"",CONCATENATE(" ",VLOOKUP(Z136,Literatuur!$A:$B,2,FALSE)," "))</f>
        <v/>
      </c>
      <c r="AC136" s="186" t="str">
        <f t="shared" si="81"/>
        <v xml:space="preserve"> </v>
      </c>
      <c r="AD136" s="33" t="str">
        <f>IF(OR(ISBLANK(AB136), ISBLANK(AC136)),"",CONCATENATE(" ",VLOOKUP(AC136,Literatuur!$A:$B,2,FALSE)," "))</f>
        <v/>
      </c>
      <c r="AG136" s="33" t="str">
        <f>IF(OR(ISBLANK(AE136), ISBLANK(AF136)),"",CONCATENATE(" ",VLOOKUP(AF136,Literatuur!$A:$B,2,FALSE)," "))</f>
        <v/>
      </c>
      <c r="AJ136" s="44" t="str">
        <f t="shared" si="82"/>
        <v xml:space="preserve"> </v>
      </c>
      <c r="AK136" s="33" t="str">
        <f>IF(OR(ISBLANK(AI136), ISBLANK(AJ136)),"",CONCATENATE(" ",VLOOKUP(AJ136,Literatuur!$A:$B,2,FALSE)," "))</f>
        <v/>
      </c>
      <c r="AM136" s="44" t="str">
        <f t="shared" si="83"/>
        <v xml:space="preserve"> </v>
      </c>
      <c r="AN136" s="33" t="str">
        <f>IF(OR(ISBLANK(AL136), ISBLANK(AM136)),"",CONCATENATE(" ",VLOOKUP(AM136,Literatuur!$A:$B,2,FALSE)," "))</f>
        <v/>
      </c>
      <c r="AP136" s="44" t="str">
        <f t="shared" si="84"/>
        <v xml:space="preserve"> </v>
      </c>
      <c r="AQ136" s="33" t="str">
        <f>IF(OR(ISBLANK(AO136), ISBLANK(AP136)),"",CONCATENATE(" ",VLOOKUP(AP136,Literatuur!$A:$B,2,FALSE)," "))</f>
        <v/>
      </c>
      <c r="AT136" s="33" t="str">
        <f>IF(OR(ISBLANK(AR136), ISBLANK(AS136)),"",CONCATENATE(" ",VLOOKUP(AS136,Literatuur!$A:$B,2,FALSE)," "))</f>
        <v/>
      </c>
      <c r="AU136" s="33">
        <v>242</v>
      </c>
      <c r="AV136" s="33" t="s">
        <v>2066</v>
      </c>
      <c r="AW136" s="33" t="str">
        <f>IF(OR(ISBLANK(AU136), ISBLANK(AV136)),"",CONCATENATE(" ",VLOOKUP(AV136,Literatuur!$A:$B,2,FALSE)," "))</f>
        <v xml:space="preserve"> 8 </v>
      </c>
      <c r="AZ136" s="44" t="str">
        <f t="shared" si="85"/>
        <v xml:space="preserve"> </v>
      </c>
      <c r="BA136" s="33" t="str">
        <f>IF(OR(ISBLANK(AY136), ISBLANK(AZ136)),"",CONCATENATE(" ",VLOOKUP(AZ136,Literatuur!$A:$B,2,FALSE)," "))</f>
        <v/>
      </c>
      <c r="BC136" s="44" t="str">
        <f t="shared" si="86"/>
        <v xml:space="preserve"> </v>
      </c>
      <c r="BD136" s="33" t="str">
        <f>IF(OR(ISBLANK(BB136), ISBLANK(BC136)),"",CONCATENATE(" ",VLOOKUP(BC136,Literatuur!$A:$B,2,FALSE)," "))</f>
        <v/>
      </c>
      <c r="BF136" s="44" t="str">
        <f t="shared" si="87"/>
        <v xml:space="preserve"> </v>
      </c>
      <c r="BG136" s="33" t="str">
        <f>IF(OR(ISBLANK(BE136), ISBLANK(BF136)),"",CONCATENATE(" ",VLOOKUP(BF136,Literatuur!$A:$B,2,FALSE)," "))</f>
        <v/>
      </c>
      <c r="BI136" s="44" t="str">
        <f t="shared" si="88"/>
        <v xml:space="preserve"> </v>
      </c>
      <c r="BJ136" s="33" t="str">
        <f>IF(OR(ISBLANK(BH136), ISBLANK(BI136)),"",CONCATENATE(" ",VLOOKUP(BI136,Literatuur!$A:$B,2,FALSE)," "))</f>
        <v/>
      </c>
      <c r="BL136" s="44" t="str">
        <f t="shared" si="89"/>
        <v xml:space="preserve"> </v>
      </c>
      <c r="BM136" s="33" t="str">
        <f>IF(OR(ISBLANK(BK136), ISBLANK(BL136)),"",CONCATENATE(" ",VLOOKUP(BL136,Literatuur!$A:$B,2,FALSE)," "))</f>
        <v/>
      </c>
      <c r="BP136" s="33" t="str">
        <f>IF(OR(ISBLANK(BN136), ISBLANK(BO136)),"",CONCATENATE(" ",VLOOKUP(BO136,Literatuur!$A:$B,2,FALSE)," "))</f>
        <v/>
      </c>
      <c r="BS136" s="33" t="str">
        <f>IF(OR(ISBLANK(BQ136), ISBLANK(BR136)),"",CONCATENATE(" ",VLOOKUP(BR136,Literatuur!$A:$B,2,FALSE)," "))</f>
        <v/>
      </c>
      <c r="BT136" s="33">
        <v>6.07</v>
      </c>
      <c r="BU136" s="33" t="s">
        <v>2066</v>
      </c>
      <c r="BV136" s="33" t="str">
        <f>IF(OR(ISBLANK(BT136), ISBLANK(BU136)),"",CONCATENATE(" ",VLOOKUP(BU136,Literatuur!$A:$B,2,FALSE)," "))</f>
        <v xml:space="preserve"> 8 </v>
      </c>
      <c r="BY136" s="33">
        <v>211.9</v>
      </c>
      <c r="CB136" s="33" t="s">
        <v>2066</v>
      </c>
      <c r="CD136" s="33">
        <f t="shared" si="90"/>
        <v>211.9</v>
      </c>
      <c r="CE136" s="37">
        <f t="shared" si="91"/>
        <v>242</v>
      </c>
      <c r="CH136" s="33">
        <f t="shared" si="92"/>
        <v>6.07</v>
      </c>
      <c r="CR136" s="33" t="str">
        <f t="shared" si="62"/>
        <v>6-methylchrysene</v>
      </c>
      <c r="CS136" s="33" t="str">
        <f t="shared" si="63"/>
        <v>PAK</v>
      </c>
      <c r="CT136" s="33">
        <f t="shared" si="64"/>
        <v>242</v>
      </c>
      <c r="CU136" s="33" t="str">
        <f t="shared" si="65"/>
        <v xml:space="preserve"> 8 </v>
      </c>
      <c r="CV136" s="33" t="str">
        <f t="shared" si="66"/>
        <v/>
      </c>
      <c r="CW136" s="33" t="str">
        <f t="shared" si="67"/>
        <v/>
      </c>
      <c r="CX136" s="33">
        <f t="shared" si="68"/>
        <v>6.07</v>
      </c>
      <c r="CY136" s="33" t="str">
        <f t="shared" si="69"/>
        <v xml:space="preserve"> 8 </v>
      </c>
    </row>
    <row r="137" spans="2:103" x14ac:dyDescent="0.2">
      <c r="B137" s="33">
        <v>-1573</v>
      </c>
      <c r="C137" s="33" t="e">
        <f>VLOOKUP(B137,Lohman2011!$I$7:$U$28,2,FALSE)</f>
        <v>#N/A</v>
      </c>
      <c r="D137" s="105" t="s">
        <v>608</v>
      </c>
      <c r="E137" s="105" t="s">
        <v>608</v>
      </c>
      <c r="F137" s="34"/>
      <c r="G137" s="34"/>
      <c r="I137" s="33">
        <f t="shared" si="74"/>
        <v>256</v>
      </c>
      <c r="J137" s="33" t="e">
        <f t="shared" si="70"/>
        <v>#DIV/0!</v>
      </c>
      <c r="K137" s="44">
        <f t="shared" si="75"/>
        <v>6.62</v>
      </c>
      <c r="L137" s="33">
        <f t="shared" si="76"/>
        <v>226</v>
      </c>
      <c r="M137" s="33" t="s">
        <v>1550</v>
      </c>
      <c r="Q137" s="44" t="str">
        <f t="shared" si="77"/>
        <v xml:space="preserve"> </v>
      </c>
      <c r="R137" s="33" t="str">
        <f>IF(OR(ISBLANK(P137), ISBLANK(Q137)),"",CONCATENATE(" ",VLOOKUP(Q137,Literatuur!$A:$B,2,FALSE)," "))</f>
        <v/>
      </c>
      <c r="T137" s="44" t="str">
        <f t="shared" si="78"/>
        <v xml:space="preserve"> </v>
      </c>
      <c r="U137" s="33" t="str">
        <f>IF(OR(ISBLANK(S137), ISBLANK(T137)),"",CONCATENATE(" ",VLOOKUP(T137,Literatuur!$A:$B,2,FALSE)," "))</f>
        <v/>
      </c>
      <c r="W137" s="44" t="str">
        <f t="shared" si="79"/>
        <v xml:space="preserve"> </v>
      </c>
      <c r="X137" s="33" t="str">
        <f>IF(OR(ISBLANK(V137), ISBLANK(W137)),"",CONCATENATE(" ",VLOOKUP(W137,Literatuur!$A:$B,2,FALSE)," "))</f>
        <v/>
      </c>
      <c r="Z137" s="44" t="str">
        <f t="shared" si="80"/>
        <v xml:space="preserve"> </v>
      </c>
      <c r="AA137" s="33" t="str">
        <f>IF(OR(ISBLANK(Y137), ISBLANK(Z137)),"",CONCATENATE(" ",VLOOKUP(Z137,Literatuur!$A:$B,2,FALSE)," "))</f>
        <v/>
      </c>
      <c r="AC137" s="186" t="str">
        <f t="shared" si="81"/>
        <v xml:space="preserve"> </v>
      </c>
      <c r="AD137" s="33" t="str">
        <f>IF(OR(ISBLANK(AB137), ISBLANK(AC137)),"",CONCATENATE(" ",VLOOKUP(AC137,Literatuur!$A:$B,2,FALSE)," "))</f>
        <v/>
      </c>
      <c r="AG137" s="33" t="str">
        <f>IF(OR(ISBLANK(AE137), ISBLANK(AF137)),"",CONCATENATE(" ",VLOOKUP(AF137,Literatuur!$A:$B,2,FALSE)," "))</f>
        <v/>
      </c>
      <c r="AJ137" s="44" t="str">
        <f t="shared" si="82"/>
        <v xml:space="preserve"> </v>
      </c>
      <c r="AK137" s="33" t="str">
        <f>IF(OR(ISBLANK(AI137), ISBLANK(AJ137)),"",CONCATENATE(" ",VLOOKUP(AJ137,Literatuur!$A:$B,2,FALSE)," "))</f>
        <v/>
      </c>
      <c r="AM137" s="44" t="str">
        <f t="shared" si="83"/>
        <v xml:space="preserve"> </v>
      </c>
      <c r="AN137" s="33" t="str">
        <f>IF(OR(ISBLANK(AL137), ISBLANK(AM137)),"",CONCATENATE(" ",VLOOKUP(AM137,Literatuur!$A:$B,2,FALSE)," "))</f>
        <v/>
      </c>
      <c r="AP137" s="44" t="str">
        <f t="shared" si="84"/>
        <v xml:space="preserve"> </v>
      </c>
      <c r="AQ137" s="33" t="str">
        <f>IF(OR(ISBLANK(AO137), ISBLANK(AP137)),"",CONCATENATE(" ",VLOOKUP(AP137,Literatuur!$A:$B,2,FALSE)," "))</f>
        <v/>
      </c>
      <c r="AT137" s="33" t="str">
        <f>IF(OR(ISBLANK(AR137), ISBLANK(AS137)),"",CONCATENATE(" ",VLOOKUP(AS137,Literatuur!$A:$B,2,FALSE)," "))</f>
        <v/>
      </c>
      <c r="AU137" s="33">
        <v>256</v>
      </c>
      <c r="AV137" s="33" t="s">
        <v>2066</v>
      </c>
      <c r="AW137" s="33" t="str">
        <f>IF(OR(ISBLANK(AU137), ISBLANK(AV137)),"",CONCATENATE(" ",VLOOKUP(AV137,Literatuur!$A:$B,2,FALSE)," "))</f>
        <v xml:space="preserve"> 8 </v>
      </c>
      <c r="AZ137" s="44" t="str">
        <f t="shared" si="85"/>
        <v xml:space="preserve"> </v>
      </c>
      <c r="BA137" s="33" t="str">
        <f>IF(OR(ISBLANK(AY137), ISBLANK(AZ137)),"",CONCATENATE(" ",VLOOKUP(AZ137,Literatuur!$A:$B,2,FALSE)," "))</f>
        <v/>
      </c>
      <c r="BC137" s="44" t="str">
        <f t="shared" si="86"/>
        <v xml:space="preserve"> </v>
      </c>
      <c r="BD137" s="33" t="str">
        <f>IF(OR(ISBLANK(BB137), ISBLANK(BC137)),"",CONCATENATE(" ",VLOOKUP(BC137,Literatuur!$A:$B,2,FALSE)," "))</f>
        <v/>
      </c>
      <c r="BF137" s="44" t="str">
        <f t="shared" si="87"/>
        <v xml:space="preserve"> </v>
      </c>
      <c r="BG137" s="33" t="str">
        <f>IF(OR(ISBLANK(BE137), ISBLANK(BF137)),"",CONCATENATE(" ",VLOOKUP(BF137,Literatuur!$A:$B,2,FALSE)," "))</f>
        <v/>
      </c>
      <c r="BI137" s="44" t="str">
        <f t="shared" si="88"/>
        <v xml:space="preserve"> </v>
      </c>
      <c r="BJ137" s="33" t="str">
        <f>IF(OR(ISBLANK(BH137), ISBLANK(BI137)),"",CONCATENATE(" ",VLOOKUP(BI137,Literatuur!$A:$B,2,FALSE)," "))</f>
        <v/>
      </c>
      <c r="BL137" s="44" t="str">
        <f t="shared" si="89"/>
        <v xml:space="preserve"> </v>
      </c>
      <c r="BM137" s="33" t="str">
        <f>IF(OR(ISBLANK(BK137), ISBLANK(BL137)),"",CONCATENATE(" ",VLOOKUP(BL137,Literatuur!$A:$B,2,FALSE)," "))</f>
        <v/>
      </c>
      <c r="BP137" s="33" t="str">
        <f>IF(OR(ISBLANK(BN137), ISBLANK(BO137)),"",CONCATENATE(" ",VLOOKUP(BO137,Literatuur!$A:$B,2,FALSE)," "))</f>
        <v/>
      </c>
      <c r="BS137" s="33" t="str">
        <f>IF(OR(ISBLANK(BQ137), ISBLANK(BR137)),"",CONCATENATE(" ",VLOOKUP(BR137,Literatuur!$A:$B,2,FALSE)," "))</f>
        <v/>
      </c>
      <c r="BT137" s="33">
        <v>6.62</v>
      </c>
      <c r="BU137" s="33" t="s">
        <v>2066</v>
      </c>
      <c r="BV137" s="33" t="str">
        <f>IF(OR(ISBLANK(BT137), ISBLANK(BU137)),"",CONCATENATE(" ",VLOOKUP(BU137,Literatuur!$A:$B,2,FALSE)," "))</f>
        <v xml:space="preserve"> 8 </v>
      </c>
      <c r="BY137" s="33">
        <v>226</v>
      </c>
      <c r="CB137" s="33" t="s">
        <v>2066</v>
      </c>
      <c r="CD137" s="33">
        <f t="shared" si="90"/>
        <v>226</v>
      </c>
      <c r="CE137" s="37">
        <f t="shared" si="91"/>
        <v>256</v>
      </c>
      <c r="CH137" s="33">
        <f t="shared" si="92"/>
        <v>6.62</v>
      </c>
      <c r="CR137" s="33" t="str">
        <f t="shared" si="62"/>
        <v>7,12-dimethylbenz[a]anthracene</v>
      </c>
      <c r="CS137" s="33" t="str">
        <f t="shared" si="63"/>
        <v>PAK</v>
      </c>
      <c r="CT137" s="33">
        <f t="shared" si="64"/>
        <v>256</v>
      </c>
      <c r="CU137" s="33" t="str">
        <f t="shared" si="65"/>
        <v xml:space="preserve"> 8 </v>
      </c>
      <c r="CV137" s="33" t="str">
        <f t="shared" si="66"/>
        <v/>
      </c>
      <c r="CW137" s="33" t="str">
        <f t="shared" si="67"/>
        <v/>
      </c>
      <c r="CX137" s="33">
        <f t="shared" si="68"/>
        <v>6.62</v>
      </c>
      <c r="CY137" s="33" t="str">
        <f t="shared" si="69"/>
        <v xml:space="preserve"> 8 </v>
      </c>
    </row>
    <row r="138" spans="2:103" x14ac:dyDescent="0.2">
      <c r="B138" s="33">
        <v>-1571</v>
      </c>
      <c r="C138" s="33" t="e">
        <f>VLOOKUP(B138,Lohman2011!$I$7:$U$28,2,FALSE)</f>
        <v>#N/A</v>
      </c>
      <c r="D138" s="105" t="s">
        <v>605</v>
      </c>
      <c r="E138" s="105" t="s">
        <v>605</v>
      </c>
      <c r="F138" s="34"/>
      <c r="G138" s="34"/>
      <c r="I138" s="33">
        <f t="shared" si="74"/>
        <v>242</v>
      </c>
      <c r="J138" s="33" t="e">
        <f t="shared" si="70"/>
        <v>#DIV/0!</v>
      </c>
      <c r="K138" s="44">
        <f t="shared" si="75"/>
        <v>6.07</v>
      </c>
      <c r="L138" s="33">
        <f t="shared" si="76"/>
        <v>210.3</v>
      </c>
      <c r="M138" s="33" t="s">
        <v>1550</v>
      </c>
      <c r="Q138" s="44" t="str">
        <f t="shared" si="77"/>
        <v xml:space="preserve"> </v>
      </c>
      <c r="R138" s="33" t="str">
        <f>IF(OR(ISBLANK(P138), ISBLANK(Q138)),"",CONCATENATE(" ",VLOOKUP(Q138,Literatuur!$A:$B,2,FALSE)," "))</f>
        <v/>
      </c>
      <c r="T138" s="44" t="str">
        <f t="shared" si="78"/>
        <v xml:space="preserve"> </v>
      </c>
      <c r="U138" s="33" t="str">
        <f>IF(OR(ISBLANK(S138), ISBLANK(T138)),"",CONCATENATE(" ",VLOOKUP(T138,Literatuur!$A:$B,2,FALSE)," "))</f>
        <v/>
      </c>
      <c r="W138" s="44" t="str">
        <f t="shared" si="79"/>
        <v xml:space="preserve"> </v>
      </c>
      <c r="X138" s="33" t="str">
        <f>IF(OR(ISBLANK(V138), ISBLANK(W138)),"",CONCATENATE(" ",VLOOKUP(W138,Literatuur!$A:$B,2,FALSE)," "))</f>
        <v/>
      </c>
      <c r="Z138" s="44" t="str">
        <f t="shared" si="80"/>
        <v xml:space="preserve"> </v>
      </c>
      <c r="AA138" s="33" t="str">
        <f>IF(OR(ISBLANK(Y138), ISBLANK(Z138)),"",CONCATENATE(" ",VLOOKUP(Z138,Literatuur!$A:$B,2,FALSE)," "))</f>
        <v/>
      </c>
      <c r="AC138" s="186" t="str">
        <f t="shared" si="81"/>
        <v xml:space="preserve"> </v>
      </c>
      <c r="AD138" s="33" t="str">
        <f>IF(OR(ISBLANK(AB138), ISBLANK(AC138)),"",CONCATENATE(" ",VLOOKUP(AC138,Literatuur!$A:$B,2,FALSE)," "))</f>
        <v/>
      </c>
      <c r="AG138" s="33" t="str">
        <f>IF(OR(ISBLANK(AE138), ISBLANK(AF138)),"",CONCATENATE(" ",VLOOKUP(AF138,Literatuur!$A:$B,2,FALSE)," "))</f>
        <v/>
      </c>
      <c r="AJ138" s="44" t="str">
        <f t="shared" si="82"/>
        <v xml:space="preserve"> </v>
      </c>
      <c r="AK138" s="33" t="str">
        <f>IF(OR(ISBLANK(AI138), ISBLANK(AJ138)),"",CONCATENATE(" ",VLOOKUP(AJ138,Literatuur!$A:$B,2,FALSE)," "))</f>
        <v/>
      </c>
      <c r="AM138" s="44" t="str">
        <f t="shared" si="83"/>
        <v xml:space="preserve"> </v>
      </c>
      <c r="AN138" s="33" t="str">
        <f>IF(OR(ISBLANK(AL138), ISBLANK(AM138)),"",CONCATENATE(" ",VLOOKUP(AM138,Literatuur!$A:$B,2,FALSE)," "))</f>
        <v/>
      </c>
      <c r="AP138" s="44" t="str">
        <f t="shared" si="84"/>
        <v xml:space="preserve"> </v>
      </c>
      <c r="AQ138" s="33" t="str">
        <f>IF(OR(ISBLANK(AO138), ISBLANK(AP138)),"",CONCATENATE(" ",VLOOKUP(AP138,Literatuur!$A:$B,2,FALSE)," "))</f>
        <v/>
      </c>
      <c r="AT138" s="33" t="str">
        <f>IF(OR(ISBLANK(AR138), ISBLANK(AS138)),"",CONCATENATE(" ",VLOOKUP(AS138,Literatuur!$A:$B,2,FALSE)," "))</f>
        <v/>
      </c>
      <c r="AU138" s="33">
        <v>242</v>
      </c>
      <c r="AV138" s="33" t="s">
        <v>2066</v>
      </c>
      <c r="AW138" s="33" t="str">
        <f>IF(OR(ISBLANK(AU138), ISBLANK(AV138)),"",CONCATENATE(" ",VLOOKUP(AV138,Literatuur!$A:$B,2,FALSE)," "))</f>
        <v xml:space="preserve"> 8 </v>
      </c>
      <c r="AZ138" s="44" t="str">
        <f t="shared" si="85"/>
        <v xml:space="preserve"> </v>
      </c>
      <c r="BA138" s="33" t="str">
        <f>IF(OR(ISBLANK(AY138), ISBLANK(AZ138)),"",CONCATENATE(" ",VLOOKUP(AZ138,Literatuur!$A:$B,2,FALSE)," "))</f>
        <v/>
      </c>
      <c r="BC138" s="44" t="str">
        <f t="shared" si="86"/>
        <v xml:space="preserve"> </v>
      </c>
      <c r="BD138" s="33" t="str">
        <f>IF(OR(ISBLANK(BB138), ISBLANK(BC138)),"",CONCATENATE(" ",VLOOKUP(BC138,Literatuur!$A:$B,2,FALSE)," "))</f>
        <v/>
      </c>
      <c r="BF138" s="44" t="str">
        <f t="shared" si="87"/>
        <v xml:space="preserve"> </v>
      </c>
      <c r="BG138" s="33" t="str">
        <f>IF(OR(ISBLANK(BE138), ISBLANK(BF138)),"",CONCATENATE(" ",VLOOKUP(BF138,Literatuur!$A:$B,2,FALSE)," "))</f>
        <v/>
      </c>
      <c r="BI138" s="44" t="str">
        <f t="shared" si="88"/>
        <v xml:space="preserve"> </v>
      </c>
      <c r="BJ138" s="33" t="str">
        <f>IF(OR(ISBLANK(BH138), ISBLANK(BI138)),"",CONCATENATE(" ",VLOOKUP(BI138,Literatuur!$A:$B,2,FALSE)," "))</f>
        <v/>
      </c>
      <c r="BL138" s="44" t="str">
        <f t="shared" si="89"/>
        <v xml:space="preserve"> </v>
      </c>
      <c r="BM138" s="33" t="str">
        <f>IF(OR(ISBLANK(BK138), ISBLANK(BL138)),"",CONCATENATE(" ",VLOOKUP(BL138,Literatuur!$A:$B,2,FALSE)," "))</f>
        <v/>
      </c>
      <c r="BP138" s="33" t="str">
        <f>IF(OR(ISBLANK(BN138), ISBLANK(BO138)),"",CONCATENATE(" ",VLOOKUP(BO138,Literatuur!$A:$B,2,FALSE)," "))</f>
        <v/>
      </c>
      <c r="BS138" s="33" t="str">
        <f>IF(OR(ISBLANK(BQ138), ISBLANK(BR138)),"",CONCATENATE(" ",VLOOKUP(BR138,Literatuur!$A:$B,2,FALSE)," "))</f>
        <v/>
      </c>
      <c r="BT138" s="33">
        <v>6.07</v>
      </c>
      <c r="BU138" s="33" t="s">
        <v>2066</v>
      </c>
      <c r="BV138" s="33" t="str">
        <f>IF(OR(ISBLANK(BT138), ISBLANK(BU138)),"",CONCATENATE(" ",VLOOKUP(BU138,Literatuur!$A:$B,2,FALSE)," "))</f>
        <v xml:space="preserve"> 8 </v>
      </c>
      <c r="BY138" s="33">
        <v>210.3</v>
      </c>
      <c r="CB138" s="33" t="s">
        <v>2066</v>
      </c>
      <c r="CD138" s="33">
        <f t="shared" si="90"/>
        <v>210.3</v>
      </c>
      <c r="CE138" s="37">
        <f t="shared" si="91"/>
        <v>242</v>
      </c>
      <c r="CH138" s="33">
        <f t="shared" si="92"/>
        <v>6.07</v>
      </c>
      <c r="CR138" s="33" t="str">
        <f t="shared" si="62"/>
        <v>7-methylbenz[a]anthracene</v>
      </c>
      <c r="CS138" s="33" t="str">
        <f t="shared" si="63"/>
        <v>PAK</v>
      </c>
      <c r="CT138" s="33">
        <f t="shared" si="64"/>
        <v>242</v>
      </c>
      <c r="CU138" s="33" t="str">
        <f t="shared" si="65"/>
        <v xml:space="preserve"> 8 </v>
      </c>
      <c r="CV138" s="33" t="str">
        <f t="shared" si="66"/>
        <v/>
      </c>
      <c r="CW138" s="33" t="str">
        <f t="shared" si="67"/>
        <v/>
      </c>
      <c r="CX138" s="33">
        <f t="shared" si="68"/>
        <v>6.07</v>
      </c>
      <c r="CY138" s="33" t="str">
        <f t="shared" si="69"/>
        <v xml:space="preserve"> 8 </v>
      </c>
    </row>
    <row r="139" spans="2:103" x14ac:dyDescent="0.2">
      <c r="B139" s="33">
        <v>-1569</v>
      </c>
      <c r="C139" s="33" t="e">
        <f>VLOOKUP(B139,Lohman2011!$I$7:$U$28,2,FALSE)</f>
        <v>#N/A</v>
      </c>
      <c r="D139" s="105" t="s">
        <v>601</v>
      </c>
      <c r="E139" s="105" t="s">
        <v>601</v>
      </c>
      <c r="F139" s="34"/>
      <c r="G139" s="34"/>
      <c r="I139" s="33">
        <f t="shared" si="74"/>
        <v>206.15</v>
      </c>
      <c r="J139" s="33">
        <f t="shared" si="70"/>
        <v>0.6351835291996929</v>
      </c>
      <c r="K139" s="44">
        <f t="shared" si="75"/>
        <v>5.2949999999999999</v>
      </c>
      <c r="L139" s="33">
        <f t="shared" si="76"/>
        <v>190.15</v>
      </c>
      <c r="M139" s="33" t="s">
        <v>1550</v>
      </c>
      <c r="Q139" s="44" t="str">
        <f t="shared" si="77"/>
        <v xml:space="preserve"> </v>
      </c>
      <c r="R139" s="33" t="str">
        <f>IF(OR(ISBLANK(P139), ISBLANK(Q139)),"",CONCATENATE(" ",VLOOKUP(Q139,Literatuur!$A:$B,2,FALSE)," "))</f>
        <v/>
      </c>
      <c r="T139" s="44" t="str">
        <f t="shared" si="78"/>
        <v xml:space="preserve"> </v>
      </c>
      <c r="U139" s="33" t="str">
        <f>IF(OR(ISBLANK(S139), ISBLANK(T139)),"",CONCATENATE(" ",VLOOKUP(T139,Literatuur!$A:$B,2,FALSE)," "))</f>
        <v/>
      </c>
      <c r="W139" s="44" t="str">
        <f t="shared" si="79"/>
        <v xml:space="preserve"> </v>
      </c>
      <c r="X139" s="33" t="str">
        <f>IF(OR(ISBLANK(V139), ISBLANK(W139)),"",CONCATENATE(" ",VLOOKUP(W139,Literatuur!$A:$B,2,FALSE)," "))</f>
        <v/>
      </c>
      <c r="Z139" s="44" t="str">
        <f t="shared" si="80"/>
        <v xml:space="preserve"> </v>
      </c>
      <c r="AA139" s="33" t="str">
        <f>IF(OR(ISBLANK(Y139), ISBLANK(Z139)),"",CONCATENATE(" ",VLOOKUP(Z139,Literatuur!$A:$B,2,FALSE)," "))</f>
        <v/>
      </c>
      <c r="AC139" s="186" t="str">
        <f t="shared" si="81"/>
        <v xml:space="preserve"> </v>
      </c>
      <c r="AD139" s="33" t="str">
        <f>IF(OR(ISBLANK(AB139), ISBLANK(AC139)),"",CONCATENATE(" ",VLOOKUP(AC139,Literatuur!$A:$B,2,FALSE)," "))</f>
        <v/>
      </c>
      <c r="AE139" s="39">
        <v>0.6351835291996929</v>
      </c>
      <c r="AF139" s="33" t="s">
        <v>1557</v>
      </c>
      <c r="AG139" s="33" t="str">
        <f>IF(OR(ISBLANK(AE139), ISBLANK(AF139)),"",CONCATENATE(" ",VLOOKUP(AF139,Literatuur!$A:$B,2,FALSE)," "))</f>
        <v xml:space="preserve"> 17 </v>
      </c>
      <c r="AJ139" s="44" t="str">
        <f t="shared" si="82"/>
        <v xml:space="preserve"> </v>
      </c>
      <c r="AK139" s="33" t="str">
        <f>IF(OR(ISBLANK(AI139), ISBLANK(AJ139)),"",CONCATENATE(" ",VLOOKUP(AJ139,Literatuur!$A:$B,2,FALSE)," "))</f>
        <v/>
      </c>
      <c r="AM139" s="44" t="str">
        <f t="shared" si="83"/>
        <v xml:space="preserve"> </v>
      </c>
      <c r="AN139" s="33" t="str">
        <f>IF(OR(ISBLANK(AL139), ISBLANK(AM139)),"",CONCATENATE(" ",VLOOKUP(AM139,Literatuur!$A:$B,2,FALSE)," "))</f>
        <v/>
      </c>
      <c r="AP139" s="44" t="str">
        <f t="shared" si="84"/>
        <v xml:space="preserve"> </v>
      </c>
      <c r="AQ139" s="33" t="str">
        <f>IF(OR(ISBLANK(AO139), ISBLANK(AP139)),"",CONCATENATE(" ",VLOOKUP(AP139,Literatuur!$A:$B,2,FALSE)," "))</f>
        <v/>
      </c>
      <c r="AR139" s="33">
        <v>206.3</v>
      </c>
      <c r="AS139" s="33" t="s">
        <v>1557</v>
      </c>
      <c r="AT139" s="33" t="str">
        <f>IF(OR(ISBLANK(AR139), ISBLANK(AS139)),"",CONCATENATE(" ",VLOOKUP(AS139,Literatuur!$A:$B,2,FALSE)," "))</f>
        <v xml:space="preserve"> 17 </v>
      </c>
      <c r="AU139" s="33">
        <v>206</v>
      </c>
      <c r="AV139" s="33" t="s">
        <v>2066</v>
      </c>
      <c r="AW139" s="33" t="str">
        <f>IF(OR(ISBLANK(AU139), ISBLANK(AV139)),"",CONCATENATE(" ",VLOOKUP(AV139,Literatuur!$A:$B,2,FALSE)," "))</f>
        <v xml:space="preserve"> 8 </v>
      </c>
      <c r="AZ139" s="44" t="str">
        <f t="shared" si="85"/>
        <v xml:space="preserve"> </v>
      </c>
      <c r="BA139" s="33" t="str">
        <f>IF(OR(ISBLANK(AY139), ISBLANK(AZ139)),"",CONCATENATE(" ",VLOOKUP(AZ139,Literatuur!$A:$B,2,FALSE)," "))</f>
        <v/>
      </c>
      <c r="BC139" s="44" t="str">
        <f t="shared" si="86"/>
        <v xml:space="preserve"> </v>
      </c>
      <c r="BD139" s="33" t="str">
        <f>IF(OR(ISBLANK(BB139), ISBLANK(BC139)),"",CONCATENATE(" ",VLOOKUP(BC139,Literatuur!$A:$B,2,FALSE)," "))</f>
        <v/>
      </c>
      <c r="BF139" s="44" t="str">
        <f t="shared" si="87"/>
        <v xml:space="preserve"> </v>
      </c>
      <c r="BG139" s="33" t="str">
        <f>IF(OR(ISBLANK(BE139), ISBLANK(BF139)),"",CONCATENATE(" ",VLOOKUP(BF139,Literatuur!$A:$B,2,FALSE)," "))</f>
        <v/>
      </c>
      <c r="BI139" s="44" t="str">
        <f t="shared" si="88"/>
        <v xml:space="preserve"> </v>
      </c>
      <c r="BJ139" s="33" t="str">
        <f>IF(OR(ISBLANK(BH139), ISBLANK(BI139)),"",CONCATENATE(" ",VLOOKUP(BI139,Literatuur!$A:$B,2,FALSE)," "))</f>
        <v/>
      </c>
      <c r="BL139" s="44" t="str">
        <f t="shared" si="89"/>
        <v xml:space="preserve"> </v>
      </c>
      <c r="BM139" s="33" t="str">
        <f>IF(OR(ISBLANK(BK139), ISBLANK(BL139)),"",CONCATENATE(" ",VLOOKUP(BL139,Literatuur!$A:$B,2,FALSE)," "))</f>
        <v/>
      </c>
      <c r="BN139" s="33">
        <v>4.9000000000000004</v>
      </c>
      <c r="BO139" s="33" t="s">
        <v>1557</v>
      </c>
      <c r="BP139" s="33" t="str">
        <f>IF(OR(ISBLANK(BN139), ISBLANK(BO139)),"",CONCATENATE(" ",VLOOKUP(BO139,Literatuur!$A:$B,2,FALSE)," "))</f>
        <v xml:space="preserve"> 17 </v>
      </c>
      <c r="BS139" s="33" t="str">
        <f>IF(OR(ISBLANK(BQ139), ISBLANK(BR139)),"",CONCATENATE(" ",VLOOKUP(BR139,Literatuur!$A:$B,2,FALSE)," "))</f>
        <v/>
      </c>
      <c r="BT139" s="33">
        <v>5.69</v>
      </c>
      <c r="BU139" s="33" t="s">
        <v>2066</v>
      </c>
      <c r="BV139" s="33" t="str">
        <f>IF(OR(ISBLANK(BT139), ISBLANK(BU139)),"",CONCATENATE(" ",VLOOKUP(BU139,Literatuur!$A:$B,2,FALSE)," "))</f>
        <v xml:space="preserve"> 8 </v>
      </c>
      <c r="BX139" s="33">
        <v>190.4</v>
      </c>
      <c r="BY139" s="33">
        <v>189.9</v>
      </c>
      <c r="CA139" s="33" t="s">
        <v>1557</v>
      </c>
      <c r="CB139" s="33" t="s">
        <v>2066</v>
      </c>
      <c r="CD139" s="33">
        <f t="shared" si="90"/>
        <v>190.15</v>
      </c>
      <c r="CE139" s="37">
        <f t="shared" si="91"/>
        <v>206.15</v>
      </c>
      <c r="CG139" s="33">
        <f>LOG(J139)</f>
        <v>-0.19710077202684936</v>
      </c>
      <c r="CH139" s="33">
        <f t="shared" si="92"/>
        <v>5.2949999999999999</v>
      </c>
      <c r="CR139" s="33" t="str">
        <f t="shared" si="62"/>
        <v>9,10-dimethylanthracene</v>
      </c>
      <c r="CS139" s="33" t="str">
        <f t="shared" si="63"/>
        <v>PAK</v>
      </c>
      <c r="CT139" s="33">
        <f t="shared" si="64"/>
        <v>206.15</v>
      </c>
      <c r="CU139" s="33" t="str">
        <f t="shared" si="65"/>
        <v xml:space="preserve"> 17  8 </v>
      </c>
      <c r="CV139" s="33">
        <f t="shared" si="66"/>
        <v>0.6351835291996929</v>
      </c>
      <c r="CW139" s="33" t="str">
        <f t="shared" si="67"/>
        <v xml:space="preserve"> 17 </v>
      </c>
      <c r="CX139" s="33">
        <f t="shared" si="68"/>
        <v>5.2949999999999999</v>
      </c>
      <c r="CY139" s="33" t="str">
        <f t="shared" si="69"/>
        <v xml:space="preserve"> 17  8 </v>
      </c>
    </row>
    <row r="140" spans="2:103" x14ac:dyDescent="0.2">
      <c r="B140" s="33">
        <v>-1566</v>
      </c>
      <c r="C140" s="33" t="e">
        <f>VLOOKUP(B140,Lohman2011!$I$7:$U$28,2,FALSE)</f>
        <v>#N/A</v>
      </c>
      <c r="D140" s="105" t="s">
        <v>597</v>
      </c>
      <c r="E140" s="105" t="s">
        <v>597</v>
      </c>
      <c r="F140" s="34"/>
      <c r="G140" s="34"/>
      <c r="I140" s="33">
        <f t="shared" si="74"/>
        <v>192</v>
      </c>
      <c r="J140" s="33" t="e">
        <f t="shared" si="70"/>
        <v>#DIV/0!</v>
      </c>
      <c r="K140" s="44">
        <f t="shared" si="75"/>
        <v>5.07</v>
      </c>
      <c r="L140" s="33">
        <f t="shared" si="76"/>
        <v>174.3</v>
      </c>
      <c r="M140" s="33" t="s">
        <v>1550</v>
      </c>
      <c r="Q140" s="44" t="str">
        <f t="shared" si="77"/>
        <v xml:space="preserve"> </v>
      </c>
      <c r="R140" s="33" t="str">
        <f>IF(OR(ISBLANK(P140), ISBLANK(Q140)),"",CONCATENATE(" ",VLOOKUP(Q140,Literatuur!$A:$B,2,FALSE)," "))</f>
        <v/>
      </c>
      <c r="T140" s="44" t="str">
        <f t="shared" si="78"/>
        <v xml:space="preserve"> </v>
      </c>
      <c r="U140" s="33" t="str">
        <f>IF(OR(ISBLANK(S140), ISBLANK(T140)),"",CONCATENATE(" ",VLOOKUP(T140,Literatuur!$A:$B,2,FALSE)," "))</f>
        <v/>
      </c>
      <c r="W140" s="44" t="str">
        <f t="shared" si="79"/>
        <v xml:space="preserve"> </v>
      </c>
      <c r="X140" s="33" t="str">
        <f>IF(OR(ISBLANK(V140), ISBLANK(W140)),"",CONCATENATE(" ",VLOOKUP(W140,Literatuur!$A:$B,2,FALSE)," "))</f>
        <v/>
      </c>
      <c r="Z140" s="44" t="str">
        <f t="shared" si="80"/>
        <v xml:space="preserve"> </v>
      </c>
      <c r="AA140" s="33" t="str">
        <f>IF(OR(ISBLANK(Y140), ISBLANK(Z140)),"",CONCATENATE(" ",VLOOKUP(Z140,Literatuur!$A:$B,2,FALSE)," "))</f>
        <v/>
      </c>
      <c r="AC140" s="186" t="str">
        <f t="shared" si="81"/>
        <v xml:space="preserve"> </v>
      </c>
      <c r="AD140" s="33" t="str">
        <f>IF(OR(ISBLANK(AB140), ISBLANK(AC140)),"",CONCATENATE(" ",VLOOKUP(AC140,Literatuur!$A:$B,2,FALSE)," "))</f>
        <v/>
      </c>
      <c r="AG140" s="33" t="str">
        <f>IF(OR(ISBLANK(AE140), ISBLANK(AF140)),"",CONCATENATE(" ",VLOOKUP(AF140,Literatuur!$A:$B,2,FALSE)," "))</f>
        <v/>
      </c>
      <c r="AJ140" s="44" t="str">
        <f t="shared" si="82"/>
        <v xml:space="preserve"> </v>
      </c>
      <c r="AK140" s="33" t="str">
        <f>IF(OR(ISBLANK(AI140), ISBLANK(AJ140)),"",CONCATENATE(" ",VLOOKUP(AJ140,Literatuur!$A:$B,2,FALSE)," "))</f>
        <v/>
      </c>
      <c r="AM140" s="44" t="str">
        <f t="shared" si="83"/>
        <v xml:space="preserve"> </v>
      </c>
      <c r="AN140" s="33" t="str">
        <f>IF(OR(ISBLANK(AL140), ISBLANK(AM140)),"",CONCATENATE(" ",VLOOKUP(AM140,Literatuur!$A:$B,2,FALSE)," "))</f>
        <v/>
      </c>
      <c r="AP140" s="44" t="str">
        <f t="shared" si="84"/>
        <v xml:space="preserve"> </v>
      </c>
      <c r="AQ140" s="33" t="str">
        <f>IF(OR(ISBLANK(AO140), ISBLANK(AP140)),"",CONCATENATE(" ",VLOOKUP(AP140,Literatuur!$A:$B,2,FALSE)," "))</f>
        <v/>
      </c>
      <c r="AT140" s="33" t="str">
        <f>IF(OR(ISBLANK(AR140), ISBLANK(AS140)),"",CONCATENATE(" ",VLOOKUP(AS140,Literatuur!$A:$B,2,FALSE)," "))</f>
        <v/>
      </c>
      <c r="AU140" s="33">
        <v>192</v>
      </c>
      <c r="AV140" s="33" t="s">
        <v>2066</v>
      </c>
      <c r="AW140" s="33" t="str">
        <f>IF(OR(ISBLANK(AU140), ISBLANK(AV140)),"",CONCATENATE(" ",VLOOKUP(AV140,Literatuur!$A:$B,2,FALSE)," "))</f>
        <v xml:space="preserve"> 8 </v>
      </c>
      <c r="AZ140" s="44" t="str">
        <f t="shared" si="85"/>
        <v xml:space="preserve"> </v>
      </c>
      <c r="BA140" s="33" t="str">
        <f>IF(OR(ISBLANK(AY140), ISBLANK(AZ140)),"",CONCATENATE(" ",VLOOKUP(AZ140,Literatuur!$A:$B,2,FALSE)," "))</f>
        <v/>
      </c>
      <c r="BC140" s="44" t="str">
        <f t="shared" si="86"/>
        <v xml:space="preserve"> </v>
      </c>
      <c r="BD140" s="33" t="str">
        <f>IF(OR(ISBLANK(BB140), ISBLANK(BC140)),"",CONCATENATE(" ",VLOOKUP(BC140,Literatuur!$A:$B,2,FALSE)," "))</f>
        <v/>
      </c>
      <c r="BF140" s="44" t="str">
        <f t="shared" si="87"/>
        <v xml:space="preserve"> </v>
      </c>
      <c r="BG140" s="33" t="str">
        <f>IF(OR(ISBLANK(BE140), ISBLANK(BF140)),"",CONCATENATE(" ",VLOOKUP(BF140,Literatuur!$A:$B,2,FALSE)," "))</f>
        <v/>
      </c>
      <c r="BI140" s="44" t="str">
        <f t="shared" si="88"/>
        <v xml:space="preserve"> </v>
      </c>
      <c r="BJ140" s="33" t="str">
        <f>IF(OR(ISBLANK(BH140), ISBLANK(BI140)),"",CONCATENATE(" ",VLOOKUP(BI140,Literatuur!$A:$B,2,FALSE)," "))</f>
        <v/>
      </c>
      <c r="BL140" s="44" t="str">
        <f t="shared" si="89"/>
        <v xml:space="preserve"> </v>
      </c>
      <c r="BM140" s="33" t="str">
        <f>IF(OR(ISBLANK(BK140), ISBLANK(BL140)),"",CONCATENATE(" ",VLOOKUP(BL140,Literatuur!$A:$B,2,FALSE)," "))</f>
        <v/>
      </c>
      <c r="BP140" s="33" t="str">
        <f>IF(OR(ISBLANK(BN140), ISBLANK(BO140)),"",CONCATENATE(" ",VLOOKUP(BO140,Literatuur!$A:$B,2,FALSE)," "))</f>
        <v/>
      </c>
      <c r="BS140" s="33" t="str">
        <f>IF(OR(ISBLANK(BQ140), ISBLANK(BR140)),"",CONCATENATE(" ",VLOOKUP(BR140,Literatuur!$A:$B,2,FALSE)," "))</f>
        <v/>
      </c>
      <c r="BT140" s="33">
        <v>5.07</v>
      </c>
      <c r="BU140" s="33" t="s">
        <v>2066</v>
      </c>
      <c r="BV140" s="33" t="str">
        <f>IF(OR(ISBLANK(BT140), ISBLANK(BU140)),"",CONCATENATE(" ",VLOOKUP(BU140,Literatuur!$A:$B,2,FALSE)," "))</f>
        <v xml:space="preserve"> 8 </v>
      </c>
      <c r="BY140" s="33">
        <v>174.3</v>
      </c>
      <c r="CB140" s="33" t="s">
        <v>2066</v>
      </c>
      <c r="CD140" s="33">
        <f t="shared" si="90"/>
        <v>174.3</v>
      </c>
      <c r="CE140" s="37">
        <f t="shared" si="91"/>
        <v>192</v>
      </c>
      <c r="CH140" s="33">
        <f t="shared" si="92"/>
        <v>5.07</v>
      </c>
      <c r="CR140" s="33" t="str">
        <f t="shared" si="62"/>
        <v>9-methylanthracene</v>
      </c>
      <c r="CS140" s="33" t="str">
        <f t="shared" si="63"/>
        <v>PAK</v>
      </c>
      <c r="CT140" s="33">
        <f t="shared" si="64"/>
        <v>192</v>
      </c>
      <c r="CU140" s="33" t="str">
        <f t="shared" si="65"/>
        <v xml:space="preserve"> 8 </v>
      </c>
      <c r="CV140" s="33" t="str">
        <f t="shared" si="66"/>
        <v/>
      </c>
      <c r="CW140" s="33" t="str">
        <f t="shared" si="67"/>
        <v/>
      </c>
      <c r="CX140" s="33">
        <f t="shared" si="68"/>
        <v>5.07</v>
      </c>
      <c r="CY140" s="33" t="str">
        <f t="shared" si="69"/>
        <v xml:space="preserve"> 8 </v>
      </c>
    </row>
    <row r="141" spans="2:103" x14ac:dyDescent="0.2">
      <c r="B141" s="33">
        <v>-1536</v>
      </c>
      <c r="C141" s="33" t="e">
        <f>VLOOKUP(B141,Lohman2011!$I$7:$U$28,2,FALSE)</f>
        <v>#N/A</v>
      </c>
      <c r="D141" s="105" t="s">
        <v>560</v>
      </c>
      <c r="E141" s="105" t="s">
        <v>560</v>
      </c>
      <c r="F141" s="34"/>
      <c r="G141" s="34"/>
      <c r="I141" s="33">
        <f t="shared" si="74"/>
        <v>154.1</v>
      </c>
      <c r="J141" s="33">
        <f t="shared" si="70"/>
        <v>22.064006344594798</v>
      </c>
      <c r="K141" s="44">
        <f t="shared" si="75"/>
        <v>3.96</v>
      </c>
      <c r="L141" s="33">
        <f t="shared" si="76"/>
        <v>141.80000000000001</v>
      </c>
      <c r="M141" s="33" t="s">
        <v>1550</v>
      </c>
      <c r="Q141" s="44" t="str">
        <f t="shared" si="77"/>
        <v xml:space="preserve"> </v>
      </c>
      <c r="R141" s="33" t="str">
        <f>IF(OR(ISBLANK(P141), ISBLANK(Q141)),"",CONCATENATE(" ",VLOOKUP(Q141,Literatuur!$A:$B,2,FALSE)," "))</f>
        <v/>
      </c>
      <c r="T141" s="44" t="str">
        <f t="shared" si="78"/>
        <v xml:space="preserve"> </v>
      </c>
      <c r="U141" s="33" t="str">
        <f>IF(OR(ISBLANK(S141), ISBLANK(T141)),"",CONCATENATE(" ",VLOOKUP(T141,Literatuur!$A:$B,2,FALSE)," "))</f>
        <v/>
      </c>
      <c r="W141" s="44" t="str">
        <f t="shared" si="79"/>
        <v xml:space="preserve"> </v>
      </c>
      <c r="X141" s="33" t="str">
        <f>IF(OR(ISBLANK(V141), ISBLANK(W141)),"",CONCATENATE(" ",VLOOKUP(W141,Literatuur!$A:$B,2,FALSE)," "))</f>
        <v/>
      </c>
      <c r="Z141" s="44" t="str">
        <f t="shared" si="80"/>
        <v xml:space="preserve"> </v>
      </c>
      <c r="AA141" s="33" t="str">
        <f>IF(OR(ISBLANK(Y141), ISBLANK(Z141)),"",CONCATENATE(" ",VLOOKUP(Z141,Literatuur!$A:$B,2,FALSE)," "))</f>
        <v/>
      </c>
      <c r="AC141" s="186" t="str">
        <f t="shared" si="81"/>
        <v xml:space="preserve"> </v>
      </c>
      <c r="AD141" s="33" t="str">
        <f>IF(OR(ISBLANK(AB141), ISBLANK(AC141)),"",CONCATENATE(" ",VLOOKUP(AC141,Literatuur!$A:$B,2,FALSE)," "))</f>
        <v/>
      </c>
      <c r="AE141" s="39">
        <v>22.064006344594798</v>
      </c>
      <c r="AF141" s="33" t="s">
        <v>1557</v>
      </c>
      <c r="AG141" s="33" t="str">
        <f>IF(OR(ISBLANK(AE141), ISBLANK(AF141)),"",CONCATENATE(" ",VLOOKUP(AF141,Literatuur!$A:$B,2,FALSE)," "))</f>
        <v xml:space="preserve"> 17 </v>
      </c>
      <c r="AJ141" s="44" t="str">
        <f t="shared" si="82"/>
        <v xml:space="preserve"> </v>
      </c>
      <c r="AK141" s="33" t="str">
        <f>IF(OR(ISBLANK(AI141), ISBLANK(AJ141)),"",CONCATENATE(" ",VLOOKUP(AJ141,Literatuur!$A:$B,2,FALSE)," "))</f>
        <v/>
      </c>
      <c r="AM141" s="44" t="str">
        <f t="shared" si="83"/>
        <v xml:space="preserve"> </v>
      </c>
      <c r="AN141" s="33" t="str">
        <f>IF(OR(ISBLANK(AL141), ISBLANK(AM141)),"",CONCATENATE(" ",VLOOKUP(AM141,Literatuur!$A:$B,2,FALSE)," "))</f>
        <v/>
      </c>
      <c r="AP141" s="44" t="str">
        <f t="shared" si="84"/>
        <v xml:space="preserve"> </v>
      </c>
      <c r="AQ141" s="33" t="str">
        <f>IF(OR(ISBLANK(AO141), ISBLANK(AP141)),"",CONCATENATE(" ",VLOOKUP(AP141,Literatuur!$A:$B,2,FALSE)," "))</f>
        <v/>
      </c>
      <c r="AR141" s="33">
        <v>154.19999999999999</v>
      </c>
      <c r="AS141" s="33" t="s">
        <v>1557</v>
      </c>
      <c r="AT141" s="33" t="str">
        <f>IF(OR(ISBLANK(AR141), ISBLANK(AS141)),"",CONCATENATE(" ",VLOOKUP(AS141,Literatuur!$A:$B,2,FALSE)," "))</f>
        <v xml:space="preserve"> 17 </v>
      </c>
      <c r="AU141" s="33">
        <v>154</v>
      </c>
      <c r="AV141" s="33" t="s">
        <v>2066</v>
      </c>
      <c r="AW141" s="33" t="str">
        <f>IF(OR(ISBLANK(AU141), ISBLANK(AV141)),"",CONCATENATE(" ",VLOOKUP(AV141,Literatuur!$A:$B,2,FALSE)," "))</f>
        <v xml:space="preserve"> 8 </v>
      </c>
      <c r="AZ141" s="44" t="str">
        <f t="shared" si="85"/>
        <v xml:space="preserve"> </v>
      </c>
      <c r="BA141" s="33" t="str">
        <f>IF(OR(ISBLANK(AY141), ISBLANK(AZ141)),"",CONCATENATE(" ",VLOOKUP(AZ141,Literatuur!$A:$B,2,FALSE)," "))</f>
        <v/>
      </c>
      <c r="BC141" s="44" t="str">
        <f t="shared" si="86"/>
        <v xml:space="preserve"> </v>
      </c>
      <c r="BD141" s="33" t="str">
        <f>IF(OR(ISBLANK(BB141), ISBLANK(BC141)),"",CONCATENATE(" ",VLOOKUP(BC141,Literatuur!$A:$B,2,FALSE)," "))</f>
        <v/>
      </c>
      <c r="BF141" s="44" t="str">
        <f t="shared" si="87"/>
        <v xml:space="preserve"> </v>
      </c>
      <c r="BG141" s="33" t="str">
        <f>IF(OR(ISBLANK(BE141), ISBLANK(BF141)),"",CONCATENATE(" ",VLOOKUP(BF141,Literatuur!$A:$B,2,FALSE)," "))</f>
        <v/>
      </c>
      <c r="BI141" s="44" t="str">
        <f t="shared" si="88"/>
        <v xml:space="preserve"> </v>
      </c>
      <c r="BJ141" s="33" t="str">
        <f>IF(OR(ISBLANK(BH141), ISBLANK(BI141)),"",CONCATENATE(" ",VLOOKUP(BI141,Literatuur!$A:$B,2,FALSE)," "))</f>
        <v/>
      </c>
      <c r="BL141" s="44" t="str">
        <f t="shared" si="89"/>
        <v xml:space="preserve"> </v>
      </c>
      <c r="BM141" s="33" t="str">
        <f>IF(OR(ISBLANK(BK141), ISBLANK(BL141)),"",CONCATENATE(" ",VLOOKUP(BL141,Literatuur!$A:$B,2,FALSE)," "))</f>
        <v/>
      </c>
      <c r="BN141" s="33">
        <v>4</v>
      </c>
      <c r="BO141" s="33" t="s">
        <v>1557</v>
      </c>
      <c r="BP141" s="33" t="str">
        <f>IF(OR(ISBLANK(BN141), ISBLANK(BO141)),"",CONCATENATE(" ",VLOOKUP(BO141,Literatuur!$A:$B,2,FALSE)," "))</f>
        <v xml:space="preserve"> 17 </v>
      </c>
      <c r="BS141" s="33" t="str">
        <f>IF(OR(ISBLANK(BQ141), ISBLANK(BR141)),"",CONCATENATE(" ",VLOOKUP(BR141,Literatuur!$A:$B,2,FALSE)," "))</f>
        <v/>
      </c>
      <c r="BT141" s="33">
        <v>3.92</v>
      </c>
      <c r="BU141" s="33" t="s">
        <v>2066</v>
      </c>
      <c r="BV141" s="33" t="str">
        <f>IF(OR(ISBLANK(BT141), ISBLANK(BU141)),"",CONCATENATE(" ",VLOOKUP(BU141,Literatuur!$A:$B,2,FALSE)," "))</f>
        <v xml:space="preserve"> 8 </v>
      </c>
      <c r="BX141" s="33">
        <v>142</v>
      </c>
      <c r="BY141" s="33">
        <v>141.6</v>
      </c>
      <c r="CA141" s="33" t="s">
        <v>1557</v>
      </c>
      <c r="CB141" s="33" t="s">
        <v>2066</v>
      </c>
      <c r="CD141" s="33">
        <f t="shared" si="90"/>
        <v>141.80000000000001</v>
      </c>
      <c r="CE141" s="37">
        <f t="shared" si="91"/>
        <v>154.1</v>
      </c>
      <c r="CG141" s="33">
        <f>LOG(J141)</f>
        <v>1.3436843737149378</v>
      </c>
      <c r="CH141" s="33">
        <f t="shared" si="92"/>
        <v>3.96</v>
      </c>
      <c r="CR141" s="33" t="str">
        <f t="shared" si="62"/>
        <v>acenaphthene</v>
      </c>
      <c r="CS141" s="33" t="str">
        <f t="shared" si="63"/>
        <v>PAK</v>
      </c>
      <c r="CT141" s="33">
        <f t="shared" si="64"/>
        <v>154.1</v>
      </c>
      <c r="CU141" s="33" t="str">
        <f t="shared" si="65"/>
        <v xml:space="preserve"> 17  8 </v>
      </c>
      <c r="CV141" s="33">
        <f t="shared" si="66"/>
        <v>22.064006344594798</v>
      </c>
      <c r="CW141" s="33" t="str">
        <f t="shared" si="67"/>
        <v xml:space="preserve"> 17 </v>
      </c>
      <c r="CX141" s="33">
        <f t="shared" si="68"/>
        <v>3.96</v>
      </c>
      <c r="CY141" s="33" t="str">
        <f t="shared" si="69"/>
        <v xml:space="preserve"> 17  8 </v>
      </c>
    </row>
    <row r="142" spans="2:103" x14ac:dyDescent="0.2">
      <c r="B142" s="33">
        <v>-1696</v>
      </c>
      <c r="D142" t="s">
        <v>966</v>
      </c>
      <c r="E142" t="s">
        <v>966</v>
      </c>
      <c r="I142" s="33">
        <f t="shared" ref="I142:I155" si="93">IF(ISNUMBER(AI142),AI142,AVERAGE(AL142:AU142))</f>
        <v>152.19999999999999</v>
      </c>
      <c r="J142" s="33" t="e">
        <f t="shared" si="70"/>
        <v>#DIV/0!</v>
      </c>
      <c r="K142" s="44">
        <f t="shared" ref="K142:K155" si="94">IF(ISNUMBER(AY142),AY142,AVERAGE(BB142,BE142,BH142,BK142,BN142,BQ142,BT142))</f>
        <v>3.9</v>
      </c>
      <c r="L142" s="33">
        <f t="shared" ref="L142:L155" si="95">AVERAGE(BX142:BY142)</f>
        <v>223.1</v>
      </c>
      <c r="M142" s="33" t="s">
        <v>1550</v>
      </c>
      <c r="Q142" s="44" t="str">
        <f t="shared" ref="Q142:Q173" si="96">IF(ISBLANK(P142)," ","Sanscrit")</f>
        <v xml:space="preserve"> </v>
      </c>
      <c r="R142" s="33" t="str">
        <f>IF(OR(ISBLANK(P142), ISBLANK(Q142)),"",CONCATENATE(" ",VLOOKUP(Q142,Literatuur!$A:$B,2,FALSE)," "))</f>
        <v/>
      </c>
      <c r="T142" s="44" t="str">
        <f t="shared" ref="T142:T173" si="97">IF(ISBLANK(S142)," ","Gestis")</f>
        <v xml:space="preserve"> </v>
      </c>
      <c r="U142" s="33" t="str">
        <f>IF(OR(ISBLANK(S142), ISBLANK(T142)),"",CONCATENATE(" ",VLOOKUP(T142,Literatuur!$A:$B,2,FALSE)," "))</f>
        <v/>
      </c>
      <c r="W142" s="44" t="str">
        <f t="shared" ref="W142:W173" si="98">IF(ISBLANK(V142)," ","US EPA 1995")</f>
        <v xml:space="preserve"> </v>
      </c>
      <c r="X142" s="33" t="str">
        <f>IF(OR(ISBLANK(V142), ISBLANK(W142)),"",CONCATENATE(" ",VLOOKUP(W142,Literatuur!$A:$B,2,FALSE)," "))</f>
        <v/>
      </c>
      <c r="Z142" s="44" t="str">
        <f t="shared" ref="Z142:Z173" si="99">IF(ISBLANK(Y142)," ","US EPA suite")</f>
        <v xml:space="preserve"> </v>
      </c>
      <c r="AA142" s="33" t="str">
        <f>IF(OR(ISBLANK(Y142), ISBLANK(Z142)),"",CONCATENATE(" ",VLOOKUP(Z142,Literatuur!$A:$B,2,FALSE)," "))</f>
        <v/>
      </c>
      <c r="AC142" s="36" t="str">
        <f t="shared" ref="AC142:AC173" si="100">IF(ISBLANK(AB142)," ","Vonk 1985")</f>
        <v xml:space="preserve"> </v>
      </c>
      <c r="AD142" s="33" t="str">
        <f>IF(OR(ISBLANK(AB142), ISBLANK(AC142)),"",CONCATENATE(" ",VLOOKUP(AC142,Literatuur!$A:$B,2,FALSE)," "))</f>
        <v/>
      </c>
      <c r="AG142" s="33" t="str">
        <f>IF(OR(ISBLANK(AE142), ISBLANK(AF142)),"",CONCATENATE(" ",VLOOKUP(AF142,Literatuur!$A:$B,2,FALSE)," "))</f>
        <v/>
      </c>
      <c r="AJ142" s="44" t="str">
        <f t="shared" ref="AJ142:AJ173" si="101">IF(ISBLANK(AI142)," ","Sanscrit")</f>
        <v xml:space="preserve"> </v>
      </c>
      <c r="AK142" s="33" t="str">
        <f>IF(OR(ISBLANK(AI142), ISBLANK(AJ142)),"",CONCATENATE(" ",VLOOKUP(AJ142,Literatuur!$A:$B,2,FALSE)," "))</f>
        <v/>
      </c>
      <c r="AM142" s="44" t="str">
        <f t="shared" ref="AM142:AM173" si="102">IF(ISBLANK(AL142)," ","Gestis")</f>
        <v xml:space="preserve"> </v>
      </c>
      <c r="AN142" s="33" t="str">
        <f>IF(OR(ISBLANK(AL142), ISBLANK(AM142)),"",CONCATENATE(" ",VLOOKUP(AM142,Literatuur!$A:$B,2,FALSE)," "))</f>
        <v/>
      </c>
      <c r="AP142" s="44" t="str">
        <f t="shared" ref="AP142:AP173" si="103">IF(ISBLANK(AO142)," ","US EPA suite")</f>
        <v xml:space="preserve"> </v>
      </c>
      <c r="AQ142" s="33" t="str">
        <f>IF(OR(ISBLANK(AO142), ISBLANK(AP142)),"",CONCATENATE(" ",VLOOKUP(AP142,Literatuur!$A:$B,2,FALSE)," "))</f>
        <v/>
      </c>
      <c r="AS142"/>
      <c r="AT142" s="33" t="str">
        <f>IF(OR(ISBLANK(AR142), ISBLANK(AS142)),"",CONCATENATE(" ",VLOOKUP(AS142,Literatuur!$A:$B,2,FALSE)," "))</f>
        <v/>
      </c>
      <c r="AU142">
        <v>152.19999999999999</v>
      </c>
      <c r="AV142" s="33" t="s">
        <v>1557</v>
      </c>
      <c r="AW142" s="33" t="str">
        <f>IF(OR(ISBLANK(AU142), ISBLANK(AV142)),"",CONCATENATE(" ",VLOOKUP(AV142,Literatuur!$A:$B,2,FALSE)," "))</f>
        <v xml:space="preserve"> 17 </v>
      </c>
      <c r="AZ142" s="44" t="str">
        <f t="shared" ref="AZ142:AZ173" si="104">IF(ISBLANK(AY142)," ","Sanscrit")</f>
        <v xml:space="preserve"> </v>
      </c>
      <c r="BA142" s="33" t="str">
        <f>IF(OR(ISBLANK(AY142), ISBLANK(AZ142)),"",CONCATENATE(" ",VLOOKUP(AZ142,Literatuur!$A:$B,2,FALSE)," "))</f>
        <v/>
      </c>
      <c r="BC142" s="44" t="str">
        <f t="shared" ref="BC142:BC173" si="105">IF(ISBLANK(BB142)," ","Gestis")</f>
        <v xml:space="preserve"> </v>
      </c>
      <c r="BD142" s="33" t="str">
        <f>IF(OR(ISBLANK(BB142), ISBLANK(BC142)),"",CONCATENATE(" ",VLOOKUP(BC142,Literatuur!$A:$B,2,FALSE)," "))</f>
        <v/>
      </c>
      <c r="BF142" s="44" t="str">
        <f t="shared" ref="BF142:BF173" si="106">IF(ISBLANK(BE142)," ","US EPA 1995")</f>
        <v xml:space="preserve"> </v>
      </c>
      <c r="BG142" s="33" t="str">
        <f>IF(OR(ISBLANK(BE142), ISBLANK(BF142)),"",CONCATENATE(" ",VLOOKUP(BF142,Literatuur!$A:$B,2,FALSE)," "))</f>
        <v/>
      </c>
      <c r="BI142" s="44" t="str">
        <f t="shared" ref="BI142:BI173" si="107">IF(ISBLANK(BH142)," ","US EPA suite")</f>
        <v xml:space="preserve"> </v>
      </c>
      <c r="BJ142" s="33" t="str">
        <f>IF(OR(ISBLANK(BH142), ISBLANK(BI142)),"",CONCATENATE(" ",VLOOKUP(BI142,Literatuur!$A:$B,2,FALSE)," "))</f>
        <v/>
      </c>
      <c r="BL142" s="44" t="str">
        <f t="shared" ref="BL142:BL173" si="108">IF(ISBLANK(BK142)," ","Sangster 1989")</f>
        <v xml:space="preserve"> </v>
      </c>
      <c r="BM142" s="33" t="str">
        <f>IF(OR(ISBLANK(BK142), ISBLANK(BL142)),"",CONCATENATE(" ",VLOOKUP(BL142,Literatuur!$A:$B,2,FALSE)," "))</f>
        <v/>
      </c>
      <c r="BP142" s="33" t="str">
        <f>IF(OR(ISBLANK(BN142), ISBLANK(BO142)),"",CONCATENATE(" ",VLOOKUP(BO142,Literatuur!$A:$B,2,FALSE)," "))</f>
        <v/>
      </c>
      <c r="BS142" s="33" t="str">
        <f>IF(OR(ISBLANK(BQ142), ISBLANK(BR142)),"",CONCATENATE(" ",VLOOKUP(BR142,Literatuur!$A:$B,2,FALSE)," "))</f>
        <v/>
      </c>
      <c r="BT142">
        <v>3.9</v>
      </c>
      <c r="BU142" s="33" t="s">
        <v>1557</v>
      </c>
      <c r="BV142" s="33" t="str">
        <f>IF(OR(ISBLANK(BT142), ISBLANK(BU142)),"",CONCATENATE(" ",VLOOKUP(BU142,Literatuur!$A:$B,2,FALSE)," "))</f>
        <v xml:space="preserve"> 17 </v>
      </c>
      <c r="BX142" s="33">
        <v>223.1</v>
      </c>
      <c r="BZ142" s="337">
        <v>139.1</v>
      </c>
      <c r="CB142" s="33" t="s">
        <v>1557</v>
      </c>
      <c r="CC142" s="33" t="s">
        <v>1736</v>
      </c>
      <c r="CD142" s="33">
        <f t="shared" si="90"/>
        <v>223.1</v>
      </c>
      <c r="CR142" s="33" t="str">
        <f t="shared" ref="CR142:CR205" si="109">IF(ISBLANK(E142),"",E142)</f>
        <v>acenaphthylene</v>
      </c>
      <c r="CS142" s="33" t="str">
        <f t="shared" ref="CS142:CS205" si="110">IF(ISBLANK(M142),"",M142)</f>
        <v>PAK</v>
      </c>
      <c r="CT142" s="33">
        <f t="shared" ref="CT142:CT205" si="111">IF(OR(ISBLANK(I142),ISERROR(I142)),"",I142)</f>
        <v>152.19999999999999</v>
      </c>
      <c r="CU142" s="33" t="str">
        <f t="shared" ref="CU142:CU205" si="112">IF(ISBLANK(AI142),CONCATENATE(AN142,AQ142,AT142,AW142,AX142),AK142)</f>
        <v xml:space="preserve"> 17 </v>
      </c>
      <c r="CV142" s="33" t="str">
        <f t="shared" ref="CV142:CV205" si="113">IF(OR(ISBLANK(J142),ISERROR(J142)),"",J142)</f>
        <v/>
      </c>
      <c r="CW142" s="33" t="str">
        <f t="shared" ref="CW142:CW205" si="114">IF(ISBLANK(P142),CONCATENATE(U142,X142,AA142,AD142,AG142),R142)</f>
        <v/>
      </c>
      <c r="CX142" s="33">
        <f t="shared" ref="CX142:CX205" si="115">IF(OR(ISBLANK(K142),ISERROR(K142)),"",K142)</f>
        <v>3.9</v>
      </c>
      <c r="CY142" s="33" t="str">
        <f t="shared" ref="CY142:CY205" si="116">IF(ISBLANK(AY142),CONCATENATE(BD142,BG142,BJ142,BM142,BP142,BS142,BV142,BW142),BA142)</f>
        <v xml:space="preserve"> 17 </v>
      </c>
    </row>
    <row r="143" spans="2:103" x14ac:dyDescent="0.2">
      <c r="B143" s="33">
        <v>-1539</v>
      </c>
      <c r="C143" s="33" t="e">
        <f>VLOOKUP(B143,Lohman2011!$I$7:$U$28,2,FALSE)</f>
        <v>#N/A</v>
      </c>
      <c r="D143" s="105" t="s">
        <v>563</v>
      </c>
      <c r="E143" s="105" t="s">
        <v>563</v>
      </c>
      <c r="F143" s="34"/>
      <c r="G143" s="34"/>
      <c r="I143" s="33">
        <f t="shared" si="93"/>
        <v>178.1</v>
      </c>
      <c r="J143" s="33">
        <f t="shared" ref="J143:J206" si="117">IF(ISNUMBER(P143),P143,AVERAGE(S143:AE143))</f>
        <v>4.3501847309898105</v>
      </c>
      <c r="K143" s="44">
        <f t="shared" si="94"/>
        <v>4.5250000000000004</v>
      </c>
      <c r="L143" s="33">
        <f t="shared" si="95"/>
        <v>158.89999999999998</v>
      </c>
      <c r="M143" s="33" t="s">
        <v>1550</v>
      </c>
      <c r="Q143" s="44" t="str">
        <f t="shared" si="96"/>
        <v xml:space="preserve"> </v>
      </c>
      <c r="R143" s="33" t="str">
        <f>IF(OR(ISBLANK(P143), ISBLANK(Q143)),"",CONCATENATE(" ",VLOOKUP(Q143,Literatuur!$A:$B,2,FALSE)," "))</f>
        <v/>
      </c>
      <c r="T143" s="44" t="str">
        <f t="shared" si="97"/>
        <v xml:space="preserve"> </v>
      </c>
      <c r="U143" s="33" t="str">
        <f>IF(OR(ISBLANK(S143), ISBLANK(T143)),"",CONCATENATE(" ",VLOOKUP(T143,Literatuur!$A:$B,2,FALSE)," "))</f>
        <v/>
      </c>
      <c r="W143" s="44" t="str">
        <f t="shared" si="98"/>
        <v xml:space="preserve"> </v>
      </c>
      <c r="X143" s="33" t="str">
        <f>IF(OR(ISBLANK(V143), ISBLANK(W143)),"",CONCATENATE(" ",VLOOKUP(W143,Literatuur!$A:$B,2,FALSE)," "))</f>
        <v/>
      </c>
      <c r="Z143" s="44" t="str">
        <f t="shared" si="99"/>
        <v xml:space="preserve"> </v>
      </c>
      <c r="AA143" s="33" t="str">
        <f>IF(OR(ISBLANK(Y143), ISBLANK(Z143)),"",CONCATENATE(" ",VLOOKUP(Z143,Literatuur!$A:$B,2,FALSE)," "))</f>
        <v/>
      </c>
      <c r="AC143" s="186" t="str">
        <f t="shared" si="100"/>
        <v xml:space="preserve"> </v>
      </c>
      <c r="AD143" s="33" t="str">
        <f>IF(OR(ISBLANK(AB143), ISBLANK(AC143)),"",CONCATENATE(" ",VLOOKUP(AC143,Literatuur!$A:$B,2,FALSE)," "))</f>
        <v/>
      </c>
      <c r="AE143" s="39">
        <v>4.3501847309898105</v>
      </c>
      <c r="AF143" s="33" t="s">
        <v>1557</v>
      </c>
      <c r="AG143" s="33" t="str">
        <f>IF(OR(ISBLANK(AE143), ISBLANK(AF143)),"",CONCATENATE(" ",VLOOKUP(AF143,Literatuur!$A:$B,2,FALSE)," "))</f>
        <v xml:space="preserve"> 17 </v>
      </c>
      <c r="AJ143" s="44" t="str">
        <f t="shared" si="101"/>
        <v xml:space="preserve"> </v>
      </c>
      <c r="AK143" s="33" t="str">
        <f>IF(OR(ISBLANK(AI143), ISBLANK(AJ143)),"",CONCATENATE(" ",VLOOKUP(AJ143,Literatuur!$A:$B,2,FALSE)," "))</f>
        <v/>
      </c>
      <c r="AM143" s="44" t="str">
        <f t="shared" si="102"/>
        <v xml:space="preserve"> </v>
      </c>
      <c r="AN143" s="33" t="str">
        <f>IF(OR(ISBLANK(AL143), ISBLANK(AM143)),"",CONCATENATE(" ",VLOOKUP(AM143,Literatuur!$A:$B,2,FALSE)," "))</f>
        <v/>
      </c>
      <c r="AP143" s="44" t="str">
        <f t="shared" si="103"/>
        <v xml:space="preserve"> </v>
      </c>
      <c r="AQ143" s="33" t="str">
        <f>IF(OR(ISBLANK(AO143), ISBLANK(AP143)),"",CONCATENATE(" ",VLOOKUP(AP143,Literatuur!$A:$B,2,FALSE)," "))</f>
        <v/>
      </c>
      <c r="AR143" s="33">
        <v>178.2</v>
      </c>
      <c r="AS143" s="33" t="s">
        <v>1557</v>
      </c>
      <c r="AT143" s="33" t="str">
        <f>IF(OR(ISBLANK(AR143), ISBLANK(AS143)),"",CONCATENATE(" ",VLOOKUP(AS143,Literatuur!$A:$B,2,FALSE)," "))</f>
        <v xml:space="preserve"> 17 </v>
      </c>
      <c r="AU143" s="33">
        <v>178</v>
      </c>
      <c r="AV143" s="33" t="s">
        <v>2066</v>
      </c>
      <c r="AW143" s="33" t="str">
        <f>IF(OR(ISBLANK(AU143), ISBLANK(AV143)),"",CONCATENATE(" ",VLOOKUP(AV143,Literatuur!$A:$B,2,FALSE)," "))</f>
        <v xml:space="preserve"> 8 </v>
      </c>
      <c r="AZ143" s="44" t="str">
        <f t="shared" si="104"/>
        <v xml:space="preserve"> </v>
      </c>
      <c r="BA143" s="33" t="str">
        <f>IF(OR(ISBLANK(AY143), ISBLANK(AZ143)),"",CONCATENATE(" ",VLOOKUP(AZ143,Literatuur!$A:$B,2,FALSE)," "))</f>
        <v/>
      </c>
      <c r="BC143" s="44" t="str">
        <f t="shared" si="105"/>
        <v xml:space="preserve"> </v>
      </c>
      <c r="BD143" s="33" t="str">
        <f>IF(OR(ISBLANK(BB143), ISBLANK(BC143)),"",CONCATENATE(" ",VLOOKUP(BC143,Literatuur!$A:$B,2,FALSE)," "))</f>
        <v/>
      </c>
      <c r="BF143" s="44" t="str">
        <f t="shared" si="106"/>
        <v xml:space="preserve"> </v>
      </c>
      <c r="BG143" s="33" t="str">
        <f>IF(OR(ISBLANK(BE143), ISBLANK(BF143)),"",CONCATENATE(" ",VLOOKUP(BF143,Literatuur!$A:$B,2,FALSE)," "))</f>
        <v/>
      </c>
      <c r="BI143" s="44" t="str">
        <f t="shared" si="107"/>
        <v xml:space="preserve"> </v>
      </c>
      <c r="BJ143" s="33" t="str">
        <f>IF(OR(ISBLANK(BH143), ISBLANK(BI143)),"",CONCATENATE(" ",VLOOKUP(BI143,Literatuur!$A:$B,2,FALSE)," "))</f>
        <v/>
      </c>
      <c r="BL143" s="44" t="str">
        <f t="shared" si="108"/>
        <v xml:space="preserve"> </v>
      </c>
      <c r="BM143" s="33" t="str">
        <f>IF(OR(ISBLANK(BK143), ISBLANK(BL143)),"",CONCATENATE(" ",VLOOKUP(BL143,Literatuur!$A:$B,2,FALSE)," "))</f>
        <v/>
      </c>
      <c r="BN143" s="33">
        <v>4.5999999999999996</v>
      </c>
      <c r="BO143" s="33" t="s">
        <v>1557</v>
      </c>
      <c r="BP143" s="33" t="str">
        <f>IF(OR(ISBLANK(BN143), ISBLANK(BO143)),"",CONCATENATE(" ",VLOOKUP(BO143,Literatuur!$A:$B,2,FALSE)," "))</f>
        <v xml:space="preserve"> 17 </v>
      </c>
      <c r="BS143" s="33" t="str">
        <f>IF(OR(ISBLANK(BQ143), ISBLANK(BR143)),"",CONCATENATE(" ",VLOOKUP(BR143,Literatuur!$A:$B,2,FALSE)," "))</f>
        <v/>
      </c>
      <c r="BT143" s="33">
        <v>4.45</v>
      </c>
      <c r="BU143" s="33" t="s">
        <v>2066</v>
      </c>
      <c r="BV143" s="33" t="str">
        <f>IF(OR(ISBLANK(BT143), ISBLANK(BU143)),"",CONCATENATE(" ",VLOOKUP(BU143,Literatuur!$A:$B,2,FALSE)," "))</f>
        <v xml:space="preserve"> 8 </v>
      </c>
      <c r="BX143" s="33">
        <v>159.1</v>
      </c>
      <c r="BY143" s="33">
        <v>158.69999999999999</v>
      </c>
      <c r="CA143" s="33" t="s">
        <v>1557</v>
      </c>
      <c r="CB143" s="33" t="s">
        <v>2066</v>
      </c>
      <c r="CD143" s="33">
        <f t="shared" si="90"/>
        <v>158.89999999999998</v>
      </c>
      <c r="CE143" s="37">
        <f>I143</f>
        <v>178.1</v>
      </c>
      <c r="CG143" s="33">
        <f>LOG(J143)</f>
        <v>0.63850769970085575</v>
      </c>
      <c r="CH143" s="33">
        <f>K143</f>
        <v>4.5250000000000004</v>
      </c>
      <c r="CR143" s="33" t="str">
        <f t="shared" si="109"/>
        <v>anthracene</v>
      </c>
      <c r="CS143" s="33" t="str">
        <f t="shared" si="110"/>
        <v>PAK</v>
      </c>
      <c r="CT143" s="33">
        <f t="shared" si="111"/>
        <v>178.1</v>
      </c>
      <c r="CU143" s="33" t="str">
        <f t="shared" si="112"/>
        <v xml:space="preserve"> 17  8 </v>
      </c>
      <c r="CV143" s="33">
        <f t="shared" si="113"/>
        <v>4.3501847309898105</v>
      </c>
      <c r="CW143" s="33" t="str">
        <f t="shared" si="114"/>
        <v xml:space="preserve"> 17 </v>
      </c>
      <c r="CX143" s="33">
        <f t="shared" si="115"/>
        <v>4.5250000000000004</v>
      </c>
      <c r="CY143" s="33" t="str">
        <f t="shared" si="116"/>
        <v xml:space="preserve"> 17  8 </v>
      </c>
    </row>
    <row r="144" spans="2:103" x14ac:dyDescent="0.2">
      <c r="B144" s="33">
        <v>-1542</v>
      </c>
      <c r="C144" s="33" t="e">
        <f>VLOOKUP(B144,Lohman2011!$I$7:$U$28,2,FALSE)</f>
        <v>#N/A</v>
      </c>
      <c r="D144" s="105" t="s">
        <v>566</v>
      </c>
      <c r="E144" s="105" t="s">
        <v>566</v>
      </c>
      <c r="F144" s="34"/>
      <c r="G144" s="34"/>
      <c r="I144" s="33">
        <f t="shared" si="93"/>
        <v>228.15</v>
      </c>
      <c r="J144" s="33">
        <f t="shared" si="117"/>
        <v>0.13896515350405772</v>
      </c>
      <c r="K144" s="44">
        <f t="shared" si="94"/>
        <v>5.7799999999999994</v>
      </c>
      <c r="L144" s="33">
        <f t="shared" si="95"/>
        <v>194.89999999999998</v>
      </c>
      <c r="M144" s="33" t="s">
        <v>1550</v>
      </c>
      <c r="Q144" s="44" t="str">
        <f t="shared" si="96"/>
        <v xml:space="preserve"> </v>
      </c>
      <c r="R144" s="33" t="str">
        <f>IF(OR(ISBLANK(P144), ISBLANK(Q144)),"",CONCATENATE(" ",VLOOKUP(Q144,Literatuur!$A:$B,2,FALSE)," "))</f>
        <v/>
      </c>
      <c r="T144" s="44" t="str">
        <f t="shared" si="97"/>
        <v xml:space="preserve"> </v>
      </c>
      <c r="U144" s="33" t="str">
        <f>IF(OR(ISBLANK(S144), ISBLANK(T144)),"",CONCATENATE(" ",VLOOKUP(T144,Literatuur!$A:$B,2,FALSE)," "))</f>
        <v/>
      </c>
      <c r="W144" s="44" t="str">
        <f t="shared" si="98"/>
        <v xml:space="preserve"> </v>
      </c>
      <c r="X144" s="33" t="str">
        <f>IF(OR(ISBLANK(V144), ISBLANK(W144)),"",CONCATENATE(" ",VLOOKUP(W144,Literatuur!$A:$B,2,FALSE)," "))</f>
        <v/>
      </c>
      <c r="Z144" s="44" t="str">
        <f t="shared" si="99"/>
        <v xml:space="preserve"> </v>
      </c>
      <c r="AA144" s="33" t="str">
        <f>IF(OR(ISBLANK(Y144), ISBLANK(Z144)),"",CONCATENATE(" ",VLOOKUP(Z144,Literatuur!$A:$B,2,FALSE)," "))</f>
        <v/>
      </c>
      <c r="AC144" s="186" t="str">
        <f t="shared" si="100"/>
        <v xml:space="preserve"> </v>
      </c>
      <c r="AD144" s="33" t="str">
        <f>IF(OR(ISBLANK(AB144), ISBLANK(AC144)),"",CONCATENATE(" ",VLOOKUP(AC144,Literatuur!$A:$B,2,FALSE)," "))</f>
        <v/>
      </c>
      <c r="AE144" s="39">
        <v>0.13896515350405772</v>
      </c>
      <c r="AF144" s="33" t="s">
        <v>1557</v>
      </c>
      <c r="AG144" s="33" t="str">
        <f>IF(OR(ISBLANK(AE144), ISBLANK(AF144)),"",CONCATENATE(" ",VLOOKUP(AF144,Literatuur!$A:$B,2,FALSE)," "))</f>
        <v xml:space="preserve"> 17 </v>
      </c>
      <c r="AJ144" s="44" t="str">
        <f t="shared" si="101"/>
        <v xml:space="preserve"> </v>
      </c>
      <c r="AK144" s="33" t="str">
        <f>IF(OR(ISBLANK(AI144), ISBLANK(AJ144)),"",CONCATENATE(" ",VLOOKUP(AJ144,Literatuur!$A:$B,2,FALSE)," "))</f>
        <v/>
      </c>
      <c r="AM144" s="44" t="str">
        <f t="shared" si="102"/>
        <v xml:space="preserve"> </v>
      </c>
      <c r="AN144" s="33" t="str">
        <f>IF(OR(ISBLANK(AL144), ISBLANK(AM144)),"",CONCATENATE(" ",VLOOKUP(AM144,Literatuur!$A:$B,2,FALSE)," "))</f>
        <v/>
      </c>
      <c r="AP144" s="44" t="str">
        <f t="shared" si="103"/>
        <v xml:space="preserve"> </v>
      </c>
      <c r="AQ144" s="33" t="str">
        <f>IF(OR(ISBLANK(AO144), ISBLANK(AP144)),"",CONCATENATE(" ",VLOOKUP(AP144,Literatuur!$A:$B,2,FALSE)," "))</f>
        <v/>
      </c>
      <c r="AR144" s="33">
        <v>228.3</v>
      </c>
      <c r="AS144" s="33" t="s">
        <v>1557</v>
      </c>
      <c r="AT144" s="33" t="str">
        <f>IF(OR(ISBLANK(AR144), ISBLANK(AS144)),"",CONCATENATE(" ",VLOOKUP(AS144,Literatuur!$A:$B,2,FALSE)," "))</f>
        <v xml:space="preserve"> 17 </v>
      </c>
      <c r="AU144" s="33">
        <v>228</v>
      </c>
      <c r="AV144" s="33" t="s">
        <v>2066</v>
      </c>
      <c r="AW144" s="33" t="str">
        <f>IF(OR(ISBLANK(AU144), ISBLANK(AV144)),"",CONCATENATE(" ",VLOOKUP(AV144,Literatuur!$A:$B,2,FALSE)," "))</f>
        <v xml:space="preserve"> 8 </v>
      </c>
      <c r="AZ144" s="44" t="str">
        <f t="shared" si="104"/>
        <v xml:space="preserve"> </v>
      </c>
      <c r="BA144" s="33" t="str">
        <f>IF(OR(ISBLANK(AY144), ISBLANK(AZ144)),"",CONCATENATE(" ",VLOOKUP(AZ144,Literatuur!$A:$B,2,FALSE)," "))</f>
        <v/>
      </c>
      <c r="BC144" s="44" t="str">
        <f t="shared" si="105"/>
        <v xml:space="preserve"> </v>
      </c>
      <c r="BD144" s="33" t="str">
        <f>IF(OR(ISBLANK(BB144), ISBLANK(BC144)),"",CONCATENATE(" ",VLOOKUP(BC144,Literatuur!$A:$B,2,FALSE)," "))</f>
        <v/>
      </c>
      <c r="BF144" s="44" t="str">
        <f t="shared" si="106"/>
        <v xml:space="preserve"> </v>
      </c>
      <c r="BG144" s="33" t="str">
        <f>IF(OR(ISBLANK(BE144), ISBLANK(BF144)),"",CONCATENATE(" ",VLOOKUP(BF144,Literatuur!$A:$B,2,FALSE)," "))</f>
        <v/>
      </c>
      <c r="BI144" s="44" t="str">
        <f t="shared" si="107"/>
        <v xml:space="preserve"> </v>
      </c>
      <c r="BJ144" s="33" t="str">
        <f>IF(OR(ISBLANK(BH144), ISBLANK(BI144)),"",CONCATENATE(" ",VLOOKUP(BI144,Literatuur!$A:$B,2,FALSE)," "))</f>
        <v/>
      </c>
      <c r="BL144" s="44" t="str">
        <f t="shared" si="108"/>
        <v xml:space="preserve"> </v>
      </c>
      <c r="BM144" s="33" t="str">
        <f>IF(OR(ISBLANK(BK144), ISBLANK(BL144)),"",CONCATENATE(" ",VLOOKUP(BL144,Literatuur!$A:$B,2,FALSE)," "))</f>
        <v/>
      </c>
      <c r="BN144" s="33">
        <v>5.8</v>
      </c>
      <c r="BO144" s="33" t="s">
        <v>1557</v>
      </c>
      <c r="BP144" s="33" t="str">
        <f>IF(OR(ISBLANK(BN144), ISBLANK(BO144)),"",CONCATENATE(" ",VLOOKUP(BO144,Literatuur!$A:$B,2,FALSE)," "))</f>
        <v xml:space="preserve"> 17 </v>
      </c>
      <c r="BS144" s="33" t="str">
        <f>IF(OR(ISBLANK(BQ144), ISBLANK(BR144)),"",CONCATENATE(" ",VLOOKUP(BR144,Literatuur!$A:$B,2,FALSE)," "))</f>
        <v/>
      </c>
      <c r="BT144" s="33">
        <v>5.76</v>
      </c>
      <c r="BU144" s="33" t="s">
        <v>2066</v>
      </c>
      <c r="BV144" s="33" t="str">
        <f>IF(OR(ISBLANK(BT144), ISBLANK(BU144)),"",CONCATENATE(" ",VLOOKUP(BU144,Literatuur!$A:$B,2,FALSE)," "))</f>
        <v xml:space="preserve"> 8 </v>
      </c>
      <c r="BX144" s="33">
        <v>195.1</v>
      </c>
      <c r="BY144" s="33">
        <v>194.7</v>
      </c>
      <c r="CA144" s="33" t="s">
        <v>1557</v>
      </c>
      <c r="CB144" s="33" t="s">
        <v>2066</v>
      </c>
      <c r="CD144" s="33">
        <f t="shared" si="90"/>
        <v>194.89999999999998</v>
      </c>
      <c r="CE144" s="37">
        <f>I144</f>
        <v>228.15</v>
      </c>
      <c r="CG144" s="33">
        <f>LOG(J144)</f>
        <v>-0.85709408850976543</v>
      </c>
      <c r="CH144" s="33">
        <f>K144</f>
        <v>5.7799999999999994</v>
      </c>
      <c r="CR144" s="33" t="str">
        <f t="shared" si="109"/>
        <v>benz[a]anthracene</v>
      </c>
      <c r="CS144" s="33" t="str">
        <f t="shared" si="110"/>
        <v>PAK</v>
      </c>
      <c r="CT144" s="33">
        <f t="shared" si="111"/>
        <v>228.15</v>
      </c>
      <c r="CU144" s="33" t="str">
        <f t="shared" si="112"/>
        <v xml:space="preserve"> 17  8 </v>
      </c>
      <c r="CV144" s="33">
        <f t="shared" si="113"/>
        <v>0.13896515350405772</v>
      </c>
      <c r="CW144" s="33" t="str">
        <f t="shared" si="114"/>
        <v xml:space="preserve"> 17 </v>
      </c>
      <c r="CX144" s="33">
        <f t="shared" si="115"/>
        <v>5.7799999999999994</v>
      </c>
      <c r="CY144" s="33" t="str">
        <f t="shared" si="116"/>
        <v xml:space="preserve"> 17  8 </v>
      </c>
    </row>
    <row r="145" spans="2:103" x14ac:dyDescent="0.2">
      <c r="B145">
        <v>-1790</v>
      </c>
      <c r="D145" s="4" t="s">
        <v>1682</v>
      </c>
      <c r="E145" s="33" t="s">
        <v>1682</v>
      </c>
      <c r="I145" s="33">
        <f t="shared" si="93"/>
        <v>252.3</v>
      </c>
      <c r="J145" s="33" t="e">
        <f t="shared" si="117"/>
        <v>#DIV/0!</v>
      </c>
      <c r="K145" s="44" t="e">
        <f t="shared" si="94"/>
        <v>#DIV/0!</v>
      </c>
      <c r="L145" s="33">
        <f t="shared" si="95"/>
        <v>218.2</v>
      </c>
      <c r="M145" s="33" t="s">
        <v>1550</v>
      </c>
      <c r="Q145" s="44" t="str">
        <f t="shared" si="96"/>
        <v xml:space="preserve"> </v>
      </c>
      <c r="R145" s="33" t="str">
        <f>IF(OR(ISBLANK(P145), ISBLANK(Q145)),"",CONCATENATE(" ",VLOOKUP(Q145,Literatuur!$A:$B,2,FALSE)," "))</f>
        <v/>
      </c>
      <c r="T145" s="44" t="str">
        <f t="shared" si="97"/>
        <v xml:space="preserve"> </v>
      </c>
      <c r="U145" s="33" t="str">
        <f>IF(OR(ISBLANK(S145), ISBLANK(T145)),"",CONCATENATE(" ",VLOOKUP(T145,Literatuur!$A:$B,2,FALSE)," "))</f>
        <v/>
      </c>
      <c r="W145" s="44" t="str">
        <f t="shared" si="98"/>
        <v xml:space="preserve"> </v>
      </c>
      <c r="X145" s="33" t="str">
        <f>IF(OR(ISBLANK(V145), ISBLANK(W145)),"",CONCATENATE(" ",VLOOKUP(W145,Literatuur!$A:$B,2,FALSE)," "))</f>
        <v/>
      </c>
      <c r="Z145" s="44" t="str">
        <f t="shared" si="99"/>
        <v xml:space="preserve"> </v>
      </c>
      <c r="AA145" s="33" t="str">
        <f>IF(OR(ISBLANK(Y145), ISBLANK(Z145)),"",CONCATENATE(" ",VLOOKUP(Z145,Literatuur!$A:$B,2,FALSE)," "))</f>
        <v/>
      </c>
      <c r="AC145" s="36" t="str">
        <f t="shared" si="100"/>
        <v xml:space="preserve"> </v>
      </c>
      <c r="AD145" s="33" t="str">
        <f>IF(OR(ISBLANK(AB145), ISBLANK(AC145)),"",CONCATENATE(" ",VLOOKUP(AC145,Literatuur!$A:$B,2,FALSE)," "))</f>
        <v/>
      </c>
      <c r="AG145" s="33" t="str">
        <f>IF(OR(ISBLANK(AE145), ISBLANK(AF145)),"",CONCATENATE(" ",VLOOKUP(AF145,Literatuur!$A:$B,2,FALSE)," "))</f>
        <v/>
      </c>
      <c r="AJ145" s="44" t="str">
        <f t="shared" si="101"/>
        <v xml:space="preserve"> </v>
      </c>
      <c r="AK145" s="33" t="str">
        <f>IF(OR(ISBLANK(AI145), ISBLANK(AJ145)),"",CONCATENATE(" ",VLOOKUP(AJ145,Literatuur!$A:$B,2,FALSE)," "))</f>
        <v/>
      </c>
      <c r="AM145" s="44" t="str">
        <f t="shared" si="102"/>
        <v xml:space="preserve"> </v>
      </c>
      <c r="AN145" s="33" t="str">
        <f>IF(OR(ISBLANK(AL145), ISBLANK(AM145)),"",CONCATENATE(" ",VLOOKUP(AM145,Literatuur!$A:$B,2,FALSE)," "))</f>
        <v/>
      </c>
      <c r="AP145" s="44" t="str">
        <f t="shared" si="103"/>
        <v xml:space="preserve"> </v>
      </c>
      <c r="AQ145" s="33" t="str">
        <f>IF(OR(ISBLANK(AO145), ISBLANK(AP145)),"",CONCATENATE(" ",VLOOKUP(AP145,Literatuur!$A:$B,2,FALSE)," "))</f>
        <v/>
      </c>
      <c r="AT145" s="33" t="str">
        <f>IF(OR(ISBLANK(AR145), ISBLANK(AS145)),"",CONCATENATE(" ",VLOOKUP(AS145,Literatuur!$A:$B,2,FALSE)," "))</f>
        <v/>
      </c>
      <c r="AU145" s="33">
        <v>252.3</v>
      </c>
      <c r="AV145" s="33" t="s">
        <v>1557</v>
      </c>
      <c r="AW145" s="33" t="str">
        <f>IF(OR(ISBLANK(AU145), ISBLANK(AV145)),"",CONCATENATE(" ",VLOOKUP(AV145,Literatuur!$A:$B,2,FALSE)," "))</f>
        <v xml:space="preserve"> 17 </v>
      </c>
      <c r="AZ145" s="44" t="str">
        <f t="shared" si="104"/>
        <v xml:space="preserve"> </v>
      </c>
      <c r="BA145" s="33" t="str">
        <f>IF(OR(ISBLANK(AY145), ISBLANK(AZ145)),"",CONCATENATE(" ",VLOOKUP(AZ145,Literatuur!$A:$B,2,FALSE)," "))</f>
        <v/>
      </c>
      <c r="BC145" s="44" t="str">
        <f t="shared" si="105"/>
        <v xml:space="preserve"> </v>
      </c>
      <c r="BD145" s="33" t="str">
        <f>IF(OR(ISBLANK(BB145), ISBLANK(BC145)),"",CONCATENATE(" ",VLOOKUP(BC145,Literatuur!$A:$B,2,FALSE)," "))</f>
        <v/>
      </c>
      <c r="BF145" s="44" t="str">
        <f t="shared" si="106"/>
        <v xml:space="preserve"> </v>
      </c>
      <c r="BG145" s="33" t="str">
        <f>IF(OR(ISBLANK(BE145), ISBLANK(BF145)),"",CONCATENATE(" ",VLOOKUP(BF145,Literatuur!$A:$B,2,FALSE)," "))</f>
        <v/>
      </c>
      <c r="BI145" s="44" t="str">
        <f t="shared" si="107"/>
        <v xml:space="preserve"> </v>
      </c>
      <c r="BJ145" s="33" t="str">
        <f>IF(OR(ISBLANK(BH145), ISBLANK(BI145)),"",CONCATENATE(" ",VLOOKUP(BI145,Literatuur!$A:$B,2,FALSE)," "))</f>
        <v/>
      </c>
      <c r="BL145" s="44" t="str">
        <f t="shared" si="108"/>
        <v xml:space="preserve"> </v>
      </c>
      <c r="BM145" s="33" t="str">
        <f>IF(OR(ISBLANK(BK145), ISBLANK(BL145)),"",CONCATENATE(" ",VLOOKUP(BL145,Literatuur!$A:$B,2,FALSE)," "))</f>
        <v/>
      </c>
      <c r="BP145" s="33" t="str">
        <f>IF(OR(ISBLANK(BN145), ISBLANK(BO145)),"",CONCATENATE(" ",VLOOKUP(BO145,Literatuur!$A:$B,2,FALSE)," "))</f>
        <v/>
      </c>
      <c r="BS145" s="33" t="str">
        <f>IF(OR(ISBLANK(BQ145), ISBLANK(BR145)),"",CONCATENATE(" ",VLOOKUP(BR145,Literatuur!$A:$B,2,FALSE)," "))</f>
        <v/>
      </c>
      <c r="BV145" s="33" t="str">
        <f>IF(OR(ISBLANK(BT145), ISBLANK(BU145)),"",CONCATENATE(" ",VLOOKUP(BU145,Literatuur!$A:$B,2,FALSE)," "))</f>
        <v/>
      </c>
      <c r="BX145" s="33">
        <v>218.2</v>
      </c>
      <c r="CB145" s="33" t="s">
        <v>1557</v>
      </c>
      <c r="CD145" s="33">
        <f t="shared" si="90"/>
        <v>218.2</v>
      </c>
      <c r="CR145" s="33" t="str">
        <f t="shared" si="109"/>
        <v>benzo(a)perylene</v>
      </c>
      <c r="CS145" s="33" t="str">
        <f t="shared" si="110"/>
        <v>PAK</v>
      </c>
      <c r="CT145" s="33">
        <f t="shared" si="111"/>
        <v>252.3</v>
      </c>
      <c r="CU145" s="33" t="str">
        <f t="shared" si="112"/>
        <v xml:space="preserve"> 17 </v>
      </c>
      <c r="CV145" s="33" t="str">
        <f t="shared" si="113"/>
        <v/>
      </c>
      <c r="CW145" s="33" t="str">
        <f t="shared" si="114"/>
        <v/>
      </c>
      <c r="CX145" s="33" t="str">
        <f t="shared" si="115"/>
        <v/>
      </c>
      <c r="CY145" s="33" t="str">
        <f t="shared" si="116"/>
        <v/>
      </c>
    </row>
    <row r="146" spans="2:103" x14ac:dyDescent="0.2">
      <c r="B146">
        <v>-1791</v>
      </c>
      <c r="D146" s="4" t="s">
        <v>1683</v>
      </c>
      <c r="E146" s="33" t="s">
        <v>1683</v>
      </c>
      <c r="I146" s="33">
        <f t="shared" si="93"/>
        <v>276.3</v>
      </c>
      <c r="J146" s="33" t="e">
        <f t="shared" si="117"/>
        <v>#DIV/0!</v>
      </c>
      <c r="K146" s="44" t="e">
        <f t="shared" si="94"/>
        <v>#DIV/0!</v>
      </c>
      <c r="L146" s="33">
        <f t="shared" si="95"/>
        <v>241.3</v>
      </c>
      <c r="M146" s="33" t="s">
        <v>1550</v>
      </c>
      <c r="Q146" s="44" t="str">
        <f t="shared" si="96"/>
        <v xml:space="preserve"> </v>
      </c>
      <c r="R146" s="33" t="str">
        <f>IF(OR(ISBLANK(P146), ISBLANK(Q146)),"",CONCATENATE(" ",VLOOKUP(Q146,Literatuur!$A:$B,2,FALSE)," "))</f>
        <v/>
      </c>
      <c r="T146" s="44" t="str">
        <f t="shared" si="97"/>
        <v xml:space="preserve"> </v>
      </c>
      <c r="U146" s="33" t="str">
        <f>IF(OR(ISBLANK(S146), ISBLANK(T146)),"",CONCATENATE(" ",VLOOKUP(T146,Literatuur!$A:$B,2,FALSE)," "))</f>
        <v/>
      </c>
      <c r="W146" s="44" t="str">
        <f t="shared" si="98"/>
        <v xml:space="preserve"> </v>
      </c>
      <c r="X146" s="33" t="str">
        <f>IF(OR(ISBLANK(V146), ISBLANK(W146)),"",CONCATENATE(" ",VLOOKUP(W146,Literatuur!$A:$B,2,FALSE)," "))</f>
        <v/>
      </c>
      <c r="Z146" s="44" t="str">
        <f t="shared" si="99"/>
        <v xml:space="preserve"> </v>
      </c>
      <c r="AA146" s="33" t="str">
        <f>IF(OR(ISBLANK(Y146), ISBLANK(Z146)),"",CONCATENATE(" ",VLOOKUP(Z146,Literatuur!$A:$B,2,FALSE)," "))</f>
        <v/>
      </c>
      <c r="AC146" s="36" t="str">
        <f t="shared" si="100"/>
        <v xml:space="preserve"> </v>
      </c>
      <c r="AD146" s="33" t="str">
        <f>IF(OR(ISBLANK(AB146), ISBLANK(AC146)),"",CONCATENATE(" ",VLOOKUP(AC146,Literatuur!$A:$B,2,FALSE)," "))</f>
        <v/>
      </c>
      <c r="AG146" s="33" t="str">
        <f>IF(OR(ISBLANK(AE146), ISBLANK(AF146)),"",CONCATENATE(" ",VLOOKUP(AF146,Literatuur!$A:$B,2,FALSE)," "))</f>
        <v/>
      </c>
      <c r="AJ146" s="44" t="str">
        <f t="shared" si="101"/>
        <v xml:space="preserve"> </v>
      </c>
      <c r="AK146" s="33" t="str">
        <f>IF(OR(ISBLANK(AI146), ISBLANK(AJ146)),"",CONCATENATE(" ",VLOOKUP(AJ146,Literatuur!$A:$B,2,FALSE)," "))</f>
        <v/>
      </c>
      <c r="AM146" s="44" t="str">
        <f t="shared" si="102"/>
        <v xml:space="preserve"> </v>
      </c>
      <c r="AN146" s="33" t="str">
        <f>IF(OR(ISBLANK(AL146), ISBLANK(AM146)),"",CONCATENATE(" ",VLOOKUP(AM146,Literatuur!$A:$B,2,FALSE)," "))</f>
        <v/>
      </c>
      <c r="AP146" s="44" t="str">
        <f t="shared" si="103"/>
        <v xml:space="preserve"> </v>
      </c>
      <c r="AQ146" s="33" t="str">
        <f>IF(OR(ISBLANK(AO146), ISBLANK(AP146)),"",CONCATENATE(" ",VLOOKUP(AP146,Literatuur!$A:$B,2,FALSE)," "))</f>
        <v/>
      </c>
      <c r="AT146" s="33" t="str">
        <f>IF(OR(ISBLANK(AR146), ISBLANK(AS146)),"",CONCATENATE(" ",VLOOKUP(AS146,Literatuur!$A:$B,2,FALSE)," "))</f>
        <v/>
      </c>
      <c r="AU146" s="33">
        <v>276.3</v>
      </c>
      <c r="AV146" s="33" t="s">
        <v>1557</v>
      </c>
      <c r="AW146" s="33" t="str">
        <f>IF(OR(ISBLANK(AU146), ISBLANK(AV146)),"",CONCATENATE(" ",VLOOKUP(AV146,Literatuur!$A:$B,2,FALSE)," "))</f>
        <v xml:space="preserve"> 17 </v>
      </c>
      <c r="AZ146" s="44" t="str">
        <f t="shared" si="104"/>
        <v xml:space="preserve"> </v>
      </c>
      <c r="BA146" s="33" t="str">
        <f>IF(OR(ISBLANK(AY146), ISBLANK(AZ146)),"",CONCATENATE(" ",VLOOKUP(AZ146,Literatuur!$A:$B,2,FALSE)," "))</f>
        <v/>
      </c>
      <c r="BC146" s="44" t="str">
        <f t="shared" si="105"/>
        <v xml:space="preserve"> </v>
      </c>
      <c r="BD146" s="33" t="str">
        <f>IF(OR(ISBLANK(BB146), ISBLANK(BC146)),"",CONCATENATE(" ",VLOOKUP(BC146,Literatuur!$A:$B,2,FALSE)," "))</f>
        <v/>
      </c>
      <c r="BF146" s="44" t="str">
        <f t="shared" si="106"/>
        <v xml:space="preserve"> </v>
      </c>
      <c r="BG146" s="33" t="str">
        <f>IF(OR(ISBLANK(BE146), ISBLANK(BF146)),"",CONCATENATE(" ",VLOOKUP(BF146,Literatuur!$A:$B,2,FALSE)," "))</f>
        <v/>
      </c>
      <c r="BI146" s="44" t="str">
        <f t="shared" si="107"/>
        <v xml:space="preserve"> </v>
      </c>
      <c r="BJ146" s="33" t="str">
        <f>IF(OR(ISBLANK(BH146), ISBLANK(BI146)),"",CONCATENATE(" ",VLOOKUP(BI146,Literatuur!$A:$B,2,FALSE)," "))</f>
        <v/>
      </c>
      <c r="BL146" s="44" t="str">
        <f t="shared" si="108"/>
        <v xml:space="preserve"> </v>
      </c>
      <c r="BM146" s="33" t="str">
        <f>IF(OR(ISBLANK(BK146), ISBLANK(BL146)),"",CONCATENATE(" ",VLOOKUP(BL146,Literatuur!$A:$B,2,FALSE)," "))</f>
        <v/>
      </c>
      <c r="BP146" s="33" t="str">
        <f>IF(OR(ISBLANK(BN146), ISBLANK(BO146)),"",CONCATENATE(" ",VLOOKUP(BO146,Literatuur!$A:$B,2,FALSE)," "))</f>
        <v/>
      </c>
      <c r="BS146" s="33" t="str">
        <f>IF(OR(ISBLANK(BQ146), ISBLANK(BR146)),"",CONCATENATE(" ",VLOOKUP(BR146,Literatuur!$A:$B,2,FALSE)," "))</f>
        <v/>
      </c>
      <c r="BV146" s="33" t="str">
        <f>IF(OR(ISBLANK(BT146), ISBLANK(BU146)),"",CONCATENATE(" ",VLOOKUP(BU146,Literatuur!$A:$B,2,FALSE)," "))</f>
        <v/>
      </c>
      <c r="BX146" s="33">
        <v>241.3</v>
      </c>
      <c r="CB146" s="33" t="s">
        <v>1557</v>
      </c>
      <c r="CD146" s="33">
        <f t="shared" si="90"/>
        <v>241.3</v>
      </c>
      <c r="CR146" s="33" t="str">
        <f t="shared" si="109"/>
        <v>benzo(g,h,i)perylene</v>
      </c>
      <c r="CS146" s="33" t="str">
        <f t="shared" si="110"/>
        <v>PAK</v>
      </c>
      <c r="CT146" s="33">
        <f t="shared" si="111"/>
        <v>276.3</v>
      </c>
      <c r="CU146" s="33" t="str">
        <f t="shared" si="112"/>
        <v xml:space="preserve"> 17 </v>
      </c>
      <c r="CV146" s="33" t="str">
        <f t="shared" si="113"/>
        <v/>
      </c>
      <c r="CW146" s="33" t="str">
        <f t="shared" si="114"/>
        <v/>
      </c>
      <c r="CX146" s="33" t="str">
        <f t="shared" si="115"/>
        <v/>
      </c>
      <c r="CY146" s="33" t="str">
        <f t="shared" si="116"/>
        <v/>
      </c>
    </row>
    <row r="147" spans="2:103" x14ac:dyDescent="0.2">
      <c r="B147" s="33">
        <v>-1547</v>
      </c>
      <c r="C147" s="33" t="e">
        <f>VLOOKUP(B147,Lohman2011!$I$7:$U$28,2,FALSE)</f>
        <v>#N/A</v>
      </c>
      <c r="D147" s="105" t="s">
        <v>571</v>
      </c>
      <c r="E147" s="105" t="s">
        <v>571</v>
      </c>
      <c r="F147" s="34"/>
      <c r="G147" s="34"/>
      <c r="I147" s="33">
        <f t="shared" si="93"/>
        <v>252.15</v>
      </c>
      <c r="J147" s="33">
        <f t="shared" si="117"/>
        <v>2.620096279985866E-2</v>
      </c>
      <c r="K147" s="44">
        <f t="shared" si="94"/>
        <v>6.1150000000000002</v>
      </c>
      <c r="L147" s="33">
        <f t="shared" si="95"/>
        <v>218.05</v>
      </c>
      <c r="M147" s="33" t="s">
        <v>1550</v>
      </c>
      <c r="Q147" s="44" t="str">
        <f t="shared" si="96"/>
        <v xml:space="preserve"> </v>
      </c>
      <c r="R147" s="33" t="str">
        <f>IF(OR(ISBLANK(P147), ISBLANK(Q147)),"",CONCATENATE(" ",VLOOKUP(Q147,Literatuur!$A:$B,2,FALSE)," "))</f>
        <v/>
      </c>
      <c r="T147" s="44" t="str">
        <f t="shared" si="97"/>
        <v xml:space="preserve"> </v>
      </c>
      <c r="U147" s="33" t="str">
        <f>IF(OR(ISBLANK(S147), ISBLANK(T147)),"",CONCATENATE(" ",VLOOKUP(T147,Literatuur!$A:$B,2,FALSE)," "))</f>
        <v/>
      </c>
      <c r="W147" s="44" t="str">
        <f t="shared" si="98"/>
        <v xml:space="preserve"> </v>
      </c>
      <c r="X147" s="33" t="str">
        <f>IF(OR(ISBLANK(V147), ISBLANK(W147)),"",CONCATENATE(" ",VLOOKUP(W147,Literatuur!$A:$B,2,FALSE)," "))</f>
        <v/>
      </c>
      <c r="Z147" s="44" t="str">
        <f t="shared" si="99"/>
        <v xml:space="preserve"> </v>
      </c>
      <c r="AA147" s="33" t="str">
        <f>IF(OR(ISBLANK(Y147), ISBLANK(Z147)),"",CONCATENATE(" ",VLOOKUP(Z147,Literatuur!$A:$B,2,FALSE)," "))</f>
        <v/>
      </c>
      <c r="AC147" s="186" t="str">
        <f t="shared" si="100"/>
        <v xml:space="preserve"> </v>
      </c>
      <c r="AD147" s="33" t="str">
        <f>IF(OR(ISBLANK(AB147), ISBLANK(AC147)),"",CONCATENATE(" ",VLOOKUP(AC147,Literatuur!$A:$B,2,FALSE)," "))</f>
        <v/>
      </c>
      <c r="AE147" s="39">
        <v>2.620096279985866E-2</v>
      </c>
      <c r="AF147" s="33" t="s">
        <v>1557</v>
      </c>
      <c r="AG147" s="33" t="str">
        <f>IF(OR(ISBLANK(AE147), ISBLANK(AF147)),"",CONCATENATE(" ",VLOOKUP(AF147,Literatuur!$A:$B,2,FALSE)," "))</f>
        <v xml:space="preserve"> 17 </v>
      </c>
      <c r="AJ147" s="44" t="str">
        <f t="shared" si="101"/>
        <v xml:space="preserve"> </v>
      </c>
      <c r="AK147" s="33" t="str">
        <f>IF(OR(ISBLANK(AI147), ISBLANK(AJ147)),"",CONCATENATE(" ",VLOOKUP(AJ147,Literatuur!$A:$B,2,FALSE)," "))</f>
        <v/>
      </c>
      <c r="AM147" s="44" t="str">
        <f t="shared" si="102"/>
        <v xml:space="preserve"> </v>
      </c>
      <c r="AN147" s="33" t="str">
        <f>IF(OR(ISBLANK(AL147), ISBLANK(AM147)),"",CONCATENATE(" ",VLOOKUP(AM147,Literatuur!$A:$B,2,FALSE)," "))</f>
        <v/>
      </c>
      <c r="AP147" s="44" t="str">
        <f t="shared" si="103"/>
        <v xml:space="preserve"> </v>
      </c>
      <c r="AQ147" s="33" t="str">
        <f>IF(OR(ISBLANK(AO147), ISBLANK(AP147)),"",CONCATENATE(" ",VLOOKUP(AP147,Literatuur!$A:$B,2,FALSE)," "))</f>
        <v/>
      </c>
      <c r="AR147" s="33">
        <v>252.3</v>
      </c>
      <c r="AS147" s="33" t="s">
        <v>1557</v>
      </c>
      <c r="AT147" s="33" t="str">
        <f>IF(OR(ISBLANK(AR147), ISBLANK(AS147)),"",CONCATENATE(" ",VLOOKUP(AS147,Literatuur!$A:$B,2,FALSE)," "))</f>
        <v xml:space="preserve"> 17 </v>
      </c>
      <c r="AU147" s="33">
        <v>252</v>
      </c>
      <c r="AV147" s="33" t="s">
        <v>2066</v>
      </c>
      <c r="AW147" s="33" t="str">
        <f>IF(OR(ISBLANK(AU147), ISBLANK(AV147)),"",CONCATENATE(" ",VLOOKUP(AV147,Literatuur!$A:$B,2,FALSE)," "))</f>
        <v xml:space="preserve"> 8 </v>
      </c>
      <c r="AZ147" s="44" t="str">
        <f t="shared" si="104"/>
        <v xml:space="preserve"> </v>
      </c>
      <c r="BA147" s="33" t="str">
        <f>IF(OR(ISBLANK(AY147), ISBLANK(AZ147)),"",CONCATENATE(" ",VLOOKUP(AZ147,Literatuur!$A:$B,2,FALSE)," "))</f>
        <v/>
      </c>
      <c r="BC147" s="44" t="str">
        <f t="shared" si="105"/>
        <v xml:space="preserve"> </v>
      </c>
      <c r="BD147" s="33" t="str">
        <f>IF(OR(ISBLANK(BB147), ISBLANK(BC147)),"",CONCATENATE(" ",VLOOKUP(BC147,Literatuur!$A:$B,2,FALSE)," "))</f>
        <v/>
      </c>
      <c r="BF147" s="44" t="str">
        <f t="shared" si="106"/>
        <v xml:space="preserve"> </v>
      </c>
      <c r="BG147" s="33" t="str">
        <f>IF(OR(ISBLANK(BE147), ISBLANK(BF147)),"",CONCATENATE(" ",VLOOKUP(BF147,Literatuur!$A:$B,2,FALSE)," "))</f>
        <v/>
      </c>
      <c r="BI147" s="44" t="str">
        <f t="shared" si="107"/>
        <v xml:space="preserve"> </v>
      </c>
      <c r="BJ147" s="33" t="str">
        <f>IF(OR(ISBLANK(BH147), ISBLANK(BI147)),"",CONCATENATE(" ",VLOOKUP(BI147,Literatuur!$A:$B,2,FALSE)," "))</f>
        <v/>
      </c>
      <c r="BL147" s="44" t="str">
        <f t="shared" si="108"/>
        <v xml:space="preserve"> </v>
      </c>
      <c r="BM147" s="33" t="str">
        <f>IF(OR(ISBLANK(BK147), ISBLANK(BL147)),"",CONCATENATE(" ",VLOOKUP(BL147,Literatuur!$A:$B,2,FALSE)," "))</f>
        <v/>
      </c>
      <c r="BN147" s="33">
        <v>6.1</v>
      </c>
      <c r="BO147" s="33" t="s">
        <v>1557</v>
      </c>
      <c r="BP147" s="33" t="str">
        <f>IF(OR(ISBLANK(BN147), ISBLANK(BO147)),"",CONCATENATE(" ",VLOOKUP(BO147,Literatuur!$A:$B,2,FALSE)," "))</f>
        <v xml:space="preserve"> 17 </v>
      </c>
      <c r="BS147" s="33" t="str">
        <f>IF(OR(ISBLANK(BQ147), ISBLANK(BR147)),"",CONCATENATE(" ",VLOOKUP(BR147,Literatuur!$A:$B,2,FALSE)," "))</f>
        <v/>
      </c>
      <c r="BT147" s="33">
        <v>6.13</v>
      </c>
      <c r="BU147" s="33" t="s">
        <v>2066</v>
      </c>
      <c r="BV147" s="33" t="str">
        <f>IF(OR(ISBLANK(BT147), ISBLANK(BU147)),"",CONCATENATE(" ",VLOOKUP(BU147,Literatuur!$A:$B,2,FALSE)," "))</f>
        <v xml:space="preserve"> 8 </v>
      </c>
      <c r="BX147" s="33">
        <v>218.2</v>
      </c>
      <c r="BY147" s="33">
        <v>217.9</v>
      </c>
      <c r="CA147" s="33" t="s">
        <v>1557</v>
      </c>
      <c r="CB147" s="33" t="s">
        <v>2066</v>
      </c>
      <c r="CD147" s="33">
        <f t="shared" si="90"/>
        <v>218.05</v>
      </c>
      <c r="CE147" s="37">
        <f t="shared" ref="CE147:CE158" si="118">I147</f>
        <v>252.15</v>
      </c>
      <c r="CG147" s="33">
        <f>LOG(J147)</f>
        <v>-1.5816827494824268</v>
      </c>
      <c r="CH147" s="33">
        <f t="shared" ref="CH147:CH153" si="119">K147</f>
        <v>6.1150000000000002</v>
      </c>
      <c r="CR147" s="33" t="str">
        <f t="shared" si="109"/>
        <v>benzo[a]pyrene</v>
      </c>
      <c r="CS147" s="33" t="str">
        <f t="shared" si="110"/>
        <v>PAK</v>
      </c>
      <c r="CT147" s="33">
        <f t="shared" si="111"/>
        <v>252.15</v>
      </c>
      <c r="CU147" s="33" t="str">
        <f t="shared" si="112"/>
        <v xml:space="preserve"> 17  8 </v>
      </c>
      <c r="CV147" s="33">
        <f t="shared" si="113"/>
        <v>2.620096279985866E-2</v>
      </c>
      <c r="CW147" s="33" t="str">
        <f t="shared" si="114"/>
        <v xml:space="preserve"> 17 </v>
      </c>
      <c r="CX147" s="33">
        <f t="shared" si="115"/>
        <v>6.1150000000000002</v>
      </c>
      <c r="CY147" s="33" t="str">
        <f t="shared" si="116"/>
        <v xml:space="preserve"> 17  8 </v>
      </c>
    </row>
    <row r="148" spans="2:103" x14ac:dyDescent="0.2">
      <c r="B148" s="33">
        <v>-1544</v>
      </c>
      <c r="C148" s="33" t="e">
        <f>VLOOKUP(B148,Lohman2011!$I$7:$U$28,2,FALSE)</f>
        <v>#N/A</v>
      </c>
      <c r="D148" s="105" t="s">
        <v>568</v>
      </c>
      <c r="E148" s="105" t="s">
        <v>568</v>
      </c>
      <c r="F148" s="34"/>
      <c r="G148" s="34"/>
      <c r="I148" s="33">
        <f t="shared" si="93"/>
        <v>252.15</v>
      </c>
      <c r="J148" s="33">
        <f t="shared" si="117"/>
        <v>2.620096279985866E-2</v>
      </c>
      <c r="K148" s="44">
        <f t="shared" si="94"/>
        <v>5.84</v>
      </c>
      <c r="L148" s="33">
        <f t="shared" si="95"/>
        <v>231.8</v>
      </c>
      <c r="M148" s="33" t="s">
        <v>1550</v>
      </c>
      <c r="Q148" s="44" t="str">
        <f t="shared" si="96"/>
        <v xml:space="preserve"> </v>
      </c>
      <c r="R148" s="33" t="str">
        <f>IF(OR(ISBLANK(P148), ISBLANK(Q148)),"",CONCATENATE(" ",VLOOKUP(Q148,Literatuur!$A:$B,2,FALSE)," "))</f>
        <v/>
      </c>
      <c r="T148" s="44" t="str">
        <f t="shared" si="97"/>
        <v xml:space="preserve"> </v>
      </c>
      <c r="U148" s="33" t="str">
        <f>IF(OR(ISBLANK(S148), ISBLANK(T148)),"",CONCATENATE(" ",VLOOKUP(T148,Literatuur!$A:$B,2,FALSE)," "))</f>
        <v/>
      </c>
      <c r="W148" s="44" t="str">
        <f t="shared" si="98"/>
        <v xml:space="preserve"> </v>
      </c>
      <c r="X148" s="33" t="str">
        <f>IF(OR(ISBLANK(V148), ISBLANK(W148)),"",CONCATENATE(" ",VLOOKUP(W148,Literatuur!$A:$B,2,FALSE)," "))</f>
        <v/>
      </c>
      <c r="Z148" s="44" t="str">
        <f t="shared" si="99"/>
        <v xml:space="preserve"> </v>
      </c>
      <c r="AA148" s="33" t="str">
        <f>IF(OR(ISBLANK(Y148), ISBLANK(Z148)),"",CONCATENATE(" ",VLOOKUP(Z148,Literatuur!$A:$B,2,FALSE)," "))</f>
        <v/>
      </c>
      <c r="AC148" s="186" t="str">
        <f t="shared" si="100"/>
        <v xml:space="preserve"> </v>
      </c>
      <c r="AD148" s="33" t="str">
        <f>IF(OR(ISBLANK(AB148), ISBLANK(AC148)),"",CONCATENATE(" ",VLOOKUP(AC148,Literatuur!$A:$B,2,FALSE)," "))</f>
        <v/>
      </c>
      <c r="AE148" s="39">
        <v>2.620096279985866E-2</v>
      </c>
      <c r="AF148" s="33" t="s">
        <v>1557</v>
      </c>
      <c r="AG148" s="33" t="str">
        <f>IF(OR(ISBLANK(AE148), ISBLANK(AF148)),"",CONCATENATE(" ",VLOOKUP(AF148,Literatuur!$A:$B,2,FALSE)," "))</f>
        <v xml:space="preserve"> 17 </v>
      </c>
      <c r="AJ148" s="44" t="str">
        <f t="shared" si="101"/>
        <v xml:space="preserve"> </v>
      </c>
      <c r="AK148" s="33" t="str">
        <f>IF(OR(ISBLANK(AI148), ISBLANK(AJ148)),"",CONCATENATE(" ",VLOOKUP(AJ148,Literatuur!$A:$B,2,FALSE)," "))</f>
        <v/>
      </c>
      <c r="AM148" s="44" t="str">
        <f t="shared" si="102"/>
        <v xml:space="preserve"> </v>
      </c>
      <c r="AN148" s="33" t="str">
        <f>IF(OR(ISBLANK(AL148), ISBLANK(AM148)),"",CONCATENATE(" ",VLOOKUP(AM148,Literatuur!$A:$B,2,FALSE)," "))</f>
        <v/>
      </c>
      <c r="AP148" s="44" t="str">
        <f t="shared" si="103"/>
        <v xml:space="preserve"> </v>
      </c>
      <c r="AQ148" s="33" t="str">
        <f>IF(OR(ISBLANK(AO148), ISBLANK(AP148)),"",CONCATENATE(" ",VLOOKUP(AP148,Literatuur!$A:$B,2,FALSE)," "))</f>
        <v/>
      </c>
      <c r="AR148" s="33">
        <v>252.3</v>
      </c>
      <c r="AS148" s="33" t="s">
        <v>1557</v>
      </c>
      <c r="AT148" s="33" t="str">
        <f>IF(OR(ISBLANK(AR148), ISBLANK(AS148)),"",CONCATENATE(" ",VLOOKUP(AS148,Literatuur!$A:$B,2,FALSE)," "))</f>
        <v xml:space="preserve"> 17 </v>
      </c>
      <c r="AU148" s="33">
        <v>252</v>
      </c>
      <c r="AV148" s="33" t="s">
        <v>2066</v>
      </c>
      <c r="AW148" s="33" t="str">
        <f>IF(OR(ISBLANK(AU148), ISBLANK(AV148)),"",CONCATENATE(" ",VLOOKUP(AV148,Literatuur!$A:$B,2,FALSE)," "))</f>
        <v xml:space="preserve"> 8 </v>
      </c>
      <c r="AZ148" s="44" t="str">
        <f t="shared" si="104"/>
        <v xml:space="preserve"> </v>
      </c>
      <c r="BA148" s="33" t="str">
        <f>IF(OR(ISBLANK(AY148), ISBLANK(AZ148)),"",CONCATENATE(" ",VLOOKUP(AZ148,Literatuur!$A:$B,2,FALSE)," "))</f>
        <v/>
      </c>
      <c r="BC148" s="44" t="str">
        <f t="shared" si="105"/>
        <v xml:space="preserve"> </v>
      </c>
      <c r="BD148" s="33" t="str">
        <f>IF(OR(ISBLANK(BB148), ISBLANK(BC148)),"",CONCATENATE(" ",VLOOKUP(BC148,Literatuur!$A:$B,2,FALSE)," "))</f>
        <v/>
      </c>
      <c r="BF148" s="44" t="str">
        <f t="shared" si="106"/>
        <v xml:space="preserve"> </v>
      </c>
      <c r="BG148" s="33" t="str">
        <f>IF(OR(ISBLANK(BE148), ISBLANK(BF148)),"",CONCATENATE(" ",VLOOKUP(BF148,Literatuur!$A:$B,2,FALSE)," "))</f>
        <v/>
      </c>
      <c r="BI148" s="44" t="str">
        <f t="shared" si="107"/>
        <v xml:space="preserve"> </v>
      </c>
      <c r="BJ148" s="33" t="str">
        <f>IF(OR(ISBLANK(BH148), ISBLANK(BI148)),"",CONCATENATE(" ",VLOOKUP(BI148,Literatuur!$A:$B,2,FALSE)," "))</f>
        <v/>
      </c>
      <c r="BL148" s="44" t="str">
        <f t="shared" si="108"/>
        <v xml:space="preserve"> </v>
      </c>
      <c r="BM148" s="33" t="str">
        <f>IF(OR(ISBLANK(BK148), ISBLANK(BL148)),"",CONCATENATE(" ",VLOOKUP(BL148,Literatuur!$A:$B,2,FALSE)," "))</f>
        <v/>
      </c>
      <c r="BN148" s="33">
        <v>5.9</v>
      </c>
      <c r="BO148" s="33" t="s">
        <v>1557</v>
      </c>
      <c r="BP148" s="33" t="str">
        <f>IF(OR(ISBLANK(BN148), ISBLANK(BO148)),"",CONCATENATE(" ",VLOOKUP(BO148,Literatuur!$A:$B,2,FALSE)," "))</f>
        <v xml:space="preserve"> 17 </v>
      </c>
      <c r="BS148" s="33" t="str">
        <f>IF(OR(ISBLANK(BQ148), ISBLANK(BR148)),"",CONCATENATE(" ",VLOOKUP(BR148,Literatuur!$A:$B,2,FALSE)," "))</f>
        <v/>
      </c>
      <c r="BT148" s="33">
        <v>5.78</v>
      </c>
      <c r="BU148" s="33" t="s">
        <v>2066</v>
      </c>
      <c r="BV148" s="33" t="str">
        <f>IF(OR(ISBLANK(BT148), ISBLANK(BU148)),"",CONCATENATE(" ",VLOOKUP(BU148,Literatuur!$A:$B,2,FALSE)," "))</f>
        <v xml:space="preserve"> 8 </v>
      </c>
      <c r="BX148" s="33">
        <v>232</v>
      </c>
      <c r="BY148" s="33">
        <v>231.6</v>
      </c>
      <c r="CA148" s="33" t="s">
        <v>1557</v>
      </c>
      <c r="CB148" s="33" t="s">
        <v>2066</v>
      </c>
      <c r="CD148" s="33">
        <f t="shared" si="90"/>
        <v>231.8</v>
      </c>
      <c r="CE148" s="37">
        <f t="shared" si="118"/>
        <v>252.15</v>
      </c>
      <c r="CG148" s="33">
        <f>LOG(J148)</f>
        <v>-1.5816827494824268</v>
      </c>
      <c r="CH148" s="33">
        <f t="shared" si="119"/>
        <v>5.84</v>
      </c>
      <c r="CR148" s="33" t="str">
        <f t="shared" si="109"/>
        <v>benzo[b]fluoranthene</v>
      </c>
      <c r="CS148" s="33" t="str">
        <f t="shared" si="110"/>
        <v>PAK</v>
      </c>
      <c r="CT148" s="33">
        <f t="shared" si="111"/>
        <v>252.15</v>
      </c>
      <c r="CU148" s="33" t="str">
        <f t="shared" si="112"/>
        <v xml:space="preserve"> 17  8 </v>
      </c>
      <c r="CV148" s="33">
        <f t="shared" si="113"/>
        <v>2.620096279985866E-2</v>
      </c>
      <c r="CW148" s="33" t="str">
        <f t="shared" si="114"/>
        <v xml:space="preserve"> 17 </v>
      </c>
      <c r="CX148" s="33">
        <f t="shared" si="115"/>
        <v>5.84</v>
      </c>
      <c r="CY148" s="33" t="str">
        <f t="shared" si="116"/>
        <v xml:space="preserve"> 17  8 </v>
      </c>
    </row>
    <row r="149" spans="2:103" x14ac:dyDescent="0.2">
      <c r="B149" s="33">
        <v>-1546</v>
      </c>
      <c r="C149" s="33" t="e">
        <f>VLOOKUP(B149,Lohman2011!$I$7:$U$28,2,FALSE)</f>
        <v>#N/A</v>
      </c>
      <c r="D149" s="105" t="s">
        <v>570</v>
      </c>
      <c r="E149" s="105" t="s">
        <v>570</v>
      </c>
      <c r="F149" s="34"/>
      <c r="G149" s="34"/>
      <c r="I149" s="33">
        <f t="shared" si="93"/>
        <v>252.15</v>
      </c>
      <c r="J149" s="33">
        <f t="shared" si="117"/>
        <v>2.620096279985866E-2</v>
      </c>
      <c r="K149" s="44">
        <f t="shared" si="94"/>
        <v>6.27</v>
      </c>
      <c r="L149" s="33">
        <f t="shared" si="95"/>
        <v>219.45</v>
      </c>
      <c r="M149" s="33" t="s">
        <v>1550</v>
      </c>
      <c r="Q149" s="44" t="str">
        <f t="shared" si="96"/>
        <v xml:space="preserve"> </v>
      </c>
      <c r="R149" s="33" t="str">
        <f>IF(OR(ISBLANK(P149), ISBLANK(Q149)),"",CONCATENATE(" ",VLOOKUP(Q149,Literatuur!$A:$B,2,FALSE)," "))</f>
        <v/>
      </c>
      <c r="T149" s="44" t="str">
        <f t="shared" si="97"/>
        <v xml:space="preserve"> </v>
      </c>
      <c r="U149" s="33" t="str">
        <f>IF(OR(ISBLANK(S149), ISBLANK(T149)),"",CONCATENATE(" ",VLOOKUP(T149,Literatuur!$A:$B,2,FALSE)," "))</f>
        <v/>
      </c>
      <c r="W149" s="44" t="str">
        <f t="shared" si="98"/>
        <v xml:space="preserve"> </v>
      </c>
      <c r="X149" s="33" t="str">
        <f>IF(OR(ISBLANK(V149), ISBLANK(W149)),"",CONCATENATE(" ",VLOOKUP(W149,Literatuur!$A:$B,2,FALSE)," "))</f>
        <v/>
      </c>
      <c r="Z149" s="44" t="str">
        <f t="shared" si="99"/>
        <v xml:space="preserve"> </v>
      </c>
      <c r="AA149" s="33" t="str">
        <f>IF(OR(ISBLANK(Y149), ISBLANK(Z149)),"",CONCATENATE(" ",VLOOKUP(Z149,Literatuur!$A:$B,2,FALSE)," "))</f>
        <v/>
      </c>
      <c r="AC149" s="186" t="str">
        <f t="shared" si="100"/>
        <v xml:space="preserve"> </v>
      </c>
      <c r="AD149" s="33" t="str">
        <f>IF(OR(ISBLANK(AB149), ISBLANK(AC149)),"",CONCATENATE(" ",VLOOKUP(AC149,Literatuur!$A:$B,2,FALSE)," "))</f>
        <v/>
      </c>
      <c r="AE149" s="39">
        <v>2.620096279985866E-2</v>
      </c>
      <c r="AF149" s="33" t="s">
        <v>1557</v>
      </c>
      <c r="AG149" s="33" t="str">
        <f>IF(OR(ISBLANK(AE149), ISBLANK(AF149)),"",CONCATENATE(" ",VLOOKUP(AF149,Literatuur!$A:$B,2,FALSE)," "))</f>
        <v xml:space="preserve"> 17 </v>
      </c>
      <c r="AJ149" s="44" t="str">
        <f t="shared" si="101"/>
        <v xml:space="preserve"> </v>
      </c>
      <c r="AK149" s="33" t="str">
        <f>IF(OR(ISBLANK(AI149), ISBLANK(AJ149)),"",CONCATENATE(" ",VLOOKUP(AJ149,Literatuur!$A:$B,2,FALSE)," "))</f>
        <v/>
      </c>
      <c r="AM149" s="44" t="str">
        <f t="shared" si="102"/>
        <v xml:space="preserve"> </v>
      </c>
      <c r="AN149" s="33" t="str">
        <f>IF(OR(ISBLANK(AL149), ISBLANK(AM149)),"",CONCATENATE(" ",VLOOKUP(AM149,Literatuur!$A:$B,2,FALSE)," "))</f>
        <v/>
      </c>
      <c r="AP149" s="44" t="str">
        <f t="shared" si="103"/>
        <v xml:space="preserve"> </v>
      </c>
      <c r="AQ149" s="33" t="str">
        <f>IF(OR(ISBLANK(AO149), ISBLANK(AP149)),"",CONCATENATE(" ",VLOOKUP(AP149,Literatuur!$A:$B,2,FALSE)," "))</f>
        <v/>
      </c>
      <c r="AR149" s="33">
        <v>252.3</v>
      </c>
      <c r="AS149" s="33" t="s">
        <v>1557</v>
      </c>
      <c r="AT149" s="33" t="str">
        <f>IF(OR(ISBLANK(AR149), ISBLANK(AS149)),"",CONCATENATE(" ",VLOOKUP(AS149,Literatuur!$A:$B,2,FALSE)," "))</f>
        <v xml:space="preserve"> 17 </v>
      </c>
      <c r="AU149" s="33">
        <v>252</v>
      </c>
      <c r="AV149" s="33" t="s">
        <v>2066</v>
      </c>
      <c r="AW149" s="33" t="str">
        <f>IF(OR(ISBLANK(AU149), ISBLANK(AV149)),"",CONCATENATE(" ",VLOOKUP(AV149,Literatuur!$A:$B,2,FALSE)," "))</f>
        <v xml:space="preserve"> 8 </v>
      </c>
      <c r="AZ149" s="44" t="str">
        <f t="shared" si="104"/>
        <v xml:space="preserve"> </v>
      </c>
      <c r="BA149" s="33" t="str">
        <f>IF(OR(ISBLANK(AY149), ISBLANK(AZ149)),"",CONCATENATE(" ",VLOOKUP(AZ149,Literatuur!$A:$B,2,FALSE)," "))</f>
        <v/>
      </c>
      <c r="BC149" s="44" t="str">
        <f t="shared" si="105"/>
        <v xml:space="preserve"> </v>
      </c>
      <c r="BD149" s="33" t="str">
        <f>IF(OR(ISBLANK(BB149), ISBLANK(BC149)),"",CONCATENATE(" ",VLOOKUP(BC149,Literatuur!$A:$B,2,FALSE)," "))</f>
        <v/>
      </c>
      <c r="BF149" s="44" t="str">
        <f t="shared" si="106"/>
        <v xml:space="preserve"> </v>
      </c>
      <c r="BG149" s="33" t="str">
        <f>IF(OR(ISBLANK(BE149), ISBLANK(BF149)),"",CONCATENATE(" ",VLOOKUP(BF149,Literatuur!$A:$B,2,FALSE)," "))</f>
        <v/>
      </c>
      <c r="BI149" s="44" t="str">
        <f t="shared" si="107"/>
        <v xml:space="preserve"> </v>
      </c>
      <c r="BJ149" s="33" t="str">
        <f>IF(OR(ISBLANK(BH149), ISBLANK(BI149)),"",CONCATENATE(" ",VLOOKUP(BI149,Literatuur!$A:$B,2,FALSE)," "))</f>
        <v/>
      </c>
      <c r="BL149" s="44" t="str">
        <f t="shared" si="108"/>
        <v xml:space="preserve"> </v>
      </c>
      <c r="BM149" s="33" t="str">
        <f>IF(OR(ISBLANK(BK149), ISBLANK(BL149)),"",CONCATENATE(" ",VLOOKUP(BL149,Literatuur!$A:$B,2,FALSE)," "))</f>
        <v/>
      </c>
      <c r="BN149" s="33">
        <v>6.1</v>
      </c>
      <c r="BO149" s="33" t="s">
        <v>1557</v>
      </c>
      <c r="BP149" s="33" t="str">
        <f>IF(OR(ISBLANK(BN149), ISBLANK(BO149)),"",CONCATENATE(" ",VLOOKUP(BO149,Literatuur!$A:$B,2,FALSE)," "))</f>
        <v xml:space="preserve"> 17 </v>
      </c>
      <c r="BS149" s="33" t="str">
        <f>IF(OR(ISBLANK(BQ149), ISBLANK(BR149)),"",CONCATENATE(" ",VLOOKUP(BR149,Literatuur!$A:$B,2,FALSE)," "))</f>
        <v/>
      </c>
      <c r="BT149" s="33">
        <v>6.44</v>
      </c>
      <c r="BU149" s="33" t="s">
        <v>2066</v>
      </c>
      <c r="BV149" s="33" t="str">
        <f>IF(OR(ISBLANK(BT149), ISBLANK(BU149)),"",CONCATENATE(" ",VLOOKUP(BU149,Literatuur!$A:$B,2,FALSE)," "))</f>
        <v xml:space="preserve"> 8 </v>
      </c>
      <c r="BX149" s="33">
        <v>219.6</v>
      </c>
      <c r="BY149" s="33">
        <v>219.3</v>
      </c>
      <c r="CA149" s="33" t="s">
        <v>1557</v>
      </c>
      <c r="CB149" s="33" t="s">
        <v>2066</v>
      </c>
      <c r="CD149" s="33">
        <f t="shared" si="90"/>
        <v>219.45</v>
      </c>
      <c r="CE149" s="37">
        <f t="shared" si="118"/>
        <v>252.15</v>
      </c>
      <c r="CG149" s="33">
        <f>LOG(J149)</f>
        <v>-1.5816827494824268</v>
      </c>
      <c r="CH149" s="33">
        <f t="shared" si="119"/>
        <v>6.27</v>
      </c>
      <c r="CR149" s="33" t="str">
        <f t="shared" si="109"/>
        <v>benzo[e]pyrene</v>
      </c>
      <c r="CS149" s="33" t="str">
        <f t="shared" si="110"/>
        <v>PAK</v>
      </c>
      <c r="CT149" s="33">
        <f t="shared" si="111"/>
        <v>252.15</v>
      </c>
      <c r="CU149" s="33" t="str">
        <f t="shared" si="112"/>
        <v xml:space="preserve"> 17  8 </v>
      </c>
      <c r="CV149" s="33">
        <f t="shared" si="113"/>
        <v>2.620096279985866E-2</v>
      </c>
      <c r="CW149" s="33" t="str">
        <f t="shared" si="114"/>
        <v xml:space="preserve"> 17 </v>
      </c>
      <c r="CX149" s="33">
        <f t="shared" si="115"/>
        <v>6.27</v>
      </c>
      <c r="CY149" s="33" t="str">
        <f t="shared" si="116"/>
        <v xml:space="preserve"> 17  8 </v>
      </c>
    </row>
    <row r="150" spans="2:103" x14ac:dyDescent="0.2">
      <c r="B150" s="33">
        <v>-1550</v>
      </c>
      <c r="C150" s="33" t="e">
        <f>VLOOKUP(B150,Lohman2011!$I$7:$U$28,2,FALSE)</f>
        <v>#N/A</v>
      </c>
      <c r="D150" s="105" t="s">
        <v>574</v>
      </c>
      <c r="E150" s="105" t="s">
        <v>574</v>
      </c>
      <c r="F150" s="34"/>
      <c r="G150" s="34"/>
      <c r="I150" s="33">
        <f t="shared" si="93"/>
        <v>276</v>
      </c>
      <c r="J150" s="33" t="e">
        <f t="shared" si="117"/>
        <v>#DIV/0!</v>
      </c>
      <c r="K150" s="44">
        <f t="shared" si="94"/>
        <v>6.7</v>
      </c>
      <c r="L150" s="33">
        <f t="shared" si="95"/>
        <v>241</v>
      </c>
      <c r="M150" s="33" t="s">
        <v>1550</v>
      </c>
      <c r="Q150" s="44" t="str">
        <f t="shared" si="96"/>
        <v xml:space="preserve"> </v>
      </c>
      <c r="R150" s="33" t="str">
        <f>IF(OR(ISBLANK(P150), ISBLANK(Q150)),"",CONCATENATE(" ",VLOOKUP(Q150,Literatuur!$A:$B,2,FALSE)," "))</f>
        <v/>
      </c>
      <c r="T150" s="44" t="str">
        <f t="shared" si="97"/>
        <v xml:space="preserve"> </v>
      </c>
      <c r="U150" s="33" t="str">
        <f>IF(OR(ISBLANK(S150), ISBLANK(T150)),"",CONCATENATE(" ",VLOOKUP(T150,Literatuur!$A:$B,2,FALSE)," "))</f>
        <v/>
      </c>
      <c r="W150" s="44" t="str">
        <f t="shared" si="98"/>
        <v xml:space="preserve"> </v>
      </c>
      <c r="X150" s="33" t="str">
        <f>IF(OR(ISBLANK(V150), ISBLANK(W150)),"",CONCATENATE(" ",VLOOKUP(W150,Literatuur!$A:$B,2,FALSE)," "))</f>
        <v/>
      </c>
      <c r="Z150" s="44" t="str">
        <f t="shared" si="99"/>
        <v xml:space="preserve"> </v>
      </c>
      <c r="AA150" s="33" t="str">
        <f>IF(OR(ISBLANK(Y150), ISBLANK(Z150)),"",CONCATENATE(" ",VLOOKUP(Z150,Literatuur!$A:$B,2,FALSE)," "))</f>
        <v/>
      </c>
      <c r="AC150" s="186" t="str">
        <f t="shared" si="100"/>
        <v xml:space="preserve"> </v>
      </c>
      <c r="AD150" s="33" t="str">
        <f>IF(OR(ISBLANK(AB150), ISBLANK(AC150)),"",CONCATENATE(" ",VLOOKUP(AC150,Literatuur!$A:$B,2,FALSE)," "))</f>
        <v/>
      </c>
      <c r="AG150" s="33" t="str">
        <f>IF(OR(ISBLANK(AE150), ISBLANK(AF150)),"",CONCATENATE(" ",VLOOKUP(AF150,Literatuur!$A:$B,2,FALSE)," "))</f>
        <v/>
      </c>
      <c r="AJ150" s="44" t="str">
        <f t="shared" si="101"/>
        <v xml:space="preserve"> </v>
      </c>
      <c r="AK150" s="33" t="str">
        <f>IF(OR(ISBLANK(AI150), ISBLANK(AJ150)),"",CONCATENATE(" ",VLOOKUP(AJ150,Literatuur!$A:$B,2,FALSE)," "))</f>
        <v/>
      </c>
      <c r="AM150" s="44" t="str">
        <f t="shared" si="102"/>
        <v xml:space="preserve"> </v>
      </c>
      <c r="AN150" s="33" t="str">
        <f>IF(OR(ISBLANK(AL150), ISBLANK(AM150)),"",CONCATENATE(" ",VLOOKUP(AM150,Literatuur!$A:$B,2,FALSE)," "))</f>
        <v/>
      </c>
      <c r="AP150" s="44" t="str">
        <f t="shared" si="103"/>
        <v xml:space="preserve"> </v>
      </c>
      <c r="AQ150" s="33" t="str">
        <f>IF(OR(ISBLANK(AO150), ISBLANK(AP150)),"",CONCATENATE(" ",VLOOKUP(AP150,Literatuur!$A:$B,2,FALSE)," "))</f>
        <v/>
      </c>
      <c r="AT150" s="33" t="str">
        <f>IF(OR(ISBLANK(AR150), ISBLANK(AS150)),"",CONCATENATE(" ",VLOOKUP(AS150,Literatuur!$A:$B,2,FALSE)," "))</f>
        <v/>
      </c>
      <c r="AU150" s="33">
        <v>276</v>
      </c>
      <c r="AV150" s="33" t="s">
        <v>2066</v>
      </c>
      <c r="AW150" s="33" t="str">
        <f>IF(OR(ISBLANK(AU150), ISBLANK(AV150)),"",CONCATENATE(" ",VLOOKUP(AV150,Literatuur!$A:$B,2,FALSE)," "))</f>
        <v xml:space="preserve"> 8 </v>
      </c>
      <c r="AZ150" s="44" t="str">
        <f t="shared" si="104"/>
        <v xml:space="preserve"> </v>
      </c>
      <c r="BA150" s="33" t="str">
        <f>IF(OR(ISBLANK(AY150), ISBLANK(AZ150)),"",CONCATENATE(" ",VLOOKUP(AZ150,Literatuur!$A:$B,2,FALSE)," "))</f>
        <v/>
      </c>
      <c r="BC150" s="44" t="str">
        <f t="shared" si="105"/>
        <v xml:space="preserve"> </v>
      </c>
      <c r="BD150" s="33" t="str">
        <f>IF(OR(ISBLANK(BB150), ISBLANK(BC150)),"",CONCATENATE(" ",VLOOKUP(BC150,Literatuur!$A:$B,2,FALSE)," "))</f>
        <v/>
      </c>
      <c r="BF150" s="44" t="str">
        <f t="shared" si="106"/>
        <v xml:space="preserve"> </v>
      </c>
      <c r="BG150" s="33" t="str">
        <f>IF(OR(ISBLANK(BE150), ISBLANK(BF150)),"",CONCATENATE(" ",VLOOKUP(BF150,Literatuur!$A:$B,2,FALSE)," "))</f>
        <v/>
      </c>
      <c r="BI150" s="44" t="str">
        <f t="shared" si="107"/>
        <v xml:space="preserve"> </v>
      </c>
      <c r="BJ150" s="33" t="str">
        <f>IF(OR(ISBLANK(BH150), ISBLANK(BI150)),"",CONCATENATE(" ",VLOOKUP(BI150,Literatuur!$A:$B,2,FALSE)," "))</f>
        <v/>
      </c>
      <c r="BL150" s="44" t="str">
        <f t="shared" si="108"/>
        <v xml:space="preserve"> </v>
      </c>
      <c r="BM150" s="33" t="str">
        <f>IF(OR(ISBLANK(BK150), ISBLANK(BL150)),"",CONCATENATE(" ",VLOOKUP(BL150,Literatuur!$A:$B,2,FALSE)," "))</f>
        <v/>
      </c>
      <c r="BP150" s="33" t="str">
        <f>IF(OR(ISBLANK(BN150), ISBLANK(BO150)),"",CONCATENATE(" ",VLOOKUP(BO150,Literatuur!$A:$B,2,FALSE)," "))</f>
        <v/>
      </c>
      <c r="BS150" s="33" t="str">
        <f>IF(OR(ISBLANK(BQ150), ISBLANK(BR150)),"",CONCATENATE(" ",VLOOKUP(BR150,Literatuur!$A:$B,2,FALSE)," "))</f>
        <v/>
      </c>
      <c r="BT150" s="33">
        <v>6.7</v>
      </c>
      <c r="BU150" s="33" t="s">
        <v>2066</v>
      </c>
      <c r="BV150" s="33" t="str">
        <f>IF(OR(ISBLANK(BT150), ISBLANK(BU150)),"",CONCATENATE(" ",VLOOKUP(BU150,Literatuur!$A:$B,2,FALSE)," "))</f>
        <v xml:space="preserve"> 8 </v>
      </c>
      <c r="BY150" s="33">
        <v>241</v>
      </c>
      <c r="CB150" s="33" t="s">
        <v>2066</v>
      </c>
      <c r="CD150" s="33">
        <f t="shared" si="90"/>
        <v>241</v>
      </c>
      <c r="CE150" s="37">
        <f t="shared" si="118"/>
        <v>276</v>
      </c>
      <c r="CH150" s="33">
        <f t="shared" si="119"/>
        <v>6.7</v>
      </c>
      <c r="CR150" s="33" t="str">
        <f t="shared" si="109"/>
        <v>benzo[ghi]perylene</v>
      </c>
      <c r="CS150" s="33" t="str">
        <f t="shared" si="110"/>
        <v>PAK</v>
      </c>
      <c r="CT150" s="33">
        <f t="shared" si="111"/>
        <v>276</v>
      </c>
      <c r="CU150" s="33" t="str">
        <f t="shared" si="112"/>
        <v xml:space="preserve"> 8 </v>
      </c>
      <c r="CV150" s="33" t="str">
        <f t="shared" si="113"/>
        <v/>
      </c>
      <c r="CW150" s="33" t="str">
        <f t="shared" si="114"/>
        <v/>
      </c>
      <c r="CX150" s="33">
        <f t="shared" si="115"/>
        <v>6.7</v>
      </c>
      <c r="CY150" s="33" t="str">
        <f t="shared" si="116"/>
        <v xml:space="preserve"> 8 </v>
      </c>
    </row>
    <row r="151" spans="2:103" x14ac:dyDescent="0.2">
      <c r="B151" s="33">
        <v>-1545</v>
      </c>
      <c r="C151" s="33" t="e">
        <f>VLOOKUP(B151,Lohman2011!$I$7:$U$28,2,FALSE)</f>
        <v>#N/A</v>
      </c>
      <c r="D151" s="105" t="s">
        <v>569</v>
      </c>
      <c r="E151" s="105" t="s">
        <v>569</v>
      </c>
      <c r="F151" s="34"/>
      <c r="G151" s="34"/>
      <c r="I151" s="33">
        <f t="shared" si="93"/>
        <v>252.15</v>
      </c>
      <c r="J151" s="33">
        <f t="shared" si="117"/>
        <v>2.620096279985866E-2</v>
      </c>
      <c r="K151" s="44">
        <f t="shared" si="94"/>
        <v>6.0050000000000008</v>
      </c>
      <c r="L151" s="33">
        <f t="shared" si="95"/>
        <v>229.3</v>
      </c>
      <c r="M151" s="33" t="s">
        <v>1550</v>
      </c>
      <c r="Q151" s="44" t="str">
        <f t="shared" si="96"/>
        <v xml:space="preserve"> </v>
      </c>
      <c r="R151" s="33" t="str">
        <f>IF(OR(ISBLANK(P151), ISBLANK(Q151)),"",CONCATENATE(" ",VLOOKUP(Q151,Literatuur!$A:$B,2,FALSE)," "))</f>
        <v/>
      </c>
      <c r="T151" s="44" t="str">
        <f t="shared" si="97"/>
        <v xml:space="preserve"> </v>
      </c>
      <c r="U151" s="33" t="str">
        <f>IF(OR(ISBLANK(S151), ISBLANK(T151)),"",CONCATENATE(" ",VLOOKUP(T151,Literatuur!$A:$B,2,FALSE)," "))</f>
        <v/>
      </c>
      <c r="W151" s="44" t="str">
        <f t="shared" si="98"/>
        <v xml:space="preserve"> </v>
      </c>
      <c r="X151" s="33" t="str">
        <f>IF(OR(ISBLANK(V151), ISBLANK(W151)),"",CONCATENATE(" ",VLOOKUP(W151,Literatuur!$A:$B,2,FALSE)," "))</f>
        <v/>
      </c>
      <c r="Z151" s="44" t="str">
        <f t="shared" si="99"/>
        <v xml:space="preserve"> </v>
      </c>
      <c r="AA151" s="33" t="str">
        <f>IF(OR(ISBLANK(Y151), ISBLANK(Z151)),"",CONCATENATE(" ",VLOOKUP(Z151,Literatuur!$A:$B,2,FALSE)," "))</f>
        <v/>
      </c>
      <c r="AC151" s="186" t="str">
        <f t="shared" si="100"/>
        <v xml:space="preserve"> </v>
      </c>
      <c r="AD151" s="33" t="str">
        <f>IF(OR(ISBLANK(AB151), ISBLANK(AC151)),"",CONCATENATE(" ",VLOOKUP(AC151,Literatuur!$A:$B,2,FALSE)," "))</f>
        <v/>
      </c>
      <c r="AE151" s="39">
        <v>2.620096279985866E-2</v>
      </c>
      <c r="AF151" s="33" t="s">
        <v>1557</v>
      </c>
      <c r="AG151" s="33" t="str">
        <f>IF(OR(ISBLANK(AE151), ISBLANK(AF151)),"",CONCATENATE(" ",VLOOKUP(AF151,Literatuur!$A:$B,2,FALSE)," "))</f>
        <v xml:space="preserve"> 17 </v>
      </c>
      <c r="AJ151" s="44" t="str">
        <f t="shared" si="101"/>
        <v xml:space="preserve"> </v>
      </c>
      <c r="AK151" s="33" t="str">
        <f>IF(OR(ISBLANK(AI151), ISBLANK(AJ151)),"",CONCATENATE(" ",VLOOKUP(AJ151,Literatuur!$A:$B,2,FALSE)," "))</f>
        <v/>
      </c>
      <c r="AM151" s="44" t="str">
        <f t="shared" si="102"/>
        <v xml:space="preserve"> </v>
      </c>
      <c r="AN151" s="33" t="str">
        <f>IF(OR(ISBLANK(AL151), ISBLANK(AM151)),"",CONCATENATE(" ",VLOOKUP(AM151,Literatuur!$A:$B,2,FALSE)," "))</f>
        <v/>
      </c>
      <c r="AP151" s="44" t="str">
        <f t="shared" si="103"/>
        <v xml:space="preserve"> </v>
      </c>
      <c r="AQ151" s="33" t="str">
        <f>IF(OR(ISBLANK(AO151), ISBLANK(AP151)),"",CONCATENATE(" ",VLOOKUP(AP151,Literatuur!$A:$B,2,FALSE)," "))</f>
        <v/>
      </c>
      <c r="AR151" s="33">
        <v>252.3</v>
      </c>
      <c r="AS151" s="33" t="s">
        <v>1557</v>
      </c>
      <c r="AT151" s="33" t="str">
        <f>IF(OR(ISBLANK(AR151), ISBLANK(AS151)),"",CONCATENATE(" ",VLOOKUP(AS151,Literatuur!$A:$B,2,FALSE)," "))</f>
        <v xml:space="preserve"> 17 </v>
      </c>
      <c r="AU151" s="33">
        <v>252</v>
      </c>
      <c r="AV151" s="33" t="s">
        <v>2066</v>
      </c>
      <c r="AW151" s="33" t="str">
        <f>IF(OR(ISBLANK(AU151), ISBLANK(AV151)),"",CONCATENATE(" ",VLOOKUP(AV151,Literatuur!$A:$B,2,FALSE)," "))</f>
        <v xml:space="preserve"> 8 </v>
      </c>
      <c r="AZ151" s="44" t="str">
        <f t="shared" si="104"/>
        <v xml:space="preserve"> </v>
      </c>
      <c r="BA151" s="33" t="str">
        <f>IF(OR(ISBLANK(AY151), ISBLANK(AZ151)),"",CONCATENATE(" ",VLOOKUP(AZ151,Literatuur!$A:$B,2,FALSE)," "))</f>
        <v/>
      </c>
      <c r="BC151" s="44" t="str">
        <f t="shared" si="105"/>
        <v xml:space="preserve"> </v>
      </c>
      <c r="BD151" s="33" t="str">
        <f>IF(OR(ISBLANK(BB151), ISBLANK(BC151)),"",CONCATENATE(" ",VLOOKUP(BC151,Literatuur!$A:$B,2,FALSE)," "))</f>
        <v/>
      </c>
      <c r="BF151" s="44" t="str">
        <f t="shared" si="106"/>
        <v xml:space="preserve"> </v>
      </c>
      <c r="BG151" s="33" t="str">
        <f>IF(OR(ISBLANK(BE151), ISBLANK(BF151)),"",CONCATENATE(" ",VLOOKUP(BF151,Literatuur!$A:$B,2,FALSE)," "))</f>
        <v/>
      </c>
      <c r="BI151" s="44" t="str">
        <f t="shared" si="107"/>
        <v xml:space="preserve"> </v>
      </c>
      <c r="BJ151" s="33" t="str">
        <f>IF(OR(ISBLANK(BH151), ISBLANK(BI151)),"",CONCATENATE(" ",VLOOKUP(BI151,Literatuur!$A:$B,2,FALSE)," "))</f>
        <v/>
      </c>
      <c r="BL151" s="44" t="str">
        <f t="shared" si="108"/>
        <v xml:space="preserve"> </v>
      </c>
      <c r="BM151" s="33" t="str">
        <f>IF(OR(ISBLANK(BK151), ISBLANK(BL151)),"",CONCATENATE(" ",VLOOKUP(BL151,Literatuur!$A:$B,2,FALSE)," "))</f>
        <v/>
      </c>
      <c r="BN151" s="33">
        <v>5.9</v>
      </c>
      <c r="BO151" s="33" t="s">
        <v>1557</v>
      </c>
      <c r="BP151" s="33" t="str">
        <f>IF(OR(ISBLANK(BN151), ISBLANK(BO151)),"",CONCATENATE(" ",VLOOKUP(BO151,Literatuur!$A:$B,2,FALSE)," "))</f>
        <v xml:space="preserve"> 17 </v>
      </c>
      <c r="BS151" s="33" t="str">
        <f>IF(OR(ISBLANK(BQ151), ISBLANK(BR151)),"",CONCATENATE(" ",VLOOKUP(BR151,Literatuur!$A:$B,2,FALSE)," "))</f>
        <v/>
      </c>
      <c r="BT151" s="33">
        <v>6.11</v>
      </c>
      <c r="BU151" s="33" t="s">
        <v>2066</v>
      </c>
      <c r="BV151" s="33" t="str">
        <f>IF(OR(ISBLANK(BT151), ISBLANK(BU151)),"",CONCATENATE(" ",VLOOKUP(BU151,Literatuur!$A:$B,2,FALSE)," "))</f>
        <v xml:space="preserve"> 8 </v>
      </c>
      <c r="BX151" s="33">
        <v>229.5</v>
      </c>
      <c r="BY151" s="33">
        <v>229.1</v>
      </c>
      <c r="CA151" s="33" t="s">
        <v>1557</v>
      </c>
      <c r="CB151" s="33" t="s">
        <v>2066</v>
      </c>
      <c r="CD151" s="33">
        <f t="shared" si="90"/>
        <v>229.3</v>
      </c>
      <c r="CE151" s="37">
        <f t="shared" si="118"/>
        <v>252.15</v>
      </c>
      <c r="CG151" s="33">
        <f>LOG(J151)</f>
        <v>-1.5816827494824268</v>
      </c>
      <c r="CH151" s="33">
        <f t="shared" si="119"/>
        <v>6.0050000000000008</v>
      </c>
      <c r="CR151" s="33" t="str">
        <f t="shared" si="109"/>
        <v>benzo[k]fluoranthene</v>
      </c>
      <c r="CS151" s="33" t="str">
        <f t="shared" si="110"/>
        <v>PAK</v>
      </c>
      <c r="CT151" s="33">
        <f t="shared" si="111"/>
        <v>252.15</v>
      </c>
      <c r="CU151" s="33" t="str">
        <f t="shared" si="112"/>
        <v xml:space="preserve"> 17  8 </v>
      </c>
      <c r="CV151" s="33">
        <f t="shared" si="113"/>
        <v>2.620096279985866E-2</v>
      </c>
      <c r="CW151" s="33" t="str">
        <f t="shared" si="114"/>
        <v xml:space="preserve"> 17 </v>
      </c>
      <c r="CX151" s="33">
        <f t="shared" si="115"/>
        <v>6.0050000000000008</v>
      </c>
      <c r="CY151" s="33" t="str">
        <f t="shared" si="116"/>
        <v xml:space="preserve"> 17  8 </v>
      </c>
    </row>
    <row r="152" spans="2:103" x14ac:dyDescent="0.2">
      <c r="B152" s="33">
        <v>-1416</v>
      </c>
      <c r="D152" s="33" t="s">
        <v>382</v>
      </c>
      <c r="E152" s="33" t="s">
        <v>1362</v>
      </c>
      <c r="H152" s="33" t="s">
        <v>371</v>
      </c>
      <c r="I152" s="37">
        <f t="shared" si="93"/>
        <v>154.21</v>
      </c>
      <c r="J152" s="33">
        <f t="shared" si="117"/>
        <v>6.4766666666666666</v>
      </c>
      <c r="K152" s="44">
        <f t="shared" si="94"/>
        <v>4.0449999999999999</v>
      </c>
      <c r="L152" s="33" t="e">
        <f t="shared" si="95"/>
        <v>#DIV/0!</v>
      </c>
      <c r="M152" s="33" t="s">
        <v>1550</v>
      </c>
      <c r="Q152" s="44" t="str">
        <f t="shared" si="96"/>
        <v xml:space="preserve"> </v>
      </c>
      <c r="R152" s="33" t="str">
        <f>IF(OR(ISBLANK(P152), ISBLANK(Q152)),"",CONCATENATE(" ",VLOOKUP(Q152,Literatuur!$A:$B,2,FALSE)," "))</f>
        <v/>
      </c>
      <c r="S152" s="94">
        <v>4.45</v>
      </c>
      <c r="T152" s="44" t="str">
        <f t="shared" si="97"/>
        <v>Gestis</v>
      </c>
      <c r="U152" s="33" t="str">
        <f>IF(OR(ISBLANK(S152), ISBLANK(T152)),"",CONCATENATE(" ",VLOOKUP(T152,Literatuur!$A:$B,2,FALSE)," "))</f>
        <v xml:space="preserve"> A </v>
      </c>
      <c r="W152" s="44" t="str">
        <f t="shared" si="98"/>
        <v xml:space="preserve"> </v>
      </c>
      <c r="X152" s="33" t="str">
        <f>IF(OR(ISBLANK(V152), ISBLANK(W152)),"",CONCATENATE(" ",VLOOKUP(W152,Literatuur!$A:$B,2,FALSE)," "))</f>
        <v/>
      </c>
      <c r="Y152" s="33">
        <v>7.4799999999999995</v>
      </c>
      <c r="Z152" s="44" t="str">
        <f t="shared" si="99"/>
        <v>US EPA suite</v>
      </c>
      <c r="AA152" s="33" t="str">
        <f>IF(OR(ISBLANK(Y152), ISBLANK(Z152)),"",CONCATENATE(" ",VLOOKUP(Z152,Literatuur!$A:$B,2,FALSE)," "))</f>
        <v xml:space="preserve"> F </v>
      </c>
      <c r="AB152" s="33">
        <v>7.5</v>
      </c>
      <c r="AC152" s="36" t="str">
        <f t="shared" si="100"/>
        <v>Vonk 1985</v>
      </c>
      <c r="AD152" s="33" t="str">
        <f>IF(OR(ISBLANK(AB152), ISBLANK(AC152)),"",CONCATENATE(" ",VLOOKUP(AC152,Literatuur!$A:$B,2,FALSE)," "))</f>
        <v xml:space="preserve"> 37 </v>
      </c>
      <c r="AG152" s="33" t="str">
        <f>IF(OR(ISBLANK(AE152), ISBLANK(AF152)),"",CONCATENATE(" ",VLOOKUP(AF152,Literatuur!$A:$B,2,FALSE)," "))</f>
        <v/>
      </c>
      <c r="AJ152" s="44" t="str">
        <f t="shared" si="101"/>
        <v xml:space="preserve"> </v>
      </c>
      <c r="AK152" s="33" t="str">
        <f>IF(OR(ISBLANK(AI152), ISBLANK(AJ152)),"",CONCATENATE(" ",VLOOKUP(AJ152,Literatuur!$A:$B,2,FALSE)," "))</f>
        <v/>
      </c>
      <c r="AL152" s="33">
        <v>154.21</v>
      </c>
      <c r="AM152" s="44" t="str">
        <f t="shared" si="102"/>
        <v>Gestis</v>
      </c>
      <c r="AN152" s="33" t="str">
        <f>IF(OR(ISBLANK(AL152), ISBLANK(AM152)),"",CONCATENATE(" ",VLOOKUP(AM152,Literatuur!$A:$B,2,FALSE)," "))</f>
        <v xml:space="preserve"> A </v>
      </c>
      <c r="AO152" s="33">
        <v>154.21</v>
      </c>
      <c r="AP152" s="44" t="str">
        <f t="shared" si="103"/>
        <v>US EPA suite</v>
      </c>
      <c r="AQ152" s="33" t="str">
        <f>IF(OR(ISBLANK(AO152), ISBLANK(AP152)),"",CONCATENATE(" ",VLOOKUP(AP152,Literatuur!$A:$B,2,FALSE)," "))</f>
        <v xml:space="preserve"> F </v>
      </c>
      <c r="AT152" s="33" t="str">
        <f>IF(OR(ISBLANK(AR152), ISBLANK(AS152)),"",CONCATENATE(" ",VLOOKUP(AS152,Literatuur!$A:$B,2,FALSE)," "))</f>
        <v/>
      </c>
      <c r="AU152" s="33">
        <v>154.21</v>
      </c>
      <c r="AV152" s="33" t="s">
        <v>344</v>
      </c>
      <c r="AW152" s="33" t="str">
        <f>IF(OR(ISBLANK(AU152), ISBLANK(AV152)),"",CONCATENATE(" ",VLOOKUP(AV152,Literatuur!$A:$B,2,FALSE)," "))</f>
        <v xml:space="preserve"> G </v>
      </c>
      <c r="AZ152" s="44" t="str">
        <f t="shared" si="104"/>
        <v xml:space="preserve"> </v>
      </c>
      <c r="BA152" s="33" t="str">
        <f>IF(OR(ISBLANK(AY152), ISBLANK(AZ152)),"",CONCATENATE(" ",VLOOKUP(AZ152,Literatuur!$A:$B,2,FALSE)," "))</f>
        <v/>
      </c>
      <c r="BB152" s="33">
        <v>3.98</v>
      </c>
      <c r="BC152" s="44" t="str">
        <f t="shared" si="105"/>
        <v>Gestis</v>
      </c>
      <c r="BD152" s="33" t="str">
        <f>IF(OR(ISBLANK(BB152), ISBLANK(BC152)),"",CONCATENATE(" ",VLOOKUP(BC152,Literatuur!$A:$B,2,FALSE)," "))</f>
        <v xml:space="preserve"> A </v>
      </c>
      <c r="BF152" s="44" t="str">
        <f t="shared" si="106"/>
        <v xml:space="preserve"> </v>
      </c>
      <c r="BG152" s="33" t="str">
        <f>IF(OR(ISBLANK(BE152), ISBLANK(BF152)),"",CONCATENATE(" ",VLOOKUP(BF152,Literatuur!$A:$B,2,FALSE)," "))</f>
        <v/>
      </c>
      <c r="BH152" s="33">
        <v>4.1100000000000003</v>
      </c>
      <c r="BI152" s="44" t="str">
        <f t="shared" si="107"/>
        <v>US EPA suite</v>
      </c>
      <c r="BJ152" s="33" t="str">
        <f>IF(OR(ISBLANK(BH152), ISBLANK(BI152)),"",CONCATENATE(" ",VLOOKUP(BI152,Literatuur!$A:$B,2,FALSE)," "))</f>
        <v xml:space="preserve"> F </v>
      </c>
      <c r="BL152" s="44" t="str">
        <f t="shared" si="108"/>
        <v xml:space="preserve"> </v>
      </c>
      <c r="BM152" s="33" t="str">
        <f>IF(OR(ISBLANK(BK152), ISBLANK(BL152)),"",CONCATENATE(" ",VLOOKUP(BL152,Literatuur!$A:$B,2,FALSE)," "))</f>
        <v/>
      </c>
      <c r="BP152" s="33" t="str">
        <f>IF(OR(ISBLANK(BN152), ISBLANK(BO152)),"",CONCATENATE(" ",VLOOKUP(BO152,Literatuur!$A:$B,2,FALSE)," "))</f>
        <v/>
      </c>
      <c r="BS152" s="33" t="str">
        <f>IF(OR(ISBLANK(BQ152), ISBLANK(BR152)),"",CONCATENATE(" ",VLOOKUP(BR152,Literatuur!$A:$B,2,FALSE)," "))</f>
        <v/>
      </c>
      <c r="BV152" s="33" t="str">
        <f>IF(OR(ISBLANK(BT152), ISBLANK(BU152)),"",CONCATENATE(" ",VLOOKUP(BU152,Literatuur!$A:$B,2,FALSE)," "))</f>
        <v/>
      </c>
      <c r="CE152" s="37">
        <f t="shared" si="118"/>
        <v>154.21</v>
      </c>
      <c r="CG152" s="33">
        <f>LOG(J152)</f>
        <v>0.81135154588012004</v>
      </c>
      <c r="CH152" s="33">
        <f t="shared" si="119"/>
        <v>4.0449999999999999</v>
      </c>
      <c r="CR152" s="33" t="str">
        <f t="shared" si="109"/>
        <v>Biphenyl</v>
      </c>
      <c r="CS152" s="33" t="str">
        <f t="shared" si="110"/>
        <v>PAK</v>
      </c>
      <c r="CT152" s="33">
        <f t="shared" si="111"/>
        <v>154.21</v>
      </c>
      <c r="CU152" s="33" t="str">
        <f t="shared" si="112"/>
        <v xml:space="preserve"> A  F  G </v>
      </c>
      <c r="CV152" s="33">
        <f t="shared" si="113"/>
        <v>6.4766666666666666</v>
      </c>
      <c r="CW152" s="33" t="str">
        <f t="shared" si="114"/>
        <v xml:space="preserve"> A  F  37 </v>
      </c>
      <c r="CX152" s="33">
        <f t="shared" si="115"/>
        <v>4.0449999999999999</v>
      </c>
      <c r="CY152" s="33" t="str">
        <f t="shared" si="116"/>
        <v xml:space="preserve"> A  F </v>
      </c>
    </row>
    <row r="153" spans="2:103" x14ac:dyDescent="0.2">
      <c r="B153" s="33">
        <v>-1543</v>
      </c>
      <c r="C153" s="33" t="e">
        <f>VLOOKUP(B153,Lohman2011!$I$7:$U$28,2,FALSE)</f>
        <v>#N/A</v>
      </c>
      <c r="D153" s="105" t="s">
        <v>567</v>
      </c>
      <c r="E153" s="105" t="s">
        <v>567</v>
      </c>
      <c r="F153" s="34"/>
      <c r="G153" s="34"/>
      <c r="I153" s="33">
        <f t="shared" si="93"/>
        <v>228.15</v>
      </c>
      <c r="J153" s="33">
        <f t="shared" si="117"/>
        <v>0.13896515350405772</v>
      </c>
      <c r="K153" s="44">
        <f t="shared" si="94"/>
        <v>5.7549999999999999</v>
      </c>
      <c r="L153" s="33">
        <f t="shared" si="95"/>
        <v>196.3</v>
      </c>
      <c r="M153" s="33" t="s">
        <v>1550</v>
      </c>
      <c r="Q153" s="44" t="str">
        <f t="shared" si="96"/>
        <v xml:space="preserve"> </v>
      </c>
      <c r="R153" s="33" t="str">
        <f>IF(OR(ISBLANK(P153), ISBLANK(Q153)),"",CONCATENATE(" ",VLOOKUP(Q153,Literatuur!$A:$B,2,FALSE)," "))</f>
        <v/>
      </c>
      <c r="T153" s="44" t="str">
        <f t="shared" si="97"/>
        <v xml:space="preserve"> </v>
      </c>
      <c r="U153" s="33" t="str">
        <f>IF(OR(ISBLANK(S153), ISBLANK(T153)),"",CONCATENATE(" ",VLOOKUP(T153,Literatuur!$A:$B,2,FALSE)," "))</f>
        <v/>
      </c>
      <c r="W153" s="44" t="str">
        <f t="shared" si="98"/>
        <v xml:space="preserve"> </v>
      </c>
      <c r="X153" s="33" t="str">
        <f>IF(OR(ISBLANK(V153), ISBLANK(W153)),"",CONCATENATE(" ",VLOOKUP(W153,Literatuur!$A:$B,2,FALSE)," "))</f>
        <v/>
      </c>
      <c r="Z153" s="44" t="str">
        <f t="shared" si="99"/>
        <v xml:space="preserve"> </v>
      </c>
      <c r="AA153" s="33" t="str">
        <f>IF(OR(ISBLANK(Y153), ISBLANK(Z153)),"",CONCATENATE(" ",VLOOKUP(Z153,Literatuur!$A:$B,2,FALSE)," "))</f>
        <v/>
      </c>
      <c r="AC153" s="186" t="str">
        <f t="shared" si="100"/>
        <v xml:space="preserve"> </v>
      </c>
      <c r="AD153" s="33" t="str">
        <f>IF(OR(ISBLANK(AB153), ISBLANK(AC153)),"",CONCATENATE(" ",VLOOKUP(AC153,Literatuur!$A:$B,2,FALSE)," "))</f>
        <v/>
      </c>
      <c r="AE153" s="39">
        <v>0.13896515350405772</v>
      </c>
      <c r="AF153" s="33" t="s">
        <v>1557</v>
      </c>
      <c r="AG153" s="33" t="str">
        <f>IF(OR(ISBLANK(AE153), ISBLANK(AF153)),"",CONCATENATE(" ",VLOOKUP(AF153,Literatuur!$A:$B,2,FALSE)," "))</f>
        <v xml:space="preserve"> 17 </v>
      </c>
      <c r="AJ153" s="44" t="str">
        <f t="shared" si="101"/>
        <v xml:space="preserve"> </v>
      </c>
      <c r="AK153" s="33" t="str">
        <f>IF(OR(ISBLANK(AI153), ISBLANK(AJ153)),"",CONCATENATE(" ",VLOOKUP(AJ153,Literatuur!$A:$B,2,FALSE)," "))</f>
        <v/>
      </c>
      <c r="AM153" s="44" t="str">
        <f t="shared" si="102"/>
        <v xml:space="preserve"> </v>
      </c>
      <c r="AN153" s="33" t="str">
        <f>IF(OR(ISBLANK(AL153), ISBLANK(AM153)),"",CONCATENATE(" ",VLOOKUP(AM153,Literatuur!$A:$B,2,FALSE)," "))</f>
        <v/>
      </c>
      <c r="AP153" s="44" t="str">
        <f t="shared" si="103"/>
        <v xml:space="preserve"> </v>
      </c>
      <c r="AQ153" s="33" t="str">
        <f>IF(OR(ISBLANK(AO153), ISBLANK(AP153)),"",CONCATENATE(" ",VLOOKUP(AP153,Literatuur!$A:$B,2,FALSE)," "))</f>
        <v/>
      </c>
      <c r="AR153" s="33">
        <v>228.3</v>
      </c>
      <c r="AS153" s="33" t="s">
        <v>1557</v>
      </c>
      <c r="AT153" s="33" t="str">
        <f>IF(OR(ISBLANK(AR153), ISBLANK(AS153)),"",CONCATENATE(" ",VLOOKUP(AS153,Literatuur!$A:$B,2,FALSE)," "))</f>
        <v xml:space="preserve"> 17 </v>
      </c>
      <c r="AU153" s="33">
        <v>228</v>
      </c>
      <c r="AV153" s="33" t="s">
        <v>2066</v>
      </c>
      <c r="AW153" s="33" t="str">
        <f>IF(OR(ISBLANK(AU153), ISBLANK(AV153)),"",CONCATENATE(" ",VLOOKUP(AV153,Literatuur!$A:$B,2,FALSE)," "))</f>
        <v xml:space="preserve"> 8 </v>
      </c>
      <c r="AZ153" s="44" t="str">
        <f t="shared" si="104"/>
        <v xml:space="preserve"> </v>
      </c>
      <c r="BA153" s="33" t="str">
        <f>IF(OR(ISBLANK(AY153), ISBLANK(AZ153)),"",CONCATENATE(" ",VLOOKUP(AZ153,Literatuur!$A:$B,2,FALSE)," "))</f>
        <v/>
      </c>
      <c r="BC153" s="44" t="str">
        <f t="shared" si="105"/>
        <v xml:space="preserve"> </v>
      </c>
      <c r="BD153" s="33" t="str">
        <f>IF(OR(ISBLANK(BB153), ISBLANK(BC153)),"",CONCATENATE(" ",VLOOKUP(BC153,Literatuur!$A:$B,2,FALSE)," "))</f>
        <v/>
      </c>
      <c r="BF153" s="44" t="str">
        <f t="shared" si="106"/>
        <v xml:space="preserve"> </v>
      </c>
      <c r="BG153" s="33" t="str">
        <f>IF(OR(ISBLANK(BE153), ISBLANK(BF153)),"",CONCATENATE(" ",VLOOKUP(BF153,Literatuur!$A:$B,2,FALSE)," "))</f>
        <v/>
      </c>
      <c r="BI153" s="44" t="str">
        <f t="shared" si="107"/>
        <v xml:space="preserve"> </v>
      </c>
      <c r="BJ153" s="33" t="str">
        <f>IF(OR(ISBLANK(BH153), ISBLANK(BI153)),"",CONCATENATE(" ",VLOOKUP(BI153,Literatuur!$A:$B,2,FALSE)," "))</f>
        <v/>
      </c>
      <c r="BL153" s="44" t="str">
        <f t="shared" si="108"/>
        <v xml:space="preserve"> </v>
      </c>
      <c r="BM153" s="33" t="str">
        <f>IF(OR(ISBLANK(BK153), ISBLANK(BL153)),"",CONCATENATE(" ",VLOOKUP(BL153,Literatuur!$A:$B,2,FALSE)," "))</f>
        <v/>
      </c>
      <c r="BN153" s="33">
        <v>5.7</v>
      </c>
      <c r="BO153" s="33" t="s">
        <v>1557</v>
      </c>
      <c r="BP153" s="33" t="str">
        <f>IF(OR(ISBLANK(BN153), ISBLANK(BO153)),"",CONCATENATE(" ",VLOOKUP(BO153,Literatuur!$A:$B,2,FALSE)," "))</f>
        <v xml:space="preserve"> 17 </v>
      </c>
      <c r="BS153" s="33" t="str">
        <f>IF(OR(ISBLANK(BQ153), ISBLANK(BR153)),"",CONCATENATE(" ",VLOOKUP(BR153,Literatuur!$A:$B,2,FALSE)," "))</f>
        <v/>
      </c>
      <c r="BT153" s="33">
        <v>5.81</v>
      </c>
      <c r="BU153" s="33" t="s">
        <v>2066</v>
      </c>
      <c r="BV153" s="33" t="str">
        <f>IF(OR(ISBLANK(BT153), ISBLANK(BU153)),"",CONCATENATE(" ",VLOOKUP(BU153,Literatuur!$A:$B,2,FALSE)," "))</f>
        <v xml:space="preserve"> 8 </v>
      </c>
      <c r="BX153" s="33">
        <v>196.5</v>
      </c>
      <c r="BY153" s="33">
        <v>196.1</v>
      </c>
      <c r="CA153" s="33" t="s">
        <v>1557</v>
      </c>
      <c r="CB153" s="33" t="s">
        <v>2066</v>
      </c>
      <c r="CD153" s="33">
        <f>L153</f>
        <v>196.3</v>
      </c>
      <c r="CE153" s="37">
        <f t="shared" si="118"/>
        <v>228.15</v>
      </c>
      <c r="CG153" s="33">
        <f>LOG(J153)</f>
        <v>-0.85709408850976543</v>
      </c>
      <c r="CH153" s="33">
        <f t="shared" si="119"/>
        <v>5.7549999999999999</v>
      </c>
      <c r="CR153" s="33" t="str">
        <f t="shared" si="109"/>
        <v>chrysene</v>
      </c>
      <c r="CS153" s="33" t="str">
        <f t="shared" si="110"/>
        <v>PAK</v>
      </c>
      <c r="CT153" s="33">
        <f t="shared" si="111"/>
        <v>228.15</v>
      </c>
      <c r="CU153" s="33" t="str">
        <f t="shared" si="112"/>
        <v xml:space="preserve"> 17  8 </v>
      </c>
      <c r="CV153" s="33">
        <f t="shared" si="113"/>
        <v>0.13896515350405772</v>
      </c>
      <c r="CW153" s="33" t="str">
        <f t="shared" si="114"/>
        <v xml:space="preserve"> 17 </v>
      </c>
      <c r="CX153" s="33">
        <f t="shared" si="115"/>
        <v>5.7549999999999999</v>
      </c>
      <c r="CY153" s="33" t="str">
        <f t="shared" si="116"/>
        <v xml:space="preserve"> 17  8 </v>
      </c>
    </row>
    <row r="154" spans="2:103" x14ac:dyDescent="0.2">
      <c r="B154" s="33">
        <v>-1575</v>
      </c>
      <c r="C154" s="33" t="e">
        <f>VLOOKUP(B154,Lohman2011!$I$7:$U$28,2,FALSE)</f>
        <v>#N/A</v>
      </c>
      <c r="D154" s="105" t="s">
        <v>610</v>
      </c>
      <c r="E154" s="105" t="s">
        <v>610</v>
      </c>
      <c r="F154" s="34"/>
      <c r="G154" s="34"/>
      <c r="I154" s="33">
        <f t="shared" si="93"/>
        <v>212</v>
      </c>
      <c r="J154" s="33" t="e">
        <f t="shared" si="117"/>
        <v>#DIV/0!</v>
      </c>
      <c r="K154" s="44" t="e">
        <f t="shared" si="94"/>
        <v>#DIV/0!</v>
      </c>
      <c r="L154" s="33" t="e">
        <f t="shared" si="95"/>
        <v>#DIV/0!</v>
      </c>
      <c r="M154" s="33" t="s">
        <v>1550</v>
      </c>
      <c r="Q154" s="44" t="str">
        <f t="shared" si="96"/>
        <v xml:space="preserve"> </v>
      </c>
      <c r="R154" s="33" t="str">
        <f>IF(OR(ISBLANK(P154), ISBLANK(Q154)),"",CONCATENATE(" ",VLOOKUP(Q154,Literatuur!$A:$B,2,FALSE)," "))</f>
        <v/>
      </c>
      <c r="T154" s="44" t="str">
        <f t="shared" si="97"/>
        <v xml:space="preserve"> </v>
      </c>
      <c r="U154" s="33" t="str">
        <f>IF(OR(ISBLANK(S154), ISBLANK(T154)),"",CONCATENATE(" ",VLOOKUP(T154,Literatuur!$A:$B,2,FALSE)," "))</f>
        <v/>
      </c>
      <c r="W154" s="44" t="str">
        <f t="shared" si="98"/>
        <v xml:space="preserve"> </v>
      </c>
      <c r="X154" s="33" t="str">
        <f>IF(OR(ISBLANK(V154), ISBLANK(W154)),"",CONCATENATE(" ",VLOOKUP(W154,Literatuur!$A:$B,2,FALSE)," "))</f>
        <v/>
      </c>
      <c r="Z154" s="44" t="str">
        <f t="shared" si="99"/>
        <v xml:space="preserve"> </v>
      </c>
      <c r="AA154" s="33" t="str">
        <f>IF(OR(ISBLANK(Y154), ISBLANK(Z154)),"",CONCATENATE(" ",VLOOKUP(Z154,Literatuur!$A:$B,2,FALSE)," "))</f>
        <v/>
      </c>
      <c r="AC154" s="186" t="str">
        <f t="shared" si="100"/>
        <v xml:space="preserve"> </v>
      </c>
      <c r="AD154" s="33" t="str">
        <f>IF(OR(ISBLANK(AB154), ISBLANK(AC154)),"",CONCATENATE(" ",VLOOKUP(AC154,Literatuur!$A:$B,2,FALSE)," "))</f>
        <v/>
      </c>
      <c r="AG154" s="33" t="str">
        <f>IF(OR(ISBLANK(AE154), ISBLANK(AF154)),"",CONCATENATE(" ",VLOOKUP(AF154,Literatuur!$A:$B,2,FALSE)," "))</f>
        <v/>
      </c>
      <c r="AJ154" s="44" t="str">
        <f t="shared" si="101"/>
        <v xml:space="preserve"> </v>
      </c>
      <c r="AK154" s="33" t="str">
        <f>IF(OR(ISBLANK(AI154), ISBLANK(AJ154)),"",CONCATENATE(" ",VLOOKUP(AJ154,Literatuur!$A:$B,2,FALSE)," "))</f>
        <v/>
      </c>
      <c r="AM154" s="44" t="str">
        <f t="shared" si="102"/>
        <v xml:space="preserve"> </v>
      </c>
      <c r="AN154" s="33" t="str">
        <f>IF(OR(ISBLANK(AL154), ISBLANK(AM154)),"",CONCATENATE(" ",VLOOKUP(AM154,Literatuur!$A:$B,2,FALSE)," "))</f>
        <v/>
      </c>
      <c r="AP154" s="44" t="str">
        <f t="shared" si="103"/>
        <v xml:space="preserve"> </v>
      </c>
      <c r="AQ154" s="33" t="str">
        <f>IF(OR(ISBLANK(AO154), ISBLANK(AP154)),"",CONCATENATE(" ",VLOOKUP(AP154,Literatuur!$A:$B,2,FALSE)," "))</f>
        <v/>
      </c>
      <c r="AT154" s="33" t="str">
        <f>IF(OR(ISBLANK(AR154), ISBLANK(AS154)),"",CONCATENATE(" ",VLOOKUP(AS154,Literatuur!$A:$B,2,FALSE)," "))</f>
        <v/>
      </c>
      <c r="AU154" s="33">
        <v>212</v>
      </c>
      <c r="AV154" s="33" t="s">
        <v>2066</v>
      </c>
      <c r="AW154" s="33" t="str">
        <f>IF(OR(ISBLANK(AU154), ISBLANK(AV154)),"",CONCATENATE(" ",VLOOKUP(AV154,Literatuur!$A:$B,2,FALSE)," "))</f>
        <v xml:space="preserve"> 8 </v>
      </c>
      <c r="AZ154" s="44" t="str">
        <f t="shared" si="104"/>
        <v xml:space="preserve"> </v>
      </c>
      <c r="BA154" s="33" t="str">
        <f>IF(OR(ISBLANK(AY154), ISBLANK(AZ154)),"",CONCATENATE(" ",VLOOKUP(AZ154,Literatuur!$A:$B,2,FALSE)," "))</f>
        <v/>
      </c>
      <c r="BC154" s="44" t="str">
        <f t="shared" si="105"/>
        <v xml:space="preserve"> </v>
      </c>
      <c r="BD154" s="33" t="str">
        <f>IF(OR(ISBLANK(BB154), ISBLANK(BC154)),"",CONCATENATE(" ",VLOOKUP(BC154,Literatuur!$A:$B,2,FALSE)," "))</f>
        <v/>
      </c>
      <c r="BF154" s="44" t="str">
        <f t="shared" si="106"/>
        <v xml:space="preserve"> </v>
      </c>
      <c r="BG154" s="33" t="str">
        <f>IF(OR(ISBLANK(BE154), ISBLANK(BF154)),"",CONCATENATE(" ",VLOOKUP(BF154,Literatuur!$A:$B,2,FALSE)," "))</f>
        <v/>
      </c>
      <c r="BI154" s="44" t="str">
        <f t="shared" si="107"/>
        <v xml:space="preserve"> </v>
      </c>
      <c r="BJ154" s="33" t="str">
        <f>IF(OR(ISBLANK(BH154), ISBLANK(BI154)),"",CONCATENATE(" ",VLOOKUP(BI154,Literatuur!$A:$B,2,FALSE)," "))</f>
        <v/>
      </c>
      <c r="BL154" s="44" t="str">
        <f t="shared" si="108"/>
        <v xml:space="preserve"> </v>
      </c>
      <c r="BM154" s="33" t="str">
        <f>IF(OR(ISBLANK(BK154), ISBLANK(BL154)),"",CONCATENATE(" ",VLOOKUP(BL154,Literatuur!$A:$B,2,FALSE)," "))</f>
        <v/>
      </c>
      <c r="BP154" s="33" t="str">
        <f>IF(OR(ISBLANK(BN154), ISBLANK(BO154)),"",CONCATENATE(" ",VLOOKUP(BO154,Literatuur!$A:$B,2,FALSE)," "))</f>
        <v/>
      </c>
      <c r="BS154" s="33" t="str">
        <f>IF(OR(ISBLANK(BQ154), ISBLANK(BR154)),"",CONCATENATE(" ",VLOOKUP(BR154,Literatuur!$A:$B,2,FALSE)," "))</f>
        <v/>
      </c>
      <c r="BU154" s="33" t="s">
        <v>2066</v>
      </c>
      <c r="BV154" s="33" t="str">
        <f>IF(OR(ISBLANK(BT154), ISBLANK(BU154)),"",CONCATENATE(" ",VLOOKUP(BU154,Literatuur!$A:$B,2,FALSE)," "))</f>
        <v/>
      </c>
      <c r="CB154" s="33" t="s">
        <v>2066</v>
      </c>
      <c r="CE154" s="37">
        <f t="shared" si="118"/>
        <v>212</v>
      </c>
      <c r="CR154" s="33" t="str">
        <f t="shared" si="109"/>
        <v>d10-fluoranthene</v>
      </c>
      <c r="CS154" s="33" t="str">
        <f t="shared" si="110"/>
        <v>PAK</v>
      </c>
      <c r="CT154" s="33">
        <f t="shared" si="111"/>
        <v>212</v>
      </c>
      <c r="CU154" s="33" t="str">
        <f t="shared" si="112"/>
        <v xml:space="preserve"> 8 </v>
      </c>
      <c r="CV154" s="33" t="str">
        <f t="shared" si="113"/>
        <v/>
      </c>
      <c r="CW154" s="33" t="str">
        <f t="shared" si="114"/>
        <v/>
      </c>
      <c r="CX154" s="33" t="str">
        <f t="shared" si="115"/>
        <v/>
      </c>
      <c r="CY154" s="33" t="str">
        <f t="shared" si="116"/>
        <v/>
      </c>
    </row>
    <row r="155" spans="2:103" x14ac:dyDescent="0.2">
      <c r="B155" s="33">
        <v>-1574</v>
      </c>
      <c r="C155" s="33" t="e">
        <f>VLOOKUP(B155,Lohman2011!$I$7:$U$28,2,FALSE)</f>
        <v>#N/A</v>
      </c>
      <c r="D155" s="105" t="s">
        <v>609</v>
      </c>
      <c r="E155" s="105" t="s">
        <v>609</v>
      </c>
      <c r="F155" s="34"/>
      <c r="G155" s="34"/>
      <c r="I155" s="33">
        <f t="shared" si="93"/>
        <v>176</v>
      </c>
      <c r="J155" s="33" t="e">
        <f t="shared" si="117"/>
        <v>#DIV/0!</v>
      </c>
      <c r="K155" s="44" t="e">
        <f t="shared" si="94"/>
        <v>#DIV/0!</v>
      </c>
      <c r="L155" s="33" t="e">
        <f t="shared" si="95"/>
        <v>#DIV/0!</v>
      </c>
      <c r="M155" s="33" t="s">
        <v>1550</v>
      </c>
      <c r="Q155" s="44" t="str">
        <f t="shared" si="96"/>
        <v xml:space="preserve"> </v>
      </c>
      <c r="R155" s="33" t="str">
        <f>IF(OR(ISBLANK(P155), ISBLANK(Q155)),"",CONCATENATE(" ",VLOOKUP(Q155,Literatuur!$A:$B,2,FALSE)," "))</f>
        <v/>
      </c>
      <c r="T155" s="44" t="str">
        <f t="shared" si="97"/>
        <v xml:space="preserve"> </v>
      </c>
      <c r="U155" s="33" t="str">
        <f>IF(OR(ISBLANK(S155), ISBLANK(T155)),"",CONCATENATE(" ",VLOOKUP(T155,Literatuur!$A:$B,2,FALSE)," "))</f>
        <v/>
      </c>
      <c r="W155" s="44" t="str">
        <f t="shared" si="98"/>
        <v xml:space="preserve"> </v>
      </c>
      <c r="X155" s="33" t="str">
        <f>IF(OR(ISBLANK(V155), ISBLANK(W155)),"",CONCATENATE(" ",VLOOKUP(W155,Literatuur!$A:$B,2,FALSE)," "))</f>
        <v/>
      </c>
      <c r="Z155" s="44" t="str">
        <f t="shared" si="99"/>
        <v xml:space="preserve"> </v>
      </c>
      <c r="AA155" s="33" t="str">
        <f>IF(OR(ISBLANK(Y155), ISBLANK(Z155)),"",CONCATENATE(" ",VLOOKUP(Z155,Literatuur!$A:$B,2,FALSE)," "))</f>
        <v/>
      </c>
      <c r="AC155" s="186" t="str">
        <f t="shared" si="100"/>
        <v xml:space="preserve"> </v>
      </c>
      <c r="AD155" s="33" t="str">
        <f>IF(OR(ISBLANK(AB155), ISBLANK(AC155)),"",CONCATENATE(" ",VLOOKUP(AC155,Literatuur!$A:$B,2,FALSE)," "))</f>
        <v/>
      </c>
      <c r="AG155" s="33" t="str">
        <f>IF(OR(ISBLANK(AE155), ISBLANK(AF155)),"",CONCATENATE(" ",VLOOKUP(AF155,Literatuur!$A:$B,2,FALSE)," "))</f>
        <v/>
      </c>
      <c r="AJ155" s="44" t="str">
        <f t="shared" si="101"/>
        <v xml:space="preserve"> </v>
      </c>
      <c r="AK155" s="33" t="str">
        <f>IF(OR(ISBLANK(AI155), ISBLANK(AJ155)),"",CONCATENATE(" ",VLOOKUP(AJ155,Literatuur!$A:$B,2,FALSE)," "))</f>
        <v/>
      </c>
      <c r="AM155" s="44" t="str">
        <f t="shared" si="102"/>
        <v xml:space="preserve"> </v>
      </c>
      <c r="AN155" s="33" t="str">
        <f>IF(OR(ISBLANK(AL155), ISBLANK(AM155)),"",CONCATENATE(" ",VLOOKUP(AM155,Literatuur!$A:$B,2,FALSE)," "))</f>
        <v/>
      </c>
      <c r="AP155" s="44" t="str">
        <f t="shared" si="103"/>
        <v xml:space="preserve"> </v>
      </c>
      <c r="AQ155" s="33" t="str">
        <f>IF(OR(ISBLANK(AO155), ISBLANK(AP155)),"",CONCATENATE(" ",VLOOKUP(AP155,Literatuur!$A:$B,2,FALSE)," "))</f>
        <v/>
      </c>
      <c r="AT155" s="33" t="str">
        <f>IF(OR(ISBLANK(AR155), ISBLANK(AS155)),"",CONCATENATE(" ",VLOOKUP(AS155,Literatuur!$A:$B,2,FALSE)," "))</f>
        <v/>
      </c>
      <c r="AU155" s="33">
        <v>176</v>
      </c>
      <c r="AV155" s="33" t="s">
        <v>2066</v>
      </c>
      <c r="AW155" s="33" t="str">
        <f>IF(OR(ISBLANK(AU155), ISBLANK(AV155)),"",CONCATENATE(" ",VLOOKUP(AV155,Literatuur!$A:$B,2,FALSE)," "))</f>
        <v xml:space="preserve"> 8 </v>
      </c>
      <c r="AZ155" s="44" t="str">
        <f t="shared" si="104"/>
        <v xml:space="preserve"> </v>
      </c>
      <c r="BA155" s="33" t="str">
        <f>IF(OR(ISBLANK(AY155), ISBLANK(AZ155)),"",CONCATENATE(" ",VLOOKUP(AZ155,Literatuur!$A:$B,2,FALSE)," "))</f>
        <v/>
      </c>
      <c r="BC155" s="44" t="str">
        <f t="shared" si="105"/>
        <v xml:space="preserve"> </v>
      </c>
      <c r="BD155" s="33" t="str">
        <f>IF(OR(ISBLANK(BB155), ISBLANK(BC155)),"",CONCATENATE(" ",VLOOKUP(BC155,Literatuur!$A:$B,2,FALSE)," "))</f>
        <v/>
      </c>
      <c r="BF155" s="44" t="str">
        <f t="shared" si="106"/>
        <v xml:space="preserve"> </v>
      </c>
      <c r="BG155" s="33" t="str">
        <f>IF(OR(ISBLANK(BE155), ISBLANK(BF155)),"",CONCATENATE(" ",VLOOKUP(BF155,Literatuur!$A:$B,2,FALSE)," "))</f>
        <v/>
      </c>
      <c r="BI155" s="44" t="str">
        <f t="shared" si="107"/>
        <v xml:space="preserve"> </v>
      </c>
      <c r="BJ155" s="33" t="str">
        <f>IF(OR(ISBLANK(BH155), ISBLANK(BI155)),"",CONCATENATE(" ",VLOOKUP(BI155,Literatuur!$A:$B,2,FALSE)," "))</f>
        <v/>
      </c>
      <c r="BL155" s="44" t="str">
        <f t="shared" si="108"/>
        <v xml:space="preserve"> </v>
      </c>
      <c r="BM155" s="33" t="str">
        <f>IF(OR(ISBLANK(BK155), ISBLANK(BL155)),"",CONCATENATE(" ",VLOOKUP(BL155,Literatuur!$A:$B,2,FALSE)," "))</f>
        <v/>
      </c>
      <c r="BP155" s="33" t="str">
        <f>IF(OR(ISBLANK(BN155), ISBLANK(BO155)),"",CONCATENATE(" ",VLOOKUP(BO155,Literatuur!$A:$B,2,FALSE)," "))</f>
        <v/>
      </c>
      <c r="BS155" s="33" t="str">
        <f>IF(OR(ISBLANK(BQ155), ISBLANK(BR155)),"",CONCATENATE(" ",VLOOKUP(BR155,Literatuur!$A:$B,2,FALSE)," "))</f>
        <v/>
      </c>
      <c r="BU155" s="33" t="s">
        <v>2066</v>
      </c>
      <c r="BV155" s="33" t="str">
        <f>IF(OR(ISBLANK(BT155), ISBLANK(BU155)),"",CONCATENATE(" ",VLOOKUP(BU155,Literatuur!$A:$B,2,FALSE)," "))</f>
        <v/>
      </c>
      <c r="CB155" s="33" t="s">
        <v>2066</v>
      </c>
      <c r="CE155" s="37">
        <f t="shared" si="118"/>
        <v>176</v>
      </c>
      <c r="CR155" s="33" t="str">
        <f t="shared" si="109"/>
        <v>d10-fluorene</v>
      </c>
      <c r="CS155" s="33" t="str">
        <f t="shared" si="110"/>
        <v>PAK</v>
      </c>
      <c r="CT155" s="33">
        <f t="shared" si="111"/>
        <v>176</v>
      </c>
      <c r="CU155" s="33" t="str">
        <f t="shared" si="112"/>
        <v xml:space="preserve"> 8 </v>
      </c>
      <c r="CV155" s="33" t="str">
        <f t="shared" si="113"/>
        <v/>
      </c>
      <c r="CW155" s="33" t="str">
        <f t="shared" si="114"/>
        <v/>
      </c>
      <c r="CX155" s="33" t="str">
        <f t="shared" si="115"/>
        <v/>
      </c>
      <c r="CY155" s="33" t="str">
        <f t="shared" si="116"/>
        <v/>
      </c>
    </row>
    <row r="156" spans="2:103" x14ac:dyDescent="0.2">
      <c r="B156" s="33">
        <v>-1812</v>
      </c>
      <c r="C156" s="33" t="e">
        <f>VLOOKUP(B156,Lohman2011!$I$7:$U$28,2,FALSE)</f>
        <v>#N/A</v>
      </c>
      <c r="D156" s="105" t="s">
        <v>1943</v>
      </c>
      <c r="E156" s="105" t="s">
        <v>1943</v>
      </c>
      <c r="F156" s="34"/>
      <c r="G156" s="34"/>
      <c r="I156" s="94">
        <v>228.15</v>
      </c>
      <c r="J156" s="33">
        <f t="shared" si="117"/>
        <v>0.13896515350405772</v>
      </c>
      <c r="K156" s="93">
        <v>5.7799999999999994</v>
      </c>
      <c r="M156" s="33" t="s">
        <v>1550</v>
      </c>
      <c r="O156" s="33" t="s">
        <v>1946</v>
      </c>
      <c r="Q156" s="44" t="str">
        <f t="shared" si="96"/>
        <v xml:space="preserve"> </v>
      </c>
      <c r="R156" s="33" t="str">
        <f>IF(OR(ISBLANK(P156), ISBLANK(Q156)),"",CONCATENATE(" ",VLOOKUP(Q156,Literatuur!$A:$B,2,FALSE)," "))</f>
        <v/>
      </c>
      <c r="T156" s="44" t="str">
        <f t="shared" si="97"/>
        <v xml:space="preserve"> </v>
      </c>
      <c r="U156" s="33" t="str">
        <f>IF(OR(ISBLANK(S156), ISBLANK(T156)),"",CONCATENATE(" ",VLOOKUP(T156,Literatuur!$A:$B,2,FALSE)," "))</f>
        <v/>
      </c>
      <c r="W156" s="44" t="str">
        <f t="shared" si="98"/>
        <v xml:space="preserve"> </v>
      </c>
      <c r="X156" s="33" t="str">
        <f>IF(OR(ISBLANK(V156), ISBLANK(W156)),"",CONCATENATE(" ",VLOOKUP(W156,Literatuur!$A:$B,2,FALSE)," "))</f>
        <v/>
      </c>
      <c r="Z156" s="44" t="str">
        <f t="shared" si="99"/>
        <v xml:space="preserve"> </v>
      </c>
      <c r="AA156" s="33" t="str">
        <f>IF(OR(ISBLANK(Y156), ISBLANK(Z156)),"",CONCATENATE(" ",VLOOKUP(Z156,Literatuur!$A:$B,2,FALSE)," "))</f>
        <v/>
      </c>
      <c r="AC156" s="186" t="str">
        <f t="shared" si="100"/>
        <v xml:space="preserve"> </v>
      </c>
      <c r="AD156" s="33" t="str">
        <f>IF(OR(ISBLANK(AB156), ISBLANK(AC156)),"",CONCATENATE(" ",VLOOKUP(AC156,Literatuur!$A:$B,2,FALSE)," "))</f>
        <v/>
      </c>
      <c r="AE156" s="39">
        <v>0.13896515350405772</v>
      </c>
      <c r="AF156" s="33" t="s">
        <v>1557</v>
      </c>
      <c r="AG156" s="33" t="str">
        <f>IF(OR(ISBLANK(AE156), ISBLANK(AF156)),"",CONCATENATE(" ",VLOOKUP(AF156,Literatuur!$A:$B,2,FALSE)," "))</f>
        <v xml:space="preserve"> 17 </v>
      </c>
      <c r="AJ156" s="44" t="str">
        <f t="shared" si="101"/>
        <v xml:space="preserve"> </v>
      </c>
      <c r="AK156" s="33" t="str">
        <f>IF(OR(ISBLANK(AI156), ISBLANK(AJ156)),"",CONCATENATE(" ",VLOOKUP(AJ156,Literatuur!$A:$B,2,FALSE)," "))</f>
        <v/>
      </c>
      <c r="AM156" s="44" t="str">
        <f t="shared" si="102"/>
        <v xml:space="preserve"> </v>
      </c>
      <c r="AN156" s="33" t="str">
        <f>IF(OR(ISBLANK(AL156), ISBLANK(AM156)),"",CONCATENATE(" ",VLOOKUP(AM156,Literatuur!$A:$B,2,FALSE)," "))</f>
        <v/>
      </c>
      <c r="AP156" s="44" t="str">
        <f t="shared" si="103"/>
        <v xml:space="preserve"> </v>
      </c>
      <c r="AQ156" s="33" t="str">
        <f>IF(OR(ISBLANK(AO156), ISBLANK(AP156)),"",CONCATENATE(" ",VLOOKUP(AP156,Literatuur!$A:$B,2,FALSE)," "))</f>
        <v/>
      </c>
      <c r="AR156" s="33">
        <v>228.3</v>
      </c>
      <c r="AS156" s="33" t="s">
        <v>1557</v>
      </c>
      <c r="AT156" s="33" t="str">
        <f>IF(OR(ISBLANK(AR156), ISBLANK(AS156)),"",CONCATENATE(" ",VLOOKUP(AS156,Literatuur!$A:$B,2,FALSE)," "))</f>
        <v xml:space="preserve"> 17 </v>
      </c>
      <c r="AU156" s="33">
        <v>228</v>
      </c>
      <c r="AV156" s="33" t="s">
        <v>2066</v>
      </c>
      <c r="AW156" s="33" t="str">
        <f>IF(OR(ISBLANK(AU156), ISBLANK(AV156)),"",CONCATENATE(" ",VLOOKUP(AV156,Literatuur!$A:$B,2,FALSE)," "))</f>
        <v xml:space="preserve"> 8 </v>
      </c>
      <c r="AZ156" s="44" t="str">
        <f t="shared" si="104"/>
        <v xml:space="preserve"> </v>
      </c>
      <c r="BA156" s="33" t="str">
        <f>IF(OR(ISBLANK(AY156), ISBLANK(AZ156)),"",CONCATENATE(" ",VLOOKUP(AZ156,Literatuur!$A:$B,2,FALSE)," "))</f>
        <v/>
      </c>
      <c r="BC156" s="44" t="str">
        <f t="shared" si="105"/>
        <v xml:space="preserve"> </v>
      </c>
      <c r="BD156" s="33" t="str">
        <f>IF(OR(ISBLANK(BB156), ISBLANK(BC156)),"",CONCATENATE(" ",VLOOKUP(BC156,Literatuur!$A:$B,2,FALSE)," "))</f>
        <v/>
      </c>
      <c r="BF156" s="44" t="str">
        <f t="shared" si="106"/>
        <v xml:space="preserve"> </v>
      </c>
      <c r="BG156" s="33" t="str">
        <f>IF(OR(ISBLANK(BE156), ISBLANK(BF156)),"",CONCATENATE(" ",VLOOKUP(BF156,Literatuur!$A:$B,2,FALSE)," "))</f>
        <v/>
      </c>
      <c r="BI156" s="44" t="str">
        <f t="shared" si="107"/>
        <v xml:space="preserve"> </v>
      </c>
      <c r="BJ156" s="33" t="str">
        <f>IF(OR(ISBLANK(BH156), ISBLANK(BI156)),"",CONCATENATE(" ",VLOOKUP(BI156,Literatuur!$A:$B,2,FALSE)," "))</f>
        <v/>
      </c>
      <c r="BL156" s="44" t="str">
        <f t="shared" si="108"/>
        <v xml:space="preserve"> </v>
      </c>
      <c r="BM156" s="33" t="str">
        <f>IF(OR(ISBLANK(BK156), ISBLANK(BL156)),"",CONCATENATE(" ",VLOOKUP(BL156,Literatuur!$A:$B,2,FALSE)," "))</f>
        <v/>
      </c>
      <c r="BN156" s="33">
        <v>5.8</v>
      </c>
      <c r="BO156" s="33" t="s">
        <v>1557</v>
      </c>
      <c r="BP156" s="33" t="str">
        <f>IF(OR(ISBLANK(BN156), ISBLANK(BO156)),"",CONCATENATE(" ",VLOOKUP(BO156,Literatuur!$A:$B,2,FALSE)," "))</f>
        <v xml:space="preserve"> 17 </v>
      </c>
      <c r="BS156" s="33" t="str">
        <f>IF(OR(ISBLANK(BQ156), ISBLANK(BR156)),"",CONCATENATE(" ",VLOOKUP(BR156,Literatuur!$A:$B,2,FALSE)," "))</f>
        <v/>
      </c>
      <c r="BT156" s="33">
        <v>5.76</v>
      </c>
      <c r="BU156" s="33" t="s">
        <v>2066</v>
      </c>
      <c r="BV156" s="33" t="str">
        <f>IF(OR(ISBLANK(BT156), ISBLANK(BU156)),"",CONCATENATE(" ",VLOOKUP(BU156,Literatuur!$A:$B,2,FALSE)," "))</f>
        <v xml:space="preserve"> 8 </v>
      </c>
      <c r="BX156" s="33">
        <v>195.1</v>
      </c>
      <c r="BY156" s="33">
        <v>194.7</v>
      </c>
      <c r="CA156" s="33" t="s">
        <v>1557</v>
      </c>
      <c r="CB156" s="33" t="s">
        <v>2066</v>
      </c>
      <c r="CD156" s="33">
        <f>L156</f>
        <v>0</v>
      </c>
      <c r="CE156" s="37">
        <f t="shared" si="118"/>
        <v>228.15</v>
      </c>
      <c r="CG156" s="33">
        <f>LOG(J156)</f>
        <v>-0.85709408850976543</v>
      </c>
      <c r="CH156" s="33">
        <f>K156</f>
        <v>5.7799999999999994</v>
      </c>
      <c r="CR156" s="33" t="str">
        <f t="shared" si="109"/>
        <v>d12-benz[a]anthracene</v>
      </c>
      <c r="CS156" s="33" t="str">
        <f t="shared" si="110"/>
        <v>PAK</v>
      </c>
      <c r="CT156" s="33">
        <f t="shared" si="111"/>
        <v>228.15</v>
      </c>
      <c r="CU156" s="33" t="str">
        <f t="shared" si="112"/>
        <v xml:space="preserve"> 17  8 </v>
      </c>
      <c r="CV156" s="33">
        <f t="shared" si="113"/>
        <v>0.13896515350405772</v>
      </c>
      <c r="CW156" s="33" t="str">
        <f t="shared" si="114"/>
        <v xml:space="preserve"> 17 </v>
      </c>
      <c r="CX156" s="33">
        <f t="shared" si="115"/>
        <v>5.7799999999999994</v>
      </c>
      <c r="CY156" s="33" t="str">
        <f t="shared" si="116"/>
        <v xml:space="preserve"> 17  8 </v>
      </c>
    </row>
    <row r="157" spans="2:103" x14ac:dyDescent="0.2">
      <c r="B157" s="33">
        <v>-1576</v>
      </c>
      <c r="C157" s="33" t="e">
        <f>VLOOKUP(B157,Lohman2011!$I$7:$U$28,2,FALSE)</f>
        <v>#N/A</v>
      </c>
      <c r="D157" s="105" t="s">
        <v>611</v>
      </c>
      <c r="E157" s="105" t="s">
        <v>611</v>
      </c>
      <c r="F157" s="34"/>
      <c r="G157" s="34"/>
      <c r="I157" s="33">
        <f t="shared" ref="I157:I163" si="120">IF(ISNUMBER(AI157),AI157,AVERAGE(AL157:AU157))</f>
        <v>264</v>
      </c>
      <c r="J157" s="33" t="e">
        <f t="shared" si="117"/>
        <v>#DIV/0!</v>
      </c>
      <c r="K157" s="44" t="e">
        <f t="shared" ref="K157:K188" si="121">IF(ISNUMBER(AY157),AY157,AVERAGE(BB157,BE157,BH157,BK157,BN157,BQ157,BT157))</f>
        <v>#DIV/0!</v>
      </c>
      <c r="L157" s="33" t="e">
        <f t="shared" ref="L157:L188" si="122">AVERAGE(BX157:BY157)</f>
        <v>#DIV/0!</v>
      </c>
      <c r="M157" s="33" t="s">
        <v>1550</v>
      </c>
      <c r="Q157" s="44" t="str">
        <f t="shared" si="96"/>
        <v xml:space="preserve"> </v>
      </c>
      <c r="R157" s="33" t="str">
        <f>IF(OR(ISBLANK(P157), ISBLANK(Q157)),"",CONCATENATE(" ",VLOOKUP(Q157,Literatuur!$A:$B,2,FALSE)," "))</f>
        <v/>
      </c>
      <c r="T157" s="44" t="str">
        <f t="shared" si="97"/>
        <v xml:space="preserve"> </v>
      </c>
      <c r="U157" s="33" t="str">
        <f>IF(OR(ISBLANK(S157), ISBLANK(T157)),"",CONCATENATE(" ",VLOOKUP(T157,Literatuur!$A:$B,2,FALSE)," "))</f>
        <v/>
      </c>
      <c r="W157" s="44" t="str">
        <f t="shared" si="98"/>
        <v xml:space="preserve"> </v>
      </c>
      <c r="X157" s="33" t="str">
        <f>IF(OR(ISBLANK(V157), ISBLANK(W157)),"",CONCATENATE(" ",VLOOKUP(W157,Literatuur!$A:$B,2,FALSE)," "))</f>
        <v/>
      </c>
      <c r="Z157" s="44" t="str">
        <f t="shared" si="99"/>
        <v xml:space="preserve"> </v>
      </c>
      <c r="AA157" s="33" t="str">
        <f>IF(OR(ISBLANK(Y157), ISBLANK(Z157)),"",CONCATENATE(" ",VLOOKUP(Z157,Literatuur!$A:$B,2,FALSE)," "))</f>
        <v/>
      </c>
      <c r="AC157" s="186" t="str">
        <f t="shared" si="100"/>
        <v xml:space="preserve"> </v>
      </c>
      <c r="AD157" s="33" t="str">
        <f>IF(OR(ISBLANK(AB157), ISBLANK(AC157)),"",CONCATENATE(" ",VLOOKUP(AC157,Literatuur!$A:$B,2,FALSE)," "))</f>
        <v/>
      </c>
      <c r="AG157" s="33" t="str">
        <f>IF(OR(ISBLANK(AE157), ISBLANK(AF157)),"",CONCATENATE(" ",VLOOKUP(AF157,Literatuur!$A:$B,2,FALSE)," "))</f>
        <v/>
      </c>
      <c r="AJ157" s="44" t="str">
        <f t="shared" si="101"/>
        <v xml:space="preserve"> </v>
      </c>
      <c r="AK157" s="33" t="str">
        <f>IF(OR(ISBLANK(AI157), ISBLANK(AJ157)),"",CONCATENATE(" ",VLOOKUP(AJ157,Literatuur!$A:$B,2,FALSE)," "))</f>
        <v/>
      </c>
      <c r="AM157" s="44" t="str">
        <f t="shared" si="102"/>
        <v xml:space="preserve"> </v>
      </c>
      <c r="AN157" s="33" t="str">
        <f>IF(OR(ISBLANK(AL157), ISBLANK(AM157)),"",CONCATENATE(" ",VLOOKUP(AM157,Literatuur!$A:$B,2,FALSE)," "))</f>
        <v/>
      </c>
      <c r="AP157" s="44" t="str">
        <f t="shared" si="103"/>
        <v xml:space="preserve"> </v>
      </c>
      <c r="AQ157" s="33" t="str">
        <f>IF(OR(ISBLANK(AO157), ISBLANK(AP157)),"",CONCATENATE(" ",VLOOKUP(AP157,Literatuur!$A:$B,2,FALSE)," "))</f>
        <v/>
      </c>
      <c r="AT157" s="33" t="str">
        <f>IF(OR(ISBLANK(AR157), ISBLANK(AS157)),"",CONCATENATE(" ",VLOOKUP(AS157,Literatuur!$A:$B,2,FALSE)," "))</f>
        <v/>
      </c>
      <c r="AU157" s="33">
        <v>264</v>
      </c>
      <c r="AV157" s="33" t="s">
        <v>2066</v>
      </c>
      <c r="AW157" s="33" t="str">
        <f>IF(OR(ISBLANK(AU157), ISBLANK(AV157)),"",CONCATENATE(" ",VLOOKUP(AV157,Literatuur!$A:$B,2,FALSE)," "))</f>
        <v xml:space="preserve"> 8 </v>
      </c>
      <c r="AZ157" s="44" t="str">
        <f t="shared" si="104"/>
        <v xml:space="preserve"> </v>
      </c>
      <c r="BA157" s="33" t="str">
        <f>IF(OR(ISBLANK(AY157), ISBLANK(AZ157)),"",CONCATENATE(" ",VLOOKUP(AZ157,Literatuur!$A:$B,2,FALSE)," "))</f>
        <v/>
      </c>
      <c r="BC157" s="44" t="str">
        <f t="shared" si="105"/>
        <v xml:space="preserve"> </v>
      </c>
      <c r="BD157" s="33" t="str">
        <f>IF(OR(ISBLANK(BB157), ISBLANK(BC157)),"",CONCATENATE(" ",VLOOKUP(BC157,Literatuur!$A:$B,2,FALSE)," "))</f>
        <v/>
      </c>
      <c r="BF157" s="44" t="str">
        <f t="shared" si="106"/>
        <v xml:space="preserve"> </v>
      </c>
      <c r="BG157" s="33" t="str">
        <f>IF(OR(ISBLANK(BE157), ISBLANK(BF157)),"",CONCATENATE(" ",VLOOKUP(BF157,Literatuur!$A:$B,2,FALSE)," "))</f>
        <v/>
      </c>
      <c r="BI157" s="44" t="str">
        <f t="shared" si="107"/>
        <v xml:space="preserve"> </v>
      </c>
      <c r="BJ157" s="33" t="str">
        <f>IF(OR(ISBLANK(BH157), ISBLANK(BI157)),"",CONCATENATE(" ",VLOOKUP(BI157,Literatuur!$A:$B,2,FALSE)," "))</f>
        <v/>
      </c>
      <c r="BL157" s="44" t="str">
        <f t="shared" si="108"/>
        <v xml:space="preserve"> </v>
      </c>
      <c r="BM157" s="33" t="str">
        <f>IF(OR(ISBLANK(BK157), ISBLANK(BL157)),"",CONCATENATE(" ",VLOOKUP(BL157,Literatuur!$A:$B,2,FALSE)," "))</f>
        <v/>
      </c>
      <c r="BP157" s="33" t="str">
        <f>IF(OR(ISBLANK(BN157), ISBLANK(BO157)),"",CONCATENATE(" ",VLOOKUP(BO157,Literatuur!$A:$B,2,FALSE)," "))</f>
        <v/>
      </c>
      <c r="BS157" s="33" t="str">
        <f>IF(OR(ISBLANK(BQ157), ISBLANK(BR157)),"",CONCATENATE(" ",VLOOKUP(BR157,Literatuur!$A:$B,2,FALSE)," "))</f>
        <v/>
      </c>
      <c r="BU157" s="33" t="s">
        <v>2066</v>
      </c>
      <c r="BV157" s="33" t="str">
        <f>IF(OR(ISBLANK(BT157), ISBLANK(BU157)),"",CONCATENATE(" ",VLOOKUP(BU157,Literatuur!$A:$B,2,FALSE)," "))</f>
        <v/>
      </c>
      <c r="CB157" s="33" t="s">
        <v>2066</v>
      </c>
      <c r="CE157" s="37">
        <f t="shared" si="118"/>
        <v>264</v>
      </c>
      <c r="CR157" s="33" t="str">
        <f t="shared" si="109"/>
        <v>d12-perylene</v>
      </c>
      <c r="CS157" s="33" t="str">
        <f t="shared" si="110"/>
        <v>PAK</v>
      </c>
      <c r="CT157" s="33">
        <f t="shared" si="111"/>
        <v>264</v>
      </c>
      <c r="CU157" s="33" t="str">
        <f t="shared" si="112"/>
        <v xml:space="preserve"> 8 </v>
      </c>
      <c r="CV157" s="33" t="str">
        <f t="shared" si="113"/>
        <v/>
      </c>
      <c r="CW157" s="33" t="str">
        <f t="shared" si="114"/>
        <v/>
      </c>
      <c r="CX157" s="33" t="str">
        <f t="shared" si="115"/>
        <v/>
      </c>
      <c r="CY157" s="33" t="str">
        <f t="shared" si="116"/>
        <v/>
      </c>
    </row>
    <row r="158" spans="2:103" x14ac:dyDescent="0.2">
      <c r="B158" s="33">
        <v>-1551</v>
      </c>
      <c r="C158" s="33" t="e">
        <f>VLOOKUP(B158,Lohman2011!$I$7:$U$28,2,FALSE)</f>
        <v>#N/A</v>
      </c>
      <c r="D158" s="105" t="s">
        <v>575</v>
      </c>
      <c r="E158" s="105" t="s">
        <v>575</v>
      </c>
      <c r="F158" s="34"/>
      <c r="G158" s="34"/>
      <c r="I158" s="33">
        <f t="shared" si="120"/>
        <v>278</v>
      </c>
      <c r="J158" s="33" t="e">
        <f t="shared" si="117"/>
        <v>#DIV/0!</v>
      </c>
      <c r="K158" s="44">
        <f t="shared" si="121"/>
        <v>6.8</v>
      </c>
      <c r="L158" s="33">
        <f t="shared" si="122"/>
        <v>243.8</v>
      </c>
      <c r="M158" s="33" t="s">
        <v>1550</v>
      </c>
      <c r="Q158" s="44" t="str">
        <f t="shared" si="96"/>
        <v xml:space="preserve"> </v>
      </c>
      <c r="R158" s="33" t="str">
        <f>IF(OR(ISBLANK(P158), ISBLANK(Q158)),"",CONCATENATE(" ",VLOOKUP(Q158,Literatuur!$A:$B,2,FALSE)," "))</f>
        <v/>
      </c>
      <c r="T158" s="44" t="str">
        <f t="shared" si="97"/>
        <v xml:space="preserve"> </v>
      </c>
      <c r="U158" s="33" t="str">
        <f>IF(OR(ISBLANK(S158), ISBLANK(T158)),"",CONCATENATE(" ",VLOOKUP(T158,Literatuur!$A:$B,2,FALSE)," "))</f>
        <v/>
      </c>
      <c r="W158" s="44" t="str">
        <f t="shared" si="98"/>
        <v xml:space="preserve"> </v>
      </c>
      <c r="X158" s="33" t="str">
        <f>IF(OR(ISBLANK(V158), ISBLANK(W158)),"",CONCATENATE(" ",VLOOKUP(W158,Literatuur!$A:$B,2,FALSE)," "))</f>
        <v/>
      </c>
      <c r="Z158" s="44" t="str">
        <f t="shared" si="99"/>
        <v xml:space="preserve"> </v>
      </c>
      <c r="AA158" s="33" t="str">
        <f>IF(OR(ISBLANK(Y158), ISBLANK(Z158)),"",CONCATENATE(" ",VLOOKUP(Z158,Literatuur!$A:$B,2,FALSE)," "))</f>
        <v/>
      </c>
      <c r="AC158" s="186" t="str">
        <f t="shared" si="100"/>
        <v xml:space="preserve"> </v>
      </c>
      <c r="AD158" s="33" t="str">
        <f>IF(OR(ISBLANK(AB158), ISBLANK(AC158)),"",CONCATENATE(" ",VLOOKUP(AC158,Literatuur!$A:$B,2,FALSE)," "))</f>
        <v/>
      </c>
      <c r="AG158" s="33" t="str">
        <f>IF(OR(ISBLANK(AE158), ISBLANK(AF158)),"",CONCATENATE(" ",VLOOKUP(AF158,Literatuur!$A:$B,2,FALSE)," "))</f>
        <v/>
      </c>
      <c r="AJ158" s="44" t="str">
        <f t="shared" si="101"/>
        <v xml:space="preserve"> </v>
      </c>
      <c r="AK158" s="33" t="str">
        <f>IF(OR(ISBLANK(AI158), ISBLANK(AJ158)),"",CONCATENATE(" ",VLOOKUP(AJ158,Literatuur!$A:$B,2,FALSE)," "))</f>
        <v/>
      </c>
      <c r="AM158" s="44" t="str">
        <f t="shared" si="102"/>
        <v xml:space="preserve"> </v>
      </c>
      <c r="AN158" s="33" t="str">
        <f>IF(OR(ISBLANK(AL158), ISBLANK(AM158)),"",CONCATENATE(" ",VLOOKUP(AM158,Literatuur!$A:$B,2,FALSE)," "))</f>
        <v/>
      </c>
      <c r="AP158" s="44" t="str">
        <f t="shared" si="103"/>
        <v xml:space="preserve"> </v>
      </c>
      <c r="AQ158" s="33" t="str">
        <f>IF(OR(ISBLANK(AO158), ISBLANK(AP158)),"",CONCATENATE(" ",VLOOKUP(AP158,Literatuur!$A:$B,2,FALSE)," "))</f>
        <v/>
      </c>
      <c r="AT158" s="33" t="str">
        <f>IF(OR(ISBLANK(AR158), ISBLANK(AS158)),"",CONCATENATE(" ",VLOOKUP(AS158,Literatuur!$A:$B,2,FALSE)," "))</f>
        <v/>
      </c>
      <c r="AU158" s="33">
        <v>278</v>
      </c>
      <c r="AV158" s="33" t="s">
        <v>2066</v>
      </c>
      <c r="AW158" s="33" t="str">
        <f>IF(OR(ISBLANK(AU158), ISBLANK(AV158)),"",CONCATENATE(" ",VLOOKUP(AV158,Literatuur!$A:$B,2,FALSE)," "))</f>
        <v xml:space="preserve"> 8 </v>
      </c>
      <c r="AZ158" s="44" t="str">
        <f t="shared" si="104"/>
        <v xml:space="preserve"> </v>
      </c>
      <c r="BA158" s="33" t="str">
        <f>IF(OR(ISBLANK(AY158), ISBLANK(AZ158)),"",CONCATENATE(" ",VLOOKUP(AZ158,Literatuur!$A:$B,2,FALSE)," "))</f>
        <v/>
      </c>
      <c r="BC158" s="44" t="str">
        <f t="shared" si="105"/>
        <v xml:space="preserve"> </v>
      </c>
      <c r="BD158" s="33" t="str">
        <f>IF(OR(ISBLANK(BB158), ISBLANK(BC158)),"",CONCATENATE(" ",VLOOKUP(BC158,Literatuur!$A:$B,2,FALSE)," "))</f>
        <v/>
      </c>
      <c r="BF158" s="44" t="str">
        <f t="shared" si="106"/>
        <v xml:space="preserve"> </v>
      </c>
      <c r="BG158" s="33" t="str">
        <f>IF(OR(ISBLANK(BE158), ISBLANK(BF158)),"",CONCATENATE(" ",VLOOKUP(BF158,Literatuur!$A:$B,2,FALSE)," "))</f>
        <v/>
      </c>
      <c r="BI158" s="44" t="str">
        <f t="shared" si="107"/>
        <v xml:space="preserve"> </v>
      </c>
      <c r="BJ158" s="33" t="str">
        <f>IF(OR(ISBLANK(BH158), ISBLANK(BI158)),"",CONCATENATE(" ",VLOOKUP(BI158,Literatuur!$A:$B,2,FALSE)," "))</f>
        <v/>
      </c>
      <c r="BL158" s="44" t="str">
        <f t="shared" si="108"/>
        <v xml:space="preserve"> </v>
      </c>
      <c r="BM158" s="33" t="str">
        <f>IF(OR(ISBLANK(BK158), ISBLANK(BL158)),"",CONCATENATE(" ",VLOOKUP(BL158,Literatuur!$A:$B,2,FALSE)," "))</f>
        <v/>
      </c>
      <c r="BP158" s="33" t="str">
        <f>IF(OR(ISBLANK(BN158), ISBLANK(BO158)),"",CONCATENATE(" ",VLOOKUP(BO158,Literatuur!$A:$B,2,FALSE)," "))</f>
        <v/>
      </c>
      <c r="BS158" s="33" t="str">
        <f>IF(OR(ISBLANK(BQ158), ISBLANK(BR158)),"",CONCATENATE(" ",VLOOKUP(BR158,Literatuur!$A:$B,2,FALSE)," "))</f>
        <v/>
      </c>
      <c r="BT158" s="33">
        <v>6.8</v>
      </c>
      <c r="BU158" s="33" t="s">
        <v>2066</v>
      </c>
      <c r="BV158" s="33" t="str">
        <f>IF(OR(ISBLANK(BT158), ISBLANK(BU158)),"",CONCATENATE(" ",VLOOKUP(BU158,Literatuur!$A:$B,2,FALSE)," "))</f>
        <v xml:space="preserve"> 8 </v>
      </c>
      <c r="BY158" s="33">
        <v>243.8</v>
      </c>
      <c r="CB158" s="33" t="s">
        <v>2066</v>
      </c>
      <c r="CD158" s="33">
        <f>L158</f>
        <v>243.8</v>
      </c>
      <c r="CE158" s="37">
        <f t="shared" si="118"/>
        <v>278</v>
      </c>
      <c r="CH158" s="33">
        <f>K158</f>
        <v>6.8</v>
      </c>
      <c r="CR158" s="33" t="str">
        <f t="shared" si="109"/>
        <v>dibenz[ah]anthracene</v>
      </c>
      <c r="CS158" s="33" t="str">
        <f t="shared" si="110"/>
        <v>PAK</v>
      </c>
      <c r="CT158" s="33">
        <f t="shared" si="111"/>
        <v>278</v>
      </c>
      <c r="CU158" s="33" t="str">
        <f t="shared" si="112"/>
        <v xml:space="preserve"> 8 </v>
      </c>
      <c r="CV158" s="33" t="str">
        <f t="shared" si="113"/>
        <v/>
      </c>
      <c r="CW158" s="33" t="str">
        <f t="shared" si="114"/>
        <v/>
      </c>
      <c r="CX158" s="33">
        <f t="shared" si="115"/>
        <v>6.8</v>
      </c>
      <c r="CY158" s="33" t="str">
        <f t="shared" si="116"/>
        <v xml:space="preserve"> 8 </v>
      </c>
    </row>
    <row r="159" spans="2:103" x14ac:dyDescent="0.2">
      <c r="B159">
        <v>-1792</v>
      </c>
      <c r="D159" s="4" t="s">
        <v>1684</v>
      </c>
      <c r="E159" s="33" t="s">
        <v>1684</v>
      </c>
      <c r="I159" s="33">
        <f t="shared" si="120"/>
        <v>278.3</v>
      </c>
      <c r="J159" s="33" t="e">
        <f t="shared" si="117"/>
        <v>#DIV/0!</v>
      </c>
      <c r="K159" s="44" t="e">
        <f t="shared" si="121"/>
        <v>#DIV/0!</v>
      </c>
      <c r="L159" s="33">
        <f t="shared" si="122"/>
        <v>244.2</v>
      </c>
      <c r="M159" s="33" t="s">
        <v>1550</v>
      </c>
      <c r="Q159" s="44" t="str">
        <f t="shared" si="96"/>
        <v xml:space="preserve"> </v>
      </c>
      <c r="R159" s="33" t="str">
        <f>IF(OR(ISBLANK(P159), ISBLANK(Q159)),"",CONCATENATE(" ",VLOOKUP(Q159,Literatuur!$A:$B,2,FALSE)," "))</f>
        <v/>
      </c>
      <c r="T159" s="44" t="str">
        <f t="shared" si="97"/>
        <v xml:space="preserve"> </v>
      </c>
      <c r="U159" s="33" t="str">
        <f>IF(OR(ISBLANK(S159), ISBLANK(T159)),"",CONCATENATE(" ",VLOOKUP(T159,Literatuur!$A:$B,2,FALSE)," "))</f>
        <v/>
      </c>
      <c r="W159" s="44" t="str">
        <f t="shared" si="98"/>
        <v xml:space="preserve"> </v>
      </c>
      <c r="X159" s="33" t="str">
        <f>IF(OR(ISBLANK(V159), ISBLANK(W159)),"",CONCATENATE(" ",VLOOKUP(W159,Literatuur!$A:$B,2,FALSE)," "))</f>
        <v/>
      </c>
      <c r="Z159" s="44" t="str">
        <f t="shared" si="99"/>
        <v xml:space="preserve"> </v>
      </c>
      <c r="AA159" s="33" t="str">
        <f>IF(OR(ISBLANK(Y159), ISBLANK(Z159)),"",CONCATENATE(" ",VLOOKUP(Z159,Literatuur!$A:$B,2,FALSE)," "))</f>
        <v/>
      </c>
      <c r="AC159" s="36" t="str">
        <f t="shared" si="100"/>
        <v xml:space="preserve"> </v>
      </c>
      <c r="AD159" s="33" t="str">
        <f>IF(OR(ISBLANK(AB159), ISBLANK(AC159)),"",CONCATENATE(" ",VLOOKUP(AC159,Literatuur!$A:$B,2,FALSE)," "))</f>
        <v/>
      </c>
      <c r="AG159" s="33" t="str">
        <f>IF(OR(ISBLANK(AE159), ISBLANK(AF159)),"",CONCATENATE(" ",VLOOKUP(AF159,Literatuur!$A:$B,2,FALSE)," "))</f>
        <v/>
      </c>
      <c r="AJ159" s="44" t="str">
        <f t="shared" si="101"/>
        <v xml:space="preserve"> </v>
      </c>
      <c r="AK159" s="33" t="str">
        <f>IF(OR(ISBLANK(AI159), ISBLANK(AJ159)),"",CONCATENATE(" ",VLOOKUP(AJ159,Literatuur!$A:$B,2,FALSE)," "))</f>
        <v/>
      </c>
      <c r="AM159" s="44" t="str">
        <f t="shared" si="102"/>
        <v xml:space="preserve"> </v>
      </c>
      <c r="AN159" s="33" t="str">
        <f>IF(OR(ISBLANK(AL159), ISBLANK(AM159)),"",CONCATENATE(" ",VLOOKUP(AM159,Literatuur!$A:$B,2,FALSE)," "))</f>
        <v/>
      </c>
      <c r="AP159" s="44" t="str">
        <f t="shared" si="103"/>
        <v xml:space="preserve"> </v>
      </c>
      <c r="AQ159" s="33" t="str">
        <f>IF(OR(ISBLANK(AO159), ISBLANK(AP159)),"",CONCATENATE(" ",VLOOKUP(AP159,Literatuur!$A:$B,2,FALSE)," "))</f>
        <v/>
      </c>
      <c r="AT159" s="33" t="str">
        <f>IF(OR(ISBLANK(AR159), ISBLANK(AS159)),"",CONCATENATE(" ",VLOOKUP(AS159,Literatuur!$A:$B,2,FALSE)," "))</f>
        <v/>
      </c>
      <c r="AU159" s="33">
        <v>278.3</v>
      </c>
      <c r="AV159" s="33" t="s">
        <v>1557</v>
      </c>
      <c r="AW159" s="33" t="str">
        <f>IF(OR(ISBLANK(AU159), ISBLANK(AV159)),"",CONCATENATE(" ",VLOOKUP(AV159,Literatuur!$A:$B,2,FALSE)," "))</f>
        <v xml:space="preserve"> 17 </v>
      </c>
      <c r="AZ159" s="44" t="str">
        <f t="shared" si="104"/>
        <v xml:space="preserve"> </v>
      </c>
      <c r="BA159" s="33" t="str">
        <f>IF(OR(ISBLANK(AY159), ISBLANK(AZ159)),"",CONCATENATE(" ",VLOOKUP(AZ159,Literatuur!$A:$B,2,FALSE)," "))</f>
        <v/>
      </c>
      <c r="BC159" s="44" t="str">
        <f t="shared" si="105"/>
        <v xml:space="preserve"> </v>
      </c>
      <c r="BD159" s="33" t="str">
        <f>IF(OR(ISBLANK(BB159), ISBLANK(BC159)),"",CONCATENATE(" ",VLOOKUP(BC159,Literatuur!$A:$B,2,FALSE)," "))</f>
        <v/>
      </c>
      <c r="BF159" s="44" t="str">
        <f t="shared" si="106"/>
        <v xml:space="preserve"> </v>
      </c>
      <c r="BG159" s="33" t="str">
        <f>IF(OR(ISBLANK(BE159), ISBLANK(BF159)),"",CONCATENATE(" ",VLOOKUP(BF159,Literatuur!$A:$B,2,FALSE)," "))</f>
        <v/>
      </c>
      <c r="BI159" s="44" t="str">
        <f t="shared" si="107"/>
        <v xml:space="preserve"> </v>
      </c>
      <c r="BJ159" s="33" t="str">
        <f>IF(OR(ISBLANK(BH159), ISBLANK(BI159)),"",CONCATENATE(" ",VLOOKUP(BI159,Literatuur!$A:$B,2,FALSE)," "))</f>
        <v/>
      </c>
      <c r="BL159" s="44" t="str">
        <f t="shared" si="108"/>
        <v xml:space="preserve"> </v>
      </c>
      <c r="BM159" s="33" t="str">
        <f>IF(OR(ISBLANK(BK159), ISBLANK(BL159)),"",CONCATENATE(" ",VLOOKUP(BL159,Literatuur!$A:$B,2,FALSE)," "))</f>
        <v/>
      </c>
      <c r="BP159" s="33" t="str">
        <f>IF(OR(ISBLANK(BN159), ISBLANK(BO159)),"",CONCATENATE(" ",VLOOKUP(BO159,Literatuur!$A:$B,2,FALSE)," "))</f>
        <v/>
      </c>
      <c r="BS159" s="33" t="str">
        <f>IF(OR(ISBLANK(BQ159), ISBLANK(BR159)),"",CONCATENATE(" ",VLOOKUP(BR159,Literatuur!$A:$B,2,FALSE)," "))</f>
        <v/>
      </c>
      <c r="BV159" s="33" t="str">
        <f>IF(OR(ISBLANK(BT159), ISBLANK(BU159)),"",CONCATENATE(" ",VLOOKUP(BU159,Literatuur!$A:$B,2,FALSE)," "))</f>
        <v/>
      </c>
      <c r="BX159" s="33">
        <v>244.2</v>
      </c>
      <c r="CB159" s="33" t="s">
        <v>1557</v>
      </c>
      <c r="CD159" s="33">
        <f>L159</f>
        <v>244.2</v>
      </c>
      <c r="CR159" s="33" t="str">
        <f t="shared" si="109"/>
        <v>dibenzo(a,h)anthracene</v>
      </c>
      <c r="CS159" s="33" t="str">
        <f t="shared" si="110"/>
        <v>PAK</v>
      </c>
      <c r="CT159" s="33">
        <f t="shared" si="111"/>
        <v>278.3</v>
      </c>
      <c r="CU159" s="33" t="str">
        <f t="shared" si="112"/>
        <v xml:space="preserve"> 17 </v>
      </c>
      <c r="CV159" s="33" t="str">
        <f t="shared" si="113"/>
        <v/>
      </c>
      <c r="CW159" s="33" t="str">
        <f t="shared" si="114"/>
        <v/>
      </c>
      <c r="CX159" s="33" t="str">
        <f t="shared" si="115"/>
        <v/>
      </c>
      <c r="CY159" s="33" t="str">
        <f t="shared" si="116"/>
        <v/>
      </c>
    </row>
    <row r="160" spans="2:103" ht="12.75" customHeight="1" x14ac:dyDescent="0.25">
      <c r="B160" s="33">
        <v>305</v>
      </c>
      <c r="D160" s="33" t="s">
        <v>105</v>
      </c>
      <c r="E160" s="33" t="s">
        <v>1258</v>
      </c>
      <c r="H160" s="34" t="s">
        <v>15</v>
      </c>
      <c r="I160" s="37">
        <f t="shared" si="120"/>
        <v>178.21</v>
      </c>
      <c r="J160" s="33">
        <f t="shared" si="117"/>
        <v>0.85</v>
      </c>
      <c r="K160" s="44">
        <f t="shared" si="121"/>
        <v>4.47</v>
      </c>
      <c r="L160" s="33" t="e">
        <f t="shared" si="122"/>
        <v>#DIV/0!</v>
      </c>
      <c r="M160" s="33" t="s">
        <v>1550</v>
      </c>
      <c r="P160" s="33">
        <v>0.85</v>
      </c>
      <c r="Q160" s="44" t="str">
        <f t="shared" si="96"/>
        <v>Sanscrit</v>
      </c>
      <c r="R160" s="33" t="str">
        <f>IF(OR(ISBLANK(P160), ISBLANK(Q160)),"",CONCATENATE(" ",VLOOKUP(Q160,Literatuur!$A:$B,2,FALSE)," "))</f>
        <v xml:space="preserve"> D </v>
      </c>
      <c r="T160" s="44" t="str">
        <f t="shared" si="97"/>
        <v xml:space="preserve"> </v>
      </c>
      <c r="U160" s="33" t="str">
        <f>IF(OR(ISBLANK(S160), ISBLANK(T160)),"",CONCATENATE(" ",VLOOKUP(T160,Literatuur!$A:$B,2,FALSE)," "))</f>
        <v/>
      </c>
      <c r="W160" s="44" t="str">
        <f t="shared" si="98"/>
        <v xml:space="preserve"> </v>
      </c>
      <c r="X160" s="33" t="str">
        <f>IF(OR(ISBLANK(V160), ISBLANK(W160)),"",CONCATENATE(" ",VLOOKUP(W160,Literatuur!$A:$B,2,FALSE)," "))</f>
        <v/>
      </c>
      <c r="Z160" s="44" t="str">
        <f t="shared" si="99"/>
        <v xml:space="preserve"> </v>
      </c>
      <c r="AA160" s="33" t="str">
        <f>IF(OR(ISBLANK(Y160), ISBLANK(Z160)),"",CONCATENATE(" ",VLOOKUP(Z160,Literatuur!$A:$B,2,FALSE)," "))</f>
        <v/>
      </c>
      <c r="AC160" s="36" t="str">
        <f t="shared" si="100"/>
        <v xml:space="preserve"> </v>
      </c>
      <c r="AD160" s="33" t="str">
        <f>IF(OR(ISBLANK(AB160), ISBLANK(AC160)),"",CONCATENATE(" ",VLOOKUP(AC160,Literatuur!$A:$B,2,FALSE)," "))</f>
        <v/>
      </c>
      <c r="AG160" s="33" t="str">
        <f>IF(OR(ISBLANK(AE160), ISBLANK(AF160)),"",CONCATENATE(" ",VLOOKUP(AF160,Literatuur!$A:$B,2,FALSE)," "))</f>
        <v/>
      </c>
      <c r="AI160" s="42">
        <v>178.21</v>
      </c>
      <c r="AJ160" s="44" t="str">
        <f t="shared" si="101"/>
        <v>Sanscrit</v>
      </c>
      <c r="AK160" s="33" t="str">
        <f>IF(OR(ISBLANK(AI160), ISBLANK(AJ160)),"",CONCATENATE(" ",VLOOKUP(AJ160,Literatuur!$A:$B,2,FALSE)," "))</f>
        <v xml:space="preserve"> D </v>
      </c>
      <c r="AM160" s="44" t="str">
        <f t="shared" si="102"/>
        <v xml:space="preserve"> </v>
      </c>
      <c r="AN160" s="33" t="str">
        <f>IF(OR(ISBLANK(AL160), ISBLANK(AM160)),"",CONCATENATE(" ",VLOOKUP(AM160,Literatuur!$A:$B,2,FALSE)," "))</f>
        <v/>
      </c>
      <c r="AP160" s="44" t="str">
        <f t="shared" si="103"/>
        <v xml:space="preserve"> </v>
      </c>
      <c r="AQ160" s="33" t="str">
        <f>IF(OR(ISBLANK(AO160), ISBLANK(AP160)),"",CONCATENATE(" ",VLOOKUP(AP160,Literatuur!$A:$B,2,FALSE)," "))</f>
        <v/>
      </c>
      <c r="AS160"/>
      <c r="AT160" s="33" t="str">
        <f>IF(OR(ISBLANK(AR160), ISBLANK(AS160)),"",CONCATENATE(" ",VLOOKUP(AS160,Literatuur!$A:$B,2,FALSE)," "))</f>
        <v/>
      </c>
      <c r="AU160">
        <v>178.23339999999999</v>
      </c>
      <c r="AW160" s="33" t="str">
        <f>IF(OR(ISBLANK(AU160), ISBLANK(AV160)),"",CONCATENATE(" ",VLOOKUP(AV160,Literatuur!$A:$B,2,FALSE)," "))</f>
        <v/>
      </c>
      <c r="AY160" s="26">
        <v>4.47</v>
      </c>
      <c r="AZ160" s="44" t="str">
        <f t="shared" si="104"/>
        <v>Sanscrit</v>
      </c>
      <c r="BA160" s="33" t="str">
        <f>IF(OR(ISBLANK(AY160), ISBLANK(AZ160)),"",CONCATENATE(" ",VLOOKUP(AZ160,Literatuur!$A:$B,2,FALSE)," "))</f>
        <v xml:space="preserve"> D </v>
      </c>
      <c r="BC160" s="44" t="str">
        <f t="shared" si="105"/>
        <v xml:space="preserve"> </v>
      </c>
      <c r="BD160" s="33" t="str">
        <f>IF(OR(ISBLANK(BB160), ISBLANK(BC160)),"",CONCATENATE(" ",VLOOKUP(BC160,Literatuur!$A:$B,2,FALSE)," "))</f>
        <v/>
      </c>
      <c r="BF160" s="44" t="str">
        <f t="shared" si="106"/>
        <v xml:space="preserve"> </v>
      </c>
      <c r="BG160" s="33" t="str">
        <f>IF(OR(ISBLANK(BE160), ISBLANK(BF160)),"",CONCATENATE(" ",VLOOKUP(BF160,Literatuur!$A:$B,2,FALSE)," "))</f>
        <v/>
      </c>
      <c r="BI160" s="44" t="str">
        <f t="shared" si="107"/>
        <v xml:space="preserve"> </v>
      </c>
      <c r="BJ160" s="33" t="str">
        <f>IF(OR(ISBLANK(BH160), ISBLANK(BI160)),"",CONCATENATE(" ",VLOOKUP(BI160,Literatuur!$A:$B,2,FALSE)," "))</f>
        <v/>
      </c>
      <c r="BL160" s="44" t="str">
        <f t="shared" si="108"/>
        <v xml:space="preserve"> </v>
      </c>
      <c r="BM160" s="33" t="str">
        <f>IF(OR(ISBLANK(BK160), ISBLANK(BL160)),"",CONCATENATE(" ",VLOOKUP(BL160,Literatuur!$A:$B,2,FALSE)," "))</f>
        <v/>
      </c>
      <c r="BO160"/>
      <c r="BP160" s="33" t="str">
        <f>IF(OR(ISBLANK(BN160), ISBLANK(BO160)),"",CONCATENATE(" ",VLOOKUP(BO160,Literatuur!$A:$B,2,FALSE)," "))</f>
        <v/>
      </c>
      <c r="BR160"/>
      <c r="BS160" s="33" t="str">
        <f>IF(OR(ISBLANK(BQ160), ISBLANK(BR160)),"",CONCATENATE(" ",VLOOKUP(BR160,Literatuur!$A:$B,2,FALSE)," "))</f>
        <v/>
      </c>
      <c r="BT160">
        <v>4.3449999999999998</v>
      </c>
      <c r="BU160" s="33" t="s">
        <v>1902</v>
      </c>
      <c r="BV160" s="33" t="str">
        <f>IF(OR(ISBLANK(BT160), ISBLANK(BU160)),"",CONCATENATE(" ",VLOOKUP(BU160,Literatuur!$A:$B,2,FALSE)," "))</f>
        <v xml:space="preserve"> B </v>
      </c>
      <c r="CE160" s="37">
        <f t="shared" ref="CE160:CE177" si="123">I160</f>
        <v>178.21</v>
      </c>
      <c r="CG160" s="33">
        <f>LOG(J160)</f>
        <v>-7.0581074285707285E-2</v>
      </c>
      <c r="CH160" s="33">
        <f t="shared" ref="CH160:CH178" si="124">K160</f>
        <v>4.47</v>
      </c>
      <c r="CR160" s="33" t="str">
        <f t="shared" si="109"/>
        <v>Phenanthrene</v>
      </c>
      <c r="CS160" s="33" t="str">
        <f t="shared" si="110"/>
        <v>PAK</v>
      </c>
      <c r="CT160" s="33">
        <f t="shared" si="111"/>
        <v>178.21</v>
      </c>
      <c r="CU160" s="33" t="str">
        <f t="shared" si="112"/>
        <v xml:space="preserve"> D </v>
      </c>
      <c r="CV160" s="33">
        <f t="shared" si="113"/>
        <v>0.85</v>
      </c>
      <c r="CW160" s="33" t="str">
        <f t="shared" si="114"/>
        <v xml:space="preserve"> D </v>
      </c>
      <c r="CX160" s="33">
        <f t="shared" si="115"/>
        <v>4.47</v>
      </c>
      <c r="CY160" s="33" t="str">
        <f t="shared" si="116"/>
        <v xml:space="preserve"> D </v>
      </c>
    </row>
    <row r="161" spans="1:103" x14ac:dyDescent="0.2">
      <c r="B161" s="33">
        <v>-1540</v>
      </c>
      <c r="C161" s="33" t="e">
        <f>VLOOKUP(B161,Lohman2011!$I$7:$U$28,2,FALSE)</f>
        <v>#N/A</v>
      </c>
      <c r="D161" s="105" t="s">
        <v>564</v>
      </c>
      <c r="E161" s="105" t="s">
        <v>564</v>
      </c>
      <c r="F161" s="34"/>
      <c r="G161" s="34"/>
      <c r="I161" s="33">
        <f t="shared" si="120"/>
        <v>202.15</v>
      </c>
      <c r="J161" s="33">
        <f t="shared" si="117"/>
        <v>0.83636506257935239</v>
      </c>
      <c r="K161" s="44">
        <f t="shared" si="121"/>
        <v>5.08</v>
      </c>
      <c r="L161" s="33">
        <f t="shared" si="122"/>
        <v>195.85</v>
      </c>
      <c r="M161" s="33" t="s">
        <v>1550</v>
      </c>
      <c r="Q161" s="44" t="str">
        <f t="shared" si="96"/>
        <v xml:space="preserve"> </v>
      </c>
      <c r="R161" s="33" t="str">
        <f>IF(OR(ISBLANK(P161), ISBLANK(Q161)),"",CONCATENATE(" ",VLOOKUP(Q161,Literatuur!$A:$B,2,FALSE)," "))</f>
        <v/>
      </c>
      <c r="T161" s="44" t="str">
        <f t="shared" si="97"/>
        <v xml:space="preserve"> </v>
      </c>
      <c r="U161" s="33" t="str">
        <f>IF(OR(ISBLANK(S161), ISBLANK(T161)),"",CONCATENATE(" ",VLOOKUP(T161,Literatuur!$A:$B,2,FALSE)," "))</f>
        <v/>
      </c>
      <c r="W161" s="44" t="str">
        <f t="shared" si="98"/>
        <v xml:space="preserve"> </v>
      </c>
      <c r="X161" s="33" t="str">
        <f>IF(OR(ISBLANK(V161), ISBLANK(W161)),"",CONCATENATE(" ",VLOOKUP(W161,Literatuur!$A:$B,2,FALSE)," "))</f>
        <v/>
      </c>
      <c r="Z161" s="44" t="str">
        <f t="shared" si="99"/>
        <v xml:space="preserve"> </v>
      </c>
      <c r="AA161" s="33" t="str">
        <f>IF(OR(ISBLANK(Y161), ISBLANK(Z161)),"",CONCATENATE(" ",VLOOKUP(Z161,Literatuur!$A:$B,2,FALSE)," "))</f>
        <v/>
      </c>
      <c r="AC161" s="186" t="str">
        <f t="shared" si="100"/>
        <v xml:space="preserve"> </v>
      </c>
      <c r="AD161" s="33" t="str">
        <f>IF(OR(ISBLANK(AB161), ISBLANK(AC161)),"",CONCATENATE(" ",VLOOKUP(AC161,Literatuur!$A:$B,2,FALSE)," "))</f>
        <v/>
      </c>
      <c r="AE161" s="39">
        <v>0.83636506257935239</v>
      </c>
      <c r="AF161" s="33" t="s">
        <v>1557</v>
      </c>
      <c r="AG161" s="33" t="str">
        <f>IF(OR(ISBLANK(AE161), ISBLANK(AF161)),"",CONCATENATE(" ",VLOOKUP(AF161,Literatuur!$A:$B,2,FALSE)," "))</f>
        <v xml:space="preserve"> 17 </v>
      </c>
      <c r="AJ161" s="44" t="str">
        <f t="shared" si="101"/>
        <v xml:space="preserve"> </v>
      </c>
      <c r="AK161" s="33" t="str">
        <f>IF(OR(ISBLANK(AI161), ISBLANK(AJ161)),"",CONCATENATE(" ",VLOOKUP(AJ161,Literatuur!$A:$B,2,FALSE)," "))</f>
        <v/>
      </c>
      <c r="AM161" s="44" t="str">
        <f t="shared" si="102"/>
        <v xml:space="preserve"> </v>
      </c>
      <c r="AN161" s="33" t="str">
        <f>IF(OR(ISBLANK(AL161), ISBLANK(AM161)),"",CONCATENATE(" ",VLOOKUP(AM161,Literatuur!$A:$B,2,FALSE)," "))</f>
        <v/>
      </c>
      <c r="AP161" s="44" t="str">
        <f t="shared" si="103"/>
        <v xml:space="preserve"> </v>
      </c>
      <c r="AQ161" s="33" t="str">
        <f>IF(OR(ISBLANK(AO161), ISBLANK(AP161)),"",CONCATENATE(" ",VLOOKUP(AP161,Literatuur!$A:$B,2,FALSE)," "))</f>
        <v/>
      </c>
      <c r="AR161" s="33">
        <v>202.3</v>
      </c>
      <c r="AS161" s="33" t="s">
        <v>1557</v>
      </c>
      <c r="AT161" s="33" t="str">
        <f>IF(OR(ISBLANK(AR161), ISBLANK(AS161)),"",CONCATENATE(" ",VLOOKUP(AS161,Literatuur!$A:$B,2,FALSE)," "))</f>
        <v xml:space="preserve"> 17 </v>
      </c>
      <c r="AU161" s="33">
        <v>202</v>
      </c>
      <c r="AV161" s="33" t="s">
        <v>2066</v>
      </c>
      <c r="AW161" s="33" t="str">
        <f>IF(OR(ISBLANK(AU161), ISBLANK(AV161)),"",CONCATENATE(" ",VLOOKUP(AV161,Literatuur!$A:$B,2,FALSE)," "))</f>
        <v xml:space="preserve"> 8 </v>
      </c>
      <c r="AZ161" s="44" t="str">
        <f t="shared" si="104"/>
        <v xml:space="preserve"> </v>
      </c>
      <c r="BA161" s="33" t="str">
        <f>IF(OR(ISBLANK(AY161), ISBLANK(AZ161)),"",CONCATENATE(" ",VLOOKUP(AZ161,Literatuur!$A:$B,2,FALSE)," "))</f>
        <v/>
      </c>
      <c r="BC161" s="44" t="str">
        <f t="shared" si="105"/>
        <v xml:space="preserve"> </v>
      </c>
      <c r="BD161" s="33" t="str">
        <f>IF(OR(ISBLANK(BB161), ISBLANK(BC161)),"",CONCATENATE(" ",VLOOKUP(BC161,Literatuur!$A:$B,2,FALSE)," "))</f>
        <v/>
      </c>
      <c r="BF161" s="44" t="str">
        <f t="shared" si="106"/>
        <v xml:space="preserve"> </v>
      </c>
      <c r="BG161" s="33" t="str">
        <f>IF(OR(ISBLANK(BE161), ISBLANK(BF161)),"",CONCATENATE(" ",VLOOKUP(BF161,Literatuur!$A:$B,2,FALSE)," "))</f>
        <v/>
      </c>
      <c r="BI161" s="44" t="str">
        <f t="shared" si="107"/>
        <v xml:space="preserve"> </v>
      </c>
      <c r="BJ161" s="33" t="str">
        <f>IF(OR(ISBLANK(BH161), ISBLANK(BI161)),"",CONCATENATE(" ",VLOOKUP(BI161,Literatuur!$A:$B,2,FALSE)," "))</f>
        <v/>
      </c>
      <c r="BL161" s="44" t="str">
        <f t="shared" si="108"/>
        <v xml:space="preserve"> </v>
      </c>
      <c r="BM161" s="33" t="str">
        <f>IF(OR(ISBLANK(BK161), ISBLANK(BL161)),"",CONCATENATE(" ",VLOOKUP(BL161,Literatuur!$A:$B,2,FALSE)," "))</f>
        <v/>
      </c>
      <c r="BN161" s="33">
        <v>5</v>
      </c>
      <c r="BO161" s="33" t="s">
        <v>1557</v>
      </c>
      <c r="BP161" s="33" t="str">
        <f>IF(OR(ISBLANK(BN161), ISBLANK(BO161)),"",CONCATENATE(" ",VLOOKUP(BO161,Literatuur!$A:$B,2,FALSE)," "))</f>
        <v xml:space="preserve"> 17 </v>
      </c>
      <c r="BS161" s="33" t="str">
        <f>IF(OR(ISBLANK(BQ161), ISBLANK(BR161)),"",CONCATENATE(" ",VLOOKUP(BR161,Literatuur!$A:$B,2,FALSE)," "))</f>
        <v/>
      </c>
      <c r="BT161" s="33">
        <v>5.16</v>
      </c>
      <c r="BU161" s="33" t="s">
        <v>2066</v>
      </c>
      <c r="BV161" s="33" t="str">
        <f>IF(OR(ISBLANK(BT161), ISBLANK(BU161)),"",CONCATENATE(" ",VLOOKUP(BU161,Literatuur!$A:$B,2,FALSE)," "))</f>
        <v xml:space="preserve"> 8 </v>
      </c>
      <c r="BX161" s="33">
        <v>196.1</v>
      </c>
      <c r="BY161" s="33">
        <v>195.6</v>
      </c>
      <c r="CA161" s="33" t="s">
        <v>1557</v>
      </c>
      <c r="CB161" s="33" t="s">
        <v>2066</v>
      </c>
      <c r="CD161" s="33">
        <f t="shared" ref="CD161:CD168" si="125">L161</f>
        <v>195.85</v>
      </c>
      <c r="CE161" s="37">
        <f t="shared" si="123"/>
        <v>202.15</v>
      </c>
      <c r="CG161" s="33">
        <f>LOG(J161)</f>
        <v>-7.760411722919576E-2</v>
      </c>
      <c r="CH161" s="33">
        <f t="shared" si="124"/>
        <v>5.08</v>
      </c>
      <c r="CR161" s="33" t="str">
        <f t="shared" si="109"/>
        <v>fluoranthene</v>
      </c>
      <c r="CS161" s="33" t="str">
        <f t="shared" si="110"/>
        <v>PAK</v>
      </c>
      <c r="CT161" s="33">
        <f t="shared" si="111"/>
        <v>202.15</v>
      </c>
      <c r="CU161" s="33" t="str">
        <f t="shared" si="112"/>
        <v xml:space="preserve"> 17  8 </v>
      </c>
      <c r="CV161" s="33">
        <f t="shared" si="113"/>
        <v>0.83636506257935239</v>
      </c>
      <c r="CW161" s="33" t="str">
        <f t="shared" si="114"/>
        <v xml:space="preserve"> 17 </v>
      </c>
      <c r="CX161" s="33">
        <f t="shared" si="115"/>
        <v>5.08</v>
      </c>
      <c r="CY161" s="33" t="str">
        <f t="shared" si="116"/>
        <v xml:space="preserve"> 17  8 </v>
      </c>
    </row>
    <row r="162" spans="1:103" x14ac:dyDescent="0.2">
      <c r="B162" s="33">
        <v>-1537</v>
      </c>
      <c r="C162" s="33" t="e">
        <f>VLOOKUP(B162,Lohman2011!$I$7:$U$28,2,FALSE)</f>
        <v>#N/A</v>
      </c>
      <c r="D162" s="105" t="s">
        <v>561</v>
      </c>
      <c r="E162" s="105" t="s">
        <v>561</v>
      </c>
      <c r="F162" s="34"/>
      <c r="G162" s="34"/>
      <c r="I162" s="33">
        <f t="shared" si="120"/>
        <v>166.1</v>
      </c>
      <c r="J162" s="33">
        <f t="shared" si="117"/>
        <v>9.8227031484622565</v>
      </c>
      <c r="K162" s="44">
        <f t="shared" si="121"/>
        <v>4.1399999999999997</v>
      </c>
      <c r="L162" s="33">
        <f t="shared" si="122"/>
        <v>154.60000000000002</v>
      </c>
      <c r="M162" s="33" t="s">
        <v>1550</v>
      </c>
      <c r="Q162" s="44" t="str">
        <f t="shared" si="96"/>
        <v xml:space="preserve"> </v>
      </c>
      <c r="R162" s="33" t="str">
        <f>IF(OR(ISBLANK(P162), ISBLANK(Q162)),"",CONCATENATE(" ",VLOOKUP(Q162,Literatuur!$A:$B,2,FALSE)," "))</f>
        <v/>
      </c>
      <c r="T162" s="44" t="str">
        <f t="shared" si="97"/>
        <v xml:space="preserve"> </v>
      </c>
      <c r="U162" s="33" t="str">
        <f>IF(OR(ISBLANK(S162), ISBLANK(T162)),"",CONCATENATE(" ",VLOOKUP(T162,Literatuur!$A:$B,2,FALSE)," "))</f>
        <v/>
      </c>
      <c r="W162" s="44" t="str">
        <f t="shared" si="98"/>
        <v xml:space="preserve"> </v>
      </c>
      <c r="X162" s="33" t="str">
        <f>IF(OR(ISBLANK(V162), ISBLANK(W162)),"",CONCATENATE(" ",VLOOKUP(W162,Literatuur!$A:$B,2,FALSE)," "))</f>
        <v/>
      </c>
      <c r="Z162" s="44" t="str">
        <f t="shared" si="99"/>
        <v xml:space="preserve"> </v>
      </c>
      <c r="AA162" s="33" t="str">
        <f>IF(OR(ISBLANK(Y162), ISBLANK(Z162)),"",CONCATENATE(" ",VLOOKUP(Z162,Literatuur!$A:$B,2,FALSE)," "))</f>
        <v/>
      </c>
      <c r="AC162" s="186" t="str">
        <f t="shared" si="100"/>
        <v xml:space="preserve"> </v>
      </c>
      <c r="AD162" s="33" t="str">
        <f>IF(OR(ISBLANK(AB162), ISBLANK(AC162)),"",CONCATENATE(" ",VLOOKUP(AC162,Literatuur!$A:$B,2,FALSE)," "))</f>
        <v/>
      </c>
      <c r="AE162" s="39">
        <v>9.8227031484622565</v>
      </c>
      <c r="AF162" s="33" t="s">
        <v>1557</v>
      </c>
      <c r="AG162" s="33" t="str">
        <f>IF(OR(ISBLANK(AE162), ISBLANK(AF162)),"",CONCATENATE(" ",VLOOKUP(AF162,Literatuur!$A:$B,2,FALSE)," "))</f>
        <v xml:space="preserve"> 17 </v>
      </c>
      <c r="AJ162" s="44" t="str">
        <f t="shared" si="101"/>
        <v xml:space="preserve"> </v>
      </c>
      <c r="AK162" s="33" t="str">
        <f>IF(OR(ISBLANK(AI162), ISBLANK(AJ162)),"",CONCATENATE(" ",VLOOKUP(AJ162,Literatuur!$A:$B,2,FALSE)," "))</f>
        <v/>
      </c>
      <c r="AM162" s="44" t="str">
        <f t="shared" si="102"/>
        <v xml:space="preserve"> </v>
      </c>
      <c r="AN162" s="33" t="str">
        <f>IF(OR(ISBLANK(AL162), ISBLANK(AM162)),"",CONCATENATE(" ",VLOOKUP(AM162,Literatuur!$A:$B,2,FALSE)," "))</f>
        <v/>
      </c>
      <c r="AP162" s="44" t="str">
        <f t="shared" si="103"/>
        <v xml:space="preserve"> </v>
      </c>
      <c r="AQ162" s="33" t="str">
        <f>IF(OR(ISBLANK(AO162), ISBLANK(AP162)),"",CONCATENATE(" ",VLOOKUP(AP162,Literatuur!$A:$B,2,FALSE)," "))</f>
        <v/>
      </c>
      <c r="AR162" s="33">
        <v>166.2</v>
      </c>
      <c r="AS162" s="33" t="s">
        <v>1557</v>
      </c>
      <c r="AT162" s="33" t="str">
        <f>IF(OR(ISBLANK(AR162), ISBLANK(AS162)),"",CONCATENATE(" ",VLOOKUP(AS162,Literatuur!$A:$B,2,FALSE)," "))</f>
        <v xml:space="preserve"> 17 </v>
      </c>
      <c r="AU162" s="33">
        <v>166</v>
      </c>
      <c r="AV162" s="33" t="s">
        <v>2066</v>
      </c>
      <c r="AW162" s="33" t="str">
        <f>IF(OR(ISBLANK(AU162), ISBLANK(AV162)),"",CONCATENATE(" ",VLOOKUP(AV162,Literatuur!$A:$B,2,FALSE)," "))</f>
        <v xml:space="preserve"> 8 </v>
      </c>
      <c r="AZ162" s="44" t="str">
        <f t="shared" si="104"/>
        <v xml:space="preserve"> </v>
      </c>
      <c r="BA162" s="33" t="str">
        <f>IF(OR(ISBLANK(AY162), ISBLANK(AZ162)),"",CONCATENATE(" ",VLOOKUP(AZ162,Literatuur!$A:$B,2,FALSE)," "))</f>
        <v/>
      </c>
      <c r="BC162" s="44" t="str">
        <f t="shared" si="105"/>
        <v xml:space="preserve"> </v>
      </c>
      <c r="BD162" s="33" t="str">
        <f>IF(OR(ISBLANK(BB162), ISBLANK(BC162)),"",CONCATENATE(" ",VLOOKUP(BC162,Literatuur!$A:$B,2,FALSE)," "))</f>
        <v/>
      </c>
      <c r="BF162" s="44" t="str">
        <f t="shared" si="106"/>
        <v xml:space="preserve"> </v>
      </c>
      <c r="BG162" s="33" t="str">
        <f>IF(OR(ISBLANK(BE162), ISBLANK(BF162)),"",CONCATENATE(" ",VLOOKUP(BF162,Literatuur!$A:$B,2,FALSE)," "))</f>
        <v/>
      </c>
      <c r="BI162" s="44" t="str">
        <f t="shared" si="107"/>
        <v xml:space="preserve"> </v>
      </c>
      <c r="BJ162" s="33" t="str">
        <f>IF(OR(ISBLANK(BH162), ISBLANK(BI162)),"",CONCATENATE(" ",VLOOKUP(BI162,Literatuur!$A:$B,2,FALSE)," "))</f>
        <v/>
      </c>
      <c r="BL162" s="44" t="str">
        <f t="shared" si="108"/>
        <v xml:space="preserve"> </v>
      </c>
      <c r="BM162" s="33" t="str">
        <f>IF(OR(ISBLANK(BK162), ISBLANK(BL162)),"",CONCATENATE(" ",VLOOKUP(BL162,Literatuur!$A:$B,2,FALSE)," "))</f>
        <v/>
      </c>
      <c r="BN162" s="33">
        <v>4.0999999999999996</v>
      </c>
      <c r="BO162" s="33" t="s">
        <v>1557</v>
      </c>
      <c r="BP162" s="33" t="str">
        <f>IF(OR(ISBLANK(BN162), ISBLANK(BO162)),"",CONCATENATE(" ",VLOOKUP(BO162,Literatuur!$A:$B,2,FALSE)," "))</f>
        <v xml:space="preserve"> 17 </v>
      </c>
      <c r="BS162" s="33" t="str">
        <f>IF(OR(ISBLANK(BQ162), ISBLANK(BR162)),"",CONCATENATE(" ",VLOOKUP(BR162,Literatuur!$A:$B,2,FALSE)," "))</f>
        <v/>
      </c>
      <c r="BT162" s="33">
        <v>4.18</v>
      </c>
      <c r="BU162" s="33" t="s">
        <v>2066</v>
      </c>
      <c r="BV162" s="33" t="str">
        <f>IF(OR(ISBLANK(BT162), ISBLANK(BU162)),"",CONCATENATE(" ",VLOOKUP(BU162,Literatuur!$A:$B,2,FALSE)," "))</f>
        <v xml:space="preserve"> 8 </v>
      </c>
      <c r="BX162" s="33">
        <v>154.80000000000001</v>
      </c>
      <c r="BY162" s="33">
        <v>154.4</v>
      </c>
      <c r="CA162" s="33" t="s">
        <v>1557</v>
      </c>
      <c r="CB162" s="33" t="s">
        <v>2066</v>
      </c>
      <c r="CD162" s="33">
        <f t="shared" si="125"/>
        <v>154.60000000000002</v>
      </c>
      <c r="CE162" s="37">
        <f t="shared" si="123"/>
        <v>166.1</v>
      </c>
      <c r="CG162" s="33">
        <f>LOG(J162)</f>
        <v>0.99223101944809233</v>
      </c>
      <c r="CH162" s="33">
        <f t="shared" si="124"/>
        <v>4.1399999999999997</v>
      </c>
      <c r="CR162" s="33" t="str">
        <f t="shared" si="109"/>
        <v>fluorene</v>
      </c>
      <c r="CS162" s="33" t="str">
        <f t="shared" si="110"/>
        <v>PAK</v>
      </c>
      <c r="CT162" s="33">
        <f t="shared" si="111"/>
        <v>166.1</v>
      </c>
      <c r="CU162" s="33" t="str">
        <f t="shared" si="112"/>
        <v xml:space="preserve"> 17  8 </v>
      </c>
      <c r="CV162" s="33">
        <f t="shared" si="113"/>
        <v>9.8227031484622565</v>
      </c>
      <c r="CW162" s="33" t="str">
        <f t="shared" si="114"/>
        <v xml:space="preserve"> 17 </v>
      </c>
      <c r="CX162" s="33">
        <f t="shared" si="115"/>
        <v>4.1399999999999997</v>
      </c>
      <c r="CY162" s="33" t="str">
        <f t="shared" si="116"/>
        <v xml:space="preserve"> 17  8 </v>
      </c>
    </row>
    <row r="163" spans="1:103" x14ac:dyDescent="0.2">
      <c r="B163" s="33">
        <v>-1549</v>
      </c>
      <c r="C163" s="33" t="e">
        <f>VLOOKUP(B163,Lohman2011!$I$7:$U$28,2,FALSE)</f>
        <v>#N/A</v>
      </c>
      <c r="D163" s="105" t="s">
        <v>573</v>
      </c>
      <c r="E163" s="105" t="s">
        <v>573</v>
      </c>
      <c r="F163" s="34"/>
      <c r="G163" s="34"/>
      <c r="I163" s="33">
        <f t="shared" si="120"/>
        <v>276</v>
      </c>
      <c r="J163" s="33" t="e">
        <f t="shared" si="117"/>
        <v>#DIV/0!</v>
      </c>
      <c r="K163" s="44">
        <f t="shared" si="121"/>
        <v>6.7</v>
      </c>
      <c r="L163" s="33">
        <f t="shared" si="122"/>
        <v>253.4</v>
      </c>
      <c r="M163" s="33" t="s">
        <v>1550</v>
      </c>
      <c r="Q163" s="44" t="str">
        <f t="shared" si="96"/>
        <v xml:space="preserve"> </v>
      </c>
      <c r="R163" s="33" t="str">
        <f>IF(OR(ISBLANK(P163), ISBLANK(Q163)),"",CONCATENATE(" ",VLOOKUP(Q163,Literatuur!$A:$B,2,FALSE)," "))</f>
        <v/>
      </c>
      <c r="T163" s="44" t="str">
        <f t="shared" si="97"/>
        <v xml:space="preserve"> </v>
      </c>
      <c r="U163" s="33" t="str">
        <f>IF(OR(ISBLANK(S163), ISBLANK(T163)),"",CONCATENATE(" ",VLOOKUP(T163,Literatuur!$A:$B,2,FALSE)," "))</f>
        <v/>
      </c>
      <c r="W163" s="44" t="str">
        <f t="shared" si="98"/>
        <v xml:space="preserve"> </v>
      </c>
      <c r="X163" s="33" t="str">
        <f>IF(OR(ISBLANK(V163), ISBLANK(W163)),"",CONCATENATE(" ",VLOOKUP(W163,Literatuur!$A:$B,2,FALSE)," "))</f>
        <v/>
      </c>
      <c r="Z163" s="44" t="str">
        <f t="shared" si="99"/>
        <v xml:space="preserve"> </v>
      </c>
      <c r="AA163" s="33" t="str">
        <f>IF(OR(ISBLANK(Y163), ISBLANK(Z163)),"",CONCATENATE(" ",VLOOKUP(Z163,Literatuur!$A:$B,2,FALSE)," "))</f>
        <v/>
      </c>
      <c r="AC163" s="186" t="str">
        <f t="shared" si="100"/>
        <v xml:space="preserve"> </v>
      </c>
      <c r="AD163" s="33" t="str">
        <f>IF(OR(ISBLANK(AB163), ISBLANK(AC163)),"",CONCATENATE(" ",VLOOKUP(AC163,Literatuur!$A:$B,2,FALSE)," "))</f>
        <v/>
      </c>
      <c r="AG163" s="33" t="str">
        <f>IF(OR(ISBLANK(AE163), ISBLANK(AF163)),"",CONCATENATE(" ",VLOOKUP(AF163,Literatuur!$A:$B,2,FALSE)," "))</f>
        <v/>
      </c>
      <c r="AJ163" s="44" t="str">
        <f t="shared" si="101"/>
        <v xml:space="preserve"> </v>
      </c>
      <c r="AK163" s="33" t="str">
        <f>IF(OR(ISBLANK(AI163), ISBLANK(AJ163)),"",CONCATENATE(" ",VLOOKUP(AJ163,Literatuur!$A:$B,2,FALSE)," "))</f>
        <v/>
      </c>
      <c r="AM163" s="44" t="str">
        <f t="shared" si="102"/>
        <v xml:space="preserve"> </v>
      </c>
      <c r="AN163" s="33" t="str">
        <f>IF(OR(ISBLANK(AL163), ISBLANK(AM163)),"",CONCATENATE(" ",VLOOKUP(AM163,Literatuur!$A:$B,2,FALSE)," "))</f>
        <v/>
      </c>
      <c r="AP163" s="44" t="str">
        <f t="shared" si="103"/>
        <v xml:space="preserve"> </v>
      </c>
      <c r="AQ163" s="33" t="str">
        <f>IF(OR(ISBLANK(AO163), ISBLANK(AP163)),"",CONCATENATE(" ",VLOOKUP(AP163,Literatuur!$A:$B,2,FALSE)," "))</f>
        <v/>
      </c>
      <c r="AT163" s="33" t="str">
        <f>IF(OR(ISBLANK(AR163), ISBLANK(AS163)),"",CONCATENATE(" ",VLOOKUP(AS163,Literatuur!$A:$B,2,FALSE)," "))</f>
        <v/>
      </c>
      <c r="AU163" s="33">
        <v>276</v>
      </c>
      <c r="AV163" s="33" t="s">
        <v>2066</v>
      </c>
      <c r="AW163" s="33" t="str">
        <f>IF(OR(ISBLANK(AU163), ISBLANK(AV163)),"",CONCATENATE(" ",VLOOKUP(AV163,Literatuur!$A:$B,2,FALSE)," "))</f>
        <v xml:space="preserve"> 8 </v>
      </c>
      <c r="AZ163" s="44" t="str">
        <f t="shared" si="104"/>
        <v xml:space="preserve"> </v>
      </c>
      <c r="BA163" s="33" t="str">
        <f>IF(OR(ISBLANK(AY163), ISBLANK(AZ163)),"",CONCATENATE(" ",VLOOKUP(AZ163,Literatuur!$A:$B,2,FALSE)," "))</f>
        <v/>
      </c>
      <c r="BC163" s="44" t="str">
        <f t="shared" si="105"/>
        <v xml:space="preserve"> </v>
      </c>
      <c r="BD163" s="33" t="str">
        <f>IF(OR(ISBLANK(BB163), ISBLANK(BC163)),"",CONCATENATE(" ",VLOOKUP(BC163,Literatuur!$A:$B,2,FALSE)," "))</f>
        <v/>
      </c>
      <c r="BF163" s="44" t="str">
        <f t="shared" si="106"/>
        <v xml:space="preserve"> </v>
      </c>
      <c r="BG163" s="33" t="str">
        <f>IF(OR(ISBLANK(BE163), ISBLANK(BF163)),"",CONCATENATE(" ",VLOOKUP(BF163,Literatuur!$A:$B,2,FALSE)," "))</f>
        <v/>
      </c>
      <c r="BI163" s="44" t="str">
        <f t="shared" si="107"/>
        <v xml:space="preserve"> </v>
      </c>
      <c r="BJ163" s="33" t="str">
        <f>IF(OR(ISBLANK(BH163), ISBLANK(BI163)),"",CONCATENATE(" ",VLOOKUP(BI163,Literatuur!$A:$B,2,FALSE)," "))</f>
        <v/>
      </c>
      <c r="BL163" s="44" t="str">
        <f t="shared" si="108"/>
        <v xml:space="preserve"> </v>
      </c>
      <c r="BM163" s="33" t="str">
        <f>IF(OR(ISBLANK(BK163), ISBLANK(BL163)),"",CONCATENATE(" ",VLOOKUP(BL163,Literatuur!$A:$B,2,FALSE)," "))</f>
        <v/>
      </c>
      <c r="BP163" s="33" t="str">
        <f>IF(OR(ISBLANK(BN163), ISBLANK(BO163)),"",CONCATENATE(" ",VLOOKUP(BO163,Literatuur!$A:$B,2,FALSE)," "))</f>
        <v/>
      </c>
      <c r="BS163" s="33" t="str">
        <f>IF(OR(ISBLANK(BQ163), ISBLANK(BR163)),"",CONCATENATE(" ",VLOOKUP(BR163,Literatuur!$A:$B,2,FALSE)," "))</f>
        <v/>
      </c>
      <c r="BT163" s="33">
        <v>6.7</v>
      </c>
      <c r="BU163" s="33" t="s">
        <v>2066</v>
      </c>
      <c r="BV163" s="33" t="str">
        <f>IF(OR(ISBLANK(BT163), ISBLANK(BU163)),"",CONCATENATE(" ",VLOOKUP(BU163,Literatuur!$A:$B,2,FALSE)," "))</f>
        <v xml:space="preserve"> 8 </v>
      </c>
      <c r="BY163" s="33">
        <v>253.4</v>
      </c>
      <c r="CB163" s="33" t="s">
        <v>2066</v>
      </c>
      <c r="CD163" s="33">
        <f t="shared" si="125"/>
        <v>253.4</v>
      </c>
      <c r="CE163" s="37">
        <f t="shared" si="123"/>
        <v>276</v>
      </c>
      <c r="CH163" s="33">
        <f t="shared" si="124"/>
        <v>6.7</v>
      </c>
      <c r="CR163" s="33" t="str">
        <f t="shared" si="109"/>
        <v>indeno[1,2,3-cd]pyrene</v>
      </c>
      <c r="CS163" s="33" t="str">
        <f t="shared" si="110"/>
        <v>PAK</v>
      </c>
      <c r="CT163" s="33">
        <f t="shared" si="111"/>
        <v>276</v>
      </c>
      <c r="CU163" s="33" t="str">
        <f t="shared" si="112"/>
        <v xml:space="preserve"> 8 </v>
      </c>
      <c r="CV163" s="33" t="str">
        <f t="shared" si="113"/>
        <v/>
      </c>
      <c r="CW163" s="33" t="str">
        <f t="shared" si="114"/>
        <v/>
      </c>
      <c r="CX163" s="33">
        <f t="shared" si="115"/>
        <v>6.7</v>
      </c>
      <c r="CY163" s="33" t="str">
        <f t="shared" si="116"/>
        <v xml:space="preserve"> 8 </v>
      </c>
    </row>
    <row r="164" spans="1:103" ht="12.75" customHeight="1" x14ac:dyDescent="0.25">
      <c r="B164" s="33">
        <v>310</v>
      </c>
      <c r="D164" s="33" t="s">
        <v>4</v>
      </c>
      <c r="E164" s="33" t="s">
        <v>1259</v>
      </c>
      <c r="H164" s="34" t="s">
        <v>1260</v>
      </c>
      <c r="I164" s="37">
        <f>IF(ISNUMBER(AI164),AI164,AVERAGE(AL164:AR164))</f>
        <v>128.19</v>
      </c>
      <c r="J164" s="33">
        <f t="shared" si="117"/>
        <v>31.8</v>
      </c>
      <c r="K164" s="44">
        <f t="shared" si="121"/>
        <v>3.3</v>
      </c>
      <c r="L164" s="33">
        <f t="shared" si="122"/>
        <v>124.6</v>
      </c>
      <c r="M164" s="33" t="s">
        <v>1550</v>
      </c>
      <c r="P164" s="33">
        <v>31.8</v>
      </c>
      <c r="Q164" s="44" t="str">
        <f t="shared" si="96"/>
        <v>Sanscrit</v>
      </c>
      <c r="R164" s="33" t="str">
        <f>IF(OR(ISBLANK(P164), ISBLANK(Q164)),"",CONCATENATE(" ",VLOOKUP(Q164,Literatuur!$A:$B,2,FALSE)," "))</f>
        <v xml:space="preserve"> D </v>
      </c>
      <c r="T164" s="44" t="str">
        <f t="shared" si="97"/>
        <v xml:space="preserve"> </v>
      </c>
      <c r="U164" s="33" t="str">
        <f>IF(OR(ISBLANK(S164), ISBLANK(T164)),"",CONCATENATE(" ",VLOOKUP(T164,Literatuur!$A:$B,2,FALSE)," "))</f>
        <v/>
      </c>
      <c r="W164" s="44" t="str">
        <f t="shared" si="98"/>
        <v xml:space="preserve"> </v>
      </c>
      <c r="X164" s="33" t="str">
        <f>IF(OR(ISBLANK(V164), ISBLANK(W164)),"",CONCATENATE(" ",VLOOKUP(W164,Literatuur!$A:$B,2,FALSE)," "))</f>
        <v/>
      </c>
      <c r="Y164" s="36"/>
      <c r="Z164" s="44" t="str">
        <f t="shared" si="99"/>
        <v xml:space="preserve"> </v>
      </c>
      <c r="AA164" s="33" t="str">
        <f>IF(OR(ISBLANK(Y164), ISBLANK(Z164)),"",CONCATENATE(" ",VLOOKUP(Z164,Literatuur!$A:$B,2,FALSE)," "))</f>
        <v/>
      </c>
      <c r="AB164" s="36"/>
      <c r="AC164" s="36" t="str">
        <f t="shared" si="100"/>
        <v xml:space="preserve"> </v>
      </c>
      <c r="AD164" s="33" t="str">
        <f>IF(OR(ISBLANK(AB164), ISBLANK(AC164)),"",CONCATENATE(" ",VLOOKUP(AC164,Literatuur!$A:$B,2,FALSE)," "))</f>
        <v/>
      </c>
      <c r="AE164" s="39">
        <v>124.59138831692979</v>
      </c>
      <c r="AF164" s="33" t="s">
        <v>1557</v>
      </c>
      <c r="AG164" s="33" t="str">
        <f>IF(OR(ISBLANK(AE164), ISBLANK(AF164)),"",CONCATENATE(" ",VLOOKUP(AF164,Literatuur!$A:$B,2,FALSE)," "))</f>
        <v xml:space="preserve"> 17 </v>
      </c>
      <c r="AI164" s="42">
        <v>128.19</v>
      </c>
      <c r="AJ164" s="44" t="str">
        <f t="shared" si="101"/>
        <v>Sanscrit</v>
      </c>
      <c r="AK164" s="33" t="str">
        <f>IF(OR(ISBLANK(AI164), ISBLANK(AJ164)),"",CONCATENATE(" ",VLOOKUP(AJ164,Literatuur!$A:$B,2,FALSE)," "))</f>
        <v xml:space="preserve"> D </v>
      </c>
      <c r="AL164" s="36"/>
      <c r="AM164" s="44" t="str">
        <f t="shared" si="102"/>
        <v xml:space="preserve"> </v>
      </c>
      <c r="AN164" s="33" t="str">
        <f>IF(OR(ISBLANK(AL164), ISBLANK(AM164)),"",CONCATENATE(" ",VLOOKUP(AM164,Literatuur!$A:$B,2,FALSE)," "))</f>
        <v/>
      </c>
      <c r="AO164" s="36"/>
      <c r="AP164" s="44" t="str">
        <f t="shared" si="103"/>
        <v xml:space="preserve"> </v>
      </c>
      <c r="AQ164" s="33" t="str">
        <f>IF(OR(ISBLANK(AO164), ISBLANK(AP164)),"",CONCATENATE(" ",VLOOKUP(AP164,Literatuur!$A:$B,2,FALSE)," "))</f>
        <v/>
      </c>
      <c r="AR164" s="33">
        <v>128.19999999999999</v>
      </c>
      <c r="AS164" s="33" t="s">
        <v>1557</v>
      </c>
      <c r="AT164" s="33" t="str">
        <f>IF(OR(ISBLANK(AR164), ISBLANK(AS164)),"",CONCATENATE(" ",VLOOKUP(AS164,Literatuur!$A:$B,2,FALSE)," "))</f>
        <v xml:space="preserve"> 17 </v>
      </c>
      <c r="AV164" s="36"/>
      <c r="AW164" s="33" t="str">
        <f>IF(OR(ISBLANK(AU164), ISBLANK(AV164)),"",CONCATENATE(" ",VLOOKUP(AV164,Literatuur!$A:$B,2,FALSE)," "))</f>
        <v/>
      </c>
      <c r="AY164" s="26">
        <v>3.3</v>
      </c>
      <c r="AZ164" s="44" t="str">
        <f t="shared" si="104"/>
        <v>Sanscrit</v>
      </c>
      <c r="BA164" s="33" t="str">
        <f>IF(OR(ISBLANK(AY164), ISBLANK(AZ164)),"",CONCATENATE(" ",VLOOKUP(AZ164,Literatuur!$A:$B,2,FALSE)," "))</f>
        <v xml:space="preserve"> D </v>
      </c>
      <c r="BB164" s="44"/>
      <c r="BC164" s="44" t="str">
        <f t="shared" si="105"/>
        <v xml:space="preserve"> </v>
      </c>
      <c r="BD164" s="33" t="str">
        <f>IF(OR(ISBLANK(BB164), ISBLANK(BC164)),"",CONCATENATE(" ",VLOOKUP(BC164,Literatuur!$A:$B,2,FALSE)," "))</f>
        <v/>
      </c>
      <c r="BF164" s="44" t="str">
        <f t="shared" si="106"/>
        <v xml:space="preserve"> </v>
      </c>
      <c r="BG164" s="33" t="str">
        <f>IF(OR(ISBLANK(BE164), ISBLANK(BF164)),"",CONCATENATE(" ",VLOOKUP(BF164,Literatuur!$A:$B,2,FALSE)," "))</f>
        <v/>
      </c>
      <c r="BI164" s="44" t="str">
        <f t="shared" si="107"/>
        <v xml:space="preserve"> </v>
      </c>
      <c r="BJ164" s="33" t="str">
        <f>IF(OR(ISBLANK(BH164), ISBLANK(BI164)),"",CONCATENATE(" ",VLOOKUP(BI164,Literatuur!$A:$B,2,FALSE)," "))</f>
        <v/>
      </c>
      <c r="BL164" s="44" t="str">
        <f t="shared" si="108"/>
        <v xml:space="preserve"> </v>
      </c>
      <c r="BM164" s="33" t="str">
        <f>IF(OR(ISBLANK(BK164), ISBLANK(BL164)),"",CONCATENATE(" ",VLOOKUP(BL164,Literatuur!$A:$B,2,FALSE)," "))</f>
        <v/>
      </c>
      <c r="BN164" s="33">
        <v>3.4</v>
      </c>
      <c r="BO164" s="33" t="s">
        <v>1557</v>
      </c>
      <c r="BP164" s="33" t="str">
        <f>IF(OR(ISBLANK(BN164), ISBLANK(BO164)),"",CONCATENATE(" ",VLOOKUP(BO164,Literatuur!$A:$B,2,FALSE)," "))</f>
        <v xml:space="preserve"> 17 </v>
      </c>
      <c r="BS164" s="33" t="str">
        <f>IF(OR(ISBLANK(BQ164), ISBLANK(BR164)),"",CONCATENATE(" ",VLOOKUP(BR164,Literatuur!$A:$B,2,FALSE)," "))</f>
        <v/>
      </c>
      <c r="BV164" s="33" t="str">
        <f>IF(OR(ISBLANK(BT164), ISBLANK(BU164)),"",CONCATENATE(" ",VLOOKUP(BU164,Literatuur!$A:$B,2,FALSE)," "))</f>
        <v/>
      </c>
      <c r="BX164" s="33">
        <v>124.6</v>
      </c>
      <c r="CD164" s="33">
        <f t="shared" si="125"/>
        <v>124.6</v>
      </c>
      <c r="CE164" s="37">
        <f t="shared" si="123"/>
        <v>128.19</v>
      </c>
      <c r="CG164" s="33">
        <f>LOG(J164)</f>
        <v>1.5024271199844328</v>
      </c>
      <c r="CH164" s="33">
        <f t="shared" si="124"/>
        <v>3.3</v>
      </c>
      <c r="CI164" s="33">
        <v>4</v>
      </c>
      <c r="CR164" s="33" t="str">
        <f t="shared" si="109"/>
        <v>Naphthalene</v>
      </c>
      <c r="CS164" s="33" t="str">
        <f t="shared" si="110"/>
        <v>PAK</v>
      </c>
      <c r="CT164" s="33">
        <f t="shared" si="111"/>
        <v>128.19</v>
      </c>
      <c r="CU164" s="33" t="str">
        <f t="shared" si="112"/>
        <v xml:space="preserve"> D </v>
      </c>
      <c r="CV164" s="33">
        <f t="shared" si="113"/>
        <v>31.8</v>
      </c>
      <c r="CW164" s="33" t="str">
        <f t="shared" si="114"/>
        <v xml:space="preserve"> D </v>
      </c>
      <c r="CX164" s="33">
        <f t="shared" si="115"/>
        <v>3.3</v>
      </c>
      <c r="CY164" s="33" t="str">
        <f t="shared" si="116"/>
        <v xml:space="preserve"> D </v>
      </c>
    </row>
    <row r="165" spans="1:103" x14ac:dyDescent="0.2">
      <c r="B165" s="33">
        <v>-1535</v>
      </c>
      <c r="D165" s="105" t="s">
        <v>559</v>
      </c>
      <c r="E165" s="105" t="s">
        <v>559</v>
      </c>
      <c r="F165" s="34"/>
      <c r="G165" s="34"/>
      <c r="I165" s="33">
        <f t="shared" ref="I165:I196" si="126">IF(ISNUMBER(AI165),AI165,AVERAGE(AL165:AU165))</f>
        <v>128</v>
      </c>
      <c r="J165" s="33" t="e">
        <f t="shared" si="117"/>
        <v>#DIV/0!</v>
      </c>
      <c r="K165" s="44">
        <f t="shared" si="121"/>
        <v>3.3</v>
      </c>
      <c r="L165" s="33">
        <f t="shared" si="122"/>
        <v>128.19999999999999</v>
      </c>
      <c r="M165" s="33" t="s">
        <v>1550</v>
      </c>
      <c r="Q165" s="44" t="str">
        <f t="shared" si="96"/>
        <v xml:space="preserve"> </v>
      </c>
      <c r="R165" s="33" t="str">
        <f>IF(OR(ISBLANK(P165), ISBLANK(Q165)),"",CONCATENATE(" ",VLOOKUP(Q165,Literatuur!$A:$B,2,FALSE)," "))</f>
        <v/>
      </c>
      <c r="T165" s="44" t="str">
        <f t="shared" si="97"/>
        <v xml:space="preserve"> </v>
      </c>
      <c r="U165" s="33" t="str">
        <f>IF(OR(ISBLANK(S165), ISBLANK(T165)),"",CONCATENATE(" ",VLOOKUP(T165,Literatuur!$A:$B,2,FALSE)," "))</f>
        <v/>
      </c>
      <c r="W165" s="44" t="str">
        <f t="shared" si="98"/>
        <v xml:space="preserve"> </v>
      </c>
      <c r="X165" s="33" t="str">
        <f>IF(OR(ISBLANK(V165), ISBLANK(W165)),"",CONCATENATE(" ",VLOOKUP(W165,Literatuur!$A:$B,2,FALSE)," "))</f>
        <v/>
      </c>
      <c r="Z165" s="44" t="str">
        <f t="shared" si="99"/>
        <v xml:space="preserve"> </v>
      </c>
      <c r="AA165" s="33" t="str">
        <f>IF(OR(ISBLANK(Y165), ISBLANK(Z165)),"",CONCATENATE(" ",VLOOKUP(Z165,Literatuur!$A:$B,2,FALSE)," "))</f>
        <v/>
      </c>
      <c r="AC165" s="36" t="str">
        <f t="shared" si="100"/>
        <v xml:space="preserve"> </v>
      </c>
      <c r="AD165" s="33" t="str">
        <f>IF(OR(ISBLANK(AB165), ISBLANK(AC165)),"",CONCATENATE(" ",VLOOKUP(AC165,Literatuur!$A:$B,2,FALSE)," "))</f>
        <v/>
      </c>
      <c r="AG165" s="33" t="str">
        <f>IF(OR(ISBLANK(AE165), ISBLANK(AF165)),"",CONCATENATE(" ",VLOOKUP(AF165,Literatuur!$A:$B,2,FALSE)," "))</f>
        <v/>
      </c>
      <c r="AJ165" s="44" t="str">
        <f t="shared" si="101"/>
        <v xml:space="preserve"> </v>
      </c>
      <c r="AK165" s="33" t="str">
        <f>IF(OR(ISBLANK(AI165), ISBLANK(AJ165)),"",CONCATENATE(" ",VLOOKUP(AJ165,Literatuur!$A:$B,2,FALSE)," "))</f>
        <v/>
      </c>
      <c r="AM165" s="44" t="str">
        <f t="shared" si="102"/>
        <v xml:space="preserve"> </v>
      </c>
      <c r="AN165" s="33" t="str">
        <f>IF(OR(ISBLANK(AL165), ISBLANK(AM165)),"",CONCATENATE(" ",VLOOKUP(AM165,Literatuur!$A:$B,2,FALSE)," "))</f>
        <v/>
      </c>
      <c r="AP165" s="44" t="str">
        <f t="shared" si="103"/>
        <v xml:space="preserve"> </v>
      </c>
      <c r="AQ165" s="33" t="str">
        <f>IF(OR(ISBLANK(AO165), ISBLANK(AP165)),"",CONCATENATE(" ",VLOOKUP(AP165,Literatuur!$A:$B,2,FALSE)," "))</f>
        <v/>
      </c>
      <c r="AT165" s="33" t="str">
        <f>IF(OR(ISBLANK(AR165), ISBLANK(AS165)),"",CONCATENATE(" ",VLOOKUP(AS165,Literatuur!$A:$B,2,FALSE)," "))</f>
        <v/>
      </c>
      <c r="AU165" s="33">
        <v>128</v>
      </c>
      <c r="AV165" s="33" t="s">
        <v>2066</v>
      </c>
      <c r="AW165" s="33" t="str">
        <f>IF(OR(ISBLANK(AU165), ISBLANK(AV165)),"",CONCATENATE(" ",VLOOKUP(AV165,Literatuur!$A:$B,2,FALSE)," "))</f>
        <v xml:space="preserve"> 8 </v>
      </c>
      <c r="AZ165" s="44" t="str">
        <f t="shared" si="104"/>
        <v xml:space="preserve"> </v>
      </c>
      <c r="BA165" s="33" t="str">
        <f>IF(OR(ISBLANK(AY165), ISBLANK(AZ165)),"",CONCATENATE(" ",VLOOKUP(AZ165,Literatuur!$A:$B,2,FALSE)," "))</f>
        <v/>
      </c>
      <c r="BC165" s="44" t="str">
        <f t="shared" si="105"/>
        <v xml:space="preserve"> </v>
      </c>
      <c r="BD165" s="33" t="str">
        <f>IF(OR(ISBLANK(BB165), ISBLANK(BC165)),"",CONCATENATE(" ",VLOOKUP(BC165,Literatuur!$A:$B,2,FALSE)," "))</f>
        <v/>
      </c>
      <c r="BF165" s="44" t="str">
        <f t="shared" si="106"/>
        <v xml:space="preserve"> </v>
      </c>
      <c r="BG165" s="33" t="str">
        <f>IF(OR(ISBLANK(BE165), ISBLANK(BF165)),"",CONCATENATE(" ",VLOOKUP(BF165,Literatuur!$A:$B,2,FALSE)," "))</f>
        <v/>
      </c>
      <c r="BI165" s="44" t="str">
        <f t="shared" si="107"/>
        <v xml:space="preserve"> </v>
      </c>
      <c r="BJ165" s="33" t="str">
        <f>IF(OR(ISBLANK(BH165), ISBLANK(BI165)),"",CONCATENATE(" ",VLOOKUP(BI165,Literatuur!$A:$B,2,FALSE)," "))</f>
        <v/>
      </c>
      <c r="BL165" s="44" t="str">
        <f t="shared" si="108"/>
        <v xml:space="preserve"> </v>
      </c>
      <c r="BM165" s="33" t="str">
        <f>IF(OR(ISBLANK(BK165), ISBLANK(BL165)),"",CONCATENATE(" ",VLOOKUP(BL165,Literatuur!$A:$B,2,FALSE)," "))</f>
        <v/>
      </c>
      <c r="BP165" s="33" t="str">
        <f>IF(OR(ISBLANK(BN165), ISBLANK(BO165)),"",CONCATENATE(" ",VLOOKUP(BO165,Literatuur!$A:$B,2,FALSE)," "))</f>
        <v/>
      </c>
      <c r="BS165" s="33" t="str">
        <f>IF(OR(ISBLANK(BQ165), ISBLANK(BR165)),"",CONCATENATE(" ",VLOOKUP(BR165,Literatuur!$A:$B,2,FALSE)," "))</f>
        <v/>
      </c>
      <c r="BT165" s="33">
        <v>3.3</v>
      </c>
      <c r="BU165" s="33" t="s">
        <v>2066</v>
      </c>
      <c r="BV165" s="33" t="str">
        <f>IF(OR(ISBLANK(BT165), ISBLANK(BU165)),"",CONCATENATE(" ",VLOOKUP(BU165,Literatuur!$A:$B,2,FALSE)," "))</f>
        <v xml:space="preserve"> 8 </v>
      </c>
      <c r="BY165" s="33">
        <v>128.19999999999999</v>
      </c>
      <c r="CB165" s="33" t="s">
        <v>2066</v>
      </c>
      <c r="CD165" s="33">
        <f t="shared" si="125"/>
        <v>128.19999999999999</v>
      </c>
      <c r="CE165" s="37">
        <f t="shared" si="123"/>
        <v>128</v>
      </c>
      <c r="CH165" s="33">
        <f t="shared" si="124"/>
        <v>3.3</v>
      </c>
      <c r="CR165" s="33" t="str">
        <f t="shared" si="109"/>
        <v>naphthalene</v>
      </c>
      <c r="CS165" s="33" t="str">
        <f t="shared" si="110"/>
        <v>PAK</v>
      </c>
      <c r="CT165" s="33">
        <f t="shared" si="111"/>
        <v>128</v>
      </c>
      <c r="CU165" s="33" t="str">
        <f t="shared" si="112"/>
        <v xml:space="preserve"> 8 </v>
      </c>
      <c r="CV165" s="33" t="str">
        <f t="shared" si="113"/>
        <v/>
      </c>
      <c r="CW165" s="33" t="str">
        <f t="shared" si="114"/>
        <v/>
      </c>
      <c r="CX165" s="33">
        <f t="shared" si="115"/>
        <v>3.3</v>
      </c>
      <c r="CY165" s="33" t="str">
        <f t="shared" si="116"/>
        <v xml:space="preserve"> 8 </v>
      </c>
    </row>
    <row r="166" spans="1:103" x14ac:dyDescent="0.2">
      <c r="B166" s="33">
        <v>-1548</v>
      </c>
      <c r="C166" s="33" t="e">
        <f>VLOOKUP(B166,Lohman2011!$I$7:$U$28,2,FALSE)</f>
        <v>#N/A</v>
      </c>
      <c r="D166" s="105" t="s">
        <v>572</v>
      </c>
      <c r="E166" s="105" t="s">
        <v>572</v>
      </c>
      <c r="F166" s="34"/>
      <c r="G166" s="34"/>
      <c r="I166" s="33">
        <f t="shared" si="126"/>
        <v>252.15</v>
      </c>
      <c r="J166" s="33">
        <f t="shared" si="117"/>
        <v>2.620096279985866E-2</v>
      </c>
      <c r="K166" s="44">
        <f t="shared" si="121"/>
        <v>6.1749999999999998</v>
      </c>
      <c r="L166" s="33">
        <f t="shared" si="122"/>
        <v>219.45</v>
      </c>
      <c r="M166" s="33" t="s">
        <v>1550</v>
      </c>
      <c r="Q166" s="44" t="str">
        <f t="shared" si="96"/>
        <v xml:space="preserve"> </v>
      </c>
      <c r="R166" s="33" t="str">
        <f>IF(OR(ISBLANK(P166), ISBLANK(Q166)),"",CONCATENATE(" ",VLOOKUP(Q166,Literatuur!$A:$B,2,FALSE)," "))</f>
        <v/>
      </c>
      <c r="T166" s="44" t="str">
        <f t="shared" si="97"/>
        <v xml:space="preserve"> </v>
      </c>
      <c r="U166" s="33" t="str">
        <f>IF(OR(ISBLANK(S166), ISBLANK(T166)),"",CONCATENATE(" ",VLOOKUP(T166,Literatuur!$A:$B,2,FALSE)," "))</f>
        <v/>
      </c>
      <c r="W166" s="44" t="str">
        <f t="shared" si="98"/>
        <v xml:space="preserve"> </v>
      </c>
      <c r="X166" s="33" t="str">
        <f>IF(OR(ISBLANK(V166), ISBLANK(W166)),"",CONCATENATE(" ",VLOOKUP(W166,Literatuur!$A:$B,2,FALSE)," "))</f>
        <v/>
      </c>
      <c r="Z166" s="44" t="str">
        <f t="shared" si="99"/>
        <v xml:space="preserve"> </v>
      </c>
      <c r="AA166" s="33" t="str">
        <f>IF(OR(ISBLANK(Y166), ISBLANK(Z166)),"",CONCATENATE(" ",VLOOKUP(Z166,Literatuur!$A:$B,2,FALSE)," "))</f>
        <v/>
      </c>
      <c r="AC166" s="186" t="str">
        <f t="shared" si="100"/>
        <v xml:space="preserve"> </v>
      </c>
      <c r="AD166" s="33" t="str">
        <f>IF(OR(ISBLANK(AB166), ISBLANK(AC166)),"",CONCATENATE(" ",VLOOKUP(AC166,Literatuur!$A:$B,2,FALSE)," "))</f>
        <v/>
      </c>
      <c r="AE166" s="39">
        <v>2.620096279985866E-2</v>
      </c>
      <c r="AF166" s="33" t="s">
        <v>1557</v>
      </c>
      <c r="AG166" s="33" t="str">
        <f>IF(OR(ISBLANK(AE166), ISBLANK(AF166)),"",CONCATENATE(" ",VLOOKUP(AF166,Literatuur!$A:$B,2,FALSE)," "))</f>
        <v xml:space="preserve"> 17 </v>
      </c>
      <c r="AJ166" s="44" t="str">
        <f t="shared" si="101"/>
        <v xml:space="preserve"> </v>
      </c>
      <c r="AK166" s="33" t="str">
        <f>IF(OR(ISBLANK(AI166), ISBLANK(AJ166)),"",CONCATENATE(" ",VLOOKUP(AJ166,Literatuur!$A:$B,2,FALSE)," "))</f>
        <v/>
      </c>
      <c r="AM166" s="44" t="str">
        <f t="shared" si="102"/>
        <v xml:space="preserve"> </v>
      </c>
      <c r="AN166" s="33" t="str">
        <f>IF(OR(ISBLANK(AL166), ISBLANK(AM166)),"",CONCATENATE(" ",VLOOKUP(AM166,Literatuur!$A:$B,2,FALSE)," "))</f>
        <v/>
      </c>
      <c r="AP166" s="44" t="str">
        <f t="shared" si="103"/>
        <v xml:space="preserve"> </v>
      </c>
      <c r="AQ166" s="33" t="str">
        <f>IF(OR(ISBLANK(AO166), ISBLANK(AP166)),"",CONCATENATE(" ",VLOOKUP(AP166,Literatuur!$A:$B,2,FALSE)," "))</f>
        <v/>
      </c>
      <c r="AR166" s="33">
        <v>252.3</v>
      </c>
      <c r="AT166" s="33" t="str">
        <f>IF(OR(ISBLANK(AR166), ISBLANK(AS166)),"",CONCATENATE(" ",VLOOKUP(AS166,Literatuur!$A:$B,2,FALSE)," "))</f>
        <v/>
      </c>
      <c r="AU166" s="33">
        <v>252</v>
      </c>
      <c r="AV166" s="33" t="s">
        <v>2066</v>
      </c>
      <c r="AW166" s="33" t="str">
        <f>IF(OR(ISBLANK(AU166), ISBLANK(AV166)),"",CONCATENATE(" ",VLOOKUP(AV166,Literatuur!$A:$B,2,FALSE)," "))</f>
        <v xml:space="preserve"> 8 </v>
      </c>
      <c r="AZ166" s="44" t="str">
        <f t="shared" si="104"/>
        <v xml:space="preserve"> </v>
      </c>
      <c r="BA166" s="33" t="str">
        <f>IF(OR(ISBLANK(AY166), ISBLANK(AZ166)),"",CONCATENATE(" ",VLOOKUP(AZ166,Literatuur!$A:$B,2,FALSE)," "))</f>
        <v/>
      </c>
      <c r="BC166" s="44" t="str">
        <f t="shared" si="105"/>
        <v xml:space="preserve"> </v>
      </c>
      <c r="BD166" s="33" t="str">
        <f>IF(OR(ISBLANK(BB166), ISBLANK(BC166)),"",CONCATENATE(" ",VLOOKUP(BC166,Literatuur!$A:$B,2,FALSE)," "))</f>
        <v/>
      </c>
      <c r="BF166" s="44" t="str">
        <f t="shared" si="106"/>
        <v xml:space="preserve"> </v>
      </c>
      <c r="BG166" s="33" t="str">
        <f>IF(OR(ISBLANK(BE166), ISBLANK(BF166)),"",CONCATENATE(" ",VLOOKUP(BF166,Literatuur!$A:$B,2,FALSE)," "))</f>
        <v/>
      </c>
      <c r="BI166" s="44" t="str">
        <f t="shared" si="107"/>
        <v xml:space="preserve"> </v>
      </c>
      <c r="BJ166" s="33" t="str">
        <f>IF(OR(ISBLANK(BH166), ISBLANK(BI166)),"",CONCATENATE(" ",VLOOKUP(BI166,Literatuur!$A:$B,2,FALSE)," "))</f>
        <v/>
      </c>
      <c r="BL166" s="44" t="str">
        <f t="shared" si="108"/>
        <v xml:space="preserve"> </v>
      </c>
      <c r="BM166" s="33" t="str">
        <f>IF(OR(ISBLANK(BK166), ISBLANK(BL166)),"",CONCATENATE(" ",VLOOKUP(BL166,Literatuur!$A:$B,2,FALSE)," "))</f>
        <v/>
      </c>
      <c r="BN166" s="33">
        <v>6.1</v>
      </c>
      <c r="BO166" s="33" t="s">
        <v>1557</v>
      </c>
      <c r="BP166" s="33" t="str">
        <f>IF(OR(ISBLANK(BN166), ISBLANK(BO166)),"",CONCATENATE(" ",VLOOKUP(BO166,Literatuur!$A:$B,2,FALSE)," "))</f>
        <v xml:space="preserve"> 17 </v>
      </c>
      <c r="BS166" s="33" t="str">
        <f>IF(OR(ISBLANK(BQ166), ISBLANK(BR166)),"",CONCATENATE(" ",VLOOKUP(BR166,Literatuur!$A:$B,2,FALSE)," "))</f>
        <v/>
      </c>
      <c r="BT166" s="33">
        <v>6.25</v>
      </c>
      <c r="BU166" s="33" t="s">
        <v>2066</v>
      </c>
      <c r="BV166" s="33" t="str">
        <f>IF(OR(ISBLANK(BT166), ISBLANK(BU166)),"",CONCATENATE(" ",VLOOKUP(BU166,Literatuur!$A:$B,2,FALSE)," "))</f>
        <v xml:space="preserve"> 8 </v>
      </c>
      <c r="BX166" s="33">
        <v>219.6</v>
      </c>
      <c r="BY166" s="33">
        <v>219.3</v>
      </c>
      <c r="CA166" s="33" t="s">
        <v>1557</v>
      </c>
      <c r="CB166" s="33" t="s">
        <v>2066</v>
      </c>
      <c r="CD166" s="33">
        <f t="shared" si="125"/>
        <v>219.45</v>
      </c>
      <c r="CE166" s="37">
        <f t="shared" si="123"/>
        <v>252.15</v>
      </c>
      <c r="CG166" s="33">
        <f t="shared" ref="CG166:CG178" si="127">LOG(J166)</f>
        <v>-1.5816827494824268</v>
      </c>
      <c r="CH166" s="33">
        <f t="shared" si="124"/>
        <v>6.1749999999999998</v>
      </c>
      <c r="CR166" s="33" t="str">
        <f t="shared" si="109"/>
        <v>perylene</v>
      </c>
      <c r="CS166" s="33" t="str">
        <f t="shared" si="110"/>
        <v>PAK</v>
      </c>
      <c r="CT166" s="33">
        <f t="shared" si="111"/>
        <v>252.15</v>
      </c>
      <c r="CU166" s="33" t="str">
        <f t="shared" si="112"/>
        <v xml:space="preserve"> 8 </v>
      </c>
      <c r="CV166" s="33">
        <f t="shared" si="113"/>
        <v>2.620096279985866E-2</v>
      </c>
      <c r="CW166" s="33" t="str">
        <f t="shared" si="114"/>
        <v xml:space="preserve"> 17 </v>
      </c>
      <c r="CX166" s="33">
        <f t="shared" si="115"/>
        <v>6.1749999999999998</v>
      </c>
      <c r="CY166" s="33" t="str">
        <f t="shared" si="116"/>
        <v xml:space="preserve"> 17  8 </v>
      </c>
    </row>
    <row r="167" spans="1:103" x14ac:dyDescent="0.2">
      <c r="B167" s="33">
        <v>-1538</v>
      </c>
      <c r="C167" s="33" t="e">
        <f>VLOOKUP(B167,Lohman2011!$I$7:$U$28,2,FALSE)</f>
        <v>#N/A</v>
      </c>
      <c r="D167" s="105" t="s">
        <v>562</v>
      </c>
      <c r="E167" s="105" t="s">
        <v>562</v>
      </c>
      <c r="F167" s="34"/>
      <c r="G167" s="34"/>
      <c r="I167" s="33">
        <f t="shared" si="126"/>
        <v>178.1</v>
      </c>
      <c r="J167" s="33">
        <f t="shared" si="117"/>
        <v>4.3501847309898105</v>
      </c>
      <c r="K167" s="44">
        <f t="shared" si="121"/>
        <v>4.4800000000000004</v>
      </c>
      <c r="L167" s="33">
        <f t="shared" si="122"/>
        <v>160.35</v>
      </c>
      <c r="M167" s="33" t="s">
        <v>1550</v>
      </c>
      <c r="Q167" s="44" t="str">
        <f t="shared" si="96"/>
        <v xml:space="preserve"> </v>
      </c>
      <c r="R167" s="33" t="str">
        <f>IF(OR(ISBLANK(P167), ISBLANK(Q167)),"",CONCATENATE(" ",VLOOKUP(Q167,Literatuur!$A:$B,2,FALSE)," "))</f>
        <v/>
      </c>
      <c r="T167" s="44" t="str">
        <f t="shared" si="97"/>
        <v xml:space="preserve"> </v>
      </c>
      <c r="U167" s="33" t="str">
        <f>IF(OR(ISBLANK(S167), ISBLANK(T167)),"",CONCATENATE(" ",VLOOKUP(T167,Literatuur!$A:$B,2,FALSE)," "))</f>
        <v/>
      </c>
      <c r="W167" s="44" t="str">
        <f t="shared" si="98"/>
        <v xml:space="preserve"> </v>
      </c>
      <c r="X167" s="33" t="str">
        <f>IF(OR(ISBLANK(V167), ISBLANK(W167)),"",CONCATENATE(" ",VLOOKUP(W167,Literatuur!$A:$B,2,FALSE)," "))</f>
        <v/>
      </c>
      <c r="Z167" s="44" t="str">
        <f t="shared" si="99"/>
        <v xml:space="preserve"> </v>
      </c>
      <c r="AA167" s="33" t="str">
        <f>IF(OR(ISBLANK(Y167), ISBLANK(Z167)),"",CONCATENATE(" ",VLOOKUP(Z167,Literatuur!$A:$B,2,FALSE)," "))</f>
        <v/>
      </c>
      <c r="AC167" s="186" t="str">
        <f t="shared" si="100"/>
        <v xml:space="preserve"> </v>
      </c>
      <c r="AD167" s="33" t="str">
        <f>IF(OR(ISBLANK(AB167), ISBLANK(AC167)),"",CONCATENATE(" ",VLOOKUP(AC167,Literatuur!$A:$B,2,FALSE)," "))</f>
        <v/>
      </c>
      <c r="AE167" s="39">
        <v>4.3501847309898105</v>
      </c>
      <c r="AF167" s="33" t="s">
        <v>1557</v>
      </c>
      <c r="AG167" s="33" t="str">
        <f>IF(OR(ISBLANK(AE167), ISBLANK(AF167)),"",CONCATENATE(" ",VLOOKUP(AF167,Literatuur!$A:$B,2,FALSE)," "))</f>
        <v xml:space="preserve"> 17 </v>
      </c>
      <c r="AJ167" s="44" t="str">
        <f t="shared" si="101"/>
        <v xml:space="preserve"> </v>
      </c>
      <c r="AK167" s="33" t="str">
        <f>IF(OR(ISBLANK(AI167), ISBLANK(AJ167)),"",CONCATENATE(" ",VLOOKUP(AJ167,Literatuur!$A:$B,2,FALSE)," "))</f>
        <v/>
      </c>
      <c r="AM167" s="44" t="str">
        <f t="shared" si="102"/>
        <v xml:space="preserve"> </v>
      </c>
      <c r="AN167" s="33" t="str">
        <f>IF(OR(ISBLANK(AL167), ISBLANK(AM167)),"",CONCATENATE(" ",VLOOKUP(AM167,Literatuur!$A:$B,2,FALSE)," "))</f>
        <v/>
      </c>
      <c r="AP167" s="44" t="str">
        <f t="shared" si="103"/>
        <v xml:space="preserve"> </v>
      </c>
      <c r="AQ167" s="33" t="str">
        <f>IF(OR(ISBLANK(AO167), ISBLANK(AP167)),"",CONCATENATE(" ",VLOOKUP(AP167,Literatuur!$A:$B,2,FALSE)," "))</f>
        <v/>
      </c>
      <c r="AR167" s="33">
        <v>178.2</v>
      </c>
      <c r="AS167" s="33" t="s">
        <v>1557</v>
      </c>
      <c r="AT167" s="33" t="str">
        <f>IF(OR(ISBLANK(AR167), ISBLANK(AS167)),"",CONCATENATE(" ",VLOOKUP(AS167,Literatuur!$A:$B,2,FALSE)," "))</f>
        <v xml:space="preserve"> 17 </v>
      </c>
      <c r="AU167" s="33">
        <v>178</v>
      </c>
      <c r="AV167" s="33" t="s">
        <v>2066</v>
      </c>
      <c r="AW167" s="33" t="str">
        <f>IF(OR(ISBLANK(AU167), ISBLANK(AV167)),"",CONCATENATE(" ",VLOOKUP(AV167,Literatuur!$A:$B,2,FALSE)," "))</f>
        <v xml:space="preserve"> 8 </v>
      </c>
      <c r="AZ167" s="44" t="str">
        <f t="shared" si="104"/>
        <v xml:space="preserve"> </v>
      </c>
      <c r="BA167" s="33" t="str">
        <f>IF(OR(ISBLANK(AY167), ISBLANK(AZ167)),"",CONCATENATE(" ",VLOOKUP(AZ167,Literatuur!$A:$B,2,FALSE)," "))</f>
        <v/>
      </c>
      <c r="BC167" s="44" t="str">
        <f t="shared" si="105"/>
        <v xml:space="preserve"> </v>
      </c>
      <c r="BD167" s="33" t="str">
        <f>IF(OR(ISBLANK(BB167), ISBLANK(BC167)),"",CONCATENATE(" ",VLOOKUP(BC167,Literatuur!$A:$B,2,FALSE)," "))</f>
        <v/>
      </c>
      <c r="BF167" s="44" t="str">
        <f t="shared" si="106"/>
        <v xml:space="preserve"> </v>
      </c>
      <c r="BG167" s="33" t="str">
        <f>IF(OR(ISBLANK(BE167), ISBLANK(BF167)),"",CONCATENATE(" ",VLOOKUP(BF167,Literatuur!$A:$B,2,FALSE)," "))</f>
        <v/>
      </c>
      <c r="BI167" s="44" t="str">
        <f t="shared" si="107"/>
        <v xml:space="preserve"> </v>
      </c>
      <c r="BJ167" s="33" t="str">
        <f>IF(OR(ISBLANK(BH167), ISBLANK(BI167)),"",CONCATENATE(" ",VLOOKUP(BI167,Literatuur!$A:$B,2,FALSE)," "))</f>
        <v/>
      </c>
      <c r="BL167" s="44" t="str">
        <f t="shared" si="108"/>
        <v xml:space="preserve"> </v>
      </c>
      <c r="BM167" s="33" t="str">
        <f>IF(OR(ISBLANK(BK167), ISBLANK(BL167)),"",CONCATENATE(" ",VLOOKUP(BL167,Literatuur!$A:$B,2,FALSE)," "))</f>
        <v/>
      </c>
      <c r="BN167" s="33">
        <v>4.5</v>
      </c>
      <c r="BO167" s="33" t="s">
        <v>1557</v>
      </c>
      <c r="BP167" s="33" t="str">
        <f>IF(OR(ISBLANK(BN167), ISBLANK(BO167)),"",CONCATENATE(" ",VLOOKUP(BO167,Literatuur!$A:$B,2,FALSE)," "))</f>
        <v xml:space="preserve"> 17 </v>
      </c>
      <c r="BS167" s="33" t="str">
        <f>IF(OR(ISBLANK(BQ167), ISBLANK(BR167)),"",CONCATENATE(" ",VLOOKUP(BR167,Literatuur!$A:$B,2,FALSE)," "))</f>
        <v/>
      </c>
      <c r="BT167" s="33">
        <v>4.46</v>
      </c>
      <c r="BU167" s="33" t="s">
        <v>2066</v>
      </c>
      <c r="BV167" s="33" t="str">
        <f>IF(OR(ISBLANK(BT167), ISBLANK(BU167)),"",CONCATENATE(" ",VLOOKUP(BU167,Literatuur!$A:$B,2,FALSE)," "))</f>
        <v xml:space="preserve"> 8 </v>
      </c>
      <c r="BX167" s="33">
        <v>160.6</v>
      </c>
      <c r="BY167" s="33">
        <v>160.1</v>
      </c>
      <c r="CA167" s="33" t="s">
        <v>1557</v>
      </c>
      <c r="CB167" s="33" t="s">
        <v>2066</v>
      </c>
      <c r="CD167" s="33">
        <f t="shared" si="125"/>
        <v>160.35</v>
      </c>
      <c r="CE167" s="37">
        <f t="shared" si="123"/>
        <v>178.1</v>
      </c>
      <c r="CG167" s="33">
        <f t="shared" si="127"/>
        <v>0.63850769970085575</v>
      </c>
      <c r="CH167" s="33">
        <f t="shared" si="124"/>
        <v>4.4800000000000004</v>
      </c>
      <c r="CR167" s="33" t="str">
        <f t="shared" si="109"/>
        <v>phenanthrene</v>
      </c>
      <c r="CS167" s="33" t="str">
        <f t="shared" si="110"/>
        <v>PAK</v>
      </c>
      <c r="CT167" s="33">
        <f t="shared" si="111"/>
        <v>178.1</v>
      </c>
      <c r="CU167" s="33" t="str">
        <f t="shared" si="112"/>
        <v xml:space="preserve"> 17  8 </v>
      </c>
      <c r="CV167" s="33">
        <f t="shared" si="113"/>
        <v>4.3501847309898105</v>
      </c>
      <c r="CW167" s="33" t="str">
        <f t="shared" si="114"/>
        <v xml:space="preserve"> 17 </v>
      </c>
      <c r="CX167" s="33">
        <f t="shared" si="115"/>
        <v>4.4800000000000004</v>
      </c>
      <c r="CY167" s="33" t="str">
        <f t="shared" si="116"/>
        <v xml:space="preserve"> 17  8 </v>
      </c>
    </row>
    <row r="168" spans="1:103" x14ac:dyDescent="0.2">
      <c r="B168" s="33">
        <v>-1541</v>
      </c>
      <c r="C168" s="33" t="e">
        <f>VLOOKUP(B168,Lohman2011!$I$7:$U$28,2,FALSE)</f>
        <v>#N/A</v>
      </c>
      <c r="D168" s="105" t="s">
        <v>565</v>
      </c>
      <c r="E168" s="105" t="s">
        <v>565</v>
      </c>
      <c r="F168" s="34"/>
      <c r="G168" s="34"/>
      <c r="I168" s="33">
        <f t="shared" si="126"/>
        <v>202.15</v>
      </c>
      <c r="J168" s="33">
        <f t="shared" si="117"/>
        <v>0.83636506257935239</v>
      </c>
      <c r="K168" s="44">
        <f t="shared" si="121"/>
        <v>4.9399999999999995</v>
      </c>
      <c r="L168" s="33">
        <f t="shared" si="122"/>
        <v>182.10000000000002</v>
      </c>
      <c r="M168" s="33" t="s">
        <v>1550</v>
      </c>
      <c r="Q168" s="44" t="str">
        <f t="shared" si="96"/>
        <v xml:space="preserve"> </v>
      </c>
      <c r="R168" s="33" t="str">
        <f>IF(OR(ISBLANK(P168), ISBLANK(Q168)),"",CONCATENATE(" ",VLOOKUP(Q168,Literatuur!$A:$B,2,FALSE)," "))</f>
        <v/>
      </c>
      <c r="T168" s="44" t="str">
        <f t="shared" si="97"/>
        <v xml:space="preserve"> </v>
      </c>
      <c r="U168" s="33" t="str">
        <f>IF(OR(ISBLANK(S168), ISBLANK(T168)),"",CONCATENATE(" ",VLOOKUP(T168,Literatuur!$A:$B,2,FALSE)," "))</f>
        <v/>
      </c>
      <c r="W168" s="44" t="str">
        <f t="shared" si="98"/>
        <v xml:space="preserve"> </v>
      </c>
      <c r="X168" s="33" t="str">
        <f>IF(OR(ISBLANK(V168), ISBLANK(W168)),"",CONCATENATE(" ",VLOOKUP(W168,Literatuur!$A:$B,2,FALSE)," "))</f>
        <v/>
      </c>
      <c r="Z168" s="44" t="str">
        <f t="shared" si="99"/>
        <v xml:space="preserve"> </v>
      </c>
      <c r="AA168" s="33" t="str">
        <f>IF(OR(ISBLANK(Y168), ISBLANK(Z168)),"",CONCATENATE(" ",VLOOKUP(Z168,Literatuur!$A:$B,2,FALSE)," "))</f>
        <v/>
      </c>
      <c r="AC168" s="186" t="str">
        <f t="shared" si="100"/>
        <v xml:space="preserve"> </v>
      </c>
      <c r="AD168" s="33" t="str">
        <f>IF(OR(ISBLANK(AB168), ISBLANK(AC168)),"",CONCATENATE(" ",VLOOKUP(AC168,Literatuur!$A:$B,2,FALSE)," "))</f>
        <v/>
      </c>
      <c r="AE168" s="39">
        <v>0.83636506257935239</v>
      </c>
      <c r="AF168" s="33" t="s">
        <v>1557</v>
      </c>
      <c r="AG168" s="33" t="str">
        <f>IF(OR(ISBLANK(AE168), ISBLANK(AF168)),"",CONCATENATE(" ",VLOOKUP(AF168,Literatuur!$A:$B,2,FALSE)," "))</f>
        <v xml:space="preserve"> 17 </v>
      </c>
      <c r="AJ168" s="44" t="str">
        <f t="shared" si="101"/>
        <v xml:space="preserve"> </v>
      </c>
      <c r="AK168" s="33" t="str">
        <f>IF(OR(ISBLANK(AI168), ISBLANK(AJ168)),"",CONCATENATE(" ",VLOOKUP(AJ168,Literatuur!$A:$B,2,FALSE)," "))</f>
        <v/>
      </c>
      <c r="AM168" s="44" t="str">
        <f t="shared" si="102"/>
        <v xml:space="preserve"> </v>
      </c>
      <c r="AN168" s="33" t="str">
        <f>IF(OR(ISBLANK(AL168), ISBLANK(AM168)),"",CONCATENATE(" ",VLOOKUP(AM168,Literatuur!$A:$B,2,FALSE)," "))</f>
        <v/>
      </c>
      <c r="AP168" s="44" t="str">
        <f t="shared" si="103"/>
        <v xml:space="preserve"> </v>
      </c>
      <c r="AQ168" s="33" t="str">
        <f>IF(OR(ISBLANK(AO168), ISBLANK(AP168)),"",CONCATENATE(" ",VLOOKUP(AP168,Literatuur!$A:$B,2,FALSE)," "))</f>
        <v/>
      </c>
      <c r="AR168" s="33">
        <v>202.3</v>
      </c>
      <c r="AS168" s="33" t="s">
        <v>1557</v>
      </c>
      <c r="AT168" s="33" t="str">
        <f>IF(OR(ISBLANK(AR168), ISBLANK(AS168)),"",CONCATENATE(" ",VLOOKUP(AS168,Literatuur!$A:$B,2,FALSE)," "))</f>
        <v xml:space="preserve"> 17 </v>
      </c>
      <c r="AU168" s="33">
        <v>202</v>
      </c>
      <c r="AV168" s="33" t="s">
        <v>2066</v>
      </c>
      <c r="AW168" s="33" t="str">
        <f>IF(OR(ISBLANK(AU168), ISBLANK(AV168)),"",CONCATENATE(" ",VLOOKUP(AV168,Literatuur!$A:$B,2,FALSE)," "))</f>
        <v xml:space="preserve"> 8 </v>
      </c>
      <c r="AZ168" s="44" t="str">
        <f t="shared" si="104"/>
        <v xml:space="preserve"> </v>
      </c>
      <c r="BA168" s="33" t="str">
        <f>IF(OR(ISBLANK(AY168), ISBLANK(AZ168)),"",CONCATENATE(" ",VLOOKUP(AZ168,Literatuur!$A:$B,2,FALSE)," "))</f>
        <v/>
      </c>
      <c r="BC168" s="44" t="str">
        <f t="shared" si="105"/>
        <v xml:space="preserve"> </v>
      </c>
      <c r="BD168" s="33" t="str">
        <f>IF(OR(ISBLANK(BB168), ISBLANK(BC168)),"",CONCATENATE(" ",VLOOKUP(BC168,Literatuur!$A:$B,2,FALSE)," "))</f>
        <v/>
      </c>
      <c r="BF168" s="44" t="str">
        <f t="shared" si="106"/>
        <v xml:space="preserve"> </v>
      </c>
      <c r="BG168" s="33" t="str">
        <f>IF(OR(ISBLANK(BE168), ISBLANK(BF168)),"",CONCATENATE(" ",VLOOKUP(BF168,Literatuur!$A:$B,2,FALSE)," "))</f>
        <v/>
      </c>
      <c r="BI168" s="44" t="str">
        <f t="shared" si="107"/>
        <v xml:space="preserve"> </v>
      </c>
      <c r="BJ168" s="33" t="str">
        <f>IF(OR(ISBLANK(BH168), ISBLANK(BI168)),"",CONCATENATE(" ",VLOOKUP(BI168,Literatuur!$A:$B,2,FALSE)," "))</f>
        <v/>
      </c>
      <c r="BL168" s="44" t="str">
        <f t="shared" si="108"/>
        <v xml:space="preserve"> </v>
      </c>
      <c r="BM168" s="33" t="str">
        <f>IF(OR(ISBLANK(BK168), ISBLANK(BL168)),"",CONCATENATE(" ",VLOOKUP(BL168,Literatuur!$A:$B,2,FALSE)," "))</f>
        <v/>
      </c>
      <c r="BN168" s="33">
        <v>5</v>
      </c>
      <c r="BO168" s="33" t="s">
        <v>1557</v>
      </c>
      <c r="BP168" s="33" t="str">
        <f>IF(OR(ISBLANK(BN168), ISBLANK(BO168)),"",CONCATENATE(" ",VLOOKUP(BO168,Literatuur!$A:$B,2,FALSE)," "))</f>
        <v xml:space="preserve"> 17 </v>
      </c>
      <c r="BS168" s="33" t="str">
        <f>IF(OR(ISBLANK(BQ168), ISBLANK(BR168)),"",CONCATENATE(" ",VLOOKUP(BR168,Literatuur!$A:$B,2,FALSE)," "))</f>
        <v/>
      </c>
      <c r="BT168" s="33">
        <v>4.88</v>
      </c>
      <c r="BU168" s="33" t="s">
        <v>2066</v>
      </c>
      <c r="BV168" s="33" t="str">
        <f>IF(OR(ISBLANK(BT168), ISBLANK(BU168)),"",CONCATENATE(" ",VLOOKUP(BU168,Literatuur!$A:$B,2,FALSE)," "))</f>
        <v xml:space="preserve"> 8 </v>
      </c>
      <c r="BX168" s="33">
        <v>182.3</v>
      </c>
      <c r="BY168" s="33">
        <v>181.9</v>
      </c>
      <c r="CA168" s="33" t="s">
        <v>1557</v>
      </c>
      <c r="CB168" s="33" t="s">
        <v>2066</v>
      </c>
      <c r="CD168" s="33">
        <f t="shared" si="125"/>
        <v>182.10000000000002</v>
      </c>
      <c r="CE168" s="37">
        <f t="shared" si="123"/>
        <v>202.15</v>
      </c>
      <c r="CG168" s="33">
        <f t="shared" si="127"/>
        <v>-7.760411722919576E-2</v>
      </c>
      <c r="CH168" s="33">
        <f t="shared" si="124"/>
        <v>4.9399999999999995</v>
      </c>
      <c r="CR168" s="33" t="str">
        <f t="shared" si="109"/>
        <v>pyrene</v>
      </c>
      <c r="CS168" s="33" t="str">
        <f t="shared" si="110"/>
        <v>PAK</v>
      </c>
      <c r="CT168" s="33">
        <f t="shared" si="111"/>
        <v>202.15</v>
      </c>
      <c r="CU168" s="33" t="str">
        <f t="shared" si="112"/>
        <v xml:space="preserve"> 17  8 </v>
      </c>
      <c r="CV168" s="33">
        <f t="shared" si="113"/>
        <v>0.83636506257935239</v>
      </c>
      <c r="CW168" s="33" t="str">
        <f t="shared" si="114"/>
        <v xml:space="preserve"> 17 </v>
      </c>
      <c r="CX168" s="33">
        <f t="shared" si="115"/>
        <v>4.9399999999999995</v>
      </c>
      <c r="CY168" s="33" t="str">
        <f t="shared" si="116"/>
        <v xml:space="preserve"> 17  8 </v>
      </c>
    </row>
    <row r="169" spans="1:103" x14ac:dyDescent="0.2">
      <c r="B169" s="33">
        <v>-1527</v>
      </c>
      <c r="D169" s="33" t="s">
        <v>1379</v>
      </c>
      <c r="E169" s="33" t="s">
        <v>1379</v>
      </c>
      <c r="F169" s="33" t="s">
        <v>1369</v>
      </c>
      <c r="H169" s="34" t="s">
        <v>485</v>
      </c>
      <c r="I169" s="37">
        <f t="shared" si="126"/>
        <v>100.16</v>
      </c>
      <c r="J169" s="33">
        <f t="shared" si="117"/>
        <v>6000</v>
      </c>
      <c r="K169" s="44">
        <f t="shared" si="121"/>
        <v>1.78</v>
      </c>
      <c r="L169" s="33" t="e">
        <f t="shared" si="122"/>
        <v>#DIV/0!</v>
      </c>
      <c r="M169" s="33" t="s">
        <v>1551</v>
      </c>
      <c r="Q169" s="44" t="str">
        <f t="shared" si="96"/>
        <v xml:space="preserve"> </v>
      </c>
      <c r="R169" s="33" t="str">
        <f>IF(OR(ISBLANK(P169), ISBLANK(Q169)),"",CONCATENATE(" ",VLOOKUP(Q169,Literatuur!$A:$B,2,FALSE)," "))</f>
        <v/>
      </c>
      <c r="S169" s="33">
        <v>6000</v>
      </c>
      <c r="T169" s="44" t="str">
        <f t="shared" si="97"/>
        <v>Gestis</v>
      </c>
      <c r="U169" s="33" t="str">
        <f>IF(OR(ISBLANK(S169), ISBLANK(T169)),"",CONCATENATE(" ",VLOOKUP(T169,Literatuur!$A:$B,2,FALSE)," "))</f>
        <v xml:space="preserve"> A </v>
      </c>
      <c r="W169" s="44" t="str">
        <f t="shared" si="98"/>
        <v xml:space="preserve"> </v>
      </c>
      <c r="X169" s="33" t="str">
        <f>IF(OR(ISBLANK(V169), ISBLANK(W169)),"",CONCATENATE(" ",VLOOKUP(W169,Literatuur!$A:$B,2,FALSE)," "))</f>
        <v/>
      </c>
      <c r="Z169" s="44" t="str">
        <f t="shared" si="99"/>
        <v xml:space="preserve"> </v>
      </c>
      <c r="AA169" s="33" t="str">
        <f>IF(OR(ISBLANK(Y169), ISBLANK(Z169)),"",CONCATENATE(" ",VLOOKUP(Z169,Literatuur!$A:$B,2,FALSE)," "))</f>
        <v/>
      </c>
      <c r="AC169" s="36" t="str">
        <f t="shared" si="100"/>
        <v xml:space="preserve"> </v>
      </c>
      <c r="AD169" s="33" t="str">
        <f>IF(OR(ISBLANK(AB169), ISBLANK(AC169)),"",CONCATENATE(" ",VLOOKUP(AC169,Literatuur!$A:$B,2,FALSE)," "))</f>
        <v/>
      </c>
      <c r="AG169" s="33" t="str">
        <f>IF(OR(ISBLANK(AE169), ISBLANK(AF169)),"",CONCATENATE(" ",VLOOKUP(AF169,Literatuur!$A:$B,2,FALSE)," "))</f>
        <v/>
      </c>
      <c r="AJ169" s="44" t="str">
        <f t="shared" si="101"/>
        <v xml:space="preserve"> </v>
      </c>
      <c r="AK169" s="33" t="str">
        <f>IF(OR(ISBLANK(AI169), ISBLANK(AJ169)),"",CONCATENATE(" ",VLOOKUP(AJ169,Literatuur!$A:$B,2,FALSE)," "))</f>
        <v/>
      </c>
      <c r="AL169" s="33">
        <v>100.16</v>
      </c>
      <c r="AM169" s="44" t="str">
        <f t="shared" si="102"/>
        <v>Gestis</v>
      </c>
      <c r="AN169" s="33" t="str">
        <f>IF(OR(ISBLANK(AL169), ISBLANK(AM169)),"",CONCATENATE(" ",VLOOKUP(AM169,Literatuur!$A:$B,2,FALSE)," "))</f>
        <v xml:space="preserve"> A </v>
      </c>
      <c r="AP169" s="44" t="str">
        <f t="shared" si="103"/>
        <v xml:space="preserve"> </v>
      </c>
      <c r="AQ169" s="33" t="str">
        <f>IF(OR(ISBLANK(AO169), ISBLANK(AP169)),"",CONCATENATE(" ",VLOOKUP(AP169,Literatuur!$A:$B,2,FALSE)," "))</f>
        <v/>
      </c>
      <c r="AT169" s="33" t="str">
        <f>IF(OR(ISBLANK(AR169), ISBLANK(AS169)),"",CONCATENATE(" ",VLOOKUP(AS169,Literatuur!$A:$B,2,FALSE)," "))</f>
        <v/>
      </c>
      <c r="AW169" s="33" t="str">
        <f>IF(OR(ISBLANK(AU169), ISBLANK(AV169)),"",CONCATENATE(" ",VLOOKUP(AV169,Literatuur!$A:$B,2,FALSE)," "))</f>
        <v/>
      </c>
      <c r="AZ169" s="44" t="str">
        <f t="shared" si="104"/>
        <v xml:space="preserve"> </v>
      </c>
      <c r="BA169" s="33" t="str">
        <f>IF(OR(ISBLANK(AY169), ISBLANK(AZ169)),"",CONCATENATE(" ",VLOOKUP(AZ169,Literatuur!$A:$B,2,FALSE)," "))</f>
        <v/>
      </c>
      <c r="BB169" s="33">
        <v>1.78</v>
      </c>
      <c r="BC169" s="44" t="str">
        <f t="shared" si="105"/>
        <v>Gestis</v>
      </c>
      <c r="BD169" s="33" t="str">
        <f>IF(OR(ISBLANK(BB169), ISBLANK(BC169)),"",CONCATENATE(" ",VLOOKUP(BC169,Literatuur!$A:$B,2,FALSE)," "))</f>
        <v xml:space="preserve"> A </v>
      </c>
      <c r="BF169" s="44" t="str">
        <f t="shared" si="106"/>
        <v xml:space="preserve"> </v>
      </c>
      <c r="BG169" s="33" t="str">
        <f>IF(OR(ISBLANK(BE169), ISBLANK(BF169)),"",CONCATENATE(" ",VLOOKUP(BF169,Literatuur!$A:$B,2,FALSE)," "))</f>
        <v/>
      </c>
      <c r="BI169" s="44" t="str">
        <f t="shared" si="107"/>
        <v xml:space="preserve"> </v>
      </c>
      <c r="BJ169" s="33" t="str">
        <f>IF(OR(ISBLANK(BH169), ISBLANK(BI169)),"",CONCATENATE(" ",VLOOKUP(BI169,Literatuur!$A:$B,2,FALSE)," "))</f>
        <v/>
      </c>
      <c r="BL169" s="44" t="str">
        <f t="shared" si="108"/>
        <v xml:space="preserve"> </v>
      </c>
      <c r="BM169" s="33" t="str">
        <f>IF(OR(ISBLANK(BK169), ISBLANK(BL169)),"",CONCATENATE(" ",VLOOKUP(BL169,Literatuur!$A:$B,2,FALSE)," "))</f>
        <v/>
      </c>
      <c r="BP169" s="33" t="str">
        <f>IF(OR(ISBLANK(BN169), ISBLANK(BO169)),"",CONCATENATE(" ",VLOOKUP(BO169,Literatuur!$A:$B,2,FALSE)," "))</f>
        <v/>
      </c>
      <c r="BS169" s="33" t="str">
        <f>IF(OR(ISBLANK(BQ169), ISBLANK(BR169)),"",CONCATENATE(" ",VLOOKUP(BR169,Literatuur!$A:$B,2,FALSE)," "))</f>
        <v/>
      </c>
      <c r="BV169" s="33" t="str">
        <f>IF(OR(ISBLANK(BT169), ISBLANK(BU169)),"",CONCATENATE(" ",VLOOKUP(BU169,Literatuur!$A:$B,2,FALSE)," "))</f>
        <v/>
      </c>
      <c r="CE169" s="37">
        <f t="shared" si="123"/>
        <v>100.16</v>
      </c>
      <c r="CG169" s="33">
        <f t="shared" si="127"/>
        <v>3.7781512503836434</v>
      </c>
      <c r="CH169" s="33">
        <f t="shared" si="124"/>
        <v>1.78</v>
      </c>
      <c r="CR169" s="33" t="str">
        <f t="shared" si="109"/>
        <v xml:space="preserve"> Hexaldehyde</v>
      </c>
      <c r="CS169" s="33" t="str">
        <f t="shared" si="110"/>
        <v xml:space="preserve">overige </v>
      </c>
      <c r="CT169" s="33">
        <f t="shared" si="111"/>
        <v>100.16</v>
      </c>
      <c r="CU169" s="33" t="str">
        <f t="shared" si="112"/>
        <v xml:space="preserve"> A </v>
      </c>
      <c r="CV169" s="33">
        <f t="shared" si="113"/>
        <v>6000</v>
      </c>
      <c r="CW169" s="33" t="str">
        <f t="shared" si="114"/>
        <v xml:space="preserve"> A </v>
      </c>
      <c r="CX169" s="33">
        <f t="shared" si="115"/>
        <v>1.78</v>
      </c>
      <c r="CY169" s="33" t="str">
        <f t="shared" si="116"/>
        <v xml:space="preserve"> A </v>
      </c>
    </row>
    <row r="170" spans="1:103" x14ac:dyDescent="0.2">
      <c r="A170" s="31"/>
      <c r="B170" s="33">
        <v>-1400</v>
      </c>
      <c r="D170" s="33" t="s">
        <v>324</v>
      </c>
      <c r="E170" s="33" t="s">
        <v>1321</v>
      </c>
      <c r="F170" s="33" t="s">
        <v>1320</v>
      </c>
      <c r="H170" s="34" t="s">
        <v>1319</v>
      </c>
      <c r="I170" s="37">
        <f t="shared" si="126"/>
        <v>93.13</v>
      </c>
      <c r="J170" s="33">
        <f t="shared" si="117"/>
        <v>35333.333333333336</v>
      </c>
      <c r="K170" s="44">
        <f t="shared" si="121"/>
        <v>0.98799999999999999</v>
      </c>
      <c r="L170" s="33" t="e">
        <f t="shared" si="122"/>
        <v>#DIV/0!</v>
      </c>
      <c r="M170" s="33" t="s">
        <v>1551</v>
      </c>
      <c r="Q170" s="44" t="str">
        <f t="shared" si="96"/>
        <v xml:space="preserve"> </v>
      </c>
      <c r="R170" s="33" t="str">
        <f>IF(OR(ISBLANK(P170), ISBLANK(Q170)),"",CONCATENATE(" ",VLOOKUP(Q170,Literatuur!$A:$B,2,FALSE)," "))</f>
        <v/>
      </c>
      <c r="S170" s="37"/>
      <c r="T170" s="44" t="str">
        <f t="shared" si="97"/>
        <v xml:space="preserve"> </v>
      </c>
      <c r="U170" s="33" t="str">
        <f>IF(OR(ISBLANK(S170), ISBLANK(T170)),"",CONCATENATE(" ",VLOOKUP(T170,Literatuur!$A:$B,2,FALSE)," "))</f>
        <v/>
      </c>
      <c r="W170" s="44" t="str">
        <f t="shared" si="98"/>
        <v xml:space="preserve"> </v>
      </c>
      <c r="X170" s="33" t="str">
        <f>IF(OR(ISBLANK(V170), ISBLANK(W170)),"",CONCATENATE(" ",VLOOKUP(W170,Literatuur!$A:$B,2,FALSE)," "))</f>
        <v/>
      </c>
      <c r="Y170" s="33">
        <v>36000</v>
      </c>
      <c r="Z170" s="44" t="str">
        <f t="shared" si="99"/>
        <v>US EPA suite</v>
      </c>
      <c r="AA170" s="33" t="str">
        <f>IF(OR(ISBLANK(Y170), ISBLANK(Z170)),"",CONCATENATE(" ",VLOOKUP(Z170,Literatuur!$A:$B,2,FALSE)," "))</f>
        <v xml:space="preserve"> F </v>
      </c>
      <c r="AB170" s="36">
        <v>34000</v>
      </c>
      <c r="AC170" s="36" t="str">
        <f t="shared" si="100"/>
        <v>Vonk 1985</v>
      </c>
      <c r="AD170" s="33" t="str">
        <f>IF(OR(ISBLANK(AB170), ISBLANK(AC170)),"",CONCATENATE(" ",VLOOKUP(AC170,Literatuur!$A:$B,2,FALSE)," "))</f>
        <v xml:space="preserve"> 37 </v>
      </c>
      <c r="AE170" s="36">
        <v>36000</v>
      </c>
      <c r="AF170" s="33" t="s">
        <v>1902</v>
      </c>
      <c r="AG170" s="33" t="str">
        <f>IF(OR(ISBLANK(AE170), ISBLANK(AF170)),"",CONCATENATE(" ",VLOOKUP(AF170,Literatuur!$A:$B,2,FALSE)," "))</f>
        <v xml:space="preserve"> B </v>
      </c>
      <c r="AI170" s="37"/>
      <c r="AJ170" s="44" t="str">
        <f t="shared" si="101"/>
        <v xml:space="preserve"> </v>
      </c>
      <c r="AK170" s="33" t="str">
        <f>IF(OR(ISBLANK(AI170), ISBLANK(AJ170)),"",CONCATENATE(" ",VLOOKUP(AJ170,Literatuur!$A:$B,2,FALSE)," "))</f>
        <v/>
      </c>
      <c r="AL170" s="36"/>
      <c r="AM170" s="44" t="str">
        <f t="shared" si="102"/>
        <v xml:space="preserve"> </v>
      </c>
      <c r="AN170" s="33" t="str">
        <f>IF(OR(ISBLANK(AL170), ISBLANK(AM170)),"",CONCATENATE(" ",VLOOKUP(AM170,Literatuur!$A:$B,2,FALSE)," "))</f>
        <v/>
      </c>
      <c r="AO170" s="36">
        <v>93.13</v>
      </c>
      <c r="AP170" s="44" t="str">
        <f t="shared" si="103"/>
        <v>US EPA suite</v>
      </c>
      <c r="AQ170" s="33" t="str">
        <f>IF(OR(ISBLANK(AO170), ISBLANK(AP170)),"",CONCATENATE(" ",VLOOKUP(AP170,Literatuur!$A:$B,2,FALSE)," "))</f>
        <v xml:space="preserve"> F </v>
      </c>
      <c r="AR170" s="36"/>
      <c r="AT170" s="33" t="str">
        <f>IF(OR(ISBLANK(AR170), ISBLANK(AS170)),"",CONCATENATE(" ",VLOOKUP(AS170,Literatuur!$A:$B,2,FALSE)," "))</f>
        <v/>
      </c>
      <c r="AV170" s="36"/>
      <c r="AW170" s="33" t="str">
        <f>IF(OR(ISBLANK(AU170), ISBLANK(AV170)),"",CONCATENATE(" ",VLOOKUP(AV170,Literatuur!$A:$B,2,FALSE)," "))</f>
        <v/>
      </c>
      <c r="AY170" s="44"/>
      <c r="AZ170" s="44" t="str">
        <f t="shared" si="104"/>
        <v xml:space="preserve"> </v>
      </c>
      <c r="BA170" s="33" t="str">
        <f>IF(OR(ISBLANK(AY170), ISBLANK(AZ170)),"",CONCATENATE(" ",VLOOKUP(AZ170,Literatuur!$A:$B,2,FALSE)," "))</f>
        <v/>
      </c>
      <c r="BB170" s="44"/>
      <c r="BC170" s="44" t="str">
        <f t="shared" si="105"/>
        <v xml:space="preserve"> </v>
      </c>
      <c r="BD170" s="33" t="str">
        <f>IF(OR(ISBLANK(BB170), ISBLANK(BC170)),"",CONCATENATE(" ",VLOOKUP(BC170,Literatuur!$A:$B,2,FALSE)," "))</f>
        <v/>
      </c>
      <c r="BF170" s="44" t="str">
        <f t="shared" si="106"/>
        <v xml:space="preserve"> </v>
      </c>
      <c r="BG170" s="33" t="str">
        <f>IF(OR(ISBLANK(BE170), ISBLANK(BF170)),"",CONCATENATE(" ",VLOOKUP(BF170,Literatuur!$A:$B,2,FALSE)," "))</f>
        <v/>
      </c>
      <c r="BH170" s="33">
        <v>0.9</v>
      </c>
      <c r="BI170" s="44" t="str">
        <f t="shared" si="107"/>
        <v>US EPA suite</v>
      </c>
      <c r="BJ170" s="33" t="str">
        <f>IF(OR(ISBLANK(BH170), ISBLANK(BI170)),"",CONCATENATE(" ",VLOOKUP(BI170,Literatuur!$A:$B,2,FALSE)," "))</f>
        <v xml:space="preserve"> F </v>
      </c>
      <c r="BL170" s="44" t="str">
        <f t="shared" si="108"/>
        <v xml:space="preserve"> </v>
      </c>
      <c r="BM170" s="33" t="str">
        <f>IF(OR(ISBLANK(BK170), ISBLANK(BL170)),"",CONCATENATE(" ",VLOOKUP(BL170,Literatuur!$A:$B,2,FALSE)," "))</f>
        <v/>
      </c>
      <c r="BO170" s="46"/>
      <c r="BP170" s="33" t="str">
        <f>IF(OR(ISBLANK(BN170), ISBLANK(BO170)),"",CONCATENATE(" ",VLOOKUP(BO170,Literatuur!$A:$B,2,FALSE)," "))</f>
        <v/>
      </c>
      <c r="BR170" s="46"/>
      <c r="BS170" s="33" t="str">
        <f>IF(OR(ISBLANK(BQ170), ISBLANK(BR170)),"",CONCATENATE(" ",VLOOKUP(BR170,Literatuur!$A:$B,2,FALSE)," "))</f>
        <v/>
      </c>
      <c r="BT170" s="46">
        <v>1.0760000000000001</v>
      </c>
      <c r="BU170" s="33" t="s">
        <v>1902</v>
      </c>
      <c r="BV170" s="33" t="str">
        <f>IF(OR(ISBLANK(BT170), ISBLANK(BU170)),"",CONCATENATE(" ",VLOOKUP(BU170,Literatuur!$A:$B,2,FALSE)," "))</f>
        <v xml:space="preserve"> B </v>
      </c>
      <c r="CE170" s="37">
        <f t="shared" si="123"/>
        <v>93.13</v>
      </c>
      <c r="CG170" s="33">
        <f t="shared" si="127"/>
        <v>4.5481846105451078</v>
      </c>
      <c r="CH170" s="33">
        <f t="shared" si="124"/>
        <v>0.98799999999999999</v>
      </c>
      <c r="CR170" s="33" t="str">
        <f t="shared" si="109"/>
        <v>Anilin</v>
      </c>
      <c r="CS170" s="33" t="str">
        <f t="shared" si="110"/>
        <v xml:space="preserve">overige </v>
      </c>
      <c r="CT170" s="33">
        <f t="shared" si="111"/>
        <v>93.13</v>
      </c>
      <c r="CU170" s="33" t="str">
        <f t="shared" si="112"/>
        <v xml:space="preserve"> F </v>
      </c>
      <c r="CV170" s="33">
        <f t="shared" si="113"/>
        <v>35333.333333333336</v>
      </c>
      <c r="CW170" s="33" t="str">
        <f t="shared" si="114"/>
        <v xml:space="preserve"> F  37  B </v>
      </c>
      <c r="CX170" s="33">
        <f t="shared" si="115"/>
        <v>0.98799999999999999</v>
      </c>
      <c r="CY170" s="33" t="str">
        <f t="shared" si="116"/>
        <v xml:space="preserve"> F  B </v>
      </c>
    </row>
    <row r="171" spans="1:103" x14ac:dyDescent="0.2">
      <c r="B171" s="33">
        <v>-1514</v>
      </c>
      <c r="D171" s="33" t="s">
        <v>482</v>
      </c>
      <c r="E171" s="33" t="s">
        <v>482</v>
      </c>
      <c r="H171" s="34" t="s">
        <v>483</v>
      </c>
      <c r="I171" s="37">
        <f t="shared" si="126"/>
        <v>42.08</v>
      </c>
      <c r="J171" s="33">
        <f t="shared" si="117"/>
        <v>502000</v>
      </c>
      <c r="K171" s="44">
        <f t="shared" si="121"/>
        <v>1.72</v>
      </c>
      <c r="L171" s="33" t="e">
        <f t="shared" si="122"/>
        <v>#DIV/0!</v>
      </c>
      <c r="M171" s="33" t="s">
        <v>1551</v>
      </c>
      <c r="Q171" s="44" t="str">
        <f t="shared" si="96"/>
        <v xml:space="preserve"> </v>
      </c>
      <c r="R171" s="33" t="str">
        <f>IF(OR(ISBLANK(P171), ISBLANK(Q171)),"",CONCATENATE(" ",VLOOKUP(Q171,Literatuur!$A:$B,2,FALSE)," "))</f>
        <v/>
      </c>
      <c r="S171" s="33">
        <v>502000</v>
      </c>
      <c r="T171" s="44" t="str">
        <f t="shared" si="97"/>
        <v>Gestis</v>
      </c>
      <c r="U171" s="33" t="str">
        <f>IF(OR(ISBLANK(S171), ISBLANK(T171)),"",CONCATENATE(" ",VLOOKUP(T171,Literatuur!$A:$B,2,FALSE)," "))</f>
        <v xml:space="preserve"> A </v>
      </c>
      <c r="W171" s="44" t="str">
        <f t="shared" si="98"/>
        <v xml:space="preserve"> </v>
      </c>
      <c r="X171" s="33" t="str">
        <f>IF(OR(ISBLANK(V171), ISBLANK(W171)),"",CONCATENATE(" ",VLOOKUP(W171,Literatuur!$A:$B,2,FALSE)," "))</f>
        <v/>
      </c>
      <c r="Z171" s="44" t="str">
        <f t="shared" si="99"/>
        <v xml:space="preserve"> </v>
      </c>
      <c r="AA171" s="33" t="str">
        <f>IF(OR(ISBLANK(Y171), ISBLANK(Z171)),"",CONCATENATE(" ",VLOOKUP(Z171,Literatuur!$A:$B,2,FALSE)," "))</f>
        <v/>
      </c>
      <c r="AC171" s="36" t="str">
        <f t="shared" si="100"/>
        <v xml:space="preserve"> </v>
      </c>
      <c r="AD171" s="33" t="str">
        <f>IF(OR(ISBLANK(AB171), ISBLANK(AC171)),"",CONCATENATE(" ",VLOOKUP(AC171,Literatuur!$A:$B,2,FALSE)," "))</f>
        <v/>
      </c>
      <c r="AG171" s="33" t="str">
        <f>IF(OR(ISBLANK(AE171), ISBLANK(AF171)),"",CONCATENATE(" ",VLOOKUP(AF171,Literatuur!$A:$B,2,FALSE)," "))</f>
        <v/>
      </c>
      <c r="AJ171" s="44" t="str">
        <f t="shared" si="101"/>
        <v xml:space="preserve"> </v>
      </c>
      <c r="AK171" s="33" t="str">
        <f>IF(OR(ISBLANK(AI171), ISBLANK(AJ171)),"",CONCATENATE(" ",VLOOKUP(AJ171,Literatuur!$A:$B,2,FALSE)," "))</f>
        <v/>
      </c>
      <c r="AL171" s="33">
        <v>42.08</v>
      </c>
      <c r="AM171" s="44" t="str">
        <f t="shared" si="102"/>
        <v>Gestis</v>
      </c>
      <c r="AN171" s="33" t="str">
        <f>IF(OR(ISBLANK(AL171), ISBLANK(AM171)),"",CONCATENATE(" ",VLOOKUP(AM171,Literatuur!$A:$B,2,FALSE)," "))</f>
        <v xml:space="preserve"> A </v>
      </c>
      <c r="AP171" s="44" t="str">
        <f t="shared" si="103"/>
        <v xml:space="preserve"> </v>
      </c>
      <c r="AQ171" s="33" t="str">
        <f>IF(OR(ISBLANK(AO171), ISBLANK(AP171)),"",CONCATENATE(" ",VLOOKUP(AP171,Literatuur!$A:$B,2,FALSE)," "))</f>
        <v/>
      </c>
      <c r="AT171" s="33" t="str">
        <f>IF(OR(ISBLANK(AR171), ISBLANK(AS171)),"",CONCATENATE(" ",VLOOKUP(AS171,Literatuur!$A:$B,2,FALSE)," "))</f>
        <v/>
      </c>
      <c r="AW171" s="33" t="str">
        <f>IF(OR(ISBLANK(AU171), ISBLANK(AV171)),"",CONCATENATE(" ",VLOOKUP(AV171,Literatuur!$A:$B,2,FALSE)," "))</f>
        <v/>
      </c>
      <c r="AZ171" s="44" t="str">
        <f t="shared" si="104"/>
        <v xml:space="preserve"> </v>
      </c>
      <c r="BA171" s="33" t="str">
        <f>IF(OR(ISBLANK(AY171), ISBLANK(AZ171)),"",CONCATENATE(" ",VLOOKUP(AZ171,Literatuur!$A:$B,2,FALSE)," "))</f>
        <v/>
      </c>
      <c r="BB171" s="33">
        <v>1.72</v>
      </c>
      <c r="BC171" s="44" t="str">
        <f t="shared" si="105"/>
        <v>Gestis</v>
      </c>
      <c r="BD171" s="33" t="str">
        <f>IF(OR(ISBLANK(BB171), ISBLANK(BC171)),"",CONCATENATE(" ",VLOOKUP(BC171,Literatuur!$A:$B,2,FALSE)," "))</f>
        <v xml:space="preserve"> A </v>
      </c>
      <c r="BF171" s="44" t="str">
        <f t="shared" si="106"/>
        <v xml:space="preserve"> </v>
      </c>
      <c r="BG171" s="33" t="str">
        <f>IF(OR(ISBLANK(BE171), ISBLANK(BF171)),"",CONCATENATE(" ",VLOOKUP(BF171,Literatuur!$A:$B,2,FALSE)," "))</f>
        <v/>
      </c>
      <c r="BI171" s="44" t="str">
        <f t="shared" si="107"/>
        <v xml:space="preserve"> </v>
      </c>
      <c r="BJ171" s="33" t="str">
        <f>IF(OR(ISBLANK(BH171), ISBLANK(BI171)),"",CONCATENATE(" ",VLOOKUP(BI171,Literatuur!$A:$B,2,FALSE)," "))</f>
        <v/>
      </c>
      <c r="BL171" s="44" t="str">
        <f t="shared" si="108"/>
        <v xml:space="preserve"> </v>
      </c>
      <c r="BM171" s="33" t="str">
        <f>IF(OR(ISBLANK(BK171), ISBLANK(BL171)),"",CONCATENATE(" ",VLOOKUP(BL171,Literatuur!$A:$B,2,FALSE)," "))</f>
        <v/>
      </c>
      <c r="BP171" s="33" t="str">
        <f>IF(OR(ISBLANK(BN171), ISBLANK(BO171)),"",CONCATENATE(" ",VLOOKUP(BO171,Literatuur!$A:$B,2,FALSE)," "))</f>
        <v/>
      </c>
      <c r="BS171" s="33" t="str">
        <f>IF(OR(ISBLANK(BQ171), ISBLANK(BR171)),"",CONCATENATE(" ",VLOOKUP(BR171,Literatuur!$A:$B,2,FALSE)," "))</f>
        <v/>
      </c>
      <c r="BV171" s="33" t="str">
        <f>IF(OR(ISBLANK(BT171), ISBLANK(BU171)),"",CONCATENATE(" ",VLOOKUP(BU171,Literatuur!$A:$B,2,FALSE)," "))</f>
        <v/>
      </c>
      <c r="CE171" s="37">
        <f t="shared" si="123"/>
        <v>42.08</v>
      </c>
      <c r="CG171" s="33">
        <f t="shared" si="127"/>
        <v>5.7007037171450197</v>
      </c>
      <c r="CH171" s="33">
        <f t="shared" si="124"/>
        <v>1.72</v>
      </c>
      <c r="CR171" s="33" t="str">
        <f t="shared" si="109"/>
        <v>Cyclopopane</v>
      </c>
      <c r="CS171" s="33" t="str">
        <f t="shared" si="110"/>
        <v xml:space="preserve">overige </v>
      </c>
      <c r="CT171" s="33">
        <f t="shared" si="111"/>
        <v>42.08</v>
      </c>
      <c r="CU171" s="33" t="str">
        <f t="shared" si="112"/>
        <v xml:space="preserve"> A </v>
      </c>
      <c r="CV171" s="33">
        <f t="shared" si="113"/>
        <v>502000</v>
      </c>
      <c r="CW171" s="33" t="str">
        <f t="shared" si="114"/>
        <v xml:space="preserve"> A </v>
      </c>
      <c r="CX171" s="33">
        <f t="shared" si="115"/>
        <v>1.72</v>
      </c>
      <c r="CY171" s="33" t="str">
        <f t="shared" si="116"/>
        <v xml:space="preserve"> A </v>
      </c>
    </row>
    <row r="172" spans="1:103" x14ac:dyDescent="0.2">
      <c r="B172" s="33">
        <v>-1513</v>
      </c>
      <c r="D172" s="33" t="s">
        <v>454</v>
      </c>
      <c r="E172" s="33" t="s">
        <v>454</v>
      </c>
      <c r="H172" s="34" t="s">
        <v>455</v>
      </c>
      <c r="I172" s="37">
        <f t="shared" si="126"/>
        <v>78.14</v>
      </c>
      <c r="J172" s="33">
        <f t="shared" si="117"/>
        <v>1000000</v>
      </c>
      <c r="K172" s="44">
        <f t="shared" si="121"/>
        <v>-1.35</v>
      </c>
      <c r="L172" s="33" t="e">
        <f t="shared" si="122"/>
        <v>#DIV/0!</v>
      </c>
      <c r="M172" s="33" t="s">
        <v>1551</v>
      </c>
      <c r="Q172" s="44" t="str">
        <f t="shared" si="96"/>
        <v xml:space="preserve"> </v>
      </c>
      <c r="R172" s="33" t="str">
        <f>IF(OR(ISBLANK(P172), ISBLANK(Q172)),"",CONCATENATE(" ",VLOOKUP(Q172,Literatuur!$A:$B,2,FALSE)," "))</f>
        <v/>
      </c>
      <c r="S172" s="33">
        <v>1000000</v>
      </c>
      <c r="T172" s="44" t="str">
        <f t="shared" si="97"/>
        <v>Gestis</v>
      </c>
      <c r="U172" s="33" t="str">
        <f>IF(OR(ISBLANK(S172), ISBLANK(T172)),"",CONCATENATE(" ",VLOOKUP(T172,Literatuur!$A:$B,2,FALSE)," "))</f>
        <v xml:space="preserve"> A </v>
      </c>
      <c r="W172" s="44" t="str">
        <f t="shared" si="98"/>
        <v xml:space="preserve"> </v>
      </c>
      <c r="X172" s="33" t="str">
        <f>IF(OR(ISBLANK(V172), ISBLANK(W172)),"",CONCATENATE(" ",VLOOKUP(W172,Literatuur!$A:$B,2,FALSE)," "))</f>
        <v/>
      </c>
      <c r="Z172" s="44" t="str">
        <f t="shared" si="99"/>
        <v xml:space="preserve"> </v>
      </c>
      <c r="AA172" s="33" t="str">
        <f>IF(OR(ISBLANK(Y172), ISBLANK(Z172)),"",CONCATENATE(" ",VLOOKUP(Z172,Literatuur!$A:$B,2,FALSE)," "))</f>
        <v/>
      </c>
      <c r="AC172" s="36" t="str">
        <f t="shared" si="100"/>
        <v xml:space="preserve"> </v>
      </c>
      <c r="AD172" s="33" t="str">
        <f>IF(OR(ISBLANK(AB172), ISBLANK(AC172)),"",CONCATENATE(" ",VLOOKUP(AC172,Literatuur!$A:$B,2,FALSE)," "))</f>
        <v/>
      </c>
      <c r="AG172" s="33" t="str">
        <f>IF(OR(ISBLANK(AE172), ISBLANK(AF172)),"",CONCATENATE(" ",VLOOKUP(AF172,Literatuur!$A:$B,2,FALSE)," "))</f>
        <v/>
      </c>
      <c r="AJ172" s="44" t="str">
        <f t="shared" si="101"/>
        <v xml:space="preserve"> </v>
      </c>
      <c r="AK172" s="33" t="str">
        <f>IF(OR(ISBLANK(AI172), ISBLANK(AJ172)),"",CONCATENATE(" ",VLOOKUP(AJ172,Literatuur!$A:$B,2,FALSE)," "))</f>
        <v/>
      </c>
      <c r="AL172" s="33">
        <v>78.14</v>
      </c>
      <c r="AM172" s="44" t="str">
        <f t="shared" si="102"/>
        <v>Gestis</v>
      </c>
      <c r="AN172" s="33" t="str">
        <f>IF(OR(ISBLANK(AL172), ISBLANK(AM172)),"",CONCATENATE(" ",VLOOKUP(AM172,Literatuur!$A:$B,2,FALSE)," "))</f>
        <v xml:space="preserve"> A </v>
      </c>
      <c r="AP172" s="44" t="str">
        <f t="shared" si="103"/>
        <v xml:space="preserve"> </v>
      </c>
      <c r="AQ172" s="33" t="str">
        <f>IF(OR(ISBLANK(AO172), ISBLANK(AP172)),"",CONCATENATE(" ",VLOOKUP(AP172,Literatuur!$A:$B,2,FALSE)," "))</f>
        <v/>
      </c>
      <c r="AT172" s="33" t="str">
        <f>IF(OR(ISBLANK(AR172), ISBLANK(AS172)),"",CONCATENATE(" ",VLOOKUP(AS172,Literatuur!$A:$B,2,FALSE)," "))</f>
        <v/>
      </c>
      <c r="AW172" s="33" t="str">
        <f>IF(OR(ISBLANK(AU172), ISBLANK(AV172)),"",CONCATENATE(" ",VLOOKUP(AV172,Literatuur!$A:$B,2,FALSE)," "))</f>
        <v/>
      </c>
      <c r="AZ172" s="44" t="str">
        <f t="shared" si="104"/>
        <v xml:space="preserve"> </v>
      </c>
      <c r="BA172" s="33" t="str">
        <f>IF(OR(ISBLANK(AY172), ISBLANK(AZ172)),"",CONCATENATE(" ",VLOOKUP(AZ172,Literatuur!$A:$B,2,FALSE)," "))</f>
        <v/>
      </c>
      <c r="BB172" s="33">
        <v>-1.35</v>
      </c>
      <c r="BC172" s="44" t="str">
        <f t="shared" si="105"/>
        <v>Gestis</v>
      </c>
      <c r="BD172" s="33" t="str">
        <f>IF(OR(ISBLANK(BB172), ISBLANK(BC172)),"",CONCATENATE(" ",VLOOKUP(BC172,Literatuur!$A:$B,2,FALSE)," "))</f>
        <v xml:space="preserve"> A </v>
      </c>
      <c r="BF172" s="44" t="str">
        <f t="shared" si="106"/>
        <v xml:space="preserve"> </v>
      </c>
      <c r="BG172" s="33" t="str">
        <f>IF(OR(ISBLANK(BE172), ISBLANK(BF172)),"",CONCATENATE(" ",VLOOKUP(BF172,Literatuur!$A:$B,2,FALSE)," "))</f>
        <v/>
      </c>
      <c r="BI172" s="44" t="str">
        <f t="shared" si="107"/>
        <v xml:space="preserve"> </v>
      </c>
      <c r="BJ172" s="33" t="str">
        <f>IF(OR(ISBLANK(BH172), ISBLANK(BI172)),"",CONCATENATE(" ",VLOOKUP(BI172,Literatuur!$A:$B,2,FALSE)," "))</f>
        <v/>
      </c>
      <c r="BL172" s="44" t="str">
        <f t="shared" si="108"/>
        <v xml:space="preserve"> </v>
      </c>
      <c r="BM172" s="33" t="str">
        <f>IF(OR(ISBLANK(BK172), ISBLANK(BL172)),"",CONCATENATE(" ",VLOOKUP(BL172,Literatuur!$A:$B,2,FALSE)," "))</f>
        <v/>
      </c>
      <c r="BP172" s="33" t="str">
        <f>IF(OR(ISBLANK(BN172), ISBLANK(BO172)),"",CONCATENATE(" ",VLOOKUP(BO172,Literatuur!$A:$B,2,FALSE)," "))</f>
        <v/>
      </c>
      <c r="BS172" s="33" t="str">
        <f>IF(OR(ISBLANK(BQ172), ISBLANK(BR172)),"",CONCATENATE(" ",VLOOKUP(BR172,Literatuur!$A:$B,2,FALSE)," "))</f>
        <v/>
      </c>
      <c r="BV172" s="33" t="str">
        <f>IF(OR(ISBLANK(BT172), ISBLANK(BU172)),"",CONCATENATE(" ",VLOOKUP(BU172,Literatuur!$A:$B,2,FALSE)," "))</f>
        <v/>
      </c>
      <c r="CE172" s="37">
        <f t="shared" si="123"/>
        <v>78.14</v>
      </c>
      <c r="CG172" s="33">
        <f t="shared" si="127"/>
        <v>6</v>
      </c>
      <c r="CH172" s="33">
        <f t="shared" si="124"/>
        <v>-1.35</v>
      </c>
      <c r="CR172" s="33" t="str">
        <f t="shared" si="109"/>
        <v>Dimethyl sulfoxide</v>
      </c>
      <c r="CS172" s="33" t="str">
        <f t="shared" si="110"/>
        <v xml:space="preserve">overige </v>
      </c>
      <c r="CT172" s="33">
        <f t="shared" si="111"/>
        <v>78.14</v>
      </c>
      <c r="CU172" s="33" t="str">
        <f t="shared" si="112"/>
        <v xml:space="preserve"> A </v>
      </c>
      <c r="CV172" s="33">
        <f t="shared" si="113"/>
        <v>1000000</v>
      </c>
      <c r="CW172" s="33" t="str">
        <f t="shared" si="114"/>
        <v xml:space="preserve"> A </v>
      </c>
      <c r="CX172" s="33">
        <f t="shared" si="115"/>
        <v>-1.35</v>
      </c>
      <c r="CY172" s="33" t="str">
        <f t="shared" si="116"/>
        <v xml:space="preserve"> A </v>
      </c>
    </row>
    <row r="173" spans="1:103" x14ac:dyDescent="0.2">
      <c r="B173" s="33">
        <v>-1405</v>
      </c>
      <c r="D173" s="33" t="s">
        <v>329</v>
      </c>
      <c r="E173" s="33" t="s">
        <v>1334</v>
      </c>
      <c r="F173" s="33" t="s">
        <v>1335</v>
      </c>
      <c r="H173" s="34" t="s">
        <v>1333</v>
      </c>
      <c r="I173" s="37">
        <f t="shared" si="126"/>
        <v>138.13</v>
      </c>
      <c r="J173" s="33">
        <f t="shared" si="117"/>
        <v>1200</v>
      </c>
      <c r="K173" s="44">
        <f t="shared" si="121"/>
        <v>1.37</v>
      </c>
      <c r="L173" s="33" t="e">
        <f t="shared" si="122"/>
        <v>#DIV/0!</v>
      </c>
      <c r="M173" s="33" t="s">
        <v>1551</v>
      </c>
      <c r="Q173" s="44" t="str">
        <f t="shared" si="96"/>
        <v xml:space="preserve"> </v>
      </c>
      <c r="R173" s="33" t="str">
        <f>IF(OR(ISBLANK(P173), ISBLANK(Q173)),"",CONCATENATE(" ",VLOOKUP(Q173,Literatuur!$A:$B,2,FALSE)," "))</f>
        <v/>
      </c>
      <c r="T173" s="44" t="str">
        <f t="shared" si="97"/>
        <v xml:space="preserve"> </v>
      </c>
      <c r="U173" s="33" t="str">
        <f>IF(OR(ISBLANK(S173), ISBLANK(T173)),"",CONCATENATE(" ",VLOOKUP(T173,Literatuur!$A:$B,2,FALSE)," "))</f>
        <v/>
      </c>
      <c r="W173" s="44" t="str">
        <f t="shared" si="98"/>
        <v xml:space="preserve"> </v>
      </c>
      <c r="X173" s="33" t="str">
        <f>IF(OR(ISBLANK(V173), ISBLANK(W173)),"",CONCATENATE(" ",VLOOKUP(W173,Literatuur!$A:$B,2,FALSE)," "))</f>
        <v/>
      </c>
      <c r="Y173" s="33">
        <v>1200</v>
      </c>
      <c r="Z173" s="44" t="str">
        <f t="shared" si="99"/>
        <v>US EPA suite</v>
      </c>
      <c r="AA173" s="33" t="str">
        <f>IF(OR(ISBLANK(Y173), ISBLANK(Z173)),"",CONCATENATE(" ",VLOOKUP(Z173,Literatuur!$A:$B,2,FALSE)," "))</f>
        <v xml:space="preserve"> F </v>
      </c>
      <c r="AC173" s="36" t="str">
        <f t="shared" si="100"/>
        <v xml:space="preserve"> </v>
      </c>
      <c r="AD173" s="33" t="str">
        <f>IF(OR(ISBLANK(AB173), ISBLANK(AC173)),"",CONCATENATE(" ",VLOOKUP(AC173,Literatuur!$A:$B,2,FALSE)," "))</f>
        <v/>
      </c>
      <c r="AG173" s="33" t="str">
        <f>IF(OR(ISBLANK(AE173), ISBLANK(AF173)),"",CONCATENATE(" ",VLOOKUP(AF173,Literatuur!$A:$B,2,FALSE)," "))</f>
        <v/>
      </c>
      <c r="AI173" s="37"/>
      <c r="AJ173" s="44" t="str">
        <f t="shared" si="101"/>
        <v xml:space="preserve"> </v>
      </c>
      <c r="AK173" s="33" t="str">
        <f>IF(OR(ISBLANK(AI173), ISBLANK(AJ173)),"",CONCATENATE(" ",VLOOKUP(AJ173,Literatuur!$A:$B,2,FALSE)," "))</f>
        <v/>
      </c>
      <c r="AM173" s="44" t="str">
        <f t="shared" si="102"/>
        <v xml:space="preserve"> </v>
      </c>
      <c r="AN173" s="33" t="str">
        <f>IF(OR(ISBLANK(AL173), ISBLANK(AM173)),"",CONCATENATE(" ",VLOOKUP(AM173,Literatuur!$A:$B,2,FALSE)," "))</f>
        <v/>
      </c>
      <c r="AO173" s="33">
        <v>138.13</v>
      </c>
      <c r="AP173" s="44" t="str">
        <f t="shared" si="103"/>
        <v>US EPA suite</v>
      </c>
      <c r="AQ173" s="33" t="str">
        <f>IF(OR(ISBLANK(AO173), ISBLANK(AP173)),"",CONCATENATE(" ",VLOOKUP(AP173,Literatuur!$A:$B,2,FALSE)," "))</f>
        <v xml:space="preserve"> F </v>
      </c>
      <c r="AT173" s="33" t="str">
        <f>IF(OR(ISBLANK(AR173), ISBLANK(AS173)),"",CONCATENATE(" ",VLOOKUP(AS173,Literatuur!$A:$B,2,FALSE)," "))</f>
        <v/>
      </c>
      <c r="AW173" s="33" t="str">
        <f>IF(OR(ISBLANK(AU173), ISBLANK(AV173)),"",CONCATENATE(" ",VLOOKUP(AV173,Literatuur!$A:$B,2,FALSE)," "))</f>
        <v/>
      </c>
      <c r="AZ173" s="44" t="str">
        <f t="shared" si="104"/>
        <v xml:space="preserve"> </v>
      </c>
      <c r="BA173" s="33" t="str">
        <f>IF(OR(ISBLANK(AY173), ISBLANK(AZ173)),"",CONCATENATE(" ",VLOOKUP(AZ173,Literatuur!$A:$B,2,FALSE)," "))</f>
        <v/>
      </c>
      <c r="BC173" s="44" t="str">
        <f t="shared" si="105"/>
        <v xml:space="preserve"> </v>
      </c>
      <c r="BD173" s="33" t="str">
        <f>IF(OR(ISBLANK(BB173), ISBLANK(BC173)),"",CONCATENATE(" ",VLOOKUP(BC173,Literatuur!$A:$B,2,FALSE)," "))</f>
        <v/>
      </c>
      <c r="BF173" s="44" t="str">
        <f t="shared" si="106"/>
        <v xml:space="preserve"> </v>
      </c>
      <c r="BG173" s="33" t="str">
        <f>IF(OR(ISBLANK(BE173), ISBLANK(BF173)),"",CONCATENATE(" ",VLOOKUP(BF173,Literatuur!$A:$B,2,FALSE)," "))</f>
        <v/>
      </c>
      <c r="BH173" s="33">
        <v>1.37</v>
      </c>
      <c r="BI173" s="44" t="str">
        <f t="shared" si="107"/>
        <v>US EPA suite</v>
      </c>
      <c r="BJ173" s="33" t="str">
        <f>IF(OR(ISBLANK(BH173), ISBLANK(BI173)),"",CONCATENATE(" ",VLOOKUP(BI173,Literatuur!$A:$B,2,FALSE)," "))</f>
        <v xml:space="preserve"> F </v>
      </c>
      <c r="BL173" s="44" t="str">
        <f t="shared" si="108"/>
        <v xml:space="preserve"> </v>
      </c>
      <c r="BM173" s="33" t="str">
        <f>IF(OR(ISBLANK(BK173), ISBLANK(BL173)),"",CONCATENATE(" ",VLOOKUP(BL173,Literatuur!$A:$B,2,FALSE)," "))</f>
        <v/>
      </c>
      <c r="BP173" s="33" t="str">
        <f>IF(OR(ISBLANK(BN173), ISBLANK(BO173)),"",CONCATENATE(" ",VLOOKUP(BO173,Literatuur!$A:$B,2,FALSE)," "))</f>
        <v/>
      </c>
      <c r="BS173" s="33" t="str">
        <f>IF(OR(ISBLANK(BQ173), ISBLANK(BR173)),"",CONCATENATE(" ",VLOOKUP(BR173,Literatuur!$A:$B,2,FALSE)," "))</f>
        <v/>
      </c>
      <c r="BV173" s="33" t="str">
        <f>IF(OR(ISBLANK(BT173), ISBLANK(BU173)),"",CONCATENATE(" ",VLOOKUP(BU173,Literatuur!$A:$B,2,FALSE)," "))</f>
        <v/>
      </c>
      <c r="CE173" s="37">
        <f t="shared" si="123"/>
        <v>138.13</v>
      </c>
      <c r="CG173" s="33">
        <f t="shared" si="127"/>
        <v>3.0791812460476247</v>
      </c>
      <c r="CH173" s="33">
        <f t="shared" si="124"/>
        <v>1.37</v>
      </c>
      <c r="CR173" s="33" t="str">
        <f t="shared" si="109"/>
        <v>3-Nitroaniline</v>
      </c>
      <c r="CS173" s="33" t="str">
        <f t="shared" si="110"/>
        <v xml:space="preserve">overige </v>
      </c>
      <c r="CT173" s="33">
        <f t="shared" si="111"/>
        <v>138.13</v>
      </c>
      <c r="CU173" s="33" t="str">
        <f t="shared" si="112"/>
        <v xml:space="preserve"> F </v>
      </c>
      <c r="CV173" s="33">
        <f t="shared" si="113"/>
        <v>1200</v>
      </c>
      <c r="CW173" s="33" t="str">
        <f t="shared" si="114"/>
        <v xml:space="preserve"> F </v>
      </c>
      <c r="CX173" s="33">
        <f t="shared" si="115"/>
        <v>1.37</v>
      </c>
      <c r="CY173" s="33" t="str">
        <f t="shared" si="116"/>
        <v xml:space="preserve"> F </v>
      </c>
    </row>
    <row r="174" spans="1:103" x14ac:dyDescent="0.2">
      <c r="B174" s="33">
        <v>-1408</v>
      </c>
      <c r="D174" s="33" t="s">
        <v>332</v>
      </c>
      <c r="E174" s="33" t="s">
        <v>1251</v>
      </c>
      <c r="H174" s="34" t="s">
        <v>1352</v>
      </c>
      <c r="I174" s="37">
        <f t="shared" si="126"/>
        <v>123.11</v>
      </c>
      <c r="J174" s="33">
        <f t="shared" si="117"/>
        <v>2026.6666666666667</v>
      </c>
      <c r="K174" s="44">
        <f t="shared" si="121"/>
        <v>1.8450000000000002</v>
      </c>
      <c r="L174" s="33" t="e">
        <f t="shared" si="122"/>
        <v>#DIV/0!</v>
      </c>
      <c r="M174" s="33" t="s">
        <v>1551</v>
      </c>
      <c r="Q174" s="44" t="str">
        <f t="shared" ref="Q174:Q196" si="128">IF(ISBLANK(P174)," ","Sanscrit")</f>
        <v xml:space="preserve"> </v>
      </c>
      <c r="R174" s="33" t="str">
        <f>IF(OR(ISBLANK(P174), ISBLANK(Q174)),"",CONCATENATE(" ",VLOOKUP(Q174,Literatuur!$A:$B,2,FALSE)," "))</f>
        <v/>
      </c>
      <c r="S174" s="37"/>
      <c r="T174" s="44" t="str">
        <f t="shared" ref="T174:T205" si="129">IF(ISBLANK(S174)," ","Gestis")</f>
        <v xml:space="preserve"> </v>
      </c>
      <c r="U174" s="33" t="str">
        <f>IF(OR(ISBLANK(S174), ISBLANK(T174)),"",CONCATENATE(" ",VLOOKUP(T174,Literatuur!$A:$B,2,FALSE)," "))</f>
        <v/>
      </c>
      <c r="V174" s="33">
        <v>2090</v>
      </c>
      <c r="W174" s="44" t="str">
        <f t="shared" ref="W174:W205" si="130">IF(ISBLANK(V174)," ","US EPA 1995")</f>
        <v>US EPA 1995</v>
      </c>
      <c r="X174" s="33" t="str">
        <f>IF(OR(ISBLANK(V174), ISBLANK(W174)),"",CONCATENATE(" ",VLOOKUP(W174,Literatuur!$A:$B,2,FALSE)," "))</f>
        <v xml:space="preserve"> 30 </v>
      </c>
      <c r="Y174" s="36">
        <v>2090</v>
      </c>
      <c r="Z174" s="44" t="str">
        <f t="shared" ref="Z174:Z205" si="131">IF(ISBLANK(Y174)," ","US EPA suite")</f>
        <v>US EPA suite</v>
      </c>
      <c r="AA174" s="33" t="str">
        <f>IF(OR(ISBLANK(Y174), ISBLANK(Z174)),"",CONCATENATE(" ",VLOOKUP(Z174,Literatuur!$A:$B,2,FALSE)," "))</f>
        <v xml:space="preserve"> F </v>
      </c>
      <c r="AB174" s="36">
        <v>1900</v>
      </c>
      <c r="AC174" s="36" t="str">
        <f t="shared" ref="AC174:AC205" si="132">IF(ISBLANK(AB174)," ","Vonk 1985")</f>
        <v>Vonk 1985</v>
      </c>
      <c r="AD174" s="33" t="str">
        <f>IF(OR(ISBLANK(AB174), ISBLANK(AC174)),"",CONCATENATE(" ",VLOOKUP(AC174,Literatuur!$A:$B,2,FALSE)," "))</f>
        <v xml:space="preserve"> 37 </v>
      </c>
      <c r="AE174" s="36"/>
      <c r="AF174" s="36"/>
      <c r="AG174" s="33" t="str">
        <f>IF(OR(ISBLANK(AE174), ISBLANK(AF174)),"",CONCATENATE(" ",VLOOKUP(AF174,Literatuur!$A:$B,2,FALSE)," "))</f>
        <v/>
      </c>
      <c r="AI174" s="37"/>
      <c r="AJ174" s="44" t="str">
        <f t="shared" ref="AJ174:AJ205" si="133">IF(ISBLANK(AI174)," ","Sanscrit")</f>
        <v xml:space="preserve"> </v>
      </c>
      <c r="AK174" s="33" t="str">
        <f>IF(OR(ISBLANK(AI174), ISBLANK(AJ174)),"",CONCATENATE(" ",VLOOKUP(AJ174,Literatuur!$A:$B,2,FALSE)," "))</f>
        <v/>
      </c>
      <c r="AL174" s="36"/>
      <c r="AM174" s="44" t="str">
        <f t="shared" ref="AM174:AM205" si="134">IF(ISBLANK(AL174)," ","Gestis")</f>
        <v xml:space="preserve"> </v>
      </c>
      <c r="AN174" s="33" t="str">
        <f>IF(OR(ISBLANK(AL174), ISBLANK(AM174)),"",CONCATENATE(" ",VLOOKUP(AM174,Literatuur!$A:$B,2,FALSE)," "))</f>
        <v/>
      </c>
      <c r="AO174" s="36">
        <v>123.11</v>
      </c>
      <c r="AP174" s="44" t="str">
        <f t="shared" ref="AP174:AP205" si="135">IF(ISBLANK(AO174)," ","US EPA suite")</f>
        <v>US EPA suite</v>
      </c>
      <c r="AQ174" s="33" t="str">
        <f>IF(OR(ISBLANK(AO174), ISBLANK(AP174)),"",CONCATENATE(" ",VLOOKUP(AP174,Literatuur!$A:$B,2,FALSE)," "))</f>
        <v xml:space="preserve"> F </v>
      </c>
      <c r="AR174" s="36"/>
      <c r="AT174" s="33" t="str">
        <f>IF(OR(ISBLANK(AR174), ISBLANK(AS174)),"",CONCATENATE(" ",VLOOKUP(AS174,Literatuur!$A:$B,2,FALSE)," "))</f>
        <v/>
      </c>
      <c r="AV174" s="36"/>
      <c r="AW174" s="33" t="str">
        <f>IF(OR(ISBLANK(AU174), ISBLANK(AV174)),"",CONCATENATE(" ",VLOOKUP(AV174,Literatuur!$A:$B,2,FALSE)," "))</f>
        <v/>
      </c>
      <c r="AY174" s="44"/>
      <c r="AZ174" s="44" t="str">
        <f t="shared" ref="AZ174:AZ205" si="136">IF(ISBLANK(AY174)," ","Sanscrit")</f>
        <v xml:space="preserve"> </v>
      </c>
      <c r="BA174" s="33" t="str">
        <f>IF(OR(ISBLANK(AY174), ISBLANK(AZ174)),"",CONCATENATE(" ",VLOOKUP(AZ174,Literatuur!$A:$B,2,FALSE)," "))</f>
        <v/>
      </c>
      <c r="BB174" s="44"/>
      <c r="BC174" s="44" t="str">
        <f t="shared" ref="BC174:BC205" si="137">IF(ISBLANK(BB174)," ","Gestis")</f>
        <v xml:space="preserve"> </v>
      </c>
      <c r="BD174" s="33" t="str">
        <f>IF(OR(ISBLANK(BB174), ISBLANK(BC174)),"",CONCATENATE(" ",VLOOKUP(BC174,Literatuur!$A:$B,2,FALSE)," "))</f>
        <v/>
      </c>
      <c r="BE174" s="33">
        <v>1.84</v>
      </c>
      <c r="BF174" s="44" t="str">
        <f t="shared" ref="BF174:BF205" si="138">IF(ISBLANK(BE174)," ","US EPA 1995")</f>
        <v>US EPA 1995</v>
      </c>
      <c r="BG174" s="33" t="str">
        <f>IF(OR(ISBLANK(BE174), ISBLANK(BF174)),"",CONCATENATE(" ",VLOOKUP(BF174,Literatuur!$A:$B,2,FALSE)," "))</f>
        <v xml:space="preserve"> 30 </v>
      </c>
      <c r="BH174" s="33">
        <v>1.85</v>
      </c>
      <c r="BI174" s="44" t="str">
        <f t="shared" ref="BI174:BI205" si="139">IF(ISBLANK(BH174)," ","US EPA suite")</f>
        <v>US EPA suite</v>
      </c>
      <c r="BJ174" s="33" t="str">
        <f>IF(OR(ISBLANK(BH174), ISBLANK(BI174)),"",CONCATENATE(" ",VLOOKUP(BI174,Literatuur!$A:$B,2,FALSE)," "))</f>
        <v xml:space="preserve"> F </v>
      </c>
      <c r="BL174" s="44" t="str">
        <f t="shared" ref="BL174:BL205" si="140">IF(ISBLANK(BK174)," ","Sangster 1989")</f>
        <v xml:space="preserve"> </v>
      </c>
      <c r="BM174" s="33" t="str">
        <f>IF(OR(ISBLANK(BK174), ISBLANK(BL174)),"",CONCATENATE(" ",VLOOKUP(BL174,Literatuur!$A:$B,2,FALSE)," "))</f>
        <v/>
      </c>
      <c r="BP174" s="33" t="str">
        <f>IF(OR(ISBLANK(BN174), ISBLANK(BO174)),"",CONCATENATE(" ",VLOOKUP(BO174,Literatuur!$A:$B,2,FALSE)," "))</f>
        <v/>
      </c>
      <c r="BS174" s="33" t="str">
        <f>IF(OR(ISBLANK(BQ174), ISBLANK(BR174)),"",CONCATENATE(" ",VLOOKUP(BR174,Literatuur!$A:$B,2,FALSE)," "))</f>
        <v/>
      </c>
      <c r="BV174" s="33" t="str">
        <f>IF(OR(ISBLANK(BT174), ISBLANK(BU174)),"",CONCATENATE(" ",VLOOKUP(BU174,Literatuur!$A:$B,2,FALSE)," "))</f>
        <v/>
      </c>
      <c r="CE174" s="37">
        <f t="shared" si="123"/>
        <v>123.11</v>
      </c>
      <c r="CG174" s="33">
        <f t="shared" si="127"/>
        <v>3.3067823245530725</v>
      </c>
      <c r="CH174" s="33">
        <f t="shared" si="124"/>
        <v>1.8450000000000002</v>
      </c>
      <c r="CR174" s="33" t="str">
        <f t="shared" si="109"/>
        <v>Nitrobenzene</v>
      </c>
      <c r="CS174" s="33" t="str">
        <f t="shared" si="110"/>
        <v xml:space="preserve">overige </v>
      </c>
      <c r="CT174" s="33">
        <f t="shared" si="111"/>
        <v>123.11</v>
      </c>
      <c r="CU174" s="33" t="str">
        <f t="shared" si="112"/>
        <v xml:space="preserve"> F </v>
      </c>
      <c r="CV174" s="33">
        <f t="shared" si="113"/>
        <v>2026.6666666666667</v>
      </c>
      <c r="CW174" s="33" t="str">
        <f t="shared" si="114"/>
        <v xml:space="preserve"> 30  F  37 </v>
      </c>
      <c r="CX174" s="33">
        <f t="shared" si="115"/>
        <v>1.8450000000000002</v>
      </c>
      <c r="CY174" s="33" t="str">
        <f t="shared" si="116"/>
        <v xml:space="preserve"> 30  F </v>
      </c>
    </row>
    <row r="175" spans="1:103" x14ac:dyDescent="0.2">
      <c r="B175" s="33">
        <v>-1404</v>
      </c>
      <c r="D175" s="33" t="s">
        <v>328</v>
      </c>
      <c r="E175" s="33" t="s">
        <v>1331</v>
      </c>
      <c r="F175" s="33" t="s">
        <v>1332</v>
      </c>
      <c r="H175" s="34" t="s">
        <v>1330</v>
      </c>
      <c r="I175" s="37">
        <f t="shared" si="126"/>
        <v>107.16</v>
      </c>
      <c r="J175" s="33">
        <f t="shared" si="117"/>
        <v>5620</v>
      </c>
      <c r="K175" s="44">
        <f t="shared" si="121"/>
        <v>1.66</v>
      </c>
      <c r="L175" s="33" t="e">
        <f t="shared" si="122"/>
        <v>#DIV/0!</v>
      </c>
      <c r="M175" s="33" t="s">
        <v>1551</v>
      </c>
      <c r="Q175" s="44" t="str">
        <f t="shared" si="128"/>
        <v xml:space="preserve"> </v>
      </c>
      <c r="R175" s="33" t="str">
        <f>IF(OR(ISBLANK(P175), ISBLANK(Q175)),"",CONCATENATE(" ",VLOOKUP(Q175,Literatuur!$A:$B,2,FALSE)," "))</f>
        <v/>
      </c>
      <c r="T175" s="44" t="str">
        <f t="shared" si="129"/>
        <v xml:space="preserve"> </v>
      </c>
      <c r="U175" s="33" t="str">
        <f>IF(OR(ISBLANK(S175), ISBLANK(T175)),"",CONCATENATE(" ",VLOOKUP(T175,Literatuur!$A:$B,2,FALSE)," "))</f>
        <v/>
      </c>
      <c r="W175" s="44" t="str">
        <f t="shared" si="130"/>
        <v xml:space="preserve"> </v>
      </c>
      <c r="X175" s="33" t="str">
        <f>IF(OR(ISBLANK(V175), ISBLANK(W175)),"",CONCATENATE(" ",VLOOKUP(W175,Literatuur!$A:$B,2,FALSE)," "))</f>
        <v/>
      </c>
      <c r="Y175" s="33">
        <v>5620</v>
      </c>
      <c r="Z175" s="44" t="str">
        <f t="shared" si="131"/>
        <v>US EPA suite</v>
      </c>
      <c r="AA175" s="33" t="str">
        <f>IF(OR(ISBLANK(Y175), ISBLANK(Z175)),"",CONCATENATE(" ",VLOOKUP(Z175,Literatuur!$A:$B,2,FALSE)," "))</f>
        <v xml:space="preserve"> F </v>
      </c>
      <c r="AC175" s="36" t="str">
        <f t="shared" si="132"/>
        <v xml:space="preserve"> </v>
      </c>
      <c r="AD175" s="33" t="str">
        <f>IF(OR(ISBLANK(AB175), ISBLANK(AC175)),"",CONCATENATE(" ",VLOOKUP(AC175,Literatuur!$A:$B,2,FALSE)," "))</f>
        <v/>
      </c>
      <c r="AG175" s="33" t="str">
        <f>IF(OR(ISBLANK(AE175), ISBLANK(AF175)),"",CONCATENATE(" ",VLOOKUP(AF175,Literatuur!$A:$B,2,FALSE)," "))</f>
        <v/>
      </c>
      <c r="AI175" s="37"/>
      <c r="AJ175" s="44" t="str">
        <f t="shared" si="133"/>
        <v xml:space="preserve"> </v>
      </c>
      <c r="AK175" s="33" t="str">
        <f>IF(OR(ISBLANK(AI175), ISBLANK(AJ175)),"",CONCATENATE(" ",VLOOKUP(AJ175,Literatuur!$A:$B,2,FALSE)," "))</f>
        <v/>
      </c>
      <c r="AM175" s="44" t="str">
        <f t="shared" si="134"/>
        <v xml:space="preserve"> </v>
      </c>
      <c r="AN175" s="33" t="str">
        <f>IF(OR(ISBLANK(AL175), ISBLANK(AM175)),"",CONCATENATE(" ",VLOOKUP(AM175,Literatuur!$A:$B,2,FALSE)," "))</f>
        <v/>
      </c>
      <c r="AO175" s="33">
        <v>107.16</v>
      </c>
      <c r="AP175" s="44" t="str">
        <f t="shared" si="135"/>
        <v>US EPA suite</v>
      </c>
      <c r="AQ175" s="33" t="str">
        <f>IF(OR(ISBLANK(AO175), ISBLANK(AP175)),"",CONCATENATE(" ",VLOOKUP(AP175,Literatuur!$A:$B,2,FALSE)," "))</f>
        <v xml:space="preserve"> F </v>
      </c>
      <c r="AT175" s="33" t="str">
        <f>IF(OR(ISBLANK(AR175), ISBLANK(AS175)),"",CONCATENATE(" ",VLOOKUP(AS175,Literatuur!$A:$B,2,FALSE)," "))</f>
        <v/>
      </c>
      <c r="AW175" s="33" t="str">
        <f>IF(OR(ISBLANK(AU175), ISBLANK(AV175)),"",CONCATENATE(" ",VLOOKUP(AV175,Literatuur!$A:$B,2,FALSE)," "))</f>
        <v/>
      </c>
      <c r="AZ175" s="44" t="str">
        <f t="shared" si="136"/>
        <v xml:space="preserve"> </v>
      </c>
      <c r="BA175" s="33" t="str">
        <f>IF(OR(ISBLANK(AY175), ISBLANK(AZ175)),"",CONCATENATE(" ",VLOOKUP(AZ175,Literatuur!$A:$B,2,FALSE)," "))</f>
        <v/>
      </c>
      <c r="BC175" s="44" t="str">
        <f t="shared" si="137"/>
        <v xml:space="preserve"> </v>
      </c>
      <c r="BD175" s="33" t="str">
        <f>IF(OR(ISBLANK(BB175), ISBLANK(BC175)),"",CONCATENATE(" ",VLOOKUP(BC175,Literatuur!$A:$B,2,FALSE)," "))</f>
        <v/>
      </c>
      <c r="BF175" s="44" t="str">
        <f t="shared" si="138"/>
        <v xml:space="preserve"> </v>
      </c>
      <c r="BG175" s="33" t="str">
        <f>IF(OR(ISBLANK(BE175), ISBLANK(BF175)),"",CONCATENATE(" ",VLOOKUP(BF175,Literatuur!$A:$B,2,FALSE)," "))</f>
        <v/>
      </c>
      <c r="BH175" s="33">
        <v>1.66</v>
      </c>
      <c r="BI175" s="44" t="str">
        <f t="shared" si="139"/>
        <v>US EPA suite</v>
      </c>
      <c r="BJ175" s="33" t="str">
        <f>IF(OR(ISBLANK(BH175), ISBLANK(BI175)),"",CONCATENATE(" ",VLOOKUP(BI175,Literatuur!$A:$B,2,FALSE)," "))</f>
        <v xml:space="preserve"> F </v>
      </c>
      <c r="BL175" s="44" t="str">
        <f t="shared" si="140"/>
        <v xml:space="preserve"> </v>
      </c>
      <c r="BM175" s="33" t="str">
        <f>IF(OR(ISBLANK(BK175), ISBLANK(BL175)),"",CONCATENATE(" ",VLOOKUP(BL175,Literatuur!$A:$B,2,FALSE)," "))</f>
        <v/>
      </c>
      <c r="BP175" s="33" t="str">
        <f>IF(OR(ISBLANK(BN175), ISBLANK(BO175)),"",CONCATENATE(" ",VLOOKUP(BO175,Literatuur!$A:$B,2,FALSE)," "))</f>
        <v/>
      </c>
      <c r="BS175" s="33" t="str">
        <f>IF(OR(ISBLANK(BQ175), ISBLANK(BR175)),"",CONCATENATE(" ",VLOOKUP(BR175,Literatuur!$A:$B,2,FALSE)," "))</f>
        <v/>
      </c>
      <c r="BV175" s="33" t="str">
        <f>IF(OR(ISBLANK(BT175), ISBLANK(BU175)),"",CONCATENATE(" ",VLOOKUP(BU175,Literatuur!$A:$B,2,FALSE)," "))</f>
        <v/>
      </c>
      <c r="CE175" s="37">
        <f t="shared" si="123"/>
        <v>107.16</v>
      </c>
      <c r="CG175" s="33">
        <f t="shared" si="127"/>
        <v>3.7497363155690611</v>
      </c>
      <c r="CH175" s="33">
        <f t="shared" si="124"/>
        <v>1.66</v>
      </c>
      <c r="CR175" s="33" t="str">
        <f t="shared" si="109"/>
        <v>N-Methylaniline</v>
      </c>
      <c r="CS175" s="33" t="str">
        <f t="shared" si="110"/>
        <v xml:space="preserve">overige </v>
      </c>
      <c r="CT175" s="33">
        <f t="shared" si="111"/>
        <v>107.16</v>
      </c>
      <c r="CU175" s="33" t="str">
        <f t="shared" si="112"/>
        <v xml:space="preserve"> F </v>
      </c>
      <c r="CV175" s="33">
        <f t="shared" si="113"/>
        <v>5620</v>
      </c>
      <c r="CW175" s="33" t="str">
        <f t="shared" si="114"/>
        <v xml:space="preserve"> F </v>
      </c>
      <c r="CX175" s="33">
        <f t="shared" si="115"/>
        <v>1.66</v>
      </c>
      <c r="CY175" s="33" t="str">
        <f t="shared" si="116"/>
        <v xml:space="preserve"> F </v>
      </c>
    </row>
    <row r="176" spans="1:103" x14ac:dyDescent="0.2">
      <c r="B176" s="33">
        <v>-1505</v>
      </c>
      <c r="D176" s="33" t="s">
        <v>444</v>
      </c>
      <c r="E176" s="33" t="s">
        <v>444</v>
      </c>
      <c r="H176" s="34" t="s">
        <v>443</v>
      </c>
      <c r="I176" s="37">
        <f t="shared" si="126"/>
        <v>55.08</v>
      </c>
      <c r="J176" s="33">
        <f t="shared" si="117"/>
        <v>103000</v>
      </c>
      <c r="K176" s="44">
        <f t="shared" si="121"/>
        <v>0.16</v>
      </c>
      <c r="L176" s="33" t="e">
        <f t="shared" si="122"/>
        <v>#DIV/0!</v>
      </c>
      <c r="M176" s="33" t="s">
        <v>1551</v>
      </c>
      <c r="Q176" s="44" t="str">
        <f t="shared" si="128"/>
        <v xml:space="preserve"> </v>
      </c>
      <c r="R176" s="33" t="str">
        <f>IF(OR(ISBLANK(P176), ISBLANK(Q176)),"",CONCATENATE(" ",VLOOKUP(Q176,Literatuur!$A:$B,2,FALSE)," "))</f>
        <v/>
      </c>
      <c r="S176" s="33">
        <v>103000</v>
      </c>
      <c r="T176" s="44" t="str">
        <f t="shared" si="129"/>
        <v>Gestis</v>
      </c>
      <c r="U176" s="33" t="str">
        <f>IF(OR(ISBLANK(S176), ISBLANK(T176)),"",CONCATENATE(" ",VLOOKUP(T176,Literatuur!$A:$B,2,FALSE)," "))</f>
        <v xml:space="preserve"> A </v>
      </c>
      <c r="W176" s="44" t="str">
        <f t="shared" si="130"/>
        <v xml:space="preserve"> </v>
      </c>
      <c r="X176" s="33" t="str">
        <f>IF(OR(ISBLANK(V176), ISBLANK(W176)),"",CONCATENATE(" ",VLOOKUP(W176,Literatuur!$A:$B,2,FALSE)," "))</f>
        <v/>
      </c>
      <c r="Z176" s="44" t="str">
        <f t="shared" si="131"/>
        <v xml:space="preserve"> </v>
      </c>
      <c r="AA176" s="33" t="str">
        <f>IF(OR(ISBLANK(Y176), ISBLANK(Z176)),"",CONCATENATE(" ",VLOOKUP(Z176,Literatuur!$A:$B,2,FALSE)," "))</f>
        <v/>
      </c>
      <c r="AC176" s="36" t="str">
        <f t="shared" si="132"/>
        <v xml:space="preserve"> </v>
      </c>
      <c r="AD176" s="33" t="str">
        <f>IF(OR(ISBLANK(AB176), ISBLANK(AC176)),"",CONCATENATE(" ",VLOOKUP(AC176,Literatuur!$A:$B,2,FALSE)," "))</f>
        <v/>
      </c>
      <c r="AG176" s="33" t="str">
        <f>IF(OR(ISBLANK(AE176), ISBLANK(AF176)),"",CONCATENATE(" ",VLOOKUP(AF176,Literatuur!$A:$B,2,FALSE)," "))</f>
        <v/>
      </c>
      <c r="AJ176" s="44" t="str">
        <f t="shared" si="133"/>
        <v xml:space="preserve"> </v>
      </c>
      <c r="AK176" s="33" t="str">
        <f>IF(OR(ISBLANK(AI176), ISBLANK(AJ176)),"",CONCATENATE(" ",VLOOKUP(AJ176,Literatuur!$A:$B,2,FALSE)," "))</f>
        <v/>
      </c>
      <c r="AL176" s="33">
        <v>55.08</v>
      </c>
      <c r="AM176" s="44" t="str">
        <f t="shared" si="134"/>
        <v>Gestis</v>
      </c>
      <c r="AN176" s="33" t="str">
        <f>IF(OR(ISBLANK(AL176), ISBLANK(AM176)),"",CONCATENATE(" ",VLOOKUP(AM176,Literatuur!$A:$B,2,FALSE)," "))</f>
        <v xml:space="preserve"> A </v>
      </c>
      <c r="AP176" s="44" t="str">
        <f t="shared" si="135"/>
        <v xml:space="preserve"> </v>
      </c>
      <c r="AQ176" s="33" t="str">
        <f>IF(OR(ISBLANK(AO176), ISBLANK(AP176)),"",CONCATENATE(" ",VLOOKUP(AP176,Literatuur!$A:$B,2,FALSE)," "))</f>
        <v/>
      </c>
      <c r="AT176" s="33" t="str">
        <f>IF(OR(ISBLANK(AR176), ISBLANK(AS176)),"",CONCATENATE(" ",VLOOKUP(AS176,Literatuur!$A:$B,2,FALSE)," "))</f>
        <v/>
      </c>
      <c r="AW176" s="33" t="str">
        <f>IF(OR(ISBLANK(AU176), ISBLANK(AV176)),"",CONCATENATE(" ",VLOOKUP(AV176,Literatuur!$A:$B,2,FALSE)," "))</f>
        <v/>
      </c>
      <c r="AZ176" s="44" t="str">
        <f t="shared" si="136"/>
        <v xml:space="preserve"> </v>
      </c>
      <c r="BA176" s="33" t="str">
        <f>IF(OR(ISBLANK(AY176), ISBLANK(AZ176)),"",CONCATENATE(" ",VLOOKUP(AZ176,Literatuur!$A:$B,2,FALSE)," "))</f>
        <v/>
      </c>
      <c r="BB176" s="33">
        <v>0.16</v>
      </c>
      <c r="BC176" s="44" t="str">
        <f t="shared" si="137"/>
        <v>Gestis</v>
      </c>
      <c r="BD176" s="33" t="str">
        <f>IF(OR(ISBLANK(BB176), ISBLANK(BC176)),"",CONCATENATE(" ",VLOOKUP(BC176,Literatuur!$A:$B,2,FALSE)," "))</f>
        <v xml:space="preserve"> A </v>
      </c>
      <c r="BF176" s="44" t="str">
        <f t="shared" si="138"/>
        <v xml:space="preserve"> </v>
      </c>
      <c r="BG176" s="33" t="str">
        <f>IF(OR(ISBLANK(BE176), ISBLANK(BF176)),"",CONCATENATE(" ",VLOOKUP(BF176,Literatuur!$A:$B,2,FALSE)," "))</f>
        <v/>
      </c>
      <c r="BI176" s="44" t="str">
        <f t="shared" si="139"/>
        <v xml:space="preserve"> </v>
      </c>
      <c r="BJ176" s="33" t="str">
        <f>IF(OR(ISBLANK(BH176), ISBLANK(BI176)),"",CONCATENATE(" ",VLOOKUP(BI176,Literatuur!$A:$B,2,FALSE)," "))</f>
        <v/>
      </c>
      <c r="BL176" s="44" t="str">
        <f t="shared" si="140"/>
        <v xml:space="preserve"> </v>
      </c>
      <c r="BM176" s="33" t="str">
        <f>IF(OR(ISBLANK(BK176), ISBLANK(BL176)),"",CONCATENATE(" ",VLOOKUP(BL176,Literatuur!$A:$B,2,FALSE)," "))</f>
        <v/>
      </c>
      <c r="BP176" s="33" t="str">
        <f>IF(OR(ISBLANK(BN176), ISBLANK(BO176)),"",CONCATENATE(" ",VLOOKUP(BO176,Literatuur!$A:$B,2,FALSE)," "))</f>
        <v/>
      </c>
      <c r="BS176" s="33" t="str">
        <f>IF(OR(ISBLANK(BQ176), ISBLANK(BR176)),"",CONCATENATE(" ",VLOOKUP(BR176,Literatuur!$A:$B,2,FALSE)," "))</f>
        <v/>
      </c>
      <c r="BV176" s="33" t="str">
        <f>IF(OR(ISBLANK(BT176), ISBLANK(BU176)),"",CONCATENATE(" ",VLOOKUP(BU176,Literatuur!$A:$B,2,FALSE)," "))</f>
        <v/>
      </c>
      <c r="CE176" s="37">
        <f t="shared" si="123"/>
        <v>55.08</v>
      </c>
      <c r="CG176" s="33">
        <f t="shared" si="127"/>
        <v>5.012837224705172</v>
      </c>
      <c r="CH176" s="33">
        <f t="shared" si="124"/>
        <v>0.16</v>
      </c>
      <c r="CR176" s="33" t="str">
        <f t="shared" si="109"/>
        <v>Propionitrile</v>
      </c>
      <c r="CS176" s="33" t="str">
        <f t="shared" si="110"/>
        <v xml:space="preserve">overige </v>
      </c>
      <c r="CT176" s="33">
        <f t="shared" si="111"/>
        <v>55.08</v>
      </c>
      <c r="CU176" s="33" t="str">
        <f t="shared" si="112"/>
        <v xml:space="preserve"> A </v>
      </c>
      <c r="CV176" s="33">
        <f t="shared" si="113"/>
        <v>103000</v>
      </c>
      <c r="CW176" s="33" t="str">
        <f t="shared" si="114"/>
        <v xml:space="preserve"> A </v>
      </c>
      <c r="CX176" s="33">
        <f t="shared" si="115"/>
        <v>0.16</v>
      </c>
      <c r="CY176" s="33" t="str">
        <f t="shared" si="116"/>
        <v xml:space="preserve"> A </v>
      </c>
    </row>
    <row r="177" spans="1:103" x14ac:dyDescent="0.2">
      <c r="B177" s="33">
        <v>-1518</v>
      </c>
      <c r="D177" s="33" t="s">
        <v>461</v>
      </c>
      <c r="E177" s="33" t="s">
        <v>461</v>
      </c>
      <c r="H177" s="34" t="s">
        <v>462</v>
      </c>
      <c r="I177" s="37">
        <f t="shared" si="126"/>
        <v>88.01</v>
      </c>
      <c r="J177" s="33">
        <f t="shared" si="117"/>
        <v>20</v>
      </c>
      <c r="K177" s="44">
        <f t="shared" si="121"/>
        <v>1.18</v>
      </c>
      <c r="L177" s="33" t="e">
        <f t="shared" si="122"/>
        <v>#DIV/0!</v>
      </c>
      <c r="M177" s="33" t="s">
        <v>1551</v>
      </c>
      <c r="Q177" s="44" t="str">
        <f t="shared" si="128"/>
        <v xml:space="preserve"> </v>
      </c>
      <c r="R177" s="33" t="str">
        <f>IF(OR(ISBLANK(P177), ISBLANK(Q177)),"",CONCATENATE(" ",VLOOKUP(Q177,Literatuur!$A:$B,2,FALSE)," "))</f>
        <v/>
      </c>
      <c r="S177" s="33">
        <v>20</v>
      </c>
      <c r="T177" s="44" t="str">
        <f t="shared" si="129"/>
        <v>Gestis</v>
      </c>
      <c r="U177" s="33" t="str">
        <f>IF(OR(ISBLANK(S177), ISBLANK(T177)),"",CONCATENATE(" ",VLOOKUP(T177,Literatuur!$A:$B,2,FALSE)," "))</f>
        <v xml:space="preserve"> A </v>
      </c>
      <c r="W177" s="44" t="str">
        <f t="shared" si="130"/>
        <v xml:space="preserve"> </v>
      </c>
      <c r="X177" s="33" t="str">
        <f>IF(OR(ISBLANK(V177), ISBLANK(W177)),"",CONCATENATE(" ",VLOOKUP(W177,Literatuur!$A:$B,2,FALSE)," "))</f>
        <v/>
      </c>
      <c r="Z177" s="44" t="str">
        <f t="shared" si="131"/>
        <v xml:space="preserve"> </v>
      </c>
      <c r="AA177" s="33" t="str">
        <f>IF(OR(ISBLANK(Y177), ISBLANK(Z177)),"",CONCATENATE(" ",VLOOKUP(Z177,Literatuur!$A:$B,2,FALSE)," "))</f>
        <v/>
      </c>
      <c r="AC177" s="36" t="str">
        <f t="shared" si="132"/>
        <v xml:space="preserve"> </v>
      </c>
      <c r="AD177" s="33" t="str">
        <f>IF(OR(ISBLANK(AB177), ISBLANK(AC177)),"",CONCATENATE(" ",VLOOKUP(AC177,Literatuur!$A:$B,2,FALSE)," "))</f>
        <v/>
      </c>
      <c r="AG177" s="33" t="str">
        <f>IF(OR(ISBLANK(AE177), ISBLANK(AF177)),"",CONCATENATE(" ",VLOOKUP(AF177,Literatuur!$A:$B,2,FALSE)," "))</f>
        <v/>
      </c>
      <c r="AJ177" s="44" t="str">
        <f t="shared" si="133"/>
        <v xml:space="preserve"> </v>
      </c>
      <c r="AK177" s="33" t="str">
        <f>IF(OR(ISBLANK(AI177), ISBLANK(AJ177)),"",CONCATENATE(" ",VLOOKUP(AJ177,Literatuur!$A:$B,2,FALSE)," "))</f>
        <v/>
      </c>
      <c r="AL177" s="33">
        <v>88.01</v>
      </c>
      <c r="AM177" s="44" t="str">
        <f t="shared" si="134"/>
        <v>Gestis</v>
      </c>
      <c r="AN177" s="33" t="str">
        <f>IF(OR(ISBLANK(AL177), ISBLANK(AM177)),"",CONCATENATE(" ",VLOOKUP(AM177,Literatuur!$A:$B,2,FALSE)," "))</f>
        <v xml:space="preserve"> A </v>
      </c>
      <c r="AP177" s="44" t="str">
        <f t="shared" si="135"/>
        <v xml:space="preserve"> </v>
      </c>
      <c r="AQ177" s="33" t="str">
        <f>IF(OR(ISBLANK(AO177), ISBLANK(AP177)),"",CONCATENATE(" ",VLOOKUP(AP177,Literatuur!$A:$B,2,FALSE)," "))</f>
        <v/>
      </c>
      <c r="AT177" s="33" t="str">
        <f>IF(OR(ISBLANK(AR177), ISBLANK(AS177)),"",CONCATENATE(" ",VLOOKUP(AS177,Literatuur!$A:$B,2,FALSE)," "))</f>
        <v/>
      </c>
      <c r="AW177" s="33" t="str">
        <f>IF(OR(ISBLANK(AU177), ISBLANK(AV177)),"",CONCATENATE(" ",VLOOKUP(AV177,Literatuur!$A:$B,2,FALSE)," "))</f>
        <v/>
      </c>
      <c r="AZ177" s="44" t="str">
        <f t="shared" si="136"/>
        <v xml:space="preserve"> </v>
      </c>
      <c r="BA177" s="33" t="str">
        <f>IF(OR(ISBLANK(AY177), ISBLANK(AZ177)),"",CONCATENATE(" ",VLOOKUP(AZ177,Literatuur!$A:$B,2,FALSE)," "))</f>
        <v/>
      </c>
      <c r="BB177" s="33">
        <v>1.18</v>
      </c>
      <c r="BC177" s="44" t="str">
        <f t="shared" si="137"/>
        <v>Gestis</v>
      </c>
      <c r="BD177" s="33" t="str">
        <f>IF(OR(ISBLANK(BB177), ISBLANK(BC177)),"",CONCATENATE(" ",VLOOKUP(BC177,Literatuur!$A:$B,2,FALSE)," "))</f>
        <v xml:space="preserve"> A </v>
      </c>
      <c r="BF177" s="44" t="str">
        <f t="shared" si="138"/>
        <v xml:space="preserve"> </v>
      </c>
      <c r="BG177" s="33" t="str">
        <f>IF(OR(ISBLANK(BE177), ISBLANK(BF177)),"",CONCATENATE(" ",VLOOKUP(BF177,Literatuur!$A:$B,2,FALSE)," "))</f>
        <v/>
      </c>
      <c r="BI177" s="44" t="str">
        <f t="shared" si="139"/>
        <v xml:space="preserve"> </v>
      </c>
      <c r="BJ177" s="33" t="str">
        <f>IF(OR(ISBLANK(BH177), ISBLANK(BI177)),"",CONCATENATE(" ",VLOOKUP(BI177,Literatuur!$A:$B,2,FALSE)," "))</f>
        <v/>
      </c>
      <c r="BL177" s="44" t="str">
        <f t="shared" si="140"/>
        <v xml:space="preserve"> </v>
      </c>
      <c r="BM177" s="33" t="str">
        <f>IF(OR(ISBLANK(BK177), ISBLANK(BL177)),"",CONCATENATE(" ",VLOOKUP(BL177,Literatuur!$A:$B,2,FALSE)," "))</f>
        <v/>
      </c>
      <c r="BP177" s="33" t="str">
        <f>IF(OR(ISBLANK(BN177), ISBLANK(BO177)),"",CONCATENATE(" ",VLOOKUP(BO177,Literatuur!$A:$B,2,FALSE)," "))</f>
        <v/>
      </c>
      <c r="BS177" s="33" t="str">
        <f>IF(OR(ISBLANK(BQ177), ISBLANK(BR177)),"",CONCATENATE(" ",VLOOKUP(BR177,Literatuur!$A:$B,2,FALSE)," "))</f>
        <v/>
      </c>
      <c r="BV177" s="33" t="str">
        <f>IF(OR(ISBLANK(BT177), ISBLANK(BU177)),"",CONCATENATE(" ",VLOOKUP(BU177,Literatuur!$A:$B,2,FALSE)," "))</f>
        <v/>
      </c>
      <c r="CE177" s="37">
        <f t="shared" si="123"/>
        <v>88.01</v>
      </c>
      <c r="CG177" s="33">
        <f t="shared" si="127"/>
        <v>1.3010299956639813</v>
      </c>
      <c r="CH177" s="33">
        <f t="shared" si="124"/>
        <v>1.18</v>
      </c>
      <c r="CR177" s="33" t="str">
        <f t="shared" si="109"/>
        <v>Tetrafluoromethane</v>
      </c>
      <c r="CS177" s="33" t="str">
        <f t="shared" si="110"/>
        <v xml:space="preserve">overige </v>
      </c>
      <c r="CT177" s="33">
        <f t="shared" si="111"/>
        <v>88.01</v>
      </c>
      <c r="CU177" s="33" t="str">
        <f t="shared" si="112"/>
        <v xml:space="preserve"> A </v>
      </c>
      <c r="CV177" s="33">
        <f t="shared" si="113"/>
        <v>20</v>
      </c>
      <c r="CW177" s="33" t="str">
        <f t="shared" si="114"/>
        <v xml:space="preserve"> A </v>
      </c>
      <c r="CX177" s="33">
        <f t="shared" si="115"/>
        <v>1.18</v>
      </c>
      <c r="CY177" s="33" t="str">
        <f t="shared" si="116"/>
        <v xml:space="preserve"> A </v>
      </c>
    </row>
    <row r="178" spans="1:103" x14ac:dyDescent="0.2">
      <c r="B178" s="33">
        <v>-1657</v>
      </c>
      <c r="D178" s="105" t="s">
        <v>1222</v>
      </c>
      <c r="E178" s="105" t="s">
        <v>1393</v>
      </c>
      <c r="F178" s="33" t="s">
        <v>1394</v>
      </c>
      <c r="H178" s="34" t="s">
        <v>1221</v>
      </c>
      <c r="I178" s="33">
        <f t="shared" si="126"/>
        <v>88.11</v>
      </c>
      <c r="J178" s="33">
        <f t="shared" si="117"/>
        <v>1000000</v>
      </c>
      <c r="K178" s="44">
        <f t="shared" si="121"/>
        <v>-0.27</v>
      </c>
      <c r="L178" s="33" t="e">
        <f t="shared" si="122"/>
        <v>#DIV/0!</v>
      </c>
      <c r="M178" s="33" t="s">
        <v>345</v>
      </c>
      <c r="Q178" s="44" t="str">
        <f t="shared" si="128"/>
        <v xml:space="preserve"> </v>
      </c>
      <c r="R178" s="33" t="str">
        <f>IF(OR(ISBLANK(P178), ISBLANK(Q178)),"",CONCATENATE(" ",VLOOKUP(Q178,Literatuur!$A:$B,2,FALSE)," "))</f>
        <v/>
      </c>
      <c r="T178" s="44" t="str">
        <f t="shared" si="129"/>
        <v xml:space="preserve"> </v>
      </c>
      <c r="U178" s="33" t="str">
        <f>IF(OR(ISBLANK(S178), ISBLANK(T178)),"",CONCATENATE(" ",VLOOKUP(T178,Literatuur!$A:$B,2,FALSE)," "))</f>
        <v/>
      </c>
      <c r="W178" s="44" t="str">
        <f t="shared" si="130"/>
        <v xml:space="preserve"> </v>
      </c>
      <c r="X178" s="33" t="str">
        <f>IF(OR(ISBLANK(V178), ISBLANK(W178)),"",CONCATENATE(" ",VLOOKUP(W178,Literatuur!$A:$B,2,FALSE)," "))</f>
        <v/>
      </c>
      <c r="Y178" s="33">
        <v>1000000</v>
      </c>
      <c r="Z178" s="44" t="str">
        <f t="shared" si="131"/>
        <v>US EPA suite</v>
      </c>
      <c r="AA178" s="33" t="str">
        <f>IF(OR(ISBLANK(Y178), ISBLANK(Z178)),"",CONCATENATE(" ",VLOOKUP(Z178,Literatuur!$A:$B,2,FALSE)," "))</f>
        <v xml:space="preserve"> F </v>
      </c>
      <c r="AC178" s="36" t="str">
        <f t="shared" si="132"/>
        <v xml:space="preserve"> </v>
      </c>
      <c r="AD178" s="33" t="str">
        <f>IF(OR(ISBLANK(AB178), ISBLANK(AC178)),"",CONCATENATE(" ",VLOOKUP(AC178,Literatuur!$A:$B,2,FALSE)," "))</f>
        <v/>
      </c>
      <c r="AG178" s="33" t="str">
        <f>IF(OR(ISBLANK(AE178), ISBLANK(AF178)),"",CONCATENATE(" ",VLOOKUP(AF178,Literatuur!$A:$B,2,FALSE)," "))</f>
        <v/>
      </c>
      <c r="AJ178" s="44" t="str">
        <f t="shared" si="133"/>
        <v xml:space="preserve"> </v>
      </c>
      <c r="AK178" s="33" t="str">
        <f>IF(OR(ISBLANK(AI178), ISBLANK(AJ178)),"",CONCATENATE(" ",VLOOKUP(AJ178,Literatuur!$A:$B,2,FALSE)," "))</f>
        <v/>
      </c>
      <c r="AM178" s="44" t="str">
        <f t="shared" si="134"/>
        <v xml:space="preserve"> </v>
      </c>
      <c r="AN178" s="33" t="str">
        <f>IF(OR(ISBLANK(AL178), ISBLANK(AM178)),"",CONCATENATE(" ",VLOOKUP(AM178,Literatuur!$A:$B,2,FALSE)," "))</f>
        <v/>
      </c>
      <c r="AO178" s="33">
        <v>88.11</v>
      </c>
      <c r="AP178" s="44" t="str">
        <f t="shared" si="135"/>
        <v>US EPA suite</v>
      </c>
      <c r="AQ178" s="33" t="str">
        <f>IF(OR(ISBLANK(AO178), ISBLANK(AP178)),"",CONCATENATE(" ",VLOOKUP(AP178,Literatuur!$A:$B,2,FALSE)," "))</f>
        <v xml:space="preserve"> F </v>
      </c>
      <c r="AT178" s="33" t="str">
        <f>IF(OR(ISBLANK(AR178), ISBLANK(AS178)),"",CONCATENATE(" ",VLOOKUP(AS178,Literatuur!$A:$B,2,FALSE)," "))</f>
        <v/>
      </c>
      <c r="AW178" s="33" t="str">
        <f>IF(OR(ISBLANK(AU178), ISBLANK(AV178)),"",CONCATENATE(" ",VLOOKUP(AV178,Literatuur!$A:$B,2,FALSE)," "))</f>
        <v/>
      </c>
      <c r="AZ178" s="44" t="str">
        <f t="shared" si="136"/>
        <v xml:space="preserve"> </v>
      </c>
      <c r="BA178" s="33" t="str">
        <f>IF(OR(ISBLANK(AY178), ISBLANK(AZ178)),"",CONCATENATE(" ",VLOOKUP(AZ178,Literatuur!$A:$B,2,FALSE)," "))</f>
        <v/>
      </c>
      <c r="BC178" s="44" t="str">
        <f t="shared" si="137"/>
        <v xml:space="preserve"> </v>
      </c>
      <c r="BD178" s="33" t="str">
        <f>IF(OR(ISBLANK(BB178), ISBLANK(BC178)),"",CONCATENATE(" ",VLOOKUP(BC178,Literatuur!$A:$B,2,FALSE)," "))</f>
        <v/>
      </c>
      <c r="BF178" s="44" t="str">
        <f t="shared" si="138"/>
        <v xml:space="preserve"> </v>
      </c>
      <c r="BG178" s="33" t="str">
        <f>IF(OR(ISBLANK(BE178), ISBLANK(BF178)),"",CONCATENATE(" ",VLOOKUP(BF178,Literatuur!$A:$B,2,FALSE)," "))</f>
        <v/>
      </c>
      <c r="BH178" s="33">
        <v>-0.27</v>
      </c>
      <c r="BI178" s="44" t="str">
        <f t="shared" si="139"/>
        <v>US EPA suite</v>
      </c>
      <c r="BJ178" s="33" t="str">
        <f>IF(OR(ISBLANK(BH178), ISBLANK(BI178)),"",CONCATENATE(" ",VLOOKUP(BI178,Literatuur!$A:$B,2,FALSE)," "))</f>
        <v xml:space="preserve"> F </v>
      </c>
      <c r="BL178" s="44" t="str">
        <f t="shared" si="140"/>
        <v xml:space="preserve"> </v>
      </c>
      <c r="BM178" s="33" t="str">
        <f>IF(OR(ISBLANK(BK178), ISBLANK(BL178)),"",CONCATENATE(" ",VLOOKUP(BL178,Literatuur!$A:$B,2,FALSE)," "))</f>
        <v/>
      </c>
      <c r="BP178" s="33" t="str">
        <f>IF(OR(ISBLANK(BN178), ISBLANK(BO178)),"",CONCATENATE(" ",VLOOKUP(BO178,Literatuur!$A:$B,2,FALSE)," "))</f>
        <v/>
      </c>
      <c r="BS178" s="33" t="str">
        <f>IF(OR(ISBLANK(BQ178), ISBLANK(BR178)),"",CONCATENATE(" ",VLOOKUP(BR178,Literatuur!$A:$B,2,FALSE)," "))</f>
        <v/>
      </c>
      <c r="BV178" s="33" t="str">
        <f>IF(OR(ISBLANK(BT178), ISBLANK(BU178)),"",CONCATENATE(" ",VLOOKUP(BU178,Literatuur!$A:$B,2,FALSE)," "))</f>
        <v/>
      </c>
      <c r="CG178" s="33">
        <f t="shared" si="127"/>
        <v>6</v>
      </c>
      <c r="CH178" s="33">
        <f t="shared" si="124"/>
        <v>-0.27</v>
      </c>
      <c r="CR178" s="33" t="str">
        <f t="shared" si="109"/>
        <v xml:space="preserve">1,4-Dioxane </v>
      </c>
      <c r="CS178" s="33" t="str">
        <f t="shared" si="110"/>
        <v>overige</v>
      </c>
      <c r="CT178" s="33">
        <f t="shared" si="111"/>
        <v>88.11</v>
      </c>
      <c r="CU178" s="33" t="str">
        <f t="shared" si="112"/>
        <v xml:space="preserve"> F </v>
      </c>
      <c r="CV178" s="33">
        <f t="shared" si="113"/>
        <v>1000000</v>
      </c>
      <c r="CW178" s="33" t="str">
        <f t="shared" si="114"/>
        <v xml:space="preserve"> F </v>
      </c>
      <c r="CX178" s="33">
        <f t="shared" si="115"/>
        <v>-0.27</v>
      </c>
      <c r="CY178" s="33" t="str">
        <f t="shared" si="116"/>
        <v xml:space="preserve"> F </v>
      </c>
    </row>
    <row r="179" spans="1:103" x14ac:dyDescent="0.2">
      <c r="B179" s="33">
        <v>-1684</v>
      </c>
      <c r="D179" s="21" t="s">
        <v>828</v>
      </c>
      <c r="E179" s="21" t="s">
        <v>1386</v>
      </c>
      <c r="F179" s="4" t="s">
        <v>1387</v>
      </c>
      <c r="G179" s="4"/>
      <c r="I179" s="33">
        <f t="shared" si="126"/>
        <v>315.8</v>
      </c>
      <c r="J179" s="33" t="e">
        <f t="shared" si="117"/>
        <v>#DIV/0!</v>
      </c>
      <c r="K179" s="44" t="e">
        <f t="shared" si="121"/>
        <v>#DIV/0!</v>
      </c>
      <c r="L179" s="33" t="e">
        <f t="shared" si="122"/>
        <v>#DIV/0!</v>
      </c>
      <c r="M179" s="33" t="s">
        <v>345</v>
      </c>
      <c r="Q179" s="44" t="str">
        <f t="shared" si="128"/>
        <v xml:space="preserve"> </v>
      </c>
      <c r="R179" s="33" t="str">
        <f>IF(OR(ISBLANK(P179), ISBLANK(Q179)),"",CONCATENATE(" ",VLOOKUP(Q179,Literatuur!$A:$B,2,FALSE)," "))</f>
        <v/>
      </c>
      <c r="T179" s="44" t="str">
        <f t="shared" si="129"/>
        <v xml:space="preserve"> </v>
      </c>
      <c r="U179" s="33" t="str">
        <f>IF(OR(ISBLANK(S179), ISBLANK(T179)),"",CONCATENATE(" ",VLOOKUP(T179,Literatuur!$A:$B,2,FALSE)," "))</f>
        <v/>
      </c>
      <c r="W179" s="44" t="str">
        <f t="shared" si="130"/>
        <v xml:space="preserve"> </v>
      </c>
      <c r="X179" s="33" t="str">
        <f>IF(OR(ISBLANK(V179), ISBLANK(W179)),"",CONCATENATE(" ",VLOOKUP(W179,Literatuur!$A:$B,2,FALSE)," "))</f>
        <v/>
      </c>
      <c r="Z179" s="44" t="str">
        <f t="shared" si="131"/>
        <v xml:space="preserve"> </v>
      </c>
      <c r="AA179" s="33" t="str">
        <f>IF(OR(ISBLANK(Y179), ISBLANK(Z179)),"",CONCATENATE(" ",VLOOKUP(Z179,Literatuur!$A:$B,2,FALSE)," "))</f>
        <v/>
      </c>
      <c r="AC179" s="36" t="str">
        <f t="shared" si="132"/>
        <v xml:space="preserve"> </v>
      </c>
      <c r="AD179" s="33" t="str">
        <f>IF(OR(ISBLANK(AB179), ISBLANK(AC179)),"",CONCATENATE(" ",VLOOKUP(AC179,Literatuur!$A:$B,2,FALSE)," "))</f>
        <v/>
      </c>
      <c r="AG179" s="33" t="str">
        <f>IF(OR(ISBLANK(AE179), ISBLANK(AF179)),"",CONCATENATE(" ",VLOOKUP(AF179,Literatuur!$A:$B,2,FALSE)," "))</f>
        <v/>
      </c>
      <c r="AJ179" s="44" t="str">
        <f t="shared" si="133"/>
        <v xml:space="preserve"> </v>
      </c>
      <c r="AK179" s="33" t="str">
        <f>IF(OR(ISBLANK(AI179), ISBLANK(AJ179)),"",CONCATENATE(" ",VLOOKUP(AJ179,Literatuur!$A:$B,2,FALSE)," "))</f>
        <v/>
      </c>
      <c r="AM179" s="44" t="str">
        <f t="shared" si="134"/>
        <v xml:space="preserve"> </v>
      </c>
      <c r="AN179" s="33" t="str">
        <f>IF(OR(ISBLANK(AL179), ISBLANK(AM179)),"",CONCATENATE(" ",VLOOKUP(AM179,Literatuur!$A:$B,2,FALSE)," "))</f>
        <v/>
      </c>
      <c r="AP179" s="44" t="str">
        <f t="shared" si="135"/>
        <v xml:space="preserve"> </v>
      </c>
      <c r="AQ179" s="33" t="str">
        <f>IF(OR(ISBLANK(AO179), ISBLANK(AP179)),"",CONCATENATE(" ",VLOOKUP(AP179,Literatuur!$A:$B,2,FALSE)," "))</f>
        <v/>
      </c>
      <c r="AS179"/>
      <c r="AT179" s="33" t="str">
        <f>IF(OR(ISBLANK(AR179), ISBLANK(AS179)),"",CONCATENATE(" ",VLOOKUP(AS179,Literatuur!$A:$B,2,FALSE)," "))</f>
        <v/>
      </c>
      <c r="AU179">
        <v>315.8</v>
      </c>
      <c r="AV179" s="33" t="s">
        <v>1235</v>
      </c>
      <c r="AW179" s="33" t="str">
        <f>IF(OR(ISBLANK(AU179), ISBLANK(AV179)),"",CONCATENATE(" ",VLOOKUP(AV179,Literatuur!$A:$B,2,FALSE)," "))</f>
        <v xml:space="preserve"> 21 </v>
      </c>
      <c r="AZ179" s="44" t="str">
        <f t="shared" si="136"/>
        <v xml:space="preserve"> </v>
      </c>
      <c r="BA179" s="33" t="str">
        <f>IF(OR(ISBLANK(AY179), ISBLANK(AZ179)),"",CONCATENATE(" ",VLOOKUP(AZ179,Literatuur!$A:$B,2,FALSE)," "))</f>
        <v/>
      </c>
      <c r="BC179" s="44" t="str">
        <f t="shared" si="137"/>
        <v xml:space="preserve"> </v>
      </c>
      <c r="BD179" s="33" t="str">
        <f>IF(OR(ISBLANK(BB179), ISBLANK(BC179)),"",CONCATENATE(" ",VLOOKUP(BC179,Literatuur!$A:$B,2,FALSE)," "))</f>
        <v/>
      </c>
      <c r="BF179" s="44" t="str">
        <f t="shared" si="138"/>
        <v xml:space="preserve"> </v>
      </c>
      <c r="BG179" s="33" t="str">
        <f>IF(OR(ISBLANK(BE179), ISBLANK(BF179)),"",CONCATENATE(" ",VLOOKUP(BF179,Literatuur!$A:$B,2,FALSE)," "))</f>
        <v/>
      </c>
      <c r="BI179" s="44" t="str">
        <f t="shared" si="139"/>
        <v xml:space="preserve"> </v>
      </c>
      <c r="BJ179" s="33" t="str">
        <f>IF(OR(ISBLANK(BH179), ISBLANK(BI179)),"",CONCATENATE(" ",VLOOKUP(BI179,Literatuur!$A:$B,2,FALSE)," "))</f>
        <v/>
      </c>
      <c r="BL179" s="44" t="str">
        <f t="shared" si="140"/>
        <v xml:space="preserve"> </v>
      </c>
      <c r="BM179" s="33" t="str">
        <f>IF(OR(ISBLANK(BK179), ISBLANK(BL179)),"",CONCATENATE(" ",VLOOKUP(BL179,Literatuur!$A:$B,2,FALSE)," "))</f>
        <v/>
      </c>
      <c r="BP179" s="33" t="str">
        <f>IF(OR(ISBLANK(BN179), ISBLANK(BO179)),"",CONCATENATE(" ",VLOOKUP(BO179,Literatuur!$A:$B,2,FALSE)," "))</f>
        <v/>
      </c>
      <c r="BS179" s="33" t="str">
        <f>IF(OR(ISBLANK(BQ179), ISBLANK(BR179)),"",CONCATENATE(" ",VLOOKUP(BR179,Literatuur!$A:$B,2,FALSE)," "))</f>
        <v/>
      </c>
      <c r="BV179" s="33" t="str">
        <f>IF(OR(ISBLANK(BT179), ISBLANK(BU179)),"",CONCATENATE(" ",VLOOKUP(BU179,Literatuur!$A:$B,2,FALSE)," "))</f>
        <v/>
      </c>
      <c r="CR179" s="33" t="str">
        <f t="shared" si="109"/>
        <v>2-(2-Hydroxy-3.t-butyl-5-methylphenyl-5-Chloro-benztriazol</v>
      </c>
      <c r="CS179" s="33" t="str">
        <f t="shared" si="110"/>
        <v>overige</v>
      </c>
      <c r="CT179" s="33">
        <f t="shared" si="111"/>
        <v>315.8</v>
      </c>
      <c r="CU179" s="33" t="str">
        <f t="shared" si="112"/>
        <v xml:space="preserve"> 21 </v>
      </c>
      <c r="CV179" s="33" t="str">
        <f t="shared" si="113"/>
        <v/>
      </c>
      <c r="CW179" s="33" t="str">
        <f t="shared" si="114"/>
        <v/>
      </c>
      <c r="CX179" s="33" t="str">
        <f t="shared" si="115"/>
        <v/>
      </c>
      <c r="CY179" s="33" t="str">
        <f t="shared" si="116"/>
        <v/>
      </c>
    </row>
    <row r="180" spans="1:103" x14ac:dyDescent="0.2">
      <c r="B180" s="33">
        <v>-1669</v>
      </c>
      <c r="D180" s="21" t="s">
        <v>813</v>
      </c>
      <c r="E180" s="21" t="s">
        <v>813</v>
      </c>
      <c r="F180" s="4"/>
      <c r="G180" s="4"/>
      <c r="I180" s="33">
        <f t="shared" si="126"/>
        <v>150</v>
      </c>
      <c r="J180" s="33" t="e">
        <f t="shared" si="117"/>
        <v>#DIV/0!</v>
      </c>
      <c r="K180" s="44" t="e">
        <f t="shared" si="121"/>
        <v>#DIV/0!</v>
      </c>
      <c r="L180" s="33" t="e">
        <f t="shared" si="122"/>
        <v>#DIV/0!</v>
      </c>
      <c r="M180" s="33" t="s">
        <v>345</v>
      </c>
      <c r="Q180" s="44" t="str">
        <f t="shared" si="128"/>
        <v xml:space="preserve"> </v>
      </c>
      <c r="R180" s="33" t="str">
        <f>IF(OR(ISBLANK(P180), ISBLANK(Q180)),"",CONCATENATE(" ",VLOOKUP(Q180,Literatuur!$A:$B,2,FALSE)," "))</f>
        <v/>
      </c>
      <c r="T180" s="44" t="str">
        <f t="shared" si="129"/>
        <v xml:space="preserve"> </v>
      </c>
      <c r="U180" s="33" t="str">
        <f>IF(OR(ISBLANK(S180), ISBLANK(T180)),"",CONCATENATE(" ",VLOOKUP(T180,Literatuur!$A:$B,2,FALSE)," "))</f>
        <v/>
      </c>
      <c r="W180" s="44" t="str">
        <f t="shared" si="130"/>
        <v xml:space="preserve"> </v>
      </c>
      <c r="X180" s="33" t="str">
        <f>IF(OR(ISBLANK(V180), ISBLANK(W180)),"",CONCATENATE(" ",VLOOKUP(W180,Literatuur!$A:$B,2,FALSE)," "))</f>
        <v/>
      </c>
      <c r="Z180" s="44" t="str">
        <f t="shared" si="131"/>
        <v xml:space="preserve"> </v>
      </c>
      <c r="AA180" s="33" t="str">
        <f>IF(OR(ISBLANK(Y180), ISBLANK(Z180)),"",CONCATENATE(" ",VLOOKUP(Z180,Literatuur!$A:$B,2,FALSE)," "))</f>
        <v/>
      </c>
      <c r="AC180" s="36" t="str">
        <f t="shared" si="132"/>
        <v xml:space="preserve"> </v>
      </c>
      <c r="AD180" s="33" t="str">
        <f>IF(OR(ISBLANK(AB180), ISBLANK(AC180)),"",CONCATENATE(" ",VLOOKUP(AC180,Literatuur!$A:$B,2,FALSE)," "))</f>
        <v/>
      </c>
      <c r="AG180" s="33" t="str">
        <f>IF(OR(ISBLANK(AE180), ISBLANK(AF180)),"",CONCATENATE(" ",VLOOKUP(AF180,Literatuur!$A:$B,2,FALSE)," "))</f>
        <v/>
      </c>
      <c r="AJ180" s="44" t="str">
        <f t="shared" si="133"/>
        <v xml:space="preserve"> </v>
      </c>
      <c r="AK180" s="33" t="str">
        <f>IF(OR(ISBLANK(AI180), ISBLANK(AJ180)),"",CONCATENATE(" ",VLOOKUP(AJ180,Literatuur!$A:$B,2,FALSE)," "))</f>
        <v/>
      </c>
      <c r="AM180" s="44" t="str">
        <f t="shared" si="134"/>
        <v xml:space="preserve"> </v>
      </c>
      <c r="AN180" s="33" t="str">
        <f>IF(OR(ISBLANK(AL180), ISBLANK(AM180)),"",CONCATENATE(" ",VLOOKUP(AM180,Literatuur!$A:$B,2,FALSE)," "))</f>
        <v/>
      </c>
      <c r="AP180" s="44" t="str">
        <f t="shared" si="135"/>
        <v xml:space="preserve"> </v>
      </c>
      <c r="AQ180" s="33" t="str">
        <f>IF(OR(ISBLANK(AO180), ISBLANK(AP180)),"",CONCATENATE(" ",VLOOKUP(AP180,Literatuur!$A:$B,2,FALSE)," "))</f>
        <v/>
      </c>
      <c r="AS180"/>
      <c r="AT180" s="33" t="str">
        <f>IF(OR(ISBLANK(AR180), ISBLANK(AS180)),"",CONCATENATE(" ",VLOOKUP(AS180,Literatuur!$A:$B,2,FALSE)," "))</f>
        <v/>
      </c>
      <c r="AU180">
        <v>150</v>
      </c>
      <c r="AV180" s="33" t="s">
        <v>1235</v>
      </c>
      <c r="AW180" s="33" t="str">
        <f>IF(OR(ISBLANK(AU180), ISBLANK(AV180)),"",CONCATENATE(" ",VLOOKUP(AV180,Literatuur!$A:$B,2,FALSE)," "))</f>
        <v xml:space="preserve"> 21 </v>
      </c>
      <c r="AZ180" s="44" t="str">
        <f t="shared" si="136"/>
        <v xml:space="preserve"> </v>
      </c>
      <c r="BA180" s="33" t="str">
        <f>IF(OR(ISBLANK(AY180), ISBLANK(AZ180)),"",CONCATENATE(" ",VLOOKUP(AZ180,Literatuur!$A:$B,2,FALSE)," "))</f>
        <v/>
      </c>
      <c r="BC180" s="44" t="str">
        <f t="shared" si="137"/>
        <v xml:space="preserve"> </v>
      </c>
      <c r="BD180" s="33" t="str">
        <f>IF(OR(ISBLANK(BB180), ISBLANK(BC180)),"",CONCATENATE(" ",VLOOKUP(BC180,Literatuur!$A:$B,2,FALSE)," "))</f>
        <v/>
      </c>
      <c r="BF180" s="44" t="str">
        <f t="shared" si="138"/>
        <v xml:space="preserve"> </v>
      </c>
      <c r="BG180" s="33" t="str">
        <f>IF(OR(ISBLANK(BE180), ISBLANK(BF180)),"",CONCATENATE(" ",VLOOKUP(BF180,Literatuur!$A:$B,2,FALSE)," "))</f>
        <v/>
      </c>
      <c r="BI180" s="44" t="str">
        <f t="shared" si="139"/>
        <v xml:space="preserve"> </v>
      </c>
      <c r="BJ180" s="33" t="str">
        <f>IF(OR(ISBLANK(BH180), ISBLANK(BI180)),"",CONCATENATE(" ",VLOOKUP(BI180,Literatuur!$A:$B,2,FALSE)," "))</f>
        <v/>
      </c>
      <c r="BL180" s="44" t="str">
        <f t="shared" si="140"/>
        <v xml:space="preserve"> </v>
      </c>
      <c r="BM180" s="33" t="str">
        <f>IF(OR(ISBLANK(BK180), ISBLANK(BL180)),"",CONCATENATE(" ",VLOOKUP(BL180,Literatuur!$A:$B,2,FALSE)," "))</f>
        <v/>
      </c>
      <c r="BP180" s="33" t="str">
        <f>IF(OR(ISBLANK(BN180), ISBLANK(BO180)),"",CONCATENATE(" ",VLOOKUP(BO180,Literatuur!$A:$B,2,FALSE)," "))</f>
        <v/>
      </c>
      <c r="BS180" s="33" t="str">
        <f>IF(OR(ISBLANK(BQ180), ISBLANK(BR180)),"",CONCATENATE(" ",VLOOKUP(BR180,Literatuur!$A:$B,2,FALSE)," "))</f>
        <v/>
      </c>
      <c r="BV180" s="33" t="str">
        <f>IF(OR(ISBLANK(BT180), ISBLANK(BU180)),"",CONCATENATE(" ",VLOOKUP(BU180,Literatuur!$A:$B,2,FALSE)," "))</f>
        <v/>
      </c>
      <c r="CR180" s="33" t="str">
        <f t="shared" si="109"/>
        <v>2,3,5,6,-Tetramethyl-phenol</v>
      </c>
      <c r="CS180" s="33" t="str">
        <f t="shared" si="110"/>
        <v>overige</v>
      </c>
      <c r="CT180" s="33">
        <f t="shared" si="111"/>
        <v>150</v>
      </c>
      <c r="CU180" s="33" t="str">
        <f t="shared" si="112"/>
        <v xml:space="preserve"> 21 </v>
      </c>
      <c r="CV180" s="33" t="str">
        <f t="shared" si="113"/>
        <v/>
      </c>
      <c r="CW180" s="33" t="str">
        <f t="shared" si="114"/>
        <v/>
      </c>
      <c r="CX180" s="33" t="str">
        <f t="shared" si="115"/>
        <v/>
      </c>
      <c r="CY180" s="33" t="str">
        <f t="shared" si="116"/>
        <v/>
      </c>
    </row>
    <row r="181" spans="1:103" x14ac:dyDescent="0.2">
      <c r="A181"/>
      <c r="B181">
        <v>-1762</v>
      </c>
      <c r="C181"/>
      <c r="D181" t="s">
        <v>1192</v>
      </c>
      <c r="E181" t="s">
        <v>1192</v>
      </c>
      <c r="I181" s="33">
        <f t="shared" si="126"/>
        <v>287.5</v>
      </c>
      <c r="J181" s="33">
        <f t="shared" si="117"/>
        <v>0.14409132966784072</v>
      </c>
      <c r="K181" s="44">
        <f t="shared" si="121"/>
        <v>6.1</v>
      </c>
      <c r="L181" s="33">
        <f t="shared" si="122"/>
        <v>179.9</v>
      </c>
      <c r="M181" s="33" t="s">
        <v>345</v>
      </c>
      <c r="Q181" s="44" t="str">
        <f t="shared" si="128"/>
        <v xml:space="preserve"> </v>
      </c>
      <c r="R181" s="33" t="str">
        <f>IF(OR(ISBLANK(P181), ISBLANK(Q181)),"",CONCATENATE(" ",VLOOKUP(Q181,Literatuur!$A:$B,2,FALSE)," "))</f>
        <v/>
      </c>
      <c r="T181" s="44" t="str">
        <f t="shared" si="129"/>
        <v xml:space="preserve"> </v>
      </c>
      <c r="U181" s="33" t="str">
        <f>IF(OR(ISBLANK(S181), ISBLANK(T181)),"",CONCATENATE(" ",VLOOKUP(T181,Literatuur!$A:$B,2,FALSE)," "))</f>
        <v/>
      </c>
      <c r="W181" s="44" t="str">
        <f t="shared" si="130"/>
        <v xml:space="preserve"> </v>
      </c>
      <c r="X181" s="33" t="str">
        <f>IF(OR(ISBLANK(V181), ISBLANK(W181)),"",CONCATENATE(" ",VLOOKUP(W181,Literatuur!$A:$B,2,FALSE)," "))</f>
        <v/>
      </c>
      <c r="Z181" s="44" t="str">
        <f t="shared" si="131"/>
        <v xml:space="preserve"> </v>
      </c>
      <c r="AA181" s="33" t="str">
        <f>IF(OR(ISBLANK(Y181), ISBLANK(Z181)),"",CONCATENATE(" ",VLOOKUP(Z181,Literatuur!$A:$B,2,FALSE)," "))</f>
        <v/>
      </c>
      <c r="AC181" s="36" t="str">
        <f t="shared" si="132"/>
        <v xml:space="preserve"> </v>
      </c>
      <c r="AD181" s="33" t="str">
        <f>IF(OR(ISBLANK(AB181), ISBLANK(AC181)),"",CONCATENATE(" ",VLOOKUP(AC181,Literatuur!$A:$B,2,FALSE)," "))</f>
        <v/>
      </c>
      <c r="AE181" s="365">
        <v>0.14409132966784072</v>
      </c>
      <c r="AF181" s="33" t="s">
        <v>1557</v>
      </c>
      <c r="AG181" s="33" t="str">
        <f>IF(OR(ISBLANK(AE181), ISBLANK(AF181)),"",CONCATENATE(" ",VLOOKUP(AF181,Literatuur!$A:$B,2,FALSE)," "))</f>
        <v xml:space="preserve"> 17 </v>
      </c>
      <c r="AJ181" s="44" t="str">
        <f t="shared" si="133"/>
        <v xml:space="preserve"> </v>
      </c>
      <c r="AK181" s="33" t="str">
        <f>IF(OR(ISBLANK(AI181), ISBLANK(AJ181)),"",CONCATENATE(" ",VLOOKUP(AJ181,Literatuur!$A:$B,2,FALSE)," "))</f>
        <v/>
      </c>
      <c r="AM181" s="44" t="str">
        <f t="shared" si="134"/>
        <v xml:space="preserve"> </v>
      </c>
      <c r="AN181" s="33" t="str">
        <f>IF(OR(ISBLANK(AL181), ISBLANK(AM181)),"",CONCATENATE(" ",VLOOKUP(AM181,Literatuur!$A:$B,2,FALSE)," "))</f>
        <v/>
      </c>
      <c r="AP181" s="44" t="str">
        <f t="shared" si="135"/>
        <v xml:space="preserve"> </v>
      </c>
      <c r="AQ181" s="33" t="str">
        <f>IF(OR(ISBLANK(AO181), ISBLANK(AP181)),"",CONCATENATE(" ",VLOOKUP(AP181,Literatuur!$A:$B,2,FALSE)," "))</f>
        <v/>
      </c>
      <c r="AS181"/>
      <c r="AT181" s="33" t="str">
        <f>IF(OR(ISBLANK(AR181), ISBLANK(AS181)),"",CONCATENATE(" ",VLOOKUP(AS181,Literatuur!$A:$B,2,FALSE)," "))</f>
        <v/>
      </c>
      <c r="AU181">
        <v>287.5</v>
      </c>
      <c r="AV181" s="33" t="s">
        <v>1557</v>
      </c>
      <c r="AW181" s="33" t="str">
        <f>IF(OR(ISBLANK(AU181), ISBLANK(AV181)),"",CONCATENATE(" ",VLOOKUP(AV181,Literatuur!$A:$B,2,FALSE)," "))</f>
        <v xml:space="preserve"> 17 </v>
      </c>
      <c r="AZ181" s="44" t="str">
        <f t="shared" si="136"/>
        <v xml:space="preserve"> </v>
      </c>
      <c r="BA181" s="33" t="str">
        <f>IF(OR(ISBLANK(AY181), ISBLANK(AZ181)),"",CONCATENATE(" ",VLOOKUP(AZ181,Literatuur!$A:$B,2,FALSE)," "))</f>
        <v/>
      </c>
      <c r="BC181" s="44" t="str">
        <f t="shared" si="137"/>
        <v xml:space="preserve"> </v>
      </c>
      <c r="BD181" s="33" t="str">
        <f>IF(OR(ISBLANK(BB181), ISBLANK(BC181)),"",CONCATENATE(" ",VLOOKUP(BC181,Literatuur!$A:$B,2,FALSE)," "))</f>
        <v/>
      </c>
      <c r="BF181" s="44" t="str">
        <f t="shared" si="138"/>
        <v xml:space="preserve"> </v>
      </c>
      <c r="BG181" s="33" t="str">
        <f>IF(OR(ISBLANK(BE181), ISBLANK(BF181)),"",CONCATENATE(" ",VLOOKUP(BF181,Literatuur!$A:$B,2,FALSE)," "))</f>
        <v/>
      </c>
      <c r="BI181" s="44" t="str">
        <f t="shared" si="139"/>
        <v xml:space="preserve"> </v>
      </c>
      <c r="BJ181" s="33" t="str">
        <f>IF(OR(ISBLANK(BH181), ISBLANK(BI181)),"",CONCATENATE(" ",VLOOKUP(BI181,Literatuur!$A:$B,2,FALSE)," "))</f>
        <v/>
      </c>
      <c r="BL181" s="44" t="str">
        <f t="shared" si="140"/>
        <v xml:space="preserve"> </v>
      </c>
      <c r="BM181" s="33" t="str">
        <f>IF(OR(ISBLANK(BK181), ISBLANK(BL181)),"",CONCATENATE(" ",VLOOKUP(BL181,Literatuur!$A:$B,2,FALSE)," "))</f>
        <v/>
      </c>
      <c r="BO181"/>
      <c r="BP181" s="33" t="str">
        <f>IF(OR(ISBLANK(BN181), ISBLANK(BO181)),"",CONCATENATE(" ",VLOOKUP(BO181,Literatuur!$A:$B,2,FALSE)," "))</f>
        <v/>
      </c>
      <c r="BR181"/>
      <c r="BS181" s="33" t="str">
        <f>IF(OR(ISBLANK(BQ181), ISBLANK(BR181)),"",CONCATENATE(" ",VLOOKUP(BR181,Literatuur!$A:$B,2,FALSE)," "))</f>
        <v/>
      </c>
      <c r="BT181">
        <v>6.1</v>
      </c>
      <c r="BU181" s="33" t="s">
        <v>1557</v>
      </c>
      <c r="BV181" s="33" t="str">
        <f>IF(OR(ISBLANK(BT181), ISBLANK(BU181)),"",CONCATENATE(" ",VLOOKUP(BU181,Literatuur!$A:$B,2,FALSE)," "))</f>
        <v xml:space="preserve"> 17 </v>
      </c>
      <c r="BX181">
        <v>179.9</v>
      </c>
      <c r="CB181" s="33" t="s">
        <v>1557</v>
      </c>
      <c r="CD181" s="33">
        <f>L181</f>
        <v>179.9</v>
      </c>
      <c r="CG181" s="33">
        <f>LOG(J181)</f>
        <v>-0.84136215097435085</v>
      </c>
      <c r="CH181" s="33">
        <f>K181</f>
        <v>6.1</v>
      </c>
      <c r="CR181" s="33" t="str">
        <f t="shared" si="109"/>
        <v>2,3,7-TriCDD</v>
      </c>
      <c r="CS181" s="33" t="str">
        <f t="shared" si="110"/>
        <v>overige</v>
      </c>
      <c r="CT181" s="33">
        <f t="shared" si="111"/>
        <v>287.5</v>
      </c>
      <c r="CU181" s="33" t="str">
        <f t="shared" si="112"/>
        <v xml:space="preserve"> 17 </v>
      </c>
      <c r="CV181" s="33">
        <f t="shared" si="113"/>
        <v>0.14409132966784072</v>
      </c>
      <c r="CW181" s="33" t="str">
        <f t="shared" si="114"/>
        <v xml:space="preserve"> 17 </v>
      </c>
      <c r="CX181" s="33">
        <f t="shared" si="115"/>
        <v>6.1</v>
      </c>
      <c r="CY181" s="33" t="str">
        <f t="shared" si="116"/>
        <v xml:space="preserve"> 17 </v>
      </c>
    </row>
    <row r="182" spans="1:103" x14ac:dyDescent="0.2">
      <c r="B182" s="33">
        <v>-1680</v>
      </c>
      <c r="D182" s="21" t="s">
        <v>824</v>
      </c>
      <c r="E182" s="21" t="s">
        <v>1384</v>
      </c>
      <c r="F182" s="4" t="s">
        <v>1385</v>
      </c>
      <c r="G182" s="4"/>
      <c r="I182" s="33">
        <f t="shared" si="126"/>
        <v>220</v>
      </c>
      <c r="J182" s="33" t="e">
        <f t="shared" si="117"/>
        <v>#DIV/0!</v>
      </c>
      <c r="K182" s="44" t="e">
        <f t="shared" si="121"/>
        <v>#DIV/0!</v>
      </c>
      <c r="L182" s="33" t="e">
        <f t="shared" si="122"/>
        <v>#DIV/0!</v>
      </c>
      <c r="M182" s="33" t="s">
        <v>345</v>
      </c>
      <c r="Q182" s="44" t="str">
        <f t="shared" si="128"/>
        <v xml:space="preserve"> </v>
      </c>
      <c r="R182" s="33" t="str">
        <f>IF(OR(ISBLANK(P182), ISBLANK(Q182)),"",CONCATENATE(" ",VLOOKUP(Q182,Literatuur!$A:$B,2,FALSE)," "))</f>
        <v/>
      </c>
      <c r="T182" s="44" t="str">
        <f t="shared" si="129"/>
        <v xml:space="preserve"> </v>
      </c>
      <c r="U182" s="33" t="str">
        <f>IF(OR(ISBLANK(S182), ISBLANK(T182)),"",CONCATENATE(" ",VLOOKUP(T182,Literatuur!$A:$B,2,FALSE)," "))</f>
        <v/>
      </c>
      <c r="W182" s="44" t="str">
        <f t="shared" si="130"/>
        <v xml:space="preserve"> </v>
      </c>
      <c r="X182" s="33" t="str">
        <f>IF(OR(ISBLANK(V182), ISBLANK(W182)),"",CONCATENATE(" ",VLOOKUP(W182,Literatuur!$A:$B,2,FALSE)," "))</f>
        <v/>
      </c>
      <c r="Z182" s="44" t="str">
        <f t="shared" si="131"/>
        <v xml:space="preserve"> </v>
      </c>
      <c r="AA182" s="33" t="str">
        <f>IF(OR(ISBLANK(Y182), ISBLANK(Z182)),"",CONCATENATE(" ",VLOOKUP(Z182,Literatuur!$A:$B,2,FALSE)," "))</f>
        <v/>
      </c>
      <c r="AC182" s="36" t="str">
        <f t="shared" si="132"/>
        <v xml:space="preserve"> </v>
      </c>
      <c r="AD182" s="33" t="str">
        <f>IF(OR(ISBLANK(AB182), ISBLANK(AC182)),"",CONCATENATE(" ",VLOOKUP(AC182,Literatuur!$A:$B,2,FALSE)," "))</f>
        <v/>
      </c>
      <c r="AG182" s="33" t="str">
        <f>IF(OR(ISBLANK(AE182), ISBLANK(AF182)),"",CONCATENATE(" ",VLOOKUP(AF182,Literatuur!$A:$B,2,FALSE)," "))</f>
        <v/>
      </c>
      <c r="AJ182" s="44" t="str">
        <f t="shared" si="133"/>
        <v xml:space="preserve"> </v>
      </c>
      <c r="AK182" s="33" t="str">
        <f>IF(OR(ISBLANK(AI182), ISBLANK(AJ182)),"",CONCATENATE(" ",VLOOKUP(AJ182,Literatuur!$A:$B,2,FALSE)," "))</f>
        <v/>
      </c>
      <c r="AM182" s="44" t="str">
        <f t="shared" si="134"/>
        <v xml:space="preserve"> </v>
      </c>
      <c r="AN182" s="33" t="str">
        <f>IF(OR(ISBLANK(AL182), ISBLANK(AM182)),"",CONCATENATE(" ",VLOOKUP(AM182,Literatuur!$A:$B,2,FALSE)," "))</f>
        <v/>
      </c>
      <c r="AP182" s="44" t="str">
        <f t="shared" si="135"/>
        <v xml:space="preserve"> </v>
      </c>
      <c r="AQ182" s="33" t="str">
        <f>IF(OR(ISBLANK(AO182), ISBLANK(AP182)),"",CONCATENATE(" ",VLOOKUP(AP182,Literatuur!$A:$B,2,FALSE)," "))</f>
        <v/>
      </c>
      <c r="AS182"/>
      <c r="AT182" s="33" t="str">
        <f>IF(OR(ISBLANK(AR182), ISBLANK(AS182)),"",CONCATENATE(" ",VLOOKUP(AS182,Literatuur!$A:$B,2,FALSE)," "))</f>
        <v/>
      </c>
      <c r="AU182">
        <v>220</v>
      </c>
      <c r="AV182" s="33" t="s">
        <v>1235</v>
      </c>
      <c r="AW182" s="33" t="str">
        <f>IF(OR(ISBLANK(AU182), ISBLANK(AV182)),"",CONCATENATE(" ",VLOOKUP(AV182,Literatuur!$A:$B,2,FALSE)," "))</f>
        <v xml:space="preserve"> 21 </v>
      </c>
      <c r="AZ182" s="44" t="str">
        <f t="shared" si="136"/>
        <v xml:space="preserve"> </v>
      </c>
      <c r="BA182" s="33" t="str">
        <f>IF(OR(ISBLANK(AY182), ISBLANK(AZ182)),"",CONCATENATE(" ",VLOOKUP(AZ182,Literatuur!$A:$B,2,FALSE)," "))</f>
        <v/>
      </c>
      <c r="BC182" s="44" t="str">
        <f t="shared" si="137"/>
        <v xml:space="preserve"> </v>
      </c>
      <c r="BD182" s="33" t="str">
        <f>IF(OR(ISBLANK(BB182), ISBLANK(BC182)),"",CONCATENATE(" ",VLOOKUP(BC182,Literatuur!$A:$B,2,FALSE)," "))</f>
        <v/>
      </c>
      <c r="BF182" s="44" t="str">
        <f t="shared" si="138"/>
        <v xml:space="preserve"> </v>
      </c>
      <c r="BG182" s="33" t="str">
        <f>IF(OR(ISBLANK(BE182), ISBLANK(BF182)),"",CONCATENATE(" ",VLOOKUP(BF182,Literatuur!$A:$B,2,FALSE)," "))</f>
        <v/>
      </c>
      <c r="BI182" s="44" t="str">
        <f t="shared" si="139"/>
        <v xml:space="preserve"> </v>
      </c>
      <c r="BJ182" s="33" t="str">
        <f>IF(OR(ISBLANK(BH182), ISBLANK(BI182)),"",CONCATENATE(" ",VLOOKUP(BI182,Literatuur!$A:$B,2,FALSE)," "))</f>
        <v/>
      </c>
      <c r="BL182" s="44" t="str">
        <f t="shared" si="140"/>
        <v xml:space="preserve"> </v>
      </c>
      <c r="BM182" s="33" t="str">
        <f>IF(OR(ISBLANK(BK182), ISBLANK(BL182)),"",CONCATENATE(" ",VLOOKUP(BL182,Literatuur!$A:$B,2,FALSE)," "))</f>
        <v/>
      </c>
      <c r="BP182" s="33" t="str">
        <f>IF(OR(ISBLANK(BN182), ISBLANK(BO182)),"",CONCATENATE(" ",VLOOKUP(BO182,Literatuur!$A:$B,2,FALSE)," "))</f>
        <v/>
      </c>
      <c r="BS182" s="33" t="str">
        <f>IF(OR(ISBLANK(BQ182), ISBLANK(BR182)),"",CONCATENATE(" ",VLOOKUP(BR182,Literatuur!$A:$B,2,FALSE)," "))</f>
        <v/>
      </c>
      <c r="BV182" s="33" t="str">
        <f>IF(OR(ISBLANK(BT182), ISBLANK(BU182)),"",CONCATENATE(" ",VLOOKUP(BU182,Literatuur!$A:$B,2,FALSE)," "))</f>
        <v/>
      </c>
      <c r="CR182" s="33" t="str">
        <f t="shared" si="109"/>
        <v>2,6-Di-tert-butyl-4-methyl-phenol</v>
      </c>
      <c r="CS182" s="33" t="str">
        <f t="shared" si="110"/>
        <v>overige</v>
      </c>
      <c r="CT182" s="33">
        <f t="shared" si="111"/>
        <v>220</v>
      </c>
      <c r="CU182" s="33" t="str">
        <f t="shared" si="112"/>
        <v xml:space="preserve"> 21 </v>
      </c>
      <c r="CV182" s="33" t="str">
        <f t="shared" si="113"/>
        <v/>
      </c>
      <c r="CW182" s="33" t="str">
        <f t="shared" si="114"/>
        <v/>
      </c>
      <c r="CX182" s="33" t="str">
        <f t="shared" si="115"/>
        <v/>
      </c>
      <c r="CY182" s="33" t="str">
        <f t="shared" si="116"/>
        <v/>
      </c>
    </row>
    <row r="183" spans="1:103" x14ac:dyDescent="0.2">
      <c r="A183"/>
      <c r="B183">
        <v>-1761</v>
      </c>
      <c r="C183"/>
      <c r="D183" t="s">
        <v>1191</v>
      </c>
      <c r="E183" t="s">
        <v>1191</v>
      </c>
      <c r="I183" s="33">
        <f t="shared" si="126"/>
        <v>253.1</v>
      </c>
      <c r="J183" s="33">
        <f t="shared" si="117"/>
        <v>0.20104447620871552</v>
      </c>
      <c r="K183" s="44">
        <f t="shared" si="121"/>
        <v>5.6</v>
      </c>
      <c r="L183" s="33">
        <f t="shared" si="122"/>
        <v>168.5</v>
      </c>
      <c r="M183" s="33" t="s">
        <v>345</v>
      </c>
      <c r="Q183" s="44" t="str">
        <f t="shared" si="128"/>
        <v xml:space="preserve"> </v>
      </c>
      <c r="R183" s="33" t="str">
        <f>IF(OR(ISBLANK(P183), ISBLANK(Q183)),"",CONCATENATE(" ",VLOOKUP(Q183,Literatuur!$A:$B,2,FALSE)," "))</f>
        <v/>
      </c>
      <c r="T183" s="44" t="str">
        <f t="shared" si="129"/>
        <v xml:space="preserve"> </v>
      </c>
      <c r="U183" s="33" t="str">
        <f>IF(OR(ISBLANK(S183), ISBLANK(T183)),"",CONCATENATE(" ",VLOOKUP(T183,Literatuur!$A:$B,2,FALSE)," "))</f>
        <v/>
      </c>
      <c r="W183" s="44" t="str">
        <f t="shared" si="130"/>
        <v xml:space="preserve"> </v>
      </c>
      <c r="X183" s="33" t="str">
        <f>IF(OR(ISBLANK(V183), ISBLANK(W183)),"",CONCATENATE(" ",VLOOKUP(W183,Literatuur!$A:$B,2,FALSE)," "))</f>
        <v/>
      </c>
      <c r="Z183" s="44" t="str">
        <f t="shared" si="131"/>
        <v xml:space="preserve"> </v>
      </c>
      <c r="AA183" s="33" t="str">
        <f>IF(OR(ISBLANK(Y183), ISBLANK(Z183)),"",CONCATENATE(" ",VLOOKUP(Z183,Literatuur!$A:$B,2,FALSE)," "))</f>
        <v/>
      </c>
      <c r="AC183" s="36" t="str">
        <f t="shared" si="132"/>
        <v xml:space="preserve"> </v>
      </c>
      <c r="AD183" s="33" t="str">
        <f>IF(OR(ISBLANK(AB183), ISBLANK(AC183)),"",CONCATENATE(" ",VLOOKUP(AC183,Literatuur!$A:$B,2,FALSE)," "))</f>
        <v/>
      </c>
      <c r="AE183" s="365">
        <v>0.20104447620871552</v>
      </c>
      <c r="AF183" s="33" t="s">
        <v>1557</v>
      </c>
      <c r="AG183" s="33" t="str">
        <f>IF(OR(ISBLANK(AE183), ISBLANK(AF183)),"",CONCATENATE(" ",VLOOKUP(AF183,Literatuur!$A:$B,2,FALSE)," "))</f>
        <v xml:space="preserve"> 17 </v>
      </c>
      <c r="AJ183" s="44" t="str">
        <f t="shared" si="133"/>
        <v xml:space="preserve"> </v>
      </c>
      <c r="AK183" s="33" t="str">
        <f>IF(OR(ISBLANK(AI183), ISBLANK(AJ183)),"",CONCATENATE(" ",VLOOKUP(AJ183,Literatuur!$A:$B,2,FALSE)," "))</f>
        <v/>
      </c>
      <c r="AM183" s="44" t="str">
        <f t="shared" si="134"/>
        <v xml:space="preserve"> </v>
      </c>
      <c r="AN183" s="33" t="str">
        <f>IF(OR(ISBLANK(AL183), ISBLANK(AM183)),"",CONCATENATE(" ",VLOOKUP(AM183,Literatuur!$A:$B,2,FALSE)," "))</f>
        <v/>
      </c>
      <c r="AP183" s="44" t="str">
        <f t="shared" si="135"/>
        <v xml:space="preserve"> </v>
      </c>
      <c r="AQ183" s="33" t="str">
        <f>IF(OR(ISBLANK(AO183), ISBLANK(AP183)),"",CONCATENATE(" ",VLOOKUP(AP183,Literatuur!$A:$B,2,FALSE)," "))</f>
        <v/>
      </c>
      <c r="AS183"/>
      <c r="AT183" s="33" t="str">
        <f>IF(OR(ISBLANK(AR183), ISBLANK(AS183)),"",CONCATENATE(" ",VLOOKUP(AS183,Literatuur!$A:$B,2,FALSE)," "))</f>
        <v/>
      </c>
      <c r="AU183">
        <v>253.1</v>
      </c>
      <c r="AV183" s="33" t="s">
        <v>1557</v>
      </c>
      <c r="AW183" s="33" t="str">
        <f>IF(OR(ISBLANK(AU183), ISBLANK(AV183)),"",CONCATENATE(" ",VLOOKUP(AV183,Literatuur!$A:$B,2,FALSE)," "))</f>
        <v xml:space="preserve"> 17 </v>
      </c>
      <c r="AZ183" s="44" t="str">
        <f t="shared" si="136"/>
        <v xml:space="preserve"> </v>
      </c>
      <c r="BA183" s="33" t="str">
        <f>IF(OR(ISBLANK(AY183), ISBLANK(AZ183)),"",CONCATENATE(" ",VLOOKUP(AZ183,Literatuur!$A:$B,2,FALSE)," "))</f>
        <v/>
      </c>
      <c r="BC183" s="44" t="str">
        <f t="shared" si="137"/>
        <v xml:space="preserve"> </v>
      </c>
      <c r="BD183" s="33" t="str">
        <f>IF(OR(ISBLANK(BB183), ISBLANK(BC183)),"",CONCATENATE(" ",VLOOKUP(BC183,Literatuur!$A:$B,2,FALSE)," "))</f>
        <v/>
      </c>
      <c r="BF183" s="44" t="str">
        <f t="shared" si="138"/>
        <v xml:space="preserve"> </v>
      </c>
      <c r="BG183" s="33" t="str">
        <f>IF(OR(ISBLANK(BE183), ISBLANK(BF183)),"",CONCATENATE(" ",VLOOKUP(BF183,Literatuur!$A:$B,2,FALSE)," "))</f>
        <v/>
      </c>
      <c r="BI183" s="44" t="str">
        <f t="shared" si="139"/>
        <v xml:space="preserve"> </v>
      </c>
      <c r="BJ183" s="33" t="str">
        <f>IF(OR(ISBLANK(BH183), ISBLANK(BI183)),"",CONCATENATE(" ",VLOOKUP(BI183,Literatuur!$A:$B,2,FALSE)," "))</f>
        <v/>
      </c>
      <c r="BL183" s="44" t="str">
        <f t="shared" si="140"/>
        <v xml:space="preserve"> </v>
      </c>
      <c r="BM183" s="33" t="str">
        <f>IF(OR(ISBLANK(BK183), ISBLANK(BL183)),"",CONCATENATE(" ",VLOOKUP(BL183,Literatuur!$A:$B,2,FALSE)," "))</f>
        <v/>
      </c>
      <c r="BO183"/>
      <c r="BP183" s="33" t="str">
        <f>IF(OR(ISBLANK(BN183), ISBLANK(BO183)),"",CONCATENATE(" ",VLOOKUP(BO183,Literatuur!$A:$B,2,FALSE)," "))</f>
        <v/>
      </c>
      <c r="BR183"/>
      <c r="BS183" s="33" t="str">
        <f>IF(OR(ISBLANK(BQ183), ISBLANK(BR183)),"",CONCATENATE(" ",VLOOKUP(BR183,Literatuur!$A:$B,2,FALSE)," "))</f>
        <v/>
      </c>
      <c r="BT183">
        <v>5.6</v>
      </c>
      <c r="BU183" s="33" t="s">
        <v>1557</v>
      </c>
      <c r="BV183" s="33" t="str">
        <f>IF(OR(ISBLANK(BT183), ISBLANK(BU183)),"",CONCATENATE(" ",VLOOKUP(BU183,Literatuur!$A:$B,2,FALSE)," "))</f>
        <v xml:space="preserve"> 17 </v>
      </c>
      <c r="BX183">
        <v>168.5</v>
      </c>
      <c r="CB183" s="33" t="s">
        <v>1557</v>
      </c>
      <c r="CD183" s="33">
        <f>L183</f>
        <v>168.5</v>
      </c>
      <c r="CG183" s="33">
        <f>LOG(J183)</f>
        <v>-0.69670785484174602</v>
      </c>
      <c r="CH183" s="33">
        <f>K183</f>
        <v>5.6</v>
      </c>
      <c r="CR183" s="33" t="str">
        <f t="shared" si="109"/>
        <v>2,7/8-DiCDD</v>
      </c>
      <c r="CS183" s="33" t="str">
        <f t="shared" si="110"/>
        <v>overige</v>
      </c>
      <c r="CT183" s="33">
        <f t="shared" si="111"/>
        <v>253.1</v>
      </c>
      <c r="CU183" s="33" t="str">
        <f t="shared" si="112"/>
        <v xml:space="preserve"> 17 </v>
      </c>
      <c r="CV183" s="33">
        <f t="shared" si="113"/>
        <v>0.20104447620871552</v>
      </c>
      <c r="CW183" s="33" t="str">
        <f t="shared" si="114"/>
        <v xml:space="preserve"> 17 </v>
      </c>
      <c r="CX183" s="33">
        <f t="shared" si="115"/>
        <v>5.6</v>
      </c>
      <c r="CY183" s="33" t="str">
        <f t="shared" si="116"/>
        <v xml:space="preserve"> 17 </v>
      </c>
    </row>
    <row r="184" spans="1:103" x14ac:dyDescent="0.2">
      <c r="A184"/>
      <c r="B184">
        <v>-1760</v>
      </c>
      <c r="D184" t="s">
        <v>1190</v>
      </c>
      <c r="E184" t="s">
        <v>1190</v>
      </c>
      <c r="I184" s="33">
        <f t="shared" si="126"/>
        <v>218.6</v>
      </c>
      <c r="J184" s="33">
        <f t="shared" si="117"/>
        <v>1.7364015211072787</v>
      </c>
      <c r="K184" s="44">
        <f t="shared" si="121"/>
        <v>5.2</v>
      </c>
      <c r="L184" s="33">
        <f t="shared" si="122"/>
        <v>156.4</v>
      </c>
      <c r="M184" s="33" t="s">
        <v>345</v>
      </c>
      <c r="Q184" s="44" t="str">
        <f t="shared" si="128"/>
        <v xml:space="preserve"> </v>
      </c>
      <c r="R184" s="33" t="str">
        <f>IF(OR(ISBLANK(P184), ISBLANK(Q184)),"",CONCATENATE(" ",VLOOKUP(Q184,Literatuur!$A:$B,2,FALSE)," "))</f>
        <v/>
      </c>
      <c r="T184" s="44" t="str">
        <f t="shared" si="129"/>
        <v xml:space="preserve"> </v>
      </c>
      <c r="U184" s="33" t="str">
        <f>IF(OR(ISBLANK(S184), ISBLANK(T184)),"",CONCATENATE(" ",VLOOKUP(T184,Literatuur!$A:$B,2,FALSE)," "))</f>
        <v/>
      </c>
      <c r="W184" s="44" t="str">
        <f t="shared" si="130"/>
        <v xml:space="preserve"> </v>
      </c>
      <c r="X184" s="33" t="str">
        <f>IF(OR(ISBLANK(V184), ISBLANK(W184)),"",CONCATENATE(" ",VLOOKUP(W184,Literatuur!$A:$B,2,FALSE)," "))</f>
        <v/>
      </c>
      <c r="Z184" s="44" t="str">
        <f t="shared" si="131"/>
        <v xml:space="preserve"> </v>
      </c>
      <c r="AA184" s="33" t="str">
        <f>IF(OR(ISBLANK(Y184), ISBLANK(Z184)),"",CONCATENATE(" ",VLOOKUP(Z184,Literatuur!$A:$B,2,FALSE)," "))</f>
        <v/>
      </c>
      <c r="AC184" s="36" t="str">
        <f t="shared" si="132"/>
        <v xml:space="preserve"> </v>
      </c>
      <c r="AD184" s="33" t="str">
        <f>IF(OR(ISBLANK(AB184), ISBLANK(AC184)),"",CONCATENATE(" ",VLOOKUP(AC184,Literatuur!$A:$B,2,FALSE)," "))</f>
        <v/>
      </c>
      <c r="AE184" s="365">
        <v>1.7364015211072787</v>
      </c>
      <c r="AF184" s="33" t="s">
        <v>1557</v>
      </c>
      <c r="AG184" s="33" t="str">
        <f>IF(OR(ISBLANK(AE184), ISBLANK(AF184)),"",CONCATENATE(" ",VLOOKUP(AF184,Literatuur!$A:$B,2,FALSE)," "))</f>
        <v xml:space="preserve"> 17 </v>
      </c>
      <c r="AJ184" s="44" t="str">
        <f t="shared" si="133"/>
        <v xml:space="preserve"> </v>
      </c>
      <c r="AK184" s="33" t="str">
        <f>IF(OR(ISBLANK(AI184), ISBLANK(AJ184)),"",CONCATENATE(" ",VLOOKUP(AJ184,Literatuur!$A:$B,2,FALSE)," "))</f>
        <v/>
      </c>
      <c r="AM184" s="44" t="str">
        <f t="shared" si="134"/>
        <v xml:space="preserve"> </v>
      </c>
      <c r="AN184" s="33" t="str">
        <f>IF(OR(ISBLANK(AL184), ISBLANK(AM184)),"",CONCATENATE(" ",VLOOKUP(AM184,Literatuur!$A:$B,2,FALSE)," "))</f>
        <v/>
      </c>
      <c r="AP184" s="44" t="str">
        <f t="shared" si="135"/>
        <v xml:space="preserve"> </v>
      </c>
      <c r="AQ184" s="33" t="str">
        <f>IF(OR(ISBLANK(AO184), ISBLANK(AP184)),"",CONCATENATE(" ",VLOOKUP(AP184,Literatuur!$A:$B,2,FALSE)," "))</f>
        <v/>
      </c>
      <c r="AS184"/>
      <c r="AT184" s="33" t="str">
        <f>IF(OR(ISBLANK(AR184), ISBLANK(AS184)),"",CONCATENATE(" ",VLOOKUP(AS184,Literatuur!$A:$B,2,FALSE)," "))</f>
        <v/>
      </c>
      <c r="AU184">
        <v>218.6</v>
      </c>
      <c r="AV184" s="33" t="s">
        <v>1557</v>
      </c>
      <c r="AW184" s="33" t="str">
        <f>IF(OR(ISBLANK(AU184), ISBLANK(AV184)),"",CONCATENATE(" ",VLOOKUP(AV184,Literatuur!$A:$B,2,FALSE)," "))</f>
        <v xml:space="preserve"> 17 </v>
      </c>
      <c r="AZ184" s="44" t="str">
        <f t="shared" si="136"/>
        <v xml:space="preserve"> </v>
      </c>
      <c r="BA184" s="33" t="str">
        <f>IF(OR(ISBLANK(AY184), ISBLANK(AZ184)),"",CONCATENATE(" ",VLOOKUP(AZ184,Literatuur!$A:$B,2,FALSE)," "))</f>
        <v/>
      </c>
      <c r="BC184" s="44" t="str">
        <f t="shared" si="137"/>
        <v xml:space="preserve"> </v>
      </c>
      <c r="BD184" s="33" t="str">
        <f>IF(OR(ISBLANK(BB184), ISBLANK(BC184)),"",CONCATENATE(" ",VLOOKUP(BC184,Literatuur!$A:$B,2,FALSE)," "))</f>
        <v/>
      </c>
      <c r="BF184" s="44" t="str">
        <f t="shared" si="138"/>
        <v xml:space="preserve"> </v>
      </c>
      <c r="BG184" s="33" t="str">
        <f>IF(OR(ISBLANK(BE184), ISBLANK(BF184)),"",CONCATENATE(" ",VLOOKUP(BF184,Literatuur!$A:$B,2,FALSE)," "))</f>
        <v/>
      </c>
      <c r="BI184" s="44" t="str">
        <f t="shared" si="139"/>
        <v xml:space="preserve"> </v>
      </c>
      <c r="BJ184" s="33" t="str">
        <f>IF(OR(ISBLANK(BH184), ISBLANK(BI184)),"",CONCATENATE(" ",VLOOKUP(BI184,Literatuur!$A:$B,2,FALSE)," "))</f>
        <v/>
      </c>
      <c r="BL184" s="44" t="str">
        <f t="shared" si="140"/>
        <v xml:space="preserve"> </v>
      </c>
      <c r="BM184" s="33" t="str">
        <f>IF(OR(ISBLANK(BK184), ISBLANK(BL184)),"",CONCATENATE(" ",VLOOKUP(BL184,Literatuur!$A:$B,2,FALSE)," "))</f>
        <v/>
      </c>
      <c r="BO184"/>
      <c r="BP184" s="33" t="str">
        <f>IF(OR(ISBLANK(BN184), ISBLANK(BO184)),"",CONCATENATE(" ",VLOOKUP(BO184,Literatuur!$A:$B,2,FALSE)," "))</f>
        <v/>
      </c>
      <c r="BR184"/>
      <c r="BS184" s="33" t="str">
        <f>IF(OR(ISBLANK(BQ184), ISBLANK(BR184)),"",CONCATENATE(" ",VLOOKUP(BR184,Literatuur!$A:$B,2,FALSE)," "))</f>
        <v/>
      </c>
      <c r="BT184">
        <v>5.2</v>
      </c>
      <c r="BU184" s="33" t="s">
        <v>1557</v>
      </c>
      <c r="BV184" s="33" t="str">
        <f>IF(OR(ISBLANK(BT184), ISBLANK(BU184)),"",CONCATENATE(" ",VLOOKUP(BU184,Literatuur!$A:$B,2,FALSE)," "))</f>
        <v xml:space="preserve"> 17 </v>
      </c>
      <c r="BX184">
        <v>156.4</v>
      </c>
      <c r="CB184" s="33" t="s">
        <v>1557</v>
      </c>
      <c r="CD184" s="33">
        <f>L184</f>
        <v>156.4</v>
      </c>
      <c r="CG184" s="33">
        <f>LOG(J184)</f>
        <v>0.23965015761368383</v>
      </c>
      <c r="CH184" s="33">
        <f>K184</f>
        <v>5.2</v>
      </c>
      <c r="CR184" s="33" t="str">
        <f t="shared" si="109"/>
        <v>2-CDD</v>
      </c>
      <c r="CS184" s="33" t="str">
        <f t="shared" si="110"/>
        <v>overige</v>
      </c>
      <c r="CT184" s="33">
        <f t="shared" si="111"/>
        <v>218.6</v>
      </c>
      <c r="CU184" s="33" t="str">
        <f t="shared" si="112"/>
        <v xml:space="preserve"> 17 </v>
      </c>
      <c r="CV184" s="33">
        <f t="shared" si="113"/>
        <v>1.7364015211072787</v>
      </c>
      <c r="CW184" s="33" t="str">
        <f t="shared" si="114"/>
        <v xml:space="preserve"> 17 </v>
      </c>
      <c r="CX184" s="33">
        <f t="shared" si="115"/>
        <v>5.2</v>
      </c>
      <c r="CY184" s="33" t="str">
        <f t="shared" si="116"/>
        <v xml:space="preserve"> 17 </v>
      </c>
    </row>
    <row r="185" spans="1:103" x14ac:dyDescent="0.2">
      <c r="B185" s="33">
        <v>-1685</v>
      </c>
      <c r="D185" s="21" t="s">
        <v>829</v>
      </c>
      <c r="E185" s="21" t="s">
        <v>829</v>
      </c>
      <c r="F185" s="4"/>
      <c r="G185" s="4"/>
      <c r="I185" s="33">
        <f t="shared" si="126"/>
        <v>346</v>
      </c>
      <c r="J185" s="33" t="e">
        <f t="shared" si="117"/>
        <v>#DIV/0!</v>
      </c>
      <c r="K185" s="44" t="e">
        <f t="shared" si="121"/>
        <v>#DIV/0!</v>
      </c>
      <c r="L185" s="33" t="e">
        <f t="shared" si="122"/>
        <v>#DIV/0!</v>
      </c>
      <c r="M185" s="33" t="s">
        <v>345</v>
      </c>
      <c r="Q185" s="44" t="str">
        <f t="shared" si="128"/>
        <v xml:space="preserve"> </v>
      </c>
      <c r="R185" s="33" t="str">
        <f>IF(OR(ISBLANK(P185), ISBLANK(Q185)),"",CONCATENATE(" ",VLOOKUP(Q185,Literatuur!$A:$B,2,FALSE)," "))</f>
        <v/>
      </c>
      <c r="T185" s="44" t="str">
        <f t="shared" si="129"/>
        <v xml:space="preserve"> </v>
      </c>
      <c r="U185" s="33" t="str">
        <f>IF(OR(ISBLANK(S185), ISBLANK(T185)),"",CONCATENATE(" ",VLOOKUP(T185,Literatuur!$A:$B,2,FALSE)," "))</f>
        <v/>
      </c>
      <c r="W185" s="44" t="str">
        <f t="shared" si="130"/>
        <v xml:space="preserve"> </v>
      </c>
      <c r="X185" s="33" t="str">
        <f>IF(OR(ISBLANK(V185), ISBLANK(W185)),"",CONCATENATE(" ",VLOOKUP(W185,Literatuur!$A:$B,2,FALSE)," "))</f>
        <v/>
      </c>
      <c r="Z185" s="44" t="str">
        <f t="shared" si="131"/>
        <v xml:space="preserve"> </v>
      </c>
      <c r="AA185" s="33" t="str">
        <f>IF(OR(ISBLANK(Y185), ISBLANK(Z185)),"",CONCATENATE(" ",VLOOKUP(Z185,Literatuur!$A:$B,2,FALSE)," "))</f>
        <v/>
      </c>
      <c r="AC185" s="36" t="str">
        <f t="shared" si="132"/>
        <v xml:space="preserve"> </v>
      </c>
      <c r="AD185" s="33" t="str">
        <f>IF(OR(ISBLANK(AB185), ISBLANK(AC185)),"",CONCATENATE(" ",VLOOKUP(AC185,Literatuur!$A:$B,2,FALSE)," "))</f>
        <v/>
      </c>
      <c r="AG185" s="33" t="str">
        <f>IF(OR(ISBLANK(AE185), ISBLANK(AF185)),"",CONCATENATE(" ",VLOOKUP(AF185,Literatuur!$A:$B,2,FALSE)," "))</f>
        <v/>
      </c>
      <c r="AJ185" s="44" t="str">
        <f t="shared" si="133"/>
        <v xml:space="preserve"> </v>
      </c>
      <c r="AK185" s="33" t="str">
        <f>IF(OR(ISBLANK(AI185), ISBLANK(AJ185)),"",CONCATENATE(" ",VLOOKUP(AJ185,Literatuur!$A:$B,2,FALSE)," "))</f>
        <v/>
      </c>
      <c r="AM185" s="44" t="str">
        <f t="shared" si="134"/>
        <v xml:space="preserve"> </v>
      </c>
      <c r="AN185" s="33" t="str">
        <f>IF(OR(ISBLANK(AL185), ISBLANK(AM185)),"",CONCATENATE(" ",VLOOKUP(AM185,Literatuur!$A:$B,2,FALSE)," "))</f>
        <v/>
      </c>
      <c r="AP185" s="44" t="str">
        <f t="shared" si="135"/>
        <v xml:space="preserve"> </v>
      </c>
      <c r="AQ185" s="33" t="str">
        <f>IF(OR(ISBLANK(AO185), ISBLANK(AP185)),"",CONCATENATE(" ",VLOOKUP(AP185,Literatuur!$A:$B,2,FALSE)," "))</f>
        <v/>
      </c>
      <c r="AS185"/>
      <c r="AT185" s="33" t="str">
        <f>IF(OR(ISBLANK(AR185), ISBLANK(AS185)),"",CONCATENATE(" ",VLOOKUP(AS185,Literatuur!$A:$B,2,FALSE)," "))</f>
        <v/>
      </c>
      <c r="AU185">
        <v>346</v>
      </c>
      <c r="AV185" s="33" t="s">
        <v>1235</v>
      </c>
      <c r="AW185" s="33" t="str">
        <f>IF(OR(ISBLANK(AU185), ISBLANK(AV185)),"",CONCATENATE(" ",VLOOKUP(AV185,Literatuur!$A:$B,2,FALSE)," "))</f>
        <v xml:space="preserve"> 21 </v>
      </c>
      <c r="AZ185" s="44" t="str">
        <f t="shared" si="136"/>
        <v xml:space="preserve"> </v>
      </c>
      <c r="BA185" s="33" t="str">
        <f>IF(OR(ISBLANK(AY185), ISBLANK(AZ185)),"",CONCATENATE(" ",VLOOKUP(AZ185,Literatuur!$A:$B,2,FALSE)," "))</f>
        <v/>
      </c>
      <c r="BC185" s="44" t="str">
        <f t="shared" si="137"/>
        <v xml:space="preserve"> </v>
      </c>
      <c r="BD185" s="33" t="str">
        <f>IF(OR(ISBLANK(BB185), ISBLANK(BC185)),"",CONCATENATE(" ",VLOOKUP(BC185,Literatuur!$A:$B,2,FALSE)," "))</f>
        <v/>
      </c>
      <c r="BF185" s="44" t="str">
        <f t="shared" si="138"/>
        <v xml:space="preserve"> </v>
      </c>
      <c r="BG185" s="33" t="str">
        <f>IF(OR(ISBLANK(BE185), ISBLANK(BF185)),"",CONCATENATE(" ",VLOOKUP(BF185,Literatuur!$A:$B,2,FALSE)," "))</f>
        <v/>
      </c>
      <c r="BI185" s="44" t="str">
        <f t="shared" si="139"/>
        <v xml:space="preserve"> </v>
      </c>
      <c r="BJ185" s="33" t="str">
        <f>IF(OR(ISBLANK(BH185), ISBLANK(BI185)),"",CONCATENATE(" ",VLOOKUP(BI185,Literatuur!$A:$B,2,FALSE)," "))</f>
        <v/>
      </c>
      <c r="BL185" s="44" t="str">
        <f t="shared" si="140"/>
        <v xml:space="preserve"> </v>
      </c>
      <c r="BM185" s="33" t="str">
        <f>IF(OR(ISBLANK(BK185), ISBLANK(BL185)),"",CONCATENATE(" ",VLOOKUP(BL185,Literatuur!$A:$B,2,FALSE)," "))</f>
        <v/>
      </c>
      <c r="BP185" s="33" t="str">
        <f>IF(OR(ISBLANK(BN185), ISBLANK(BO185)),"",CONCATENATE(" ",VLOOKUP(BO185,Literatuur!$A:$B,2,FALSE)," "))</f>
        <v/>
      </c>
      <c r="BS185" s="33" t="str">
        <f>IF(OR(ISBLANK(BQ185), ISBLANK(BR185)),"",CONCATENATE(" ",VLOOKUP(BR185,Literatuur!$A:$B,2,FALSE)," "))</f>
        <v/>
      </c>
      <c r="BV185" s="33" t="str">
        <f>IF(OR(ISBLANK(BT185), ISBLANK(BU185)),"",CONCATENATE(" ",VLOOKUP(BU185,Literatuur!$A:$B,2,FALSE)," "))</f>
        <v/>
      </c>
      <c r="CR185" s="33" t="str">
        <f t="shared" si="109"/>
        <v>2-Hydroxy-4-ethandiol methyl-thioacetic acid ester</v>
      </c>
      <c r="CS185" s="33" t="str">
        <f t="shared" si="110"/>
        <v>overige</v>
      </c>
      <c r="CT185" s="33">
        <f t="shared" si="111"/>
        <v>346</v>
      </c>
      <c r="CU185" s="33" t="str">
        <f t="shared" si="112"/>
        <v xml:space="preserve"> 21 </v>
      </c>
      <c r="CV185" s="33" t="str">
        <f t="shared" si="113"/>
        <v/>
      </c>
      <c r="CW185" s="33" t="str">
        <f t="shared" si="114"/>
        <v/>
      </c>
      <c r="CX185" s="33" t="str">
        <f t="shared" si="115"/>
        <v/>
      </c>
      <c r="CY185" s="33" t="str">
        <f t="shared" si="116"/>
        <v/>
      </c>
    </row>
    <row r="186" spans="1:103" x14ac:dyDescent="0.2">
      <c r="B186" s="33">
        <v>-1674</v>
      </c>
      <c r="D186" s="21" t="s">
        <v>818</v>
      </c>
      <c r="E186" s="21" t="s">
        <v>818</v>
      </c>
      <c r="F186" s="4"/>
      <c r="G186" s="4"/>
      <c r="I186" s="33">
        <f t="shared" si="126"/>
        <v>164</v>
      </c>
      <c r="J186" s="33" t="e">
        <f t="shared" si="117"/>
        <v>#DIV/0!</v>
      </c>
      <c r="K186" s="44" t="e">
        <f t="shared" si="121"/>
        <v>#DIV/0!</v>
      </c>
      <c r="L186" s="33" t="e">
        <f t="shared" si="122"/>
        <v>#DIV/0!</v>
      </c>
      <c r="M186" s="33" t="s">
        <v>345</v>
      </c>
      <c r="Q186" s="44" t="str">
        <f t="shared" si="128"/>
        <v xml:space="preserve"> </v>
      </c>
      <c r="R186" s="33" t="str">
        <f>IF(OR(ISBLANK(P186), ISBLANK(Q186)),"",CONCATENATE(" ",VLOOKUP(Q186,Literatuur!$A:$B,2,FALSE)," "))</f>
        <v/>
      </c>
      <c r="T186" s="44" t="str">
        <f t="shared" si="129"/>
        <v xml:space="preserve"> </v>
      </c>
      <c r="U186" s="33" t="str">
        <f>IF(OR(ISBLANK(S186), ISBLANK(T186)),"",CONCATENATE(" ",VLOOKUP(T186,Literatuur!$A:$B,2,FALSE)," "))</f>
        <v/>
      </c>
      <c r="W186" s="44" t="str">
        <f t="shared" si="130"/>
        <v xml:space="preserve"> </v>
      </c>
      <c r="X186" s="33" t="str">
        <f>IF(OR(ISBLANK(V186), ISBLANK(W186)),"",CONCATENATE(" ",VLOOKUP(W186,Literatuur!$A:$B,2,FALSE)," "))</f>
        <v/>
      </c>
      <c r="Z186" s="44" t="str">
        <f t="shared" si="131"/>
        <v xml:space="preserve"> </v>
      </c>
      <c r="AA186" s="33" t="str">
        <f>IF(OR(ISBLANK(Y186), ISBLANK(Z186)),"",CONCATENATE(" ",VLOOKUP(Z186,Literatuur!$A:$B,2,FALSE)," "))</f>
        <v/>
      </c>
      <c r="AC186" s="36" t="str">
        <f t="shared" si="132"/>
        <v xml:space="preserve"> </v>
      </c>
      <c r="AD186" s="33" t="str">
        <f>IF(OR(ISBLANK(AB186), ISBLANK(AC186)),"",CONCATENATE(" ",VLOOKUP(AC186,Literatuur!$A:$B,2,FALSE)," "))</f>
        <v/>
      </c>
      <c r="AG186" s="33" t="str">
        <f>IF(OR(ISBLANK(AE186), ISBLANK(AF186)),"",CONCATENATE(" ",VLOOKUP(AF186,Literatuur!$A:$B,2,FALSE)," "))</f>
        <v/>
      </c>
      <c r="AJ186" s="44" t="str">
        <f t="shared" si="133"/>
        <v xml:space="preserve"> </v>
      </c>
      <c r="AK186" s="33" t="str">
        <f>IF(OR(ISBLANK(AI186), ISBLANK(AJ186)),"",CONCATENATE(" ",VLOOKUP(AJ186,Literatuur!$A:$B,2,FALSE)," "))</f>
        <v/>
      </c>
      <c r="AM186" s="44" t="str">
        <f t="shared" si="134"/>
        <v xml:space="preserve"> </v>
      </c>
      <c r="AN186" s="33" t="str">
        <f>IF(OR(ISBLANK(AL186), ISBLANK(AM186)),"",CONCATENATE(" ",VLOOKUP(AM186,Literatuur!$A:$B,2,FALSE)," "))</f>
        <v/>
      </c>
      <c r="AP186" s="44" t="str">
        <f t="shared" si="135"/>
        <v xml:space="preserve"> </v>
      </c>
      <c r="AQ186" s="33" t="str">
        <f>IF(OR(ISBLANK(AO186), ISBLANK(AP186)),"",CONCATENATE(" ",VLOOKUP(AP186,Literatuur!$A:$B,2,FALSE)," "))</f>
        <v/>
      </c>
      <c r="AS186"/>
      <c r="AT186" s="33" t="str">
        <f>IF(OR(ISBLANK(AR186), ISBLANK(AS186)),"",CONCATENATE(" ",VLOOKUP(AS186,Literatuur!$A:$B,2,FALSE)," "))</f>
        <v/>
      </c>
      <c r="AU186">
        <v>164</v>
      </c>
      <c r="AV186" s="33" t="s">
        <v>1235</v>
      </c>
      <c r="AW186" s="33" t="str">
        <f>IF(OR(ISBLANK(AU186), ISBLANK(AV186)),"",CONCATENATE(" ",VLOOKUP(AV186,Literatuur!$A:$B,2,FALSE)," "))</f>
        <v xml:space="preserve"> 21 </v>
      </c>
      <c r="AZ186" s="44" t="str">
        <f t="shared" si="136"/>
        <v xml:space="preserve"> </v>
      </c>
      <c r="BA186" s="33" t="str">
        <f>IF(OR(ISBLANK(AY186), ISBLANK(AZ186)),"",CONCATENATE(" ",VLOOKUP(AZ186,Literatuur!$A:$B,2,FALSE)," "))</f>
        <v/>
      </c>
      <c r="BC186" s="44" t="str">
        <f t="shared" si="137"/>
        <v xml:space="preserve"> </v>
      </c>
      <c r="BD186" s="33" t="str">
        <f>IF(OR(ISBLANK(BB186), ISBLANK(BC186)),"",CONCATENATE(" ",VLOOKUP(BC186,Literatuur!$A:$B,2,FALSE)," "))</f>
        <v/>
      </c>
      <c r="BF186" s="44" t="str">
        <f t="shared" si="138"/>
        <v xml:space="preserve"> </v>
      </c>
      <c r="BG186" s="33" t="str">
        <f>IF(OR(ISBLANK(BE186), ISBLANK(BF186)),"",CONCATENATE(" ",VLOOKUP(BF186,Literatuur!$A:$B,2,FALSE)," "))</f>
        <v/>
      </c>
      <c r="BI186" s="44" t="str">
        <f t="shared" si="139"/>
        <v xml:space="preserve"> </v>
      </c>
      <c r="BJ186" s="33" t="str">
        <f>IF(OR(ISBLANK(BH186), ISBLANK(BI186)),"",CONCATENATE(" ",VLOOKUP(BI186,Literatuur!$A:$B,2,FALSE)," "))</f>
        <v/>
      </c>
      <c r="BL186" s="44" t="str">
        <f t="shared" si="140"/>
        <v xml:space="preserve"> </v>
      </c>
      <c r="BM186" s="33" t="str">
        <f>IF(OR(ISBLANK(BK186), ISBLANK(BL186)),"",CONCATENATE(" ",VLOOKUP(BL186,Literatuur!$A:$B,2,FALSE)," "))</f>
        <v/>
      </c>
      <c r="BP186" s="33" t="str">
        <f>IF(OR(ISBLANK(BN186), ISBLANK(BO186)),"",CONCATENATE(" ",VLOOKUP(BO186,Literatuur!$A:$B,2,FALSE)," "))</f>
        <v/>
      </c>
      <c r="BS186" s="33" t="str">
        <f>IF(OR(ISBLANK(BQ186), ISBLANK(BR186)),"",CONCATENATE(" ",VLOOKUP(BR186,Literatuur!$A:$B,2,FALSE)," "))</f>
        <v/>
      </c>
      <c r="BV186" s="33" t="str">
        <f>IF(OR(ISBLANK(BT186), ISBLANK(BU186)),"",CONCATENATE(" ",VLOOKUP(BU186,Literatuur!$A:$B,2,FALSE)," "))</f>
        <v/>
      </c>
      <c r="CR186" s="33" t="str">
        <f t="shared" si="109"/>
        <v>2-Methoxy-4-propenyl-phenol</v>
      </c>
      <c r="CS186" s="33" t="str">
        <f t="shared" si="110"/>
        <v>overige</v>
      </c>
      <c r="CT186" s="33">
        <f t="shared" si="111"/>
        <v>164</v>
      </c>
      <c r="CU186" s="33" t="str">
        <f t="shared" si="112"/>
        <v xml:space="preserve"> 21 </v>
      </c>
      <c r="CV186" s="33" t="str">
        <f t="shared" si="113"/>
        <v/>
      </c>
      <c r="CW186" s="33" t="str">
        <f t="shared" si="114"/>
        <v/>
      </c>
      <c r="CX186" s="33" t="str">
        <f t="shared" si="115"/>
        <v/>
      </c>
      <c r="CY186" s="33" t="str">
        <f t="shared" si="116"/>
        <v/>
      </c>
    </row>
    <row r="187" spans="1:103" x14ac:dyDescent="0.2">
      <c r="B187" s="33">
        <v>-1665</v>
      </c>
      <c r="D187" s="21" t="s">
        <v>809</v>
      </c>
      <c r="E187" s="21" t="s">
        <v>1382</v>
      </c>
      <c r="F187" s="4" t="s">
        <v>1383</v>
      </c>
      <c r="G187" s="4"/>
      <c r="I187" s="33">
        <f t="shared" si="126"/>
        <v>136</v>
      </c>
      <c r="J187" s="33" t="e">
        <f t="shared" si="117"/>
        <v>#DIV/0!</v>
      </c>
      <c r="K187" s="44" t="e">
        <f t="shared" si="121"/>
        <v>#DIV/0!</v>
      </c>
      <c r="L187" s="33" t="e">
        <f t="shared" si="122"/>
        <v>#DIV/0!</v>
      </c>
      <c r="M187" s="33" t="s">
        <v>345</v>
      </c>
      <c r="Q187" s="44" t="str">
        <f t="shared" si="128"/>
        <v xml:space="preserve"> </v>
      </c>
      <c r="R187" s="33" t="str">
        <f>IF(OR(ISBLANK(P187), ISBLANK(Q187)),"",CONCATENATE(" ",VLOOKUP(Q187,Literatuur!$A:$B,2,FALSE)," "))</f>
        <v/>
      </c>
      <c r="T187" s="44" t="str">
        <f t="shared" si="129"/>
        <v xml:space="preserve"> </v>
      </c>
      <c r="U187" s="33" t="str">
        <f>IF(OR(ISBLANK(S187), ISBLANK(T187)),"",CONCATENATE(" ",VLOOKUP(T187,Literatuur!$A:$B,2,FALSE)," "))</f>
        <v/>
      </c>
      <c r="W187" s="44" t="str">
        <f t="shared" si="130"/>
        <v xml:space="preserve"> </v>
      </c>
      <c r="X187" s="33" t="str">
        <f>IF(OR(ISBLANK(V187), ISBLANK(W187)),"",CONCATENATE(" ",VLOOKUP(W187,Literatuur!$A:$B,2,FALSE)," "))</f>
        <v/>
      </c>
      <c r="Z187" s="44" t="str">
        <f t="shared" si="131"/>
        <v xml:space="preserve"> </v>
      </c>
      <c r="AA187" s="33" t="str">
        <f>IF(OR(ISBLANK(Y187), ISBLANK(Z187)),"",CONCATENATE(" ",VLOOKUP(Z187,Literatuur!$A:$B,2,FALSE)," "))</f>
        <v/>
      </c>
      <c r="AC187" s="36" t="str">
        <f t="shared" si="132"/>
        <v xml:space="preserve"> </v>
      </c>
      <c r="AD187" s="33" t="str">
        <f>IF(OR(ISBLANK(AB187), ISBLANK(AC187)),"",CONCATENATE(" ",VLOOKUP(AC187,Literatuur!$A:$B,2,FALSE)," "))</f>
        <v/>
      </c>
      <c r="AG187" s="33" t="str">
        <f>IF(OR(ISBLANK(AE187), ISBLANK(AF187)),"",CONCATENATE(" ",VLOOKUP(AF187,Literatuur!$A:$B,2,FALSE)," "))</f>
        <v/>
      </c>
      <c r="AJ187" s="44" t="str">
        <f t="shared" si="133"/>
        <v xml:space="preserve"> </v>
      </c>
      <c r="AK187" s="33" t="str">
        <f>IF(OR(ISBLANK(AI187), ISBLANK(AJ187)),"",CONCATENATE(" ",VLOOKUP(AJ187,Literatuur!$A:$B,2,FALSE)," "))</f>
        <v/>
      </c>
      <c r="AM187" s="44" t="str">
        <f t="shared" si="134"/>
        <v xml:space="preserve"> </v>
      </c>
      <c r="AN187" s="33" t="str">
        <f>IF(OR(ISBLANK(AL187), ISBLANK(AM187)),"",CONCATENATE(" ",VLOOKUP(AM187,Literatuur!$A:$B,2,FALSE)," "))</f>
        <v/>
      </c>
      <c r="AP187" s="44" t="str">
        <f t="shared" si="135"/>
        <v xml:space="preserve"> </v>
      </c>
      <c r="AQ187" s="33" t="str">
        <f>IF(OR(ISBLANK(AO187), ISBLANK(AP187)),"",CONCATENATE(" ",VLOOKUP(AP187,Literatuur!$A:$B,2,FALSE)," "))</f>
        <v/>
      </c>
      <c r="AS187"/>
      <c r="AT187" s="33" t="str">
        <f>IF(OR(ISBLANK(AR187), ISBLANK(AS187)),"",CONCATENATE(" ",VLOOKUP(AS187,Literatuur!$A:$B,2,FALSE)," "))</f>
        <v/>
      </c>
      <c r="AU187">
        <v>136</v>
      </c>
      <c r="AV187" s="33" t="s">
        <v>1235</v>
      </c>
      <c r="AW187" s="33" t="str">
        <f>IF(OR(ISBLANK(AU187), ISBLANK(AV187)),"",CONCATENATE(" ",VLOOKUP(AV187,Literatuur!$A:$B,2,FALSE)," "))</f>
        <v xml:space="preserve"> 21 </v>
      </c>
      <c r="AZ187" s="44" t="str">
        <f t="shared" si="136"/>
        <v xml:space="preserve"> </v>
      </c>
      <c r="BA187" s="33" t="str">
        <f>IF(OR(ISBLANK(AY187), ISBLANK(AZ187)),"",CONCATENATE(" ",VLOOKUP(AZ187,Literatuur!$A:$B,2,FALSE)," "))</f>
        <v/>
      </c>
      <c r="BC187" s="44" t="str">
        <f t="shared" si="137"/>
        <v xml:space="preserve"> </v>
      </c>
      <c r="BD187" s="33" t="str">
        <f>IF(OR(ISBLANK(BB187), ISBLANK(BC187)),"",CONCATENATE(" ",VLOOKUP(BC187,Literatuur!$A:$B,2,FALSE)," "))</f>
        <v/>
      </c>
      <c r="BF187" s="44" t="str">
        <f t="shared" si="138"/>
        <v xml:space="preserve"> </v>
      </c>
      <c r="BG187" s="33" t="str">
        <f>IF(OR(ISBLANK(BE187), ISBLANK(BF187)),"",CONCATENATE(" ",VLOOKUP(BF187,Literatuur!$A:$B,2,FALSE)," "))</f>
        <v/>
      </c>
      <c r="BI187" s="44" t="str">
        <f t="shared" si="139"/>
        <v xml:space="preserve"> </v>
      </c>
      <c r="BJ187" s="33" t="str">
        <f>IF(OR(ISBLANK(BH187), ISBLANK(BI187)),"",CONCATENATE(" ",VLOOKUP(BI187,Literatuur!$A:$B,2,FALSE)," "))</f>
        <v/>
      </c>
      <c r="BL187" s="44" t="str">
        <f t="shared" si="140"/>
        <v xml:space="preserve"> </v>
      </c>
      <c r="BM187" s="33" t="str">
        <f>IF(OR(ISBLANK(BK187), ISBLANK(BL187)),"",CONCATENATE(" ",VLOOKUP(BL187,Literatuur!$A:$B,2,FALSE)," "))</f>
        <v/>
      </c>
      <c r="BP187" s="33" t="str">
        <f>IF(OR(ISBLANK(BN187), ISBLANK(BO187)),"",CONCATENATE(" ",VLOOKUP(BO187,Literatuur!$A:$B,2,FALSE)," "))</f>
        <v/>
      </c>
      <c r="BS187" s="33" t="str">
        <f>IF(OR(ISBLANK(BQ187), ISBLANK(BR187)),"",CONCATENATE(" ",VLOOKUP(BR187,Literatuur!$A:$B,2,FALSE)," "))</f>
        <v/>
      </c>
      <c r="BV187" s="33" t="str">
        <f>IF(OR(ISBLANK(BT187), ISBLANK(BU187)),"",CONCATENATE(" ",VLOOKUP(BU187,Literatuur!$A:$B,2,FALSE)," "))</f>
        <v/>
      </c>
      <c r="CR187" s="33" t="str">
        <f t="shared" si="109"/>
        <v>4-Isopropenyl-1-methyl-1-cyclohexene</v>
      </c>
      <c r="CS187" s="33" t="str">
        <f t="shared" si="110"/>
        <v>overige</v>
      </c>
      <c r="CT187" s="33">
        <f t="shared" si="111"/>
        <v>136</v>
      </c>
      <c r="CU187" s="33" t="str">
        <f t="shared" si="112"/>
        <v xml:space="preserve"> 21 </v>
      </c>
      <c r="CV187" s="33" t="str">
        <f t="shared" si="113"/>
        <v/>
      </c>
      <c r="CW187" s="33" t="str">
        <f t="shared" si="114"/>
        <v/>
      </c>
      <c r="CX187" s="33" t="str">
        <f t="shared" si="115"/>
        <v/>
      </c>
      <c r="CY187" s="33" t="str">
        <f t="shared" si="116"/>
        <v/>
      </c>
    </row>
    <row r="188" spans="1:103" x14ac:dyDescent="0.2">
      <c r="B188" s="33">
        <v>-1690</v>
      </c>
      <c r="D188" s="162" t="s">
        <v>925</v>
      </c>
      <c r="E188" s="162" t="s">
        <v>925</v>
      </c>
      <c r="F188"/>
      <c r="G188"/>
      <c r="H188" s="34" t="s">
        <v>1241</v>
      </c>
      <c r="I188" s="33">
        <f t="shared" si="126"/>
        <v>41.05</v>
      </c>
      <c r="J188" s="33">
        <f t="shared" si="117"/>
        <v>1000000</v>
      </c>
      <c r="K188" s="44">
        <f t="shared" si="121"/>
        <v>-0.34</v>
      </c>
      <c r="L188" s="33" t="e">
        <f t="shared" si="122"/>
        <v>#DIV/0!</v>
      </c>
      <c r="M188" s="33" t="s">
        <v>345</v>
      </c>
      <c r="Q188" s="44" t="str">
        <f t="shared" si="128"/>
        <v xml:space="preserve"> </v>
      </c>
      <c r="R188" s="33" t="str">
        <f>IF(OR(ISBLANK(P188), ISBLANK(Q188)),"",CONCATENATE(" ",VLOOKUP(Q188,Literatuur!$A:$B,2,FALSE)," "))</f>
        <v/>
      </c>
      <c r="T188" s="44" t="str">
        <f t="shared" si="129"/>
        <v xml:space="preserve"> </v>
      </c>
      <c r="U188" s="33" t="str">
        <f>IF(OR(ISBLANK(S188), ISBLANK(T188)),"",CONCATENATE(" ",VLOOKUP(T188,Literatuur!$A:$B,2,FALSE)," "))</f>
        <v/>
      </c>
      <c r="W188" s="44" t="str">
        <f t="shared" si="130"/>
        <v xml:space="preserve"> </v>
      </c>
      <c r="X188" s="33" t="str">
        <f>IF(OR(ISBLANK(V188), ISBLANK(W188)),"",CONCATENATE(" ",VLOOKUP(W188,Literatuur!$A:$B,2,FALSE)," "))</f>
        <v/>
      </c>
      <c r="Y188" s="33">
        <v>1000000</v>
      </c>
      <c r="Z188" s="44" t="str">
        <f t="shared" si="131"/>
        <v>US EPA suite</v>
      </c>
      <c r="AA188" s="33" t="str">
        <f>IF(OR(ISBLANK(Y188), ISBLANK(Z188)),"",CONCATENATE(" ",VLOOKUP(Z188,Literatuur!$A:$B,2,FALSE)," "))</f>
        <v xml:space="preserve"> F </v>
      </c>
      <c r="AC188" s="36" t="str">
        <f t="shared" si="132"/>
        <v xml:space="preserve"> </v>
      </c>
      <c r="AD188" s="33" t="str">
        <f>IF(OR(ISBLANK(AB188), ISBLANK(AC188)),"",CONCATENATE(" ",VLOOKUP(AC188,Literatuur!$A:$B,2,FALSE)," "))</f>
        <v/>
      </c>
      <c r="AG188" s="33" t="str">
        <f>IF(OR(ISBLANK(AE188), ISBLANK(AF188)),"",CONCATENATE(" ",VLOOKUP(AF188,Literatuur!$A:$B,2,FALSE)," "))</f>
        <v/>
      </c>
      <c r="AJ188" s="44" t="str">
        <f t="shared" si="133"/>
        <v xml:space="preserve"> </v>
      </c>
      <c r="AK188" s="33" t="str">
        <f>IF(OR(ISBLANK(AI188), ISBLANK(AJ188)),"",CONCATENATE(" ",VLOOKUP(AJ188,Literatuur!$A:$B,2,FALSE)," "))</f>
        <v/>
      </c>
      <c r="AM188" s="44" t="str">
        <f t="shared" si="134"/>
        <v xml:space="preserve"> </v>
      </c>
      <c r="AN188" s="33" t="str">
        <f>IF(OR(ISBLANK(AL188), ISBLANK(AM188)),"",CONCATENATE(" ",VLOOKUP(AM188,Literatuur!$A:$B,2,FALSE)," "))</f>
        <v/>
      </c>
      <c r="AO188" s="33">
        <v>41.05</v>
      </c>
      <c r="AP188" s="44" t="str">
        <f t="shared" si="135"/>
        <v>US EPA suite</v>
      </c>
      <c r="AQ188" s="33" t="str">
        <f>IF(OR(ISBLANK(AO188), ISBLANK(AP188)),"",CONCATENATE(" ",VLOOKUP(AP188,Literatuur!$A:$B,2,FALSE)," "))</f>
        <v xml:space="preserve"> F </v>
      </c>
      <c r="AT188" s="33" t="str">
        <f>IF(OR(ISBLANK(AR188), ISBLANK(AS188)),"",CONCATENATE(" ",VLOOKUP(AS188,Literatuur!$A:$B,2,FALSE)," "))</f>
        <v/>
      </c>
      <c r="AW188" s="33" t="str">
        <f>IF(OR(ISBLANK(AU188), ISBLANK(AV188)),"",CONCATENATE(" ",VLOOKUP(AV188,Literatuur!$A:$B,2,FALSE)," "))</f>
        <v/>
      </c>
      <c r="AZ188" s="44" t="str">
        <f t="shared" si="136"/>
        <v xml:space="preserve"> </v>
      </c>
      <c r="BA188" s="33" t="str">
        <f>IF(OR(ISBLANK(AY188), ISBLANK(AZ188)),"",CONCATENATE(" ",VLOOKUP(AZ188,Literatuur!$A:$B,2,FALSE)," "))</f>
        <v/>
      </c>
      <c r="BC188" s="44" t="str">
        <f t="shared" si="137"/>
        <v xml:space="preserve"> </v>
      </c>
      <c r="BD188" s="33" t="str">
        <f>IF(OR(ISBLANK(BB188), ISBLANK(BC188)),"",CONCATENATE(" ",VLOOKUP(BC188,Literatuur!$A:$B,2,FALSE)," "))</f>
        <v/>
      </c>
      <c r="BF188" s="44" t="str">
        <f t="shared" si="138"/>
        <v xml:space="preserve"> </v>
      </c>
      <c r="BG188" s="33" t="str">
        <f>IF(OR(ISBLANK(BE188), ISBLANK(BF188)),"",CONCATENATE(" ",VLOOKUP(BF188,Literatuur!$A:$B,2,FALSE)," "))</f>
        <v/>
      </c>
      <c r="BH188" s="33">
        <v>-0.34</v>
      </c>
      <c r="BI188" s="44" t="str">
        <f t="shared" si="139"/>
        <v>US EPA suite</v>
      </c>
      <c r="BJ188" s="33" t="str">
        <f>IF(OR(ISBLANK(BH188), ISBLANK(BI188)),"",CONCATENATE(" ",VLOOKUP(BI188,Literatuur!$A:$B,2,FALSE)," "))</f>
        <v xml:space="preserve"> F </v>
      </c>
      <c r="BL188" s="44" t="str">
        <f t="shared" si="140"/>
        <v xml:space="preserve"> </v>
      </c>
      <c r="BM188" s="33" t="str">
        <f>IF(OR(ISBLANK(BK188), ISBLANK(BL188)),"",CONCATENATE(" ",VLOOKUP(BL188,Literatuur!$A:$B,2,FALSE)," "))</f>
        <v/>
      </c>
      <c r="BP188" s="33" t="str">
        <f>IF(OR(ISBLANK(BN188), ISBLANK(BO188)),"",CONCATENATE(" ",VLOOKUP(BO188,Literatuur!$A:$B,2,FALSE)," "))</f>
        <v/>
      </c>
      <c r="BS188" s="33" t="str">
        <f>IF(OR(ISBLANK(BQ188), ISBLANK(BR188)),"",CONCATENATE(" ",VLOOKUP(BR188,Literatuur!$A:$B,2,FALSE)," "))</f>
        <v/>
      </c>
      <c r="BV188" s="33" t="str">
        <f>IF(OR(ISBLANK(BT188), ISBLANK(BU188)),"",CONCATENATE(" ",VLOOKUP(BU188,Literatuur!$A:$B,2,FALSE)," "))</f>
        <v/>
      </c>
      <c r="CG188" s="33">
        <f>LOG(J188)</f>
        <v>6</v>
      </c>
      <c r="CH188" s="33">
        <f>K188</f>
        <v>-0.34</v>
      </c>
      <c r="CR188" s="33" t="str">
        <f t="shared" si="109"/>
        <v>Acetonitrile</v>
      </c>
      <c r="CS188" s="33" t="str">
        <f t="shared" si="110"/>
        <v>overige</v>
      </c>
      <c r="CT188" s="33">
        <f t="shared" si="111"/>
        <v>41.05</v>
      </c>
      <c r="CU188" s="33" t="str">
        <f t="shared" si="112"/>
        <v xml:space="preserve"> F </v>
      </c>
      <c r="CV188" s="33">
        <f t="shared" si="113"/>
        <v>1000000</v>
      </c>
      <c r="CW188" s="33" t="str">
        <f t="shared" si="114"/>
        <v xml:space="preserve"> F </v>
      </c>
      <c r="CX188" s="33">
        <f t="shared" si="115"/>
        <v>-0.34</v>
      </c>
      <c r="CY188" s="33" t="str">
        <f t="shared" si="116"/>
        <v xml:space="preserve"> F </v>
      </c>
    </row>
    <row r="189" spans="1:103" x14ac:dyDescent="0.2">
      <c r="A189"/>
      <c r="B189">
        <v>-1775</v>
      </c>
      <c r="C189"/>
      <c r="D189" t="s">
        <v>1205</v>
      </c>
      <c r="E189" t="s">
        <v>1205</v>
      </c>
      <c r="I189" s="33">
        <f t="shared" si="126"/>
        <v>364.9</v>
      </c>
      <c r="J189" s="33">
        <f t="shared" si="117"/>
        <v>0.91658735885784481</v>
      </c>
      <c r="K189" s="44">
        <f t="shared" ref="K189:K220" si="141">IF(ISNUMBER(AY189),AY189,AVERAGE(BB189,BE189,BH189,BK189,BN189,BQ189,BT189))</f>
        <v>6.3</v>
      </c>
      <c r="L189" s="33">
        <f t="shared" ref="L189:L206" si="142">AVERAGE(BX189:BY189)</f>
        <v>240.1</v>
      </c>
      <c r="M189" s="33" t="s">
        <v>345</v>
      </c>
      <c r="Q189" s="44" t="str">
        <f t="shared" si="128"/>
        <v xml:space="preserve"> </v>
      </c>
      <c r="R189" s="33" t="str">
        <f>IF(OR(ISBLANK(P189), ISBLANK(Q189)),"",CONCATENATE(" ",VLOOKUP(Q189,Literatuur!$A:$B,2,FALSE)," "))</f>
        <v/>
      </c>
      <c r="T189" s="44" t="str">
        <f t="shared" si="129"/>
        <v xml:space="preserve"> </v>
      </c>
      <c r="U189" s="33" t="str">
        <f>IF(OR(ISBLANK(S189), ISBLANK(T189)),"",CONCATENATE(" ",VLOOKUP(T189,Literatuur!$A:$B,2,FALSE)," "))</f>
        <v/>
      </c>
      <c r="W189" s="44" t="str">
        <f t="shared" si="130"/>
        <v xml:space="preserve"> </v>
      </c>
      <c r="X189" s="33" t="str">
        <f>IF(OR(ISBLANK(V189), ISBLANK(W189)),"",CONCATENATE(" ",VLOOKUP(W189,Literatuur!$A:$B,2,FALSE)," "))</f>
        <v/>
      </c>
      <c r="Z189" s="44" t="str">
        <f t="shared" si="131"/>
        <v xml:space="preserve"> </v>
      </c>
      <c r="AA189" s="33" t="str">
        <f>IF(OR(ISBLANK(Y189), ISBLANK(Z189)),"",CONCATENATE(" ",VLOOKUP(Z189,Literatuur!$A:$B,2,FALSE)," "))</f>
        <v/>
      </c>
      <c r="AC189" s="36" t="str">
        <f t="shared" si="132"/>
        <v xml:space="preserve"> </v>
      </c>
      <c r="AD189" s="33" t="str">
        <f>IF(OR(ISBLANK(AB189), ISBLANK(AC189)),"",CONCATENATE(" ",VLOOKUP(AC189,Literatuur!$A:$B,2,FALSE)," "))</f>
        <v/>
      </c>
      <c r="AE189" s="365">
        <v>0.91658735885784481</v>
      </c>
      <c r="AF189" s="33" t="s">
        <v>1557</v>
      </c>
      <c r="AG189" s="33" t="str">
        <f>IF(OR(ISBLANK(AE189), ISBLANK(AF189)),"",CONCATENATE(" ",VLOOKUP(AF189,Literatuur!$A:$B,2,FALSE)," "))</f>
        <v xml:space="preserve"> 17 </v>
      </c>
      <c r="AJ189" s="44" t="str">
        <f t="shared" si="133"/>
        <v xml:space="preserve"> </v>
      </c>
      <c r="AK189" s="33" t="str">
        <f>IF(OR(ISBLANK(AI189), ISBLANK(AJ189)),"",CONCATENATE(" ",VLOOKUP(AJ189,Literatuur!$A:$B,2,FALSE)," "))</f>
        <v/>
      </c>
      <c r="AM189" s="44" t="str">
        <f t="shared" si="134"/>
        <v xml:space="preserve"> </v>
      </c>
      <c r="AN189" s="33" t="str">
        <f>IF(OR(ISBLANK(AL189), ISBLANK(AM189)),"",CONCATENATE(" ",VLOOKUP(AM189,Literatuur!$A:$B,2,FALSE)," "))</f>
        <v/>
      </c>
      <c r="AP189" s="44" t="str">
        <f t="shared" si="135"/>
        <v xml:space="preserve"> </v>
      </c>
      <c r="AQ189" s="33" t="str">
        <f>IF(OR(ISBLANK(AO189), ISBLANK(AP189)),"",CONCATENATE(" ",VLOOKUP(AP189,Literatuur!$A:$B,2,FALSE)," "))</f>
        <v/>
      </c>
      <c r="AS189"/>
      <c r="AT189" s="33" t="str">
        <f>IF(OR(ISBLANK(AR189), ISBLANK(AS189)),"",CONCATENATE(" ",VLOOKUP(AS189,Literatuur!$A:$B,2,FALSE)," "))</f>
        <v/>
      </c>
      <c r="AU189">
        <v>364.9</v>
      </c>
      <c r="AV189" s="33" t="s">
        <v>1557</v>
      </c>
      <c r="AW189" s="33" t="str">
        <f>IF(OR(ISBLANK(AU189), ISBLANK(AV189)),"",CONCATENATE(" ",VLOOKUP(AV189,Literatuur!$A:$B,2,FALSE)," "))</f>
        <v xml:space="preserve"> 17 </v>
      </c>
      <c r="AZ189" s="44" t="str">
        <f t="shared" si="136"/>
        <v xml:space="preserve"> </v>
      </c>
      <c r="BA189" s="33" t="str">
        <f>IF(OR(ISBLANK(AY189), ISBLANK(AZ189)),"",CONCATENATE(" ",VLOOKUP(AZ189,Literatuur!$A:$B,2,FALSE)," "))</f>
        <v/>
      </c>
      <c r="BC189" s="44" t="str">
        <f t="shared" si="137"/>
        <v xml:space="preserve"> </v>
      </c>
      <c r="BD189" s="33" t="str">
        <f>IF(OR(ISBLANK(BB189), ISBLANK(BC189)),"",CONCATENATE(" ",VLOOKUP(BC189,Literatuur!$A:$B,2,FALSE)," "))</f>
        <v/>
      </c>
      <c r="BF189" s="44" t="str">
        <f t="shared" si="138"/>
        <v xml:space="preserve"> </v>
      </c>
      <c r="BG189" s="33" t="str">
        <f>IF(OR(ISBLANK(BE189), ISBLANK(BF189)),"",CONCATENATE(" ",VLOOKUP(BF189,Literatuur!$A:$B,2,FALSE)," "))</f>
        <v/>
      </c>
      <c r="BI189" s="44" t="str">
        <f t="shared" si="139"/>
        <v xml:space="preserve"> </v>
      </c>
      <c r="BJ189" s="33" t="str">
        <f>IF(OR(ISBLANK(BH189), ISBLANK(BI189)),"",CONCATENATE(" ",VLOOKUP(BI189,Literatuur!$A:$B,2,FALSE)," "))</f>
        <v/>
      </c>
      <c r="BL189" s="44" t="str">
        <f t="shared" si="140"/>
        <v xml:space="preserve"> </v>
      </c>
      <c r="BM189" s="33" t="str">
        <f>IF(OR(ISBLANK(BK189), ISBLANK(BL189)),"",CONCATENATE(" ",VLOOKUP(BL189,Literatuur!$A:$B,2,FALSE)," "))</f>
        <v/>
      </c>
      <c r="BO189"/>
      <c r="BP189" s="33" t="str">
        <f>IF(OR(ISBLANK(BN189), ISBLANK(BO189)),"",CONCATENATE(" ",VLOOKUP(BO189,Literatuur!$A:$B,2,FALSE)," "))</f>
        <v/>
      </c>
      <c r="BR189"/>
      <c r="BS189" s="33" t="str">
        <f>IF(OR(ISBLANK(BQ189), ISBLANK(BR189)),"",CONCATENATE(" ",VLOOKUP(BR189,Literatuur!$A:$B,2,FALSE)," "))</f>
        <v/>
      </c>
      <c r="BT189">
        <v>6.3</v>
      </c>
      <c r="BU189" s="33" t="s">
        <v>1557</v>
      </c>
      <c r="BV189" s="33" t="str">
        <f>IF(OR(ISBLANK(BT189), ISBLANK(BU189)),"",CONCATENATE(" ",VLOOKUP(BU189,Literatuur!$A:$B,2,FALSE)," "))</f>
        <v xml:space="preserve"> 17 </v>
      </c>
      <c r="BX189">
        <v>240.1</v>
      </c>
      <c r="CB189" s="33" t="s">
        <v>1557</v>
      </c>
      <c r="CD189" s="33">
        <f>L189</f>
        <v>240.1</v>
      </c>
      <c r="CG189" s="33">
        <f>LOG(J189)</f>
        <v>-3.7826136635352177E-2</v>
      </c>
      <c r="CH189" s="33">
        <f>K189</f>
        <v>6.3</v>
      </c>
      <c r="CR189" s="33" t="str">
        <f t="shared" si="109"/>
        <v>aldrin</v>
      </c>
      <c r="CS189" s="33" t="str">
        <f t="shared" si="110"/>
        <v>overige</v>
      </c>
      <c r="CT189" s="33">
        <f t="shared" si="111"/>
        <v>364.9</v>
      </c>
      <c r="CU189" s="33" t="str">
        <f t="shared" si="112"/>
        <v xml:space="preserve"> 17 </v>
      </c>
      <c r="CV189" s="33">
        <f t="shared" si="113"/>
        <v>0.91658735885784481</v>
      </c>
      <c r="CW189" s="33" t="str">
        <f t="shared" si="114"/>
        <v xml:space="preserve"> 17 </v>
      </c>
      <c r="CX189" s="33">
        <f t="shared" si="115"/>
        <v>6.3</v>
      </c>
      <c r="CY189" s="33" t="str">
        <f t="shared" si="116"/>
        <v xml:space="preserve"> 17 </v>
      </c>
    </row>
    <row r="190" spans="1:103" x14ac:dyDescent="0.2">
      <c r="B190" s="33">
        <v>-1691</v>
      </c>
      <c r="D190" s="105" t="s">
        <v>927</v>
      </c>
      <c r="E190" s="105" t="s">
        <v>927</v>
      </c>
      <c r="H190" s="34" t="s">
        <v>1242</v>
      </c>
      <c r="I190" s="33">
        <f t="shared" si="126"/>
        <v>106.13</v>
      </c>
      <c r="J190" s="33">
        <f t="shared" si="117"/>
        <v>6950</v>
      </c>
      <c r="K190" s="44">
        <f t="shared" si="141"/>
        <v>1.48</v>
      </c>
      <c r="L190" s="33" t="e">
        <f t="shared" si="142"/>
        <v>#DIV/0!</v>
      </c>
      <c r="M190" s="33" t="s">
        <v>345</v>
      </c>
      <c r="Q190" s="44" t="str">
        <f t="shared" si="128"/>
        <v xml:space="preserve"> </v>
      </c>
      <c r="R190" s="33" t="str">
        <f>IF(OR(ISBLANK(P190), ISBLANK(Q190)),"",CONCATENATE(" ",VLOOKUP(Q190,Literatuur!$A:$B,2,FALSE)," "))</f>
        <v/>
      </c>
      <c r="T190" s="44" t="str">
        <f t="shared" si="129"/>
        <v xml:space="preserve"> </v>
      </c>
      <c r="U190" s="33" t="str">
        <f>IF(OR(ISBLANK(S190), ISBLANK(T190)),"",CONCATENATE(" ",VLOOKUP(T190,Literatuur!$A:$B,2,FALSE)," "))</f>
        <v/>
      </c>
      <c r="W190" s="44" t="str">
        <f t="shared" si="130"/>
        <v xml:space="preserve"> </v>
      </c>
      <c r="X190" s="33" t="str">
        <f>IF(OR(ISBLANK(V190), ISBLANK(W190)),"",CONCATENATE(" ",VLOOKUP(W190,Literatuur!$A:$B,2,FALSE)," "))</f>
        <v/>
      </c>
      <c r="Y190" s="33">
        <v>6950</v>
      </c>
      <c r="Z190" s="44" t="str">
        <f t="shared" si="131"/>
        <v>US EPA suite</v>
      </c>
      <c r="AA190" s="33" t="str">
        <f>IF(OR(ISBLANK(Y190), ISBLANK(Z190)),"",CONCATENATE(" ",VLOOKUP(Z190,Literatuur!$A:$B,2,FALSE)," "))</f>
        <v xml:space="preserve"> F </v>
      </c>
      <c r="AC190" s="36" t="str">
        <f t="shared" si="132"/>
        <v xml:space="preserve"> </v>
      </c>
      <c r="AD190" s="33" t="str">
        <f>IF(OR(ISBLANK(AB190), ISBLANK(AC190)),"",CONCATENATE(" ",VLOOKUP(AC190,Literatuur!$A:$B,2,FALSE)," "))</f>
        <v/>
      </c>
      <c r="AG190" s="33" t="str">
        <f>IF(OR(ISBLANK(AE190), ISBLANK(AF190)),"",CONCATENATE(" ",VLOOKUP(AF190,Literatuur!$A:$B,2,FALSE)," "))</f>
        <v/>
      </c>
      <c r="AJ190" s="44" t="str">
        <f t="shared" si="133"/>
        <v xml:space="preserve"> </v>
      </c>
      <c r="AK190" s="33" t="str">
        <f>IF(OR(ISBLANK(AI190), ISBLANK(AJ190)),"",CONCATENATE(" ",VLOOKUP(AJ190,Literatuur!$A:$B,2,FALSE)," "))</f>
        <v/>
      </c>
      <c r="AM190" s="44" t="str">
        <f t="shared" si="134"/>
        <v xml:space="preserve"> </v>
      </c>
      <c r="AN190" s="33" t="str">
        <f>IF(OR(ISBLANK(AL190), ISBLANK(AM190)),"",CONCATENATE(" ",VLOOKUP(AM190,Literatuur!$A:$B,2,FALSE)," "))</f>
        <v/>
      </c>
      <c r="AO190" s="33">
        <v>106.13</v>
      </c>
      <c r="AP190" s="44" t="str">
        <f t="shared" si="135"/>
        <v>US EPA suite</v>
      </c>
      <c r="AQ190" s="33" t="str">
        <f>IF(OR(ISBLANK(AO190), ISBLANK(AP190)),"",CONCATENATE(" ",VLOOKUP(AP190,Literatuur!$A:$B,2,FALSE)," "))</f>
        <v xml:space="preserve"> F </v>
      </c>
      <c r="AT190" s="33" t="str">
        <f>IF(OR(ISBLANK(AR190), ISBLANK(AS190)),"",CONCATENATE(" ",VLOOKUP(AS190,Literatuur!$A:$B,2,FALSE)," "))</f>
        <v/>
      </c>
      <c r="AW190" s="33" t="str">
        <f>IF(OR(ISBLANK(AU190), ISBLANK(AV190)),"",CONCATENATE(" ",VLOOKUP(AV190,Literatuur!$A:$B,2,FALSE)," "))</f>
        <v/>
      </c>
      <c r="AZ190" s="44" t="str">
        <f t="shared" si="136"/>
        <v xml:space="preserve"> </v>
      </c>
      <c r="BA190" s="33" t="str">
        <f>IF(OR(ISBLANK(AY190), ISBLANK(AZ190)),"",CONCATENATE(" ",VLOOKUP(AZ190,Literatuur!$A:$B,2,FALSE)," "))</f>
        <v/>
      </c>
      <c r="BC190" s="44" t="str">
        <f t="shared" si="137"/>
        <v xml:space="preserve"> </v>
      </c>
      <c r="BD190" s="33" t="str">
        <f>IF(OR(ISBLANK(BB190), ISBLANK(BC190)),"",CONCATENATE(" ",VLOOKUP(BC190,Literatuur!$A:$B,2,FALSE)," "))</f>
        <v/>
      </c>
      <c r="BF190" s="44" t="str">
        <f t="shared" si="138"/>
        <v xml:space="preserve"> </v>
      </c>
      <c r="BG190" s="33" t="str">
        <f>IF(OR(ISBLANK(BE190), ISBLANK(BF190)),"",CONCATENATE(" ",VLOOKUP(BF190,Literatuur!$A:$B,2,FALSE)," "))</f>
        <v/>
      </c>
      <c r="BH190" s="33">
        <v>1.48</v>
      </c>
      <c r="BI190" s="44" t="str">
        <f t="shared" si="139"/>
        <v>US EPA suite</v>
      </c>
      <c r="BJ190" s="33" t="str">
        <f>IF(OR(ISBLANK(BH190), ISBLANK(BI190)),"",CONCATENATE(" ",VLOOKUP(BI190,Literatuur!$A:$B,2,FALSE)," "))</f>
        <v xml:space="preserve"> F </v>
      </c>
      <c r="BL190" s="44" t="str">
        <f t="shared" si="140"/>
        <v xml:space="preserve"> </v>
      </c>
      <c r="BM190" s="33" t="str">
        <f>IF(OR(ISBLANK(BK190), ISBLANK(BL190)),"",CONCATENATE(" ",VLOOKUP(BL190,Literatuur!$A:$B,2,FALSE)," "))</f>
        <v/>
      </c>
      <c r="BP190" s="33" t="str">
        <f>IF(OR(ISBLANK(BN190), ISBLANK(BO190)),"",CONCATENATE(" ",VLOOKUP(BO190,Literatuur!$A:$B,2,FALSE)," "))</f>
        <v/>
      </c>
      <c r="BS190" s="33" t="str">
        <f>IF(OR(ISBLANK(BQ190), ISBLANK(BR190)),"",CONCATENATE(" ",VLOOKUP(BR190,Literatuur!$A:$B,2,FALSE)," "))</f>
        <v/>
      </c>
      <c r="BV190" s="33" t="str">
        <f>IF(OR(ISBLANK(BT190), ISBLANK(BU190)),"",CONCATENATE(" ",VLOOKUP(BU190,Literatuur!$A:$B,2,FALSE)," "))</f>
        <v/>
      </c>
      <c r="CG190" s="33">
        <f>LOG(J190)</f>
        <v>3.8419848045901137</v>
      </c>
      <c r="CH190" s="33">
        <f>K190</f>
        <v>1.48</v>
      </c>
      <c r="CR190" s="33" t="str">
        <f t="shared" si="109"/>
        <v>Benzaldehyde</v>
      </c>
      <c r="CS190" s="33" t="str">
        <f t="shared" si="110"/>
        <v>overige</v>
      </c>
      <c r="CT190" s="33">
        <f t="shared" si="111"/>
        <v>106.13</v>
      </c>
      <c r="CU190" s="33" t="str">
        <f t="shared" si="112"/>
        <v xml:space="preserve"> F </v>
      </c>
      <c r="CV190" s="33">
        <f t="shared" si="113"/>
        <v>6950</v>
      </c>
      <c r="CW190" s="33" t="str">
        <f t="shared" si="114"/>
        <v xml:space="preserve"> F </v>
      </c>
      <c r="CX190" s="33">
        <f t="shared" si="115"/>
        <v>1.48</v>
      </c>
      <c r="CY190" s="33" t="str">
        <f t="shared" si="116"/>
        <v xml:space="preserve"> F </v>
      </c>
    </row>
    <row r="191" spans="1:103" x14ac:dyDescent="0.2">
      <c r="B191" s="33">
        <v>-1692</v>
      </c>
      <c r="D191" s="21" t="s">
        <v>936</v>
      </c>
      <c r="E191" s="21" t="s">
        <v>936</v>
      </c>
      <c r="F191" s="4"/>
      <c r="G191" s="4"/>
      <c r="H191" s="34" t="s">
        <v>1244</v>
      </c>
      <c r="I191" s="33">
        <f t="shared" si="126"/>
        <v>108.14</v>
      </c>
      <c r="J191" s="33">
        <f t="shared" si="117"/>
        <v>42900</v>
      </c>
      <c r="K191" s="44">
        <f t="shared" si="141"/>
        <v>1.1000000000000001</v>
      </c>
      <c r="L191" s="33" t="e">
        <f t="shared" si="142"/>
        <v>#DIV/0!</v>
      </c>
      <c r="M191" s="33" t="s">
        <v>345</v>
      </c>
      <c r="Q191" s="44" t="str">
        <f t="shared" si="128"/>
        <v xml:space="preserve"> </v>
      </c>
      <c r="R191" s="33" t="str">
        <f>IF(OR(ISBLANK(P191), ISBLANK(Q191)),"",CONCATENATE(" ",VLOOKUP(Q191,Literatuur!$A:$B,2,FALSE)," "))</f>
        <v/>
      </c>
      <c r="T191" s="44" t="str">
        <f t="shared" si="129"/>
        <v xml:space="preserve"> </v>
      </c>
      <c r="U191" s="33" t="str">
        <f>IF(OR(ISBLANK(S191), ISBLANK(T191)),"",CONCATENATE(" ",VLOOKUP(T191,Literatuur!$A:$B,2,FALSE)," "))</f>
        <v/>
      </c>
      <c r="W191" s="44" t="str">
        <f t="shared" si="130"/>
        <v xml:space="preserve"> </v>
      </c>
      <c r="X191" s="33" t="str">
        <f>IF(OR(ISBLANK(V191), ISBLANK(W191)),"",CONCATENATE(" ",VLOOKUP(W191,Literatuur!$A:$B,2,FALSE)," "))</f>
        <v/>
      </c>
      <c r="Y191" s="33">
        <v>42900</v>
      </c>
      <c r="Z191" s="44" t="str">
        <f t="shared" si="131"/>
        <v>US EPA suite</v>
      </c>
      <c r="AA191" s="33" t="str">
        <f>IF(OR(ISBLANK(Y191), ISBLANK(Z191)),"",CONCATENATE(" ",VLOOKUP(Z191,Literatuur!$A:$B,2,FALSE)," "))</f>
        <v xml:space="preserve"> F </v>
      </c>
      <c r="AC191" s="36" t="str">
        <f t="shared" si="132"/>
        <v xml:space="preserve"> </v>
      </c>
      <c r="AD191" s="33" t="str">
        <f>IF(OR(ISBLANK(AB191), ISBLANK(AC191)),"",CONCATENATE(" ",VLOOKUP(AC191,Literatuur!$A:$B,2,FALSE)," "))</f>
        <v/>
      </c>
      <c r="AG191" s="33" t="str">
        <f>IF(OR(ISBLANK(AE191), ISBLANK(AF191)),"",CONCATENATE(" ",VLOOKUP(AF191,Literatuur!$A:$B,2,FALSE)," "))</f>
        <v/>
      </c>
      <c r="AJ191" s="44" t="str">
        <f t="shared" si="133"/>
        <v xml:space="preserve"> </v>
      </c>
      <c r="AK191" s="33" t="str">
        <f>IF(OR(ISBLANK(AI191), ISBLANK(AJ191)),"",CONCATENATE(" ",VLOOKUP(AJ191,Literatuur!$A:$B,2,FALSE)," "))</f>
        <v/>
      </c>
      <c r="AM191" s="44" t="str">
        <f t="shared" si="134"/>
        <v xml:space="preserve"> </v>
      </c>
      <c r="AN191" s="33" t="str">
        <f>IF(OR(ISBLANK(AL191), ISBLANK(AM191)),"",CONCATENATE(" ",VLOOKUP(AM191,Literatuur!$A:$B,2,FALSE)," "))</f>
        <v/>
      </c>
      <c r="AO191" s="33">
        <v>108.14</v>
      </c>
      <c r="AP191" s="44" t="str">
        <f t="shared" si="135"/>
        <v>US EPA suite</v>
      </c>
      <c r="AQ191" s="33" t="str">
        <f>IF(OR(ISBLANK(AO191), ISBLANK(AP191)),"",CONCATENATE(" ",VLOOKUP(AP191,Literatuur!$A:$B,2,FALSE)," "))</f>
        <v xml:space="preserve"> F </v>
      </c>
      <c r="AT191" s="33" t="str">
        <f>IF(OR(ISBLANK(AR191), ISBLANK(AS191)),"",CONCATENATE(" ",VLOOKUP(AS191,Literatuur!$A:$B,2,FALSE)," "))</f>
        <v/>
      </c>
      <c r="AW191" s="33" t="str">
        <f>IF(OR(ISBLANK(AU191), ISBLANK(AV191)),"",CONCATENATE(" ",VLOOKUP(AV191,Literatuur!$A:$B,2,FALSE)," "))</f>
        <v/>
      </c>
      <c r="AZ191" s="44" t="str">
        <f t="shared" si="136"/>
        <v xml:space="preserve"> </v>
      </c>
      <c r="BA191" s="33" t="str">
        <f>IF(OR(ISBLANK(AY191), ISBLANK(AZ191)),"",CONCATENATE(" ",VLOOKUP(AZ191,Literatuur!$A:$B,2,FALSE)," "))</f>
        <v/>
      </c>
      <c r="BC191" s="44" t="str">
        <f t="shared" si="137"/>
        <v xml:space="preserve"> </v>
      </c>
      <c r="BD191" s="33" t="str">
        <f>IF(OR(ISBLANK(BB191), ISBLANK(BC191)),"",CONCATENATE(" ",VLOOKUP(BC191,Literatuur!$A:$B,2,FALSE)," "))</f>
        <v/>
      </c>
      <c r="BF191" s="44" t="str">
        <f t="shared" si="138"/>
        <v xml:space="preserve"> </v>
      </c>
      <c r="BG191" s="33" t="str">
        <f>IF(OR(ISBLANK(BE191), ISBLANK(BF191)),"",CONCATENATE(" ",VLOOKUP(BF191,Literatuur!$A:$B,2,FALSE)," "))</f>
        <v/>
      </c>
      <c r="BH191" s="33">
        <v>1.1000000000000001</v>
      </c>
      <c r="BI191" s="44" t="str">
        <f t="shared" si="139"/>
        <v>US EPA suite</v>
      </c>
      <c r="BJ191" s="33" t="str">
        <f>IF(OR(ISBLANK(BH191), ISBLANK(BI191)),"",CONCATENATE(" ",VLOOKUP(BI191,Literatuur!$A:$B,2,FALSE)," "))</f>
        <v xml:space="preserve"> F </v>
      </c>
      <c r="BL191" s="44" t="str">
        <f t="shared" si="140"/>
        <v xml:space="preserve"> </v>
      </c>
      <c r="BM191" s="33" t="str">
        <f>IF(OR(ISBLANK(BK191), ISBLANK(BL191)),"",CONCATENATE(" ",VLOOKUP(BL191,Literatuur!$A:$B,2,FALSE)," "))</f>
        <v/>
      </c>
      <c r="BP191" s="33" t="str">
        <f>IF(OR(ISBLANK(BN191), ISBLANK(BO191)),"",CONCATENATE(" ",VLOOKUP(BO191,Literatuur!$A:$B,2,FALSE)," "))</f>
        <v/>
      </c>
      <c r="BS191" s="33" t="str">
        <f>IF(OR(ISBLANK(BQ191), ISBLANK(BR191)),"",CONCATENATE(" ",VLOOKUP(BR191,Literatuur!$A:$B,2,FALSE)," "))</f>
        <v/>
      </c>
      <c r="BV191" s="33" t="str">
        <f>IF(OR(ISBLANK(BT191), ISBLANK(BU191)),"",CONCATENATE(" ",VLOOKUP(BU191,Literatuur!$A:$B,2,FALSE)," "))</f>
        <v/>
      </c>
      <c r="CG191" s="33">
        <f>LOG(J191)</f>
        <v>4.632457292184724</v>
      </c>
      <c r="CH191" s="33">
        <f>K191</f>
        <v>1.1000000000000001</v>
      </c>
      <c r="CR191" s="33" t="str">
        <f t="shared" si="109"/>
        <v>Benzyl alcohol</v>
      </c>
      <c r="CS191" s="33" t="str">
        <f t="shared" si="110"/>
        <v>overige</v>
      </c>
      <c r="CT191" s="33">
        <f t="shared" si="111"/>
        <v>108.14</v>
      </c>
      <c r="CU191" s="33" t="str">
        <f t="shared" si="112"/>
        <v xml:space="preserve"> F </v>
      </c>
      <c r="CV191" s="33">
        <f t="shared" si="113"/>
        <v>42900</v>
      </c>
      <c r="CW191" s="33" t="str">
        <f t="shared" si="114"/>
        <v xml:space="preserve"> F </v>
      </c>
      <c r="CX191" s="33">
        <f t="shared" si="115"/>
        <v>1.1000000000000001</v>
      </c>
      <c r="CY191" s="33" t="str">
        <f t="shared" si="116"/>
        <v xml:space="preserve"> F </v>
      </c>
    </row>
    <row r="192" spans="1:103" x14ac:dyDescent="0.2">
      <c r="B192">
        <v>-1793</v>
      </c>
      <c r="D192" s="33" t="s">
        <v>1689</v>
      </c>
      <c r="E192" s="33" t="s">
        <v>1689</v>
      </c>
      <c r="I192" s="33">
        <f t="shared" si="126"/>
        <v>180.2</v>
      </c>
      <c r="J192" s="33" t="e">
        <f t="shared" si="117"/>
        <v>#DIV/0!</v>
      </c>
      <c r="K192" s="44" t="e">
        <f t="shared" si="141"/>
        <v>#DIV/0!</v>
      </c>
      <c r="L192" s="33">
        <f t="shared" si="142"/>
        <v>175.7</v>
      </c>
      <c r="M192" s="33" t="s">
        <v>345</v>
      </c>
      <c r="Q192" s="44" t="str">
        <f t="shared" si="128"/>
        <v xml:space="preserve"> </v>
      </c>
      <c r="R192" s="33" t="str">
        <f>IF(OR(ISBLANK(P192), ISBLANK(Q192)),"",CONCATENATE(" ",VLOOKUP(Q192,Literatuur!$A:$B,2,FALSE)," "))</f>
        <v/>
      </c>
      <c r="T192" s="44" t="str">
        <f t="shared" si="129"/>
        <v xml:space="preserve"> </v>
      </c>
      <c r="U192" s="33" t="str">
        <f>IF(OR(ISBLANK(S192), ISBLANK(T192)),"",CONCATENATE(" ",VLOOKUP(T192,Literatuur!$A:$B,2,FALSE)," "))</f>
        <v/>
      </c>
      <c r="W192" s="44" t="str">
        <f t="shared" si="130"/>
        <v xml:space="preserve"> </v>
      </c>
      <c r="X192" s="33" t="str">
        <f>IF(OR(ISBLANK(V192), ISBLANK(W192)),"",CONCATENATE(" ",VLOOKUP(W192,Literatuur!$A:$B,2,FALSE)," "))</f>
        <v/>
      </c>
      <c r="Z192" s="44" t="str">
        <f t="shared" si="131"/>
        <v xml:space="preserve"> </v>
      </c>
      <c r="AA192" s="33" t="str">
        <f>IF(OR(ISBLANK(Y192), ISBLANK(Z192)),"",CONCATENATE(" ",VLOOKUP(Z192,Literatuur!$A:$B,2,FALSE)," "))</f>
        <v/>
      </c>
      <c r="AC192" s="36" t="str">
        <f t="shared" si="132"/>
        <v xml:space="preserve"> </v>
      </c>
      <c r="AD192" s="33" t="str">
        <f>IF(OR(ISBLANK(AB192), ISBLANK(AC192)),"",CONCATENATE(" ",VLOOKUP(AC192,Literatuur!$A:$B,2,FALSE)," "))</f>
        <v/>
      </c>
      <c r="AG192" s="33" t="str">
        <f>IF(OR(ISBLANK(AE192), ISBLANK(AF192)),"",CONCATENATE(" ",VLOOKUP(AF192,Literatuur!$A:$B,2,FALSE)," "))</f>
        <v/>
      </c>
      <c r="AJ192" s="44" t="str">
        <f t="shared" si="133"/>
        <v xml:space="preserve"> </v>
      </c>
      <c r="AK192" s="33" t="str">
        <f>IF(OR(ISBLANK(AI192), ISBLANK(AJ192)),"",CONCATENATE(" ",VLOOKUP(AJ192,Literatuur!$A:$B,2,FALSE)," "))</f>
        <v/>
      </c>
      <c r="AM192" s="44" t="str">
        <f t="shared" si="134"/>
        <v xml:space="preserve"> </v>
      </c>
      <c r="AN192" s="33" t="str">
        <f>IF(OR(ISBLANK(AL192), ISBLANK(AM192)),"",CONCATENATE(" ",VLOOKUP(AM192,Literatuur!$A:$B,2,FALSE)," "))</f>
        <v/>
      </c>
      <c r="AP192" s="44" t="str">
        <f t="shared" si="135"/>
        <v xml:space="preserve"> </v>
      </c>
      <c r="AQ192" s="33" t="str">
        <f>IF(OR(ISBLANK(AO192), ISBLANK(AP192)),"",CONCATENATE(" ",VLOOKUP(AP192,Literatuur!$A:$B,2,FALSE)," "))</f>
        <v/>
      </c>
      <c r="AT192" s="33" t="str">
        <f>IF(OR(ISBLANK(AR192), ISBLANK(AS192)),"",CONCATENATE(" ",VLOOKUP(AS192,Literatuur!$A:$B,2,FALSE)," "))</f>
        <v/>
      </c>
      <c r="AU192" s="33">
        <v>180.2</v>
      </c>
      <c r="AV192" s="33" t="s">
        <v>1557</v>
      </c>
      <c r="AW192" s="33" t="str">
        <f>IF(OR(ISBLANK(AU192), ISBLANK(AV192)),"",CONCATENATE(" ",VLOOKUP(AV192,Literatuur!$A:$B,2,FALSE)," "))</f>
        <v xml:space="preserve"> 17 </v>
      </c>
      <c r="AZ192" s="44" t="str">
        <f t="shared" si="136"/>
        <v xml:space="preserve"> </v>
      </c>
      <c r="BA192" s="33" t="str">
        <f>IF(OR(ISBLANK(AY192), ISBLANK(AZ192)),"",CONCATENATE(" ",VLOOKUP(AZ192,Literatuur!$A:$B,2,FALSE)," "))</f>
        <v/>
      </c>
      <c r="BC192" s="44" t="str">
        <f t="shared" si="137"/>
        <v xml:space="preserve"> </v>
      </c>
      <c r="BD192" s="33" t="str">
        <f>IF(OR(ISBLANK(BB192), ISBLANK(BC192)),"",CONCATENATE(" ",VLOOKUP(BC192,Literatuur!$A:$B,2,FALSE)," "))</f>
        <v/>
      </c>
      <c r="BF192" s="44" t="str">
        <f t="shared" si="138"/>
        <v xml:space="preserve"> </v>
      </c>
      <c r="BG192" s="33" t="str">
        <f>IF(OR(ISBLANK(BE192), ISBLANK(BF192)),"",CONCATENATE(" ",VLOOKUP(BF192,Literatuur!$A:$B,2,FALSE)," "))</f>
        <v/>
      </c>
      <c r="BI192" s="44" t="str">
        <f t="shared" si="139"/>
        <v xml:space="preserve"> </v>
      </c>
      <c r="BJ192" s="33" t="str">
        <f>IF(OR(ISBLANK(BH192), ISBLANK(BI192)),"",CONCATENATE(" ",VLOOKUP(BI192,Literatuur!$A:$B,2,FALSE)," "))</f>
        <v/>
      </c>
      <c r="BL192" s="44" t="str">
        <f t="shared" si="140"/>
        <v xml:space="preserve"> </v>
      </c>
      <c r="BM192" s="33" t="str">
        <f>IF(OR(ISBLANK(BK192), ISBLANK(BL192)),"",CONCATENATE(" ",VLOOKUP(BL192,Literatuur!$A:$B,2,FALSE)," "))</f>
        <v/>
      </c>
      <c r="BP192" s="33" t="str">
        <f>IF(OR(ISBLANK(BN192), ISBLANK(BO192)),"",CONCATENATE(" ",VLOOKUP(BO192,Literatuur!$A:$B,2,FALSE)," "))</f>
        <v/>
      </c>
      <c r="BS192" s="33" t="str">
        <f>IF(OR(ISBLANK(BQ192), ISBLANK(BR192)),"",CONCATENATE(" ",VLOOKUP(BR192,Literatuur!$A:$B,2,FALSE)," "))</f>
        <v/>
      </c>
      <c r="BV192" s="33" t="str">
        <f>IF(OR(ISBLANK(BT192), ISBLANK(BU192)),"",CONCATENATE(" ",VLOOKUP(BU192,Literatuur!$A:$B,2,FALSE)," "))</f>
        <v/>
      </c>
      <c r="BX192" s="33">
        <v>175.7</v>
      </c>
      <c r="CB192" s="33" t="s">
        <v>1557</v>
      </c>
      <c r="CD192" s="33">
        <f>L192</f>
        <v>175.7</v>
      </c>
      <c r="CR192" s="33" t="str">
        <f t="shared" si="109"/>
        <v>butylated hydroxyanisol</v>
      </c>
      <c r="CS192" s="33" t="str">
        <f t="shared" si="110"/>
        <v>overige</v>
      </c>
      <c r="CT192" s="33">
        <f t="shared" si="111"/>
        <v>180.2</v>
      </c>
      <c r="CU192" s="33" t="str">
        <f t="shared" si="112"/>
        <v xml:space="preserve"> 17 </v>
      </c>
      <c r="CV192" s="33" t="str">
        <f t="shared" si="113"/>
        <v/>
      </c>
      <c r="CW192" s="33" t="str">
        <f t="shared" si="114"/>
        <v/>
      </c>
      <c r="CX192" s="33" t="str">
        <f t="shared" si="115"/>
        <v/>
      </c>
      <c r="CY192" s="33" t="str">
        <f t="shared" si="116"/>
        <v/>
      </c>
    </row>
    <row r="193" spans="1:103" x14ac:dyDescent="0.2">
      <c r="B193">
        <v>-1794</v>
      </c>
      <c r="D193" s="33" t="s">
        <v>1690</v>
      </c>
      <c r="E193" s="33" t="s">
        <v>1690</v>
      </c>
      <c r="I193" s="33">
        <f t="shared" si="126"/>
        <v>220.4</v>
      </c>
      <c r="J193" s="33" t="e">
        <f t="shared" si="117"/>
        <v>#DIV/0!</v>
      </c>
      <c r="K193" s="44" t="e">
        <f t="shared" si="141"/>
        <v>#DIV/0!</v>
      </c>
      <c r="L193" s="33">
        <f t="shared" si="142"/>
        <v>235</v>
      </c>
      <c r="M193" s="33" t="s">
        <v>345</v>
      </c>
      <c r="Q193" s="44" t="str">
        <f t="shared" si="128"/>
        <v xml:space="preserve"> </v>
      </c>
      <c r="R193" s="33" t="str">
        <f>IF(OR(ISBLANK(P193), ISBLANK(Q193)),"",CONCATENATE(" ",VLOOKUP(Q193,Literatuur!$A:$B,2,FALSE)," "))</f>
        <v/>
      </c>
      <c r="T193" s="44" t="str">
        <f t="shared" si="129"/>
        <v xml:space="preserve"> </v>
      </c>
      <c r="U193" s="33" t="str">
        <f>IF(OR(ISBLANK(S193), ISBLANK(T193)),"",CONCATENATE(" ",VLOOKUP(T193,Literatuur!$A:$B,2,FALSE)," "))</f>
        <v/>
      </c>
      <c r="W193" s="44" t="str">
        <f t="shared" si="130"/>
        <v xml:space="preserve"> </v>
      </c>
      <c r="X193" s="33" t="str">
        <f>IF(OR(ISBLANK(V193), ISBLANK(W193)),"",CONCATENATE(" ",VLOOKUP(W193,Literatuur!$A:$B,2,FALSE)," "))</f>
        <v/>
      </c>
      <c r="Z193" s="44" t="str">
        <f t="shared" si="131"/>
        <v xml:space="preserve"> </v>
      </c>
      <c r="AA193" s="33" t="str">
        <f>IF(OR(ISBLANK(Y193), ISBLANK(Z193)),"",CONCATENATE(" ",VLOOKUP(Z193,Literatuur!$A:$B,2,FALSE)," "))</f>
        <v/>
      </c>
      <c r="AC193" s="36" t="str">
        <f t="shared" si="132"/>
        <v xml:space="preserve"> </v>
      </c>
      <c r="AD193" s="33" t="str">
        <f>IF(OR(ISBLANK(AB193), ISBLANK(AC193)),"",CONCATENATE(" ",VLOOKUP(AC193,Literatuur!$A:$B,2,FALSE)," "))</f>
        <v/>
      </c>
      <c r="AG193" s="33" t="str">
        <f>IF(OR(ISBLANK(AE193), ISBLANK(AF193)),"",CONCATENATE(" ",VLOOKUP(AF193,Literatuur!$A:$B,2,FALSE)," "))</f>
        <v/>
      </c>
      <c r="AJ193" s="44" t="str">
        <f t="shared" si="133"/>
        <v xml:space="preserve"> </v>
      </c>
      <c r="AK193" s="33" t="str">
        <f>IF(OR(ISBLANK(AI193), ISBLANK(AJ193)),"",CONCATENATE(" ",VLOOKUP(AJ193,Literatuur!$A:$B,2,FALSE)," "))</f>
        <v/>
      </c>
      <c r="AM193" s="44" t="str">
        <f t="shared" si="134"/>
        <v xml:space="preserve"> </v>
      </c>
      <c r="AN193" s="33" t="str">
        <f>IF(OR(ISBLANK(AL193), ISBLANK(AM193)),"",CONCATENATE(" ",VLOOKUP(AM193,Literatuur!$A:$B,2,FALSE)," "))</f>
        <v/>
      </c>
      <c r="AP193" s="44" t="str">
        <f t="shared" si="135"/>
        <v xml:space="preserve"> </v>
      </c>
      <c r="AQ193" s="33" t="str">
        <f>IF(OR(ISBLANK(AO193), ISBLANK(AP193)),"",CONCATENATE(" ",VLOOKUP(AP193,Literatuur!$A:$B,2,FALSE)," "))</f>
        <v/>
      </c>
      <c r="AT193" s="33" t="str">
        <f>IF(OR(ISBLANK(AR193), ISBLANK(AS193)),"",CONCATENATE(" ",VLOOKUP(AS193,Literatuur!$A:$B,2,FALSE)," "))</f>
        <v/>
      </c>
      <c r="AU193" s="33">
        <v>220.4</v>
      </c>
      <c r="AV193" s="33" t="s">
        <v>1557</v>
      </c>
      <c r="AW193" s="33" t="str">
        <f>IF(OR(ISBLANK(AU193), ISBLANK(AV193)),"",CONCATENATE(" ",VLOOKUP(AV193,Literatuur!$A:$B,2,FALSE)," "))</f>
        <v xml:space="preserve"> 17 </v>
      </c>
      <c r="AZ193" s="44" t="str">
        <f t="shared" si="136"/>
        <v xml:space="preserve"> </v>
      </c>
      <c r="BA193" s="33" t="str">
        <f>IF(OR(ISBLANK(AY193), ISBLANK(AZ193)),"",CONCATENATE(" ",VLOOKUP(AZ193,Literatuur!$A:$B,2,FALSE)," "))</f>
        <v/>
      </c>
      <c r="BC193" s="44" t="str">
        <f t="shared" si="137"/>
        <v xml:space="preserve"> </v>
      </c>
      <c r="BD193" s="33" t="str">
        <f>IF(OR(ISBLANK(BB193), ISBLANK(BC193)),"",CONCATENATE(" ",VLOOKUP(BC193,Literatuur!$A:$B,2,FALSE)," "))</f>
        <v/>
      </c>
      <c r="BF193" s="44" t="str">
        <f t="shared" si="138"/>
        <v xml:space="preserve"> </v>
      </c>
      <c r="BG193" s="33" t="str">
        <f>IF(OR(ISBLANK(BE193), ISBLANK(BF193)),"",CONCATENATE(" ",VLOOKUP(BF193,Literatuur!$A:$B,2,FALSE)," "))</f>
        <v/>
      </c>
      <c r="BI193" s="44" t="str">
        <f t="shared" si="139"/>
        <v xml:space="preserve"> </v>
      </c>
      <c r="BJ193" s="33" t="str">
        <f>IF(OR(ISBLANK(BH193), ISBLANK(BI193)),"",CONCATENATE(" ",VLOOKUP(BI193,Literatuur!$A:$B,2,FALSE)," "))</f>
        <v/>
      </c>
      <c r="BL193" s="44" t="str">
        <f t="shared" si="140"/>
        <v xml:space="preserve"> </v>
      </c>
      <c r="BM193" s="33" t="str">
        <f>IF(OR(ISBLANK(BK193), ISBLANK(BL193)),"",CONCATENATE(" ",VLOOKUP(BL193,Literatuur!$A:$B,2,FALSE)," "))</f>
        <v/>
      </c>
      <c r="BP193" s="33" t="str">
        <f>IF(OR(ISBLANK(BN193), ISBLANK(BO193)),"",CONCATENATE(" ",VLOOKUP(BO193,Literatuur!$A:$B,2,FALSE)," "))</f>
        <v/>
      </c>
      <c r="BS193" s="33" t="str">
        <f>IF(OR(ISBLANK(BQ193), ISBLANK(BR193)),"",CONCATENATE(" ",VLOOKUP(BR193,Literatuur!$A:$B,2,FALSE)," "))</f>
        <v/>
      </c>
      <c r="BV193" s="33" t="str">
        <f>IF(OR(ISBLANK(BT193), ISBLANK(BU193)),"",CONCATENATE(" ",VLOOKUP(BU193,Literatuur!$A:$B,2,FALSE)," "))</f>
        <v/>
      </c>
      <c r="BX193" s="33">
        <v>235</v>
      </c>
      <c r="CB193" s="33" t="s">
        <v>1557</v>
      </c>
      <c r="CD193" s="33">
        <f>L193</f>
        <v>235</v>
      </c>
      <c r="CR193" s="33" t="str">
        <f t="shared" si="109"/>
        <v>butylated hydroxytoluene</v>
      </c>
      <c r="CS193" s="33" t="str">
        <f t="shared" si="110"/>
        <v>overige</v>
      </c>
      <c r="CT193" s="33">
        <f t="shared" si="111"/>
        <v>220.4</v>
      </c>
      <c r="CU193" s="33" t="str">
        <f t="shared" si="112"/>
        <v xml:space="preserve"> 17 </v>
      </c>
      <c r="CV193" s="33" t="str">
        <f t="shared" si="113"/>
        <v/>
      </c>
      <c r="CW193" s="33" t="str">
        <f t="shared" si="114"/>
        <v/>
      </c>
      <c r="CX193" s="33" t="str">
        <f t="shared" si="115"/>
        <v/>
      </c>
      <c r="CY193" s="33" t="str">
        <f t="shared" si="116"/>
        <v/>
      </c>
    </row>
    <row r="194" spans="1:103" x14ac:dyDescent="0.2">
      <c r="B194" s="33">
        <v>-1681</v>
      </c>
      <c r="D194" s="21" t="s">
        <v>825</v>
      </c>
      <c r="E194" s="21" t="s">
        <v>825</v>
      </c>
      <c r="F194" s="4"/>
      <c r="G194" s="4"/>
      <c r="I194" s="33">
        <f t="shared" si="126"/>
        <v>264</v>
      </c>
      <c r="J194" s="33" t="e">
        <f t="shared" si="117"/>
        <v>#DIV/0!</v>
      </c>
      <c r="K194" s="44" t="e">
        <f t="shared" si="141"/>
        <v>#DIV/0!</v>
      </c>
      <c r="L194" s="33" t="e">
        <f t="shared" si="142"/>
        <v>#DIV/0!</v>
      </c>
      <c r="M194" s="33" t="s">
        <v>345</v>
      </c>
      <c r="Q194" s="44" t="str">
        <f t="shared" si="128"/>
        <v xml:space="preserve"> </v>
      </c>
      <c r="R194" s="33" t="str">
        <f>IF(OR(ISBLANK(P194), ISBLANK(Q194)),"",CONCATENATE(" ",VLOOKUP(Q194,Literatuur!$A:$B,2,FALSE)," "))</f>
        <v/>
      </c>
      <c r="T194" s="44" t="str">
        <f t="shared" si="129"/>
        <v xml:space="preserve"> </v>
      </c>
      <c r="U194" s="33" t="str">
        <f>IF(OR(ISBLANK(S194), ISBLANK(T194)),"",CONCATENATE(" ",VLOOKUP(T194,Literatuur!$A:$B,2,FALSE)," "))</f>
        <v/>
      </c>
      <c r="W194" s="44" t="str">
        <f t="shared" si="130"/>
        <v xml:space="preserve"> </v>
      </c>
      <c r="X194" s="33" t="str">
        <f>IF(OR(ISBLANK(V194), ISBLANK(W194)),"",CONCATENATE(" ",VLOOKUP(W194,Literatuur!$A:$B,2,FALSE)," "))</f>
        <v/>
      </c>
      <c r="Z194" s="44" t="str">
        <f t="shared" si="131"/>
        <v xml:space="preserve"> </v>
      </c>
      <c r="AA194" s="33" t="str">
        <f>IF(OR(ISBLANK(Y194), ISBLANK(Z194)),"",CONCATENATE(" ",VLOOKUP(Z194,Literatuur!$A:$B,2,FALSE)," "))</f>
        <v/>
      </c>
      <c r="AC194" s="36" t="str">
        <f t="shared" si="132"/>
        <v xml:space="preserve"> </v>
      </c>
      <c r="AD194" s="33" t="str">
        <f>IF(OR(ISBLANK(AB194), ISBLANK(AC194)),"",CONCATENATE(" ",VLOOKUP(AC194,Literatuur!$A:$B,2,FALSE)," "))</f>
        <v/>
      </c>
      <c r="AG194" s="33" t="str">
        <f>IF(OR(ISBLANK(AE194), ISBLANK(AF194)),"",CONCATENATE(" ",VLOOKUP(AF194,Literatuur!$A:$B,2,FALSE)," "))</f>
        <v/>
      </c>
      <c r="AJ194" s="44" t="str">
        <f t="shared" si="133"/>
        <v xml:space="preserve"> </v>
      </c>
      <c r="AK194" s="33" t="str">
        <f>IF(OR(ISBLANK(AI194), ISBLANK(AJ194)),"",CONCATENATE(" ",VLOOKUP(AJ194,Literatuur!$A:$B,2,FALSE)," "))</f>
        <v/>
      </c>
      <c r="AM194" s="44" t="str">
        <f t="shared" si="134"/>
        <v xml:space="preserve"> </v>
      </c>
      <c r="AN194" s="33" t="str">
        <f>IF(OR(ISBLANK(AL194), ISBLANK(AM194)),"",CONCATENATE(" ",VLOOKUP(AM194,Literatuur!$A:$B,2,FALSE)," "))</f>
        <v/>
      </c>
      <c r="AP194" s="44" t="str">
        <f t="shared" si="135"/>
        <v xml:space="preserve"> </v>
      </c>
      <c r="AQ194" s="33" t="str">
        <f>IF(OR(ISBLANK(AO194), ISBLANK(AP194)),"",CONCATENATE(" ",VLOOKUP(AP194,Literatuur!$A:$B,2,FALSE)," "))</f>
        <v/>
      </c>
      <c r="AS194"/>
      <c r="AT194" s="33" t="str">
        <f>IF(OR(ISBLANK(AR194), ISBLANK(AS194)),"",CONCATENATE(" ",VLOOKUP(AS194,Literatuur!$A:$B,2,FALSE)," "))</f>
        <v/>
      </c>
      <c r="AU194">
        <v>264</v>
      </c>
      <c r="AV194" s="33" t="s">
        <v>1235</v>
      </c>
      <c r="AW194" s="33" t="str">
        <f>IF(OR(ISBLANK(AU194), ISBLANK(AV194)),"",CONCATENATE(" ",VLOOKUP(AV194,Literatuur!$A:$B,2,FALSE)," "))</f>
        <v xml:space="preserve"> 21 </v>
      </c>
      <c r="AZ194" s="44" t="str">
        <f t="shared" si="136"/>
        <v xml:space="preserve"> </v>
      </c>
      <c r="BA194" s="33" t="str">
        <f>IF(OR(ISBLANK(AY194), ISBLANK(AZ194)),"",CONCATENATE(" ",VLOOKUP(AZ194,Literatuur!$A:$B,2,FALSE)," "))</f>
        <v/>
      </c>
      <c r="BC194" s="44" t="str">
        <f t="shared" si="137"/>
        <v xml:space="preserve"> </v>
      </c>
      <c r="BD194" s="33" t="str">
        <f>IF(OR(ISBLANK(BB194), ISBLANK(BC194)),"",CONCATENATE(" ",VLOOKUP(BC194,Literatuur!$A:$B,2,FALSE)," "))</f>
        <v/>
      </c>
      <c r="BF194" s="44" t="str">
        <f t="shared" si="138"/>
        <v xml:space="preserve"> </v>
      </c>
      <c r="BG194" s="33" t="str">
        <f>IF(OR(ISBLANK(BE194), ISBLANK(BF194)),"",CONCATENATE(" ",VLOOKUP(BF194,Literatuur!$A:$B,2,FALSE)," "))</f>
        <v/>
      </c>
      <c r="BI194" s="44" t="str">
        <f t="shared" si="139"/>
        <v xml:space="preserve"> </v>
      </c>
      <c r="BJ194" s="33" t="str">
        <f>IF(OR(ISBLANK(BH194), ISBLANK(BI194)),"",CONCATENATE(" ",VLOOKUP(BI194,Literatuur!$A:$B,2,FALSE)," "))</f>
        <v/>
      </c>
      <c r="BL194" s="44" t="str">
        <f t="shared" si="140"/>
        <v xml:space="preserve"> </v>
      </c>
      <c r="BM194" s="33" t="str">
        <f>IF(OR(ISBLANK(BK194), ISBLANK(BL194)),"",CONCATENATE(" ",VLOOKUP(BL194,Literatuur!$A:$B,2,FALSE)," "))</f>
        <v/>
      </c>
      <c r="BP194" s="33" t="str">
        <f>IF(OR(ISBLANK(BN194), ISBLANK(BO194)),"",CONCATENATE(" ",VLOOKUP(BO194,Literatuur!$A:$B,2,FALSE)," "))</f>
        <v/>
      </c>
      <c r="BS194" s="33" t="str">
        <f>IF(OR(ISBLANK(BQ194), ISBLANK(BR194)),"",CONCATENATE(" ",VLOOKUP(BR194,Literatuur!$A:$B,2,FALSE)," "))</f>
        <v/>
      </c>
      <c r="BV194" s="33" t="str">
        <f>IF(OR(ISBLANK(BT194), ISBLANK(BU194)),"",CONCATENATE(" ",VLOOKUP(BU194,Literatuur!$A:$B,2,FALSE)," "))</f>
        <v/>
      </c>
      <c r="CR194" s="33" t="str">
        <f t="shared" si="109"/>
        <v>Cedrylacetate</v>
      </c>
      <c r="CS194" s="33" t="str">
        <f t="shared" si="110"/>
        <v>overige</v>
      </c>
      <c r="CT194" s="33">
        <f t="shared" si="111"/>
        <v>264</v>
      </c>
      <c r="CU194" s="33" t="str">
        <f t="shared" si="112"/>
        <v xml:space="preserve"> 21 </v>
      </c>
      <c r="CV194" s="33" t="str">
        <f t="shared" si="113"/>
        <v/>
      </c>
      <c r="CW194" s="33" t="str">
        <f t="shared" si="114"/>
        <v/>
      </c>
      <c r="CX194" s="33" t="str">
        <f t="shared" si="115"/>
        <v/>
      </c>
      <c r="CY194" s="33" t="str">
        <f t="shared" si="116"/>
        <v/>
      </c>
    </row>
    <row r="195" spans="1:103" x14ac:dyDescent="0.2">
      <c r="A195"/>
      <c r="B195">
        <v>-1776</v>
      </c>
      <c r="C195"/>
      <c r="D195" t="s">
        <v>1206</v>
      </c>
      <c r="E195" t="s">
        <v>1206</v>
      </c>
      <c r="I195" s="33">
        <f t="shared" si="126"/>
        <v>380.9</v>
      </c>
      <c r="J195" s="33">
        <f t="shared" si="117"/>
        <v>4.7952468935239798</v>
      </c>
      <c r="K195" s="44">
        <f t="shared" si="141"/>
        <v>5.5</v>
      </c>
      <c r="L195" s="33">
        <f t="shared" si="142"/>
        <v>253.7</v>
      </c>
      <c r="M195" s="33" t="s">
        <v>345</v>
      </c>
      <c r="Q195" s="44" t="str">
        <f t="shared" si="128"/>
        <v xml:space="preserve"> </v>
      </c>
      <c r="R195" s="33" t="str">
        <f>IF(OR(ISBLANK(P195), ISBLANK(Q195)),"",CONCATENATE(" ",VLOOKUP(Q195,Literatuur!$A:$B,2,FALSE)," "))</f>
        <v/>
      </c>
      <c r="T195" s="44" t="str">
        <f t="shared" si="129"/>
        <v xml:space="preserve"> </v>
      </c>
      <c r="U195" s="33" t="str">
        <f>IF(OR(ISBLANK(S195), ISBLANK(T195)),"",CONCATENATE(" ",VLOOKUP(T195,Literatuur!$A:$B,2,FALSE)," "))</f>
        <v/>
      </c>
      <c r="W195" s="44" t="str">
        <f t="shared" si="130"/>
        <v xml:space="preserve"> </v>
      </c>
      <c r="X195" s="33" t="str">
        <f>IF(OR(ISBLANK(V195), ISBLANK(W195)),"",CONCATENATE(" ",VLOOKUP(W195,Literatuur!$A:$B,2,FALSE)," "))</f>
        <v/>
      </c>
      <c r="Z195" s="44" t="str">
        <f t="shared" si="131"/>
        <v xml:space="preserve"> </v>
      </c>
      <c r="AA195" s="33" t="str">
        <f>IF(OR(ISBLANK(Y195), ISBLANK(Z195)),"",CONCATENATE(" ",VLOOKUP(Z195,Literatuur!$A:$B,2,FALSE)," "))</f>
        <v/>
      </c>
      <c r="AC195" s="36" t="str">
        <f t="shared" si="132"/>
        <v xml:space="preserve"> </v>
      </c>
      <c r="AD195" s="33" t="str">
        <f>IF(OR(ISBLANK(AB195), ISBLANK(AC195)),"",CONCATENATE(" ",VLOOKUP(AC195,Literatuur!$A:$B,2,FALSE)," "))</f>
        <v/>
      </c>
      <c r="AE195" s="365">
        <v>4.7952468935239798</v>
      </c>
      <c r="AF195" s="33" t="s">
        <v>1557</v>
      </c>
      <c r="AG195" s="33" t="str">
        <f>IF(OR(ISBLANK(AE195), ISBLANK(AF195)),"",CONCATENATE(" ",VLOOKUP(AF195,Literatuur!$A:$B,2,FALSE)," "))</f>
        <v xml:space="preserve"> 17 </v>
      </c>
      <c r="AJ195" s="44" t="str">
        <f t="shared" si="133"/>
        <v xml:space="preserve"> </v>
      </c>
      <c r="AK195" s="33" t="str">
        <f>IF(OR(ISBLANK(AI195), ISBLANK(AJ195)),"",CONCATENATE(" ",VLOOKUP(AJ195,Literatuur!$A:$B,2,FALSE)," "))</f>
        <v/>
      </c>
      <c r="AM195" s="44" t="str">
        <f t="shared" si="134"/>
        <v xml:space="preserve"> </v>
      </c>
      <c r="AN195" s="33" t="str">
        <f>IF(OR(ISBLANK(AL195), ISBLANK(AM195)),"",CONCATENATE(" ",VLOOKUP(AM195,Literatuur!$A:$B,2,FALSE)," "))</f>
        <v/>
      </c>
      <c r="AP195" s="44" t="str">
        <f t="shared" si="135"/>
        <v xml:space="preserve"> </v>
      </c>
      <c r="AQ195" s="33" t="str">
        <f>IF(OR(ISBLANK(AO195), ISBLANK(AP195)),"",CONCATENATE(" ",VLOOKUP(AP195,Literatuur!$A:$B,2,FALSE)," "))</f>
        <v/>
      </c>
      <c r="AS195"/>
      <c r="AT195" s="33" t="str">
        <f>IF(OR(ISBLANK(AR195), ISBLANK(AS195)),"",CONCATENATE(" ",VLOOKUP(AS195,Literatuur!$A:$B,2,FALSE)," "))</f>
        <v/>
      </c>
      <c r="AU195">
        <v>380.9</v>
      </c>
      <c r="AV195" s="33" t="s">
        <v>1557</v>
      </c>
      <c r="AW195" s="33" t="str">
        <f>IF(OR(ISBLANK(AU195), ISBLANK(AV195)),"",CONCATENATE(" ",VLOOKUP(AV195,Literatuur!$A:$B,2,FALSE)," "))</f>
        <v xml:space="preserve"> 17 </v>
      </c>
      <c r="AZ195" s="44" t="str">
        <f t="shared" si="136"/>
        <v xml:space="preserve"> </v>
      </c>
      <c r="BA195" s="33" t="str">
        <f>IF(OR(ISBLANK(AY195), ISBLANK(AZ195)),"",CONCATENATE(" ",VLOOKUP(AZ195,Literatuur!$A:$B,2,FALSE)," "))</f>
        <v/>
      </c>
      <c r="BC195" s="44" t="str">
        <f t="shared" si="137"/>
        <v xml:space="preserve"> </v>
      </c>
      <c r="BD195" s="33" t="str">
        <f>IF(OR(ISBLANK(BB195), ISBLANK(BC195)),"",CONCATENATE(" ",VLOOKUP(BC195,Literatuur!$A:$B,2,FALSE)," "))</f>
        <v/>
      </c>
      <c r="BF195" s="44" t="str">
        <f t="shared" si="138"/>
        <v xml:space="preserve"> </v>
      </c>
      <c r="BG195" s="33" t="str">
        <f>IF(OR(ISBLANK(BE195), ISBLANK(BF195)),"",CONCATENATE(" ",VLOOKUP(BF195,Literatuur!$A:$B,2,FALSE)," "))</f>
        <v/>
      </c>
      <c r="BI195" s="44" t="str">
        <f t="shared" si="139"/>
        <v xml:space="preserve"> </v>
      </c>
      <c r="BJ195" s="33" t="str">
        <f>IF(OR(ISBLANK(BH195), ISBLANK(BI195)),"",CONCATENATE(" ",VLOOKUP(BI195,Literatuur!$A:$B,2,FALSE)," "))</f>
        <v/>
      </c>
      <c r="BL195" s="44" t="str">
        <f t="shared" si="140"/>
        <v xml:space="preserve"> </v>
      </c>
      <c r="BM195" s="33" t="str">
        <f>IF(OR(ISBLANK(BK195), ISBLANK(BL195)),"",CONCATENATE(" ",VLOOKUP(BL195,Literatuur!$A:$B,2,FALSE)," "))</f>
        <v/>
      </c>
      <c r="BO195"/>
      <c r="BP195" s="33" t="str">
        <f>IF(OR(ISBLANK(BN195), ISBLANK(BO195)),"",CONCATENATE(" ",VLOOKUP(BO195,Literatuur!$A:$B,2,FALSE)," "))</f>
        <v/>
      </c>
      <c r="BR195"/>
      <c r="BS195" s="33" t="str">
        <f>IF(OR(ISBLANK(BQ195), ISBLANK(BR195)),"",CONCATENATE(" ",VLOOKUP(BR195,Literatuur!$A:$B,2,FALSE)," "))</f>
        <v/>
      </c>
      <c r="BT195">
        <v>5.5</v>
      </c>
      <c r="BU195" s="33" t="s">
        <v>1557</v>
      </c>
      <c r="BV195" s="33" t="str">
        <f>IF(OR(ISBLANK(BT195), ISBLANK(BU195)),"",CONCATENATE(" ",VLOOKUP(BU195,Literatuur!$A:$B,2,FALSE)," "))</f>
        <v xml:space="preserve"> 17 </v>
      </c>
      <c r="BX195">
        <v>253.7</v>
      </c>
      <c r="CB195" s="33" t="s">
        <v>1557</v>
      </c>
      <c r="CD195" s="33">
        <f>L195</f>
        <v>253.7</v>
      </c>
      <c r="CG195" s="33">
        <f>LOG(J195)</f>
        <v>0.68081097266094592</v>
      </c>
      <c r="CH195" s="33">
        <f>K195</f>
        <v>5.5</v>
      </c>
      <c r="CR195" s="33" t="str">
        <f t="shared" si="109"/>
        <v>dieldrin</v>
      </c>
      <c r="CS195" s="33" t="str">
        <f t="shared" si="110"/>
        <v>overige</v>
      </c>
      <c r="CT195" s="33">
        <f t="shared" si="111"/>
        <v>380.9</v>
      </c>
      <c r="CU195" s="33" t="str">
        <f t="shared" si="112"/>
        <v xml:space="preserve"> 17 </v>
      </c>
      <c r="CV195" s="33">
        <f t="shared" si="113"/>
        <v>4.7952468935239798</v>
      </c>
      <c r="CW195" s="33" t="str">
        <f t="shared" si="114"/>
        <v xml:space="preserve"> 17 </v>
      </c>
      <c r="CX195" s="33">
        <f t="shared" si="115"/>
        <v>5.5</v>
      </c>
      <c r="CY195" s="33" t="str">
        <f t="shared" si="116"/>
        <v xml:space="preserve"> 17 </v>
      </c>
    </row>
    <row r="196" spans="1:103" x14ac:dyDescent="0.2">
      <c r="B196" s="33">
        <v>-1675</v>
      </c>
      <c r="D196" s="21" t="s">
        <v>819</v>
      </c>
      <c r="E196" s="21" t="s">
        <v>819</v>
      </c>
      <c r="F196" s="4"/>
      <c r="G196" s="4"/>
      <c r="I196" s="33">
        <f t="shared" si="126"/>
        <v>170</v>
      </c>
      <c r="J196" s="33" t="e">
        <f t="shared" si="117"/>
        <v>#DIV/0!</v>
      </c>
      <c r="K196" s="44" t="e">
        <f t="shared" si="141"/>
        <v>#DIV/0!</v>
      </c>
      <c r="L196" s="33" t="e">
        <f t="shared" si="142"/>
        <v>#DIV/0!</v>
      </c>
      <c r="M196" s="33" t="s">
        <v>345</v>
      </c>
      <c r="Q196" s="44" t="str">
        <f t="shared" si="128"/>
        <v xml:space="preserve"> </v>
      </c>
      <c r="R196" s="33" t="str">
        <f>IF(OR(ISBLANK(P196), ISBLANK(Q196)),"",CONCATENATE(" ",VLOOKUP(Q196,Literatuur!$A:$B,2,FALSE)," "))</f>
        <v/>
      </c>
      <c r="T196" s="44" t="str">
        <f t="shared" si="129"/>
        <v xml:space="preserve"> </v>
      </c>
      <c r="U196" s="33" t="str">
        <f>IF(OR(ISBLANK(S196), ISBLANK(T196)),"",CONCATENATE(" ",VLOOKUP(T196,Literatuur!$A:$B,2,FALSE)," "))</f>
        <v/>
      </c>
      <c r="W196" s="44" t="str">
        <f t="shared" si="130"/>
        <v xml:space="preserve"> </v>
      </c>
      <c r="X196" s="33" t="str">
        <f>IF(OR(ISBLANK(V196), ISBLANK(W196)),"",CONCATENATE(" ",VLOOKUP(W196,Literatuur!$A:$B,2,FALSE)," "))</f>
        <v/>
      </c>
      <c r="Z196" s="44" t="str">
        <f t="shared" si="131"/>
        <v xml:space="preserve"> </v>
      </c>
      <c r="AA196" s="33" t="str">
        <f>IF(OR(ISBLANK(Y196), ISBLANK(Z196)),"",CONCATENATE(" ",VLOOKUP(Z196,Literatuur!$A:$B,2,FALSE)," "))</f>
        <v/>
      </c>
      <c r="AC196" s="36" t="str">
        <f t="shared" si="132"/>
        <v xml:space="preserve"> </v>
      </c>
      <c r="AD196" s="33" t="str">
        <f>IF(OR(ISBLANK(AB196), ISBLANK(AC196)),"",CONCATENATE(" ",VLOOKUP(AC196,Literatuur!$A:$B,2,FALSE)," "))</f>
        <v/>
      </c>
      <c r="AG196" s="33" t="str">
        <f>IF(OR(ISBLANK(AE196), ISBLANK(AF196)),"",CONCATENATE(" ",VLOOKUP(AF196,Literatuur!$A:$B,2,FALSE)," "))</f>
        <v/>
      </c>
      <c r="AJ196" s="44" t="str">
        <f t="shared" si="133"/>
        <v xml:space="preserve"> </v>
      </c>
      <c r="AK196" s="33" t="str">
        <f>IF(OR(ISBLANK(AI196), ISBLANK(AJ196)),"",CONCATENATE(" ",VLOOKUP(AJ196,Literatuur!$A:$B,2,FALSE)," "))</f>
        <v/>
      </c>
      <c r="AM196" s="44" t="str">
        <f t="shared" si="134"/>
        <v xml:space="preserve"> </v>
      </c>
      <c r="AN196" s="33" t="str">
        <f>IF(OR(ISBLANK(AL196), ISBLANK(AM196)),"",CONCATENATE(" ",VLOOKUP(AM196,Literatuur!$A:$B,2,FALSE)," "))</f>
        <v/>
      </c>
      <c r="AP196" s="44" t="str">
        <f t="shared" si="135"/>
        <v xml:space="preserve"> </v>
      </c>
      <c r="AQ196" s="33" t="str">
        <f>IF(OR(ISBLANK(AO196), ISBLANK(AP196)),"",CONCATENATE(" ",VLOOKUP(AP196,Literatuur!$A:$B,2,FALSE)," "))</f>
        <v/>
      </c>
      <c r="AS196"/>
      <c r="AT196" s="33" t="str">
        <f>IF(OR(ISBLANK(AR196), ISBLANK(AS196)),"",CONCATENATE(" ",VLOOKUP(AS196,Literatuur!$A:$B,2,FALSE)," "))</f>
        <v/>
      </c>
      <c r="AU196">
        <v>170</v>
      </c>
      <c r="AV196" s="33" t="s">
        <v>1235</v>
      </c>
      <c r="AW196" s="33" t="str">
        <f>IF(OR(ISBLANK(AU196), ISBLANK(AV196)),"",CONCATENATE(" ",VLOOKUP(AV196,Literatuur!$A:$B,2,FALSE)," "))</f>
        <v xml:space="preserve"> 21 </v>
      </c>
      <c r="AZ196" s="44" t="str">
        <f t="shared" si="136"/>
        <v xml:space="preserve"> </v>
      </c>
      <c r="BA196" s="33" t="str">
        <f>IF(OR(ISBLANK(AY196), ISBLANK(AZ196)),"",CONCATENATE(" ",VLOOKUP(AZ196,Literatuur!$A:$B,2,FALSE)," "))</f>
        <v/>
      </c>
      <c r="BC196" s="44" t="str">
        <f t="shared" si="137"/>
        <v xml:space="preserve"> </v>
      </c>
      <c r="BD196" s="33" t="str">
        <f>IF(OR(ISBLANK(BB196), ISBLANK(BC196)),"",CONCATENATE(" ",VLOOKUP(BC196,Literatuur!$A:$B,2,FALSE)," "))</f>
        <v/>
      </c>
      <c r="BF196" s="44" t="str">
        <f t="shared" si="138"/>
        <v xml:space="preserve"> </v>
      </c>
      <c r="BG196" s="33" t="str">
        <f>IF(OR(ISBLANK(BE196), ISBLANK(BF196)),"",CONCATENATE(" ",VLOOKUP(BF196,Literatuur!$A:$B,2,FALSE)," "))</f>
        <v/>
      </c>
      <c r="BI196" s="44" t="str">
        <f t="shared" si="139"/>
        <v xml:space="preserve"> </v>
      </c>
      <c r="BJ196" s="33" t="str">
        <f>IF(OR(ISBLANK(BH196), ISBLANK(BI196)),"",CONCATENATE(" ",VLOOKUP(BI196,Literatuur!$A:$B,2,FALSE)," "))</f>
        <v/>
      </c>
      <c r="BL196" s="44" t="str">
        <f t="shared" si="140"/>
        <v xml:space="preserve"> </v>
      </c>
      <c r="BM196" s="33" t="str">
        <f>IF(OR(ISBLANK(BK196), ISBLANK(BL196)),"",CONCATENATE(" ",VLOOKUP(BL196,Literatuur!$A:$B,2,FALSE)," "))</f>
        <v/>
      </c>
      <c r="BP196" s="33" t="str">
        <f>IF(OR(ISBLANK(BN196), ISBLANK(BO196)),"",CONCATENATE(" ",VLOOKUP(BO196,Literatuur!$A:$B,2,FALSE)," "))</f>
        <v/>
      </c>
      <c r="BS196" s="33" t="str">
        <f>IF(OR(ISBLANK(BQ196), ISBLANK(BR196)),"",CONCATENATE(" ",VLOOKUP(BR196,Literatuur!$A:$B,2,FALSE)," "))</f>
        <v/>
      </c>
      <c r="BV196" s="33" t="str">
        <f>IF(OR(ISBLANK(BT196), ISBLANK(BU196)),"",CONCATENATE(" ",VLOOKUP(BU196,Literatuur!$A:$B,2,FALSE)," "))</f>
        <v/>
      </c>
      <c r="CR196" s="33" t="str">
        <f t="shared" si="109"/>
        <v>Diphenyl-oxide</v>
      </c>
      <c r="CS196" s="33" t="str">
        <f t="shared" si="110"/>
        <v>overige</v>
      </c>
      <c r="CT196" s="33">
        <f t="shared" si="111"/>
        <v>170</v>
      </c>
      <c r="CU196" s="33" t="str">
        <f t="shared" si="112"/>
        <v xml:space="preserve"> 21 </v>
      </c>
      <c r="CV196" s="33" t="str">
        <f t="shared" si="113"/>
        <v/>
      </c>
      <c r="CW196" s="33" t="str">
        <f t="shared" si="114"/>
        <v/>
      </c>
      <c r="CX196" s="33" t="str">
        <f t="shared" si="115"/>
        <v/>
      </c>
      <c r="CY196" s="33" t="str">
        <f t="shared" si="116"/>
        <v/>
      </c>
    </row>
    <row r="197" spans="1:103" x14ac:dyDescent="0.2">
      <c r="A197"/>
      <c r="B197">
        <v>-1778</v>
      </c>
      <c r="C197"/>
      <c r="D197" s="4" t="s">
        <v>1216</v>
      </c>
      <c r="E197" s="4" t="s">
        <v>1216</v>
      </c>
      <c r="I197" s="33">
        <f t="shared" ref="I197:I228" si="143">IF(ISNUMBER(AI197),AI197,AVERAGE(AL197:AU197))</f>
        <v>422.9</v>
      </c>
      <c r="J197" s="33" t="e">
        <f t="shared" si="117"/>
        <v>#DIV/0!</v>
      </c>
      <c r="K197" s="44">
        <f t="shared" si="141"/>
        <v>5.0999999999999996</v>
      </c>
      <c r="L197" s="33">
        <f t="shared" si="142"/>
        <v>239.8</v>
      </c>
      <c r="M197" s="33" t="s">
        <v>345</v>
      </c>
      <c r="Q197" s="44" t="s">
        <v>1597</v>
      </c>
      <c r="R197" s="33" t="str">
        <f>IF(OR(ISBLANK(P197), ISBLANK(Q197)),"",CONCATENATE(" ",VLOOKUP(Q197,Literatuur!$A:$B,2,FALSE)," "))</f>
        <v/>
      </c>
      <c r="T197" s="44" t="str">
        <f t="shared" si="129"/>
        <v xml:space="preserve"> </v>
      </c>
      <c r="U197" s="33" t="str">
        <f>IF(OR(ISBLANK(S197), ISBLANK(T197)),"",CONCATENATE(" ",VLOOKUP(T197,Literatuur!$A:$B,2,FALSE)," "))</f>
        <v/>
      </c>
      <c r="W197" s="44" t="str">
        <f t="shared" si="130"/>
        <v xml:space="preserve"> </v>
      </c>
      <c r="X197" s="33" t="str">
        <f>IF(OR(ISBLANK(V197), ISBLANK(W197)),"",CONCATENATE(" ",VLOOKUP(W197,Literatuur!$A:$B,2,FALSE)," "))</f>
        <v/>
      </c>
      <c r="Z197" s="44" t="str">
        <f t="shared" si="131"/>
        <v xml:space="preserve"> </v>
      </c>
      <c r="AA197" s="33" t="str">
        <f>IF(OR(ISBLANK(Y197), ISBLANK(Z197)),"",CONCATENATE(" ",VLOOKUP(Z197,Literatuur!$A:$B,2,FALSE)," "))</f>
        <v/>
      </c>
      <c r="AC197" s="36" t="str">
        <f t="shared" si="132"/>
        <v xml:space="preserve"> </v>
      </c>
      <c r="AD197" s="33" t="str">
        <f>IF(OR(ISBLANK(AB197), ISBLANK(AC197)),"",CONCATENATE(" ",VLOOKUP(AC197,Literatuur!$A:$B,2,FALSE)," "))</f>
        <v/>
      </c>
      <c r="AE197"/>
      <c r="AG197" s="33" t="str">
        <f>IF(OR(ISBLANK(AE197), ISBLANK(AF197)),"",CONCATENATE(" ",VLOOKUP(AF197,Literatuur!$A:$B,2,FALSE)," "))</f>
        <v/>
      </c>
      <c r="AJ197" s="44" t="str">
        <f t="shared" si="133"/>
        <v xml:space="preserve"> </v>
      </c>
      <c r="AK197" s="33" t="str">
        <f>IF(OR(ISBLANK(AI197), ISBLANK(AJ197)),"",CONCATENATE(" ",VLOOKUP(AJ197,Literatuur!$A:$B,2,FALSE)," "))</f>
        <v/>
      </c>
      <c r="AM197" s="44" t="str">
        <f t="shared" si="134"/>
        <v xml:space="preserve"> </v>
      </c>
      <c r="AN197" s="33" t="str">
        <f>IF(OR(ISBLANK(AL197), ISBLANK(AM197)),"",CONCATENATE(" ",VLOOKUP(AM197,Literatuur!$A:$B,2,FALSE)," "))</f>
        <v/>
      </c>
      <c r="AP197" s="44" t="str">
        <f t="shared" si="135"/>
        <v xml:space="preserve"> </v>
      </c>
      <c r="AQ197" s="33" t="str">
        <f>IF(OR(ISBLANK(AO197), ISBLANK(AP197)),"",CONCATENATE(" ",VLOOKUP(AP197,Literatuur!$A:$B,2,FALSE)," "))</f>
        <v/>
      </c>
      <c r="AS197"/>
      <c r="AT197" s="33" t="str">
        <f>IF(OR(ISBLANK(AR197), ISBLANK(AS197)),"",CONCATENATE(" ",VLOOKUP(AS197,Literatuur!$A:$B,2,FALSE)," "))</f>
        <v/>
      </c>
      <c r="AU197">
        <v>422.9</v>
      </c>
      <c r="AV197" s="33" t="s">
        <v>1557</v>
      </c>
      <c r="AW197" s="33" t="str">
        <f>IF(OR(ISBLANK(AU197), ISBLANK(AV197)),"",CONCATENATE(" ",VLOOKUP(AV197,Literatuur!$A:$B,2,FALSE)," "))</f>
        <v xml:space="preserve"> 17 </v>
      </c>
      <c r="AZ197" s="44" t="str">
        <f t="shared" si="136"/>
        <v xml:space="preserve"> </v>
      </c>
      <c r="BA197" s="33" t="str">
        <f>IF(OR(ISBLANK(AY197), ISBLANK(AZ197)),"",CONCATENATE(" ",VLOOKUP(AZ197,Literatuur!$A:$B,2,FALSE)," "))</f>
        <v/>
      </c>
      <c r="BC197" s="44" t="str">
        <f t="shared" si="137"/>
        <v xml:space="preserve"> </v>
      </c>
      <c r="BD197" s="33" t="str">
        <f>IF(OR(ISBLANK(BB197), ISBLANK(BC197)),"",CONCATENATE(" ",VLOOKUP(BC197,Literatuur!$A:$B,2,FALSE)," "))</f>
        <v/>
      </c>
      <c r="BF197" s="44" t="str">
        <f t="shared" si="138"/>
        <v xml:space="preserve"> </v>
      </c>
      <c r="BG197" s="33" t="str">
        <f>IF(OR(ISBLANK(BE197), ISBLANK(BF197)),"",CONCATENATE(" ",VLOOKUP(BF197,Literatuur!$A:$B,2,FALSE)," "))</f>
        <v/>
      </c>
      <c r="BI197" s="44" t="str">
        <f t="shared" si="139"/>
        <v xml:space="preserve"> </v>
      </c>
      <c r="BJ197" s="33" t="str">
        <f>IF(OR(ISBLANK(BH197), ISBLANK(BI197)),"",CONCATENATE(" ",VLOOKUP(BI197,Literatuur!$A:$B,2,FALSE)," "))</f>
        <v/>
      </c>
      <c r="BL197" s="44" t="str">
        <f t="shared" si="140"/>
        <v xml:space="preserve"> </v>
      </c>
      <c r="BM197" s="33" t="str">
        <f>IF(OR(ISBLANK(BK197), ISBLANK(BL197)),"",CONCATENATE(" ",VLOOKUP(BL197,Literatuur!$A:$B,2,FALSE)," "))</f>
        <v/>
      </c>
      <c r="BO197"/>
      <c r="BP197" s="33" t="str">
        <f>IF(OR(ISBLANK(BN197), ISBLANK(BO197)),"",CONCATENATE(" ",VLOOKUP(BO197,Literatuur!$A:$B,2,FALSE)," "))</f>
        <v/>
      </c>
      <c r="BR197"/>
      <c r="BS197" s="33" t="str">
        <f>IF(OR(ISBLANK(BQ197), ISBLANK(BR197)),"",CONCATENATE(" ",VLOOKUP(BR197,Literatuur!$A:$B,2,FALSE)," "))</f>
        <v/>
      </c>
      <c r="BT197">
        <v>5.0999999999999996</v>
      </c>
      <c r="BU197" s="33" t="s">
        <v>1557</v>
      </c>
      <c r="BV197" s="33" t="str">
        <f>IF(OR(ISBLANK(BT197), ISBLANK(BU197)),"",CONCATENATE(" ",VLOOKUP(BU197,Literatuur!$A:$B,2,FALSE)," "))</f>
        <v xml:space="preserve"> 17 </v>
      </c>
      <c r="BX197">
        <v>239.8</v>
      </c>
      <c r="CB197" s="33" t="s">
        <v>1557</v>
      </c>
      <c r="CD197" s="33">
        <f>L197</f>
        <v>239.8</v>
      </c>
      <c r="CH197" s="33">
        <f t="shared" ref="CH197:CH206" si="144">K197</f>
        <v>5.0999999999999996</v>
      </c>
      <c r="CR197" s="33" t="str">
        <f t="shared" si="109"/>
        <v>endosulfan sulphate</v>
      </c>
      <c r="CS197" s="33" t="str">
        <f t="shared" si="110"/>
        <v>overige</v>
      </c>
      <c r="CT197" s="33">
        <f t="shared" si="111"/>
        <v>422.9</v>
      </c>
      <c r="CU197" s="33" t="str">
        <f t="shared" si="112"/>
        <v xml:space="preserve"> 17 </v>
      </c>
      <c r="CV197" s="33" t="str">
        <f t="shared" si="113"/>
        <v/>
      </c>
      <c r="CW197" s="33" t="str">
        <f t="shared" si="114"/>
        <v/>
      </c>
      <c r="CX197" s="33">
        <f t="shared" si="115"/>
        <v>5.0999999999999996</v>
      </c>
      <c r="CY197" s="33" t="str">
        <f t="shared" si="116"/>
        <v xml:space="preserve"> 17 </v>
      </c>
    </row>
    <row r="198" spans="1:103" x14ac:dyDescent="0.2">
      <c r="A198"/>
      <c r="B198">
        <v>-1779</v>
      </c>
      <c r="C198"/>
      <c r="D198" t="s">
        <v>1208</v>
      </c>
      <c r="E198" t="s">
        <v>1208</v>
      </c>
      <c r="I198" s="33">
        <f t="shared" si="143"/>
        <v>380.9</v>
      </c>
      <c r="J198" s="33">
        <f t="shared" si="117"/>
        <v>1.2045115607581345</v>
      </c>
      <c r="K198" s="44">
        <f t="shared" si="141"/>
        <v>5</v>
      </c>
      <c r="L198" s="33">
        <f t="shared" si="142"/>
        <v>253.7</v>
      </c>
      <c r="M198" s="33" t="s">
        <v>345</v>
      </c>
      <c r="Q198" s="44" t="str">
        <f t="shared" ref="Q198:Q206" si="145">IF(ISBLANK(P198)," ","Sanscrit")</f>
        <v xml:space="preserve"> </v>
      </c>
      <c r="R198" s="33" t="str">
        <f>IF(OR(ISBLANK(P198), ISBLANK(Q198)),"",CONCATENATE(" ",VLOOKUP(Q198,Literatuur!$A:$B,2,FALSE)," "))</f>
        <v/>
      </c>
      <c r="T198" s="44" t="str">
        <f t="shared" si="129"/>
        <v xml:space="preserve"> </v>
      </c>
      <c r="U198" s="33" t="str">
        <f>IF(OR(ISBLANK(S198), ISBLANK(T198)),"",CONCATENATE(" ",VLOOKUP(T198,Literatuur!$A:$B,2,FALSE)," "))</f>
        <v/>
      </c>
      <c r="W198" s="44" t="str">
        <f t="shared" si="130"/>
        <v xml:space="preserve"> </v>
      </c>
      <c r="X198" s="33" t="str">
        <f>IF(OR(ISBLANK(V198), ISBLANK(W198)),"",CONCATENATE(" ",VLOOKUP(W198,Literatuur!$A:$B,2,FALSE)," "))</f>
        <v/>
      </c>
      <c r="Z198" s="44" t="str">
        <f t="shared" si="131"/>
        <v xml:space="preserve"> </v>
      </c>
      <c r="AA198" s="33" t="str">
        <f>IF(OR(ISBLANK(Y198), ISBLANK(Z198)),"",CONCATENATE(" ",VLOOKUP(Z198,Literatuur!$A:$B,2,FALSE)," "))</f>
        <v/>
      </c>
      <c r="AC198" s="36" t="str">
        <f t="shared" si="132"/>
        <v xml:space="preserve"> </v>
      </c>
      <c r="AD198" s="33" t="str">
        <f>IF(OR(ISBLANK(AB198), ISBLANK(AC198)),"",CONCATENATE(" ",VLOOKUP(AC198,Literatuur!$A:$B,2,FALSE)," "))</f>
        <v/>
      </c>
      <c r="AE198" s="365">
        <v>1.2045115607581345</v>
      </c>
      <c r="AF198" s="33" t="s">
        <v>1557</v>
      </c>
      <c r="AG198" s="33" t="str">
        <f>IF(OR(ISBLANK(AE198), ISBLANK(AF198)),"",CONCATENATE(" ",VLOOKUP(AF198,Literatuur!$A:$B,2,FALSE)," "))</f>
        <v xml:space="preserve"> 17 </v>
      </c>
      <c r="AJ198" s="44" t="str">
        <f t="shared" si="133"/>
        <v xml:space="preserve"> </v>
      </c>
      <c r="AK198" s="33" t="str">
        <f>IF(OR(ISBLANK(AI198), ISBLANK(AJ198)),"",CONCATENATE(" ",VLOOKUP(AJ198,Literatuur!$A:$B,2,FALSE)," "))</f>
        <v/>
      </c>
      <c r="AM198" s="44" t="str">
        <f t="shared" si="134"/>
        <v xml:space="preserve"> </v>
      </c>
      <c r="AN198" s="33" t="str">
        <f>IF(OR(ISBLANK(AL198), ISBLANK(AM198)),"",CONCATENATE(" ",VLOOKUP(AM198,Literatuur!$A:$B,2,FALSE)," "))</f>
        <v/>
      </c>
      <c r="AP198" s="44" t="str">
        <f t="shared" si="135"/>
        <v xml:space="preserve"> </v>
      </c>
      <c r="AQ198" s="33" t="str">
        <f>IF(OR(ISBLANK(AO198), ISBLANK(AP198)),"",CONCATENATE(" ",VLOOKUP(AP198,Literatuur!$A:$B,2,FALSE)," "))</f>
        <v/>
      </c>
      <c r="AS198"/>
      <c r="AT198" s="33" t="str">
        <f>IF(OR(ISBLANK(AR198), ISBLANK(AS198)),"",CONCATENATE(" ",VLOOKUP(AS198,Literatuur!$A:$B,2,FALSE)," "))</f>
        <v/>
      </c>
      <c r="AU198">
        <v>380.9</v>
      </c>
      <c r="AV198" s="33" t="s">
        <v>1557</v>
      </c>
      <c r="AW198" s="33" t="str">
        <f>IF(OR(ISBLANK(AU198), ISBLANK(AV198)),"",CONCATENATE(" ",VLOOKUP(AV198,Literatuur!$A:$B,2,FALSE)," "))</f>
        <v xml:space="preserve"> 17 </v>
      </c>
      <c r="AZ198" s="44" t="str">
        <f t="shared" si="136"/>
        <v xml:space="preserve"> </v>
      </c>
      <c r="BA198" s="33" t="str">
        <f>IF(OR(ISBLANK(AY198), ISBLANK(AZ198)),"",CONCATENATE(" ",VLOOKUP(AZ198,Literatuur!$A:$B,2,FALSE)," "))</f>
        <v/>
      </c>
      <c r="BC198" s="44" t="str">
        <f t="shared" si="137"/>
        <v xml:space="preserve"> </v>
      </c>
      <c r="BD198" s="33" t="str">
        <f>IF(OR(ISBLANK(BB198), ISBLANK(BC198)),"",CONCATENATE(" ",VLOOKUP(BC198,Literatuur!$A:$B,2,FALSE)," "))</f>
        <v/>
      </c>
      <c r="BF198" s="44" t="str">
        <f t="shared" si="138"/>
        <v xml:space="preserve"> </v>
      </c>
      <c r="BG198" s="33" t="str">
        <f>IF(OR(ISBLANK(BE198), ISBLANK(BF198)),"",CONCATENATE(" ",VLOOKUP(BF198,Literatuur!$A:$B,2,FALSE)," "))</f>
        <v/>
      </c>
      <c r="BI198" s="44" t="str">
        <f t="shared" si="139"/>
        <v xml:space="preserve"> </v>
      </c>
      <c r="BJ198" s="33" t="str">
        <f>IF(OR(ISBLANK(BH198), ISBLANK(BI198)),"",CONCATENATE(" ",VLOOKUP(BI198,Literatuur!$A:$B,2,FALSE)," "))</f>
        <v/>
      </c>
      <c r="BL198" s="44" t="str">
        <f t="shared" si="140"/>
        <v xml:space="preserve"> </v>
      </c>
      <c r="BM198" s="33" t="str">
        <f>IF(OR(ISBLANK(BK198), ISBLANK(BL198)),"",CONCATENATE(" ",VLOOKUP(BL198,Literatuur!$A:$B,2,FALSE)," "))</f>
        <v/>
      </c>
      <c r="BO198"/>
      <c r="BP198" s="33" t="str">
        <f>IF(OR(ISBLANK(BN198), ISBLANK(BO198)),"",CONCATENATE(" ",VLOOKUP(BO198,Literatuur!$A:$B,2,FALSE)," "))</f>
        <v/>
      </c>
      <c r="BR198"/>
      <c r="BS198" s="33" t="str">
        <f>IF(OR(ISBLANK(BQ198), ISBLANK(BR198)),"",CONCATENATE(" ",VLOOKUP(BR198,Literatuur!$A:$B,2,FALSE)," "))</f>
        <v/>
      </c>
      <c r="BT198">
        <v>5</v>
      </c>
      <c r="BU198" s="33" t="s">
        <v>1557</v>
      </c>
      <c r="BV198" s="33" t="str">
        <f>IF(OR(ISBLANK(BT198), ISBLANK(BU198)),"",CONCATENATE(" ",VLOOKUP(BU198,Literatuur!$A:$B,2,FALSE)," "))</f>
        <v xml:space="preserve"> 17 </v>
      </c>
      <c r="BX198">
        <v>253.7</v>
      </c>
      <c r="CB198" s="33" t="s">
        <v>1557</v>
      </c>
      <c r="CD198" s="33">
        <f>L198</f>
        <v>253.7</v>
      </c>
      <c r="CG198" s="33">
        <f>LOG(J198)</f>
        <v>8.0810972660945793E-2</v>
      </c>
      <c r="CH198" s="33">
        <f t="shared" si="144"/>
        <v>5</v>
      </c>
      <c r="CR198" s="33" t="str">
        <f t="shared" si="109"/>
        <v>endrin</v>
      </c>
      <c r="CS198" s="33" t="str">
        <f t="shared" si="110"/>
        <v>overige</v>
      </c>
      <c r="CT198" s="33">
        <f t="shared" si="111"/>
        <v>380.9</v>
      </c>
      <c r="CU198" s="33" t="str">
        <f t="shared" si="112"/>
        <v xml:space="preserve"> 17 </v>
      </c>
      <c r="CV198" s="33">
        <f t="shared" si="113"/>
        <v>1.2045115607581345</v>
      </c>
      <c r="CW198" s="33" t="str">
        <f t="shared" si="114"/>
        <v xml:space="preserve"> 17 </v>
      </c>
      <c r="CX198" s="33">
        <f t="shared" si="115"/>
        <v>5</v>
      </c>
      <c r="CY198" s="33" t="str">
        <f t="shared" si="116"/>
        <v xml:space="preserve"> 17 </v>
      </c>
    </row>
    <row r="199" spans="1:103" x14ac:dyDescent="0.2">
      <c r="A199"/>
      <c r="B199">
        <v>-1780</v>
      </c>
      <c r="D199" s="4" t="s">
        <v>1217</v>
      </c>
      <c r="E199" s="4" t="s">
        <v>1217</v>
      </c>
      <c r="I199" s="33">
        <f t="shared" si="143"/>
        <v>380.9</v>
      </c>
      <c r="J199" s="33" t="e">
        <f t="shared" si="117"/>
        <v>#DIV/0!</v>
      </c>
      <c r="K199" s="44">
        <f t="shared" si="141"/>
        <v>5.5</v>
      </c>
      <c r="L199" s="33">
        <f t="shared" si="142"/>
        <v>253.2</v>
      </c>
      <c r="M199" s="33" t="s">
        <v>345</v>
      </c>
      <c r="Q199" s="44" t="str">
        <f t="shared" si="145"/>
        <v xml:space="preserve"> </v>
      </c>
      <c r="R199" s="33" t="str">
        <f>IF(OR(ISBLANK(P199), ISBLANK(Q199)),"",CONCATENATE(" ",VLOOKUP(Q199,Literatuur!$A:$B,2,FALSE)," "))</f>
        <v/>
      </c>
      <c r="T199" s="44" t="str">
        <f t="shared" si="129"/>
        <v xml:space="preserve"> </v>
      </c>
      <c r="U199" s="33" t="str">
        <f>IF(OR(ISBLANK(S199), ISBLANK(T199)),"",CONCATENATE(" ",VLOOKUP(T199,Literatuur!$A:$B,2,FALSE)," "))</f>
        <v/>
      </c>
      <c r="W199" s="44" t="str">
        <f t="shared" si="130"/>
        <v xml:space="preserve"> </v>
      </c>
      <c r="X199" s="33" t="str">
        <f>IF(OR(ISBLANK(V199), ISBLANK(W199)),"",CONCATENATE(" ",VLOOKUP(W199,Literatuur!$A:$B,2,FALSE)," "))</f>
        <v/>
      </c>
      <c r="Z199" s="44" t="str">
        <f t="shared" si="131"/>
        <v xml:space="preserve"> </v>
      </c>
      <c r="AA199" s="33" t="str">
        <f>IF(OR(ISBLANK(Y199), ISBLANK(Z199)),"",CONCATENATE(" ",VLOOKUP(Z199,Literatuur!$A:$B,2,FALSE)," "))</f>
        <v/>
      </c>
      <c r="AC199" s="36" t="str">
        <f t="shared" si="132"/>
        <v xml:space="preserve"> </v>
      </c>
      <c r="AD199" s="33" t="str">
        <f>IF(OR(ISBLANK(AB199), ISBLANK(AC199)),"",CONCATENATE(" ",VLOOKUP(AC199,Literatuur!$A:$B,2,FALSE)," "))</f>
        <v/>
      </c>
      <c r="AE199"/>
      <c r="AG199" s="33" t="str">
        <f>IF(OR(ISBLANK(AE199), ISBLANK(AF199)),"",CONCATENATE(" ",VLOOKUP(AF199,Literatuur!$A:$B,2,FALSE)," "))</f>
        <v/>
      </c>
      <c r="AJ199" s="44" t="str">
        <f t="shared" si="133"/>
        <v xml:space="preserve"> </v>
      </c>
      <c r="AK199" s="33" t="str">
        <f>IF(OR(ISBLANK(AI199), ISBLANK(AJ199)),"",CONCATENATE(" ",VLOOKUP(AJ199,Literatuur!$A:$B,2,FALSE)," "))</f>
        <v/>
      </c>
      <c r="AM199" s="44" t="str">
        <f t="shared" si="134"/>
        <v xml:space="preserve"> </v>
      </c>
      <c r="AN199" s="33" t="str">
        <f>IF(OR(ISBLANK(AL199), ISBLANK(AM199)),"",CONCATENATE(" ",VLOOKUP(AM199,Literatuur!$A:$B,2,FALSE)," "))</f>
        <v/>
      </c>
      <c r="AP199" s="44" t="str">
        <f t="shared" si="135"/>
        <v xml:space="preserve"> </v>
      </c>
      <c r="AQ199" s="33" t="str">
        <f>IF(OR(ISBLANK(AO199), ISBLANK(AP199)),"",CONCATENATE(" ",VLOOKUP(AP199,Literatuur!$A:$B,2,FALSE)," "))</f>
        <v/>
      </c>
      <c r="AS199"/>
      <c r="AT199" s="33" t="str">
        <f>IF(OR(ISBLANK(AR199), ISBLANK(AS199)),"",CONCATENATE(" ",VLOOKUP(AS199,Literatuur!$A:$B,2,FALSE)," "))</f>
        <v/>
      </c>
      <c r="AU199">
        <v>380.9</v>
      </c>
      <c r="AV199" s="33" t="s">
        <v>1557</v>
      </c>
      <c r="AW199" s="33" t="str">
        <f>IF(OR(ISBLANK(AU199), ISBLANK(AV199)),"",CONCATENATE(" ",VLOOKUP(AV199,Literatuur!$A:$B,2,FALSE)," "))</f>
        <v xml:space="preserve"> 17 </v>
      </c>
      <c r="AZ199" s="44" t="str">
        <f t="shared" si="136"/>
        <v xml:space="preserve"> </v>
      </c>
      <c r="BA199" s="33" t="str">
        <f>IF(OR(ISBLANK(AY199), ISBLANK(AZ199)),"",CONCATENATE(" ",VLOOKUP(AZ199,Literatuur!$A:$B,2,FALSE)," "))</f>
        <v/>
      </c>
      <c r="BC199" s="44" t="str">
        <f t="shared" si="137"/>
        <v xml:space="preserve"> </v>
      </c>
      <c r="BD199" s="33" t="str">
        <f>IF(OR(ISBLANK(BB199), ISBLANK(BC199)),"",CONCATENATE(" ",VLOOKUP(BC199,Literatuur!$A:$B,2,FALSE)," "))</f>
        <v/>
      </c>
      <c r="BF199" s="44" t="str">
        <f t="shared" si="138"/>
        <v xml:space="preserve"> </v>
      </c>
      <c r="BG199" s="33" t="str">
        <f>IF(OR(ISBLANK(BE199), ISBLANK(BF199)),"",CONCATENATE(" ",VLOOKUP(BF199,Literatuur!$A:$B,2,FALSE)," "))</f>
        <v/>
      </c>
      <c r="BI199" s="44" t="str">
        <f t="shared" si="139"/>
        <v xml:space="preserve"> </v>
      </c>
      <c r="BJ199" s="33" t="str">
        <f>IF(OR(ISBLANK(BH199), ISBLANK(BI199)),"",CONCATENATE(" ",VLOOKUP(BI199,Literatuur!$A:$B,2,FALSE)," "))</f>
        <v/>
      </c>
      <c r="BL199" s="44" t="str">
        <f t="shared" si="140"/>
        <v xml:space="preserve"> </v>
      </c>
      <c r="BM199" s="33" t="str">
        <f>IF(OR(ISBLANK(BK199), ISBLANK(BL199)),"",CONCATENATE(" ",VLOOKUP(BL199,Literatuur!$A:$B,2,FALSE)," "))</f>
        <v/>
      </c>
      <c r="BO199"/>
      <c r="BP199" s="33" t="str">
        <f>IF(OR(ISBLANK(BN199), ISBLANK(BO199)),"",CONCATENATE(" ",VLOOKUP(BO199,Literatuur!$A:$B,2,FALSE)," "))</f>
        <v/>
      </c>
      <c r="BR199"/>
      <c r="BS199" s="33" t="str">
        <f>IF(OR(ISBLANK(BQ199), ISBLANK(BR199)),"",CONCATENATE(" ",VLOOKUP(BR199,Literatuur!$A:$B,2,FALSE)," "))</f>
        <v/>
      </c>
      <c r="BT199">
        <v>5.5</v>
      </c>
      <c r="BU199" s="33" t="s">
        <v>1557</v>
      </c>
      <c r="BV199" s="33" t="str">
        <f>IF(OR(ISBLANK(BT199), ISBLANK(BU199)),"",CONCATENATE(" ",VLOOKUP(BU199,Literatuur!$A:$B,2,FALSE)," "))</f>
        <v xml:space="preserve"> 17 </v>
      </c>
      <c r="BX199">
        <v>253.2</v>
      </c>
      <c r="CB199" s="33" t="s">
        <v>1557</v>
      </c>
      <c r="CD199" s="33">
        <f>L199</f>
        <v>253.2</v>
      </c>
      <c r="CH199" s="33">
        <f t="shared" si="144"/>
        <v>5.5</v>
      </c>
      <c r="CR199" s="33" t="str">
        <f t="shared" si="109"/>
        <v>endrin aldehyde</v>
      </c>
      <c r="CS199" s="33" t="str">
        <f t="shared" si="110"/>
        <v>overige</v>
      </c>
      <c r="CT199" s="33">
        <f t="shared" si="111"/>
        <v>380.9</v>
      </c>
      <c r="CU199" s="33" t="str">
        <f t="shared" si="112"/>
        <v xml:space="preserve"> 17 </v>
      </c>
      <c r="CV199" s="33" t="str">
        <f t="shared" si="113"/>
        <v/>
      </c>
      <c r="CW199" s="33" t="str">
        <f t="shared" si="114"/>
        <v/>
      </c>
      <c r="CX199" s="33">
        <f t="shared" si="115"/>
        <v>5.5</v>
      </c>
      <c r="CY199" s="33" t="str">
        <f t="shared" si="116"/>
        <v xml:space="preserve"> 17 </v>
      </c>
    </row>
    <row r="200" spans="1:103" x14ac:dyDescent="0.2">
      <c r="A200"/>
      <c r="B200">
        <v>-1781</v>
      </c>
      <c r="D200" s="4" t="s">
        <v>1218</v>
      </c>
      <c r="E200" s="4" t="s">
        <v>1218</v>
      </c>
      <c r="I200" s="33">
        <f t="shared" si="143"/>
        <v>364.5</v>
      </c>
      <c r="J200" s="33" t="e">
        <f t="shared" si="117"/>
        <v>#DIV/0!</v>
      </c>
      <c r="K200" s="44">
        <f t="shared" si="141"/>
        <v>6.8</v>
      </c>
      <c r="L200" s="33" t="e">
        <f t="shared" si="142"/>
        <v>#DIV/0!</v>
      </c>
      <c r="M200" s="33" t="s">
        <v>345</v>
      </c>
      <c r="Q200" s="44" t="str">
        <f t="shared" si="145"/>
        <v xml:space="preserve"> </v>
      </c>
      <c r="R200" s="33" t="str">
        <f>IF(OR(ISBLANK(P200), ISBLANK(Q200)),"",CONCATENATE(" ",VLOOKUP(Q200,Literatuur!$A:$B,2,FALSE)," "))</f>
        <v/>
      </c>
      <c r="T200" s="44" t="str">
        <f t="shared" si="129"/>
        <v xml:space="preserve"> </v>
      </c>
      <c r="U200" s="33" t="str">
        <f>IF(OR(ISBLANK(S200), ISBLANK(T200)),"",CONCATENATE(" ",VLOOKUP(T200,Literatuur!$A:$B,2,FALSE)," "))</f>
        <v/>
      </c>
      <c r="W200" s="44" t="str">
        <f t="shared" si="130"/>
        <v xml:space="preserve"> </v>
      </c>
      <c r="X200" s="33" t="str">
        <f>IF(OR(ISBLANK(V200), ISBLANK(W200)),"",CONCATENATE(" ",VLOOKUP(W200,Literatuur!$A:$B,2,FALSE)," "))</f>
        <v/>
      </c>
      <c r="Z200" s="44" t="str">
        <f t="shared" si="131"/>
        <v xml:space="preserve"> </v>
      </c>
      <c r="AA200" s="33" t="str">
        <f>IF(OR(ISBLANK(Y200), ISBLANK(Z200)),"",CONCATENATE(" ",VLOOKUP(Z200,Literatuur!$A:$B,2,FALSE)," "))</f>
        <v/>
      </c>
      <c r="AC200" s="36" t="str">
        <f t="shared" si="132"/>
        <v xml:space="preserve"> </v>
      </c>
      <c r="AD200" s="33" t="str">
        <f>IF(OR(ISBLANK(AB200), ISBLANK(AC200)),"",CONCATENATE(" ",VLOOKUP(AC200,Literatuur!$A:$B,2,FALSE)," "))</f>
        <v/>
      </c>
      <c r="AE200"/>
      <c r="AG200" s="33" t="str">
        <f>IF(OR(ISBLANK(AE200), ISBLANK(AF200)),"",CONCATENATE(" ",VLOOKUP(AF200,Literatuur!$A:$B,2,FALSE)," "))</f>
        <v/>
      </c>
      <c r="AJ200" s="44" t="str">
        <f t="shared" si="133"/>
        <v xml:space="preserve"> </v>
      </c>
      <c r="AK200" s="33" t="str">
        <f>IF(OR(ISBLANK(AI200), ISBLANK(AJ200)),"",CONCATENATE(" ",VLOOKUP(AJ200,Literatuur!$A:$B,2,FALSE)," "))</f>
        <v/>
      </c>
      <c r="AM200" s="44" t="str">
        <f t="shared" si="134"/>
        <v xml:space="preserve"> </v>
      </c>
      <c r="AN200" s="33" t="str">
        <f>IF(OR(ISBLANK(AL200), ISBLANK(AM200)),"",CONCATENATE(" ",VLOOKUP(AM200,Literatuur!$A:$B,2,FALSE)," "))</f>
        <v/>
      </c>
      <c r="AP200" s="44" t="str">
        <f t="shared" si="135"/>
        <v xml:space="preserve"> </v>
      </c>
      <c r="AQ200" s="33" t="str">
        <f>IF(OR(ISBLANK(AO200), ISBLANK(AP200)),"",CONCATENATE(" ",VLOOKUP(AP200,Literatuur!$A:$B,2,FALSE)," "))</f>
        <v/>
      </c>
      <c r="AS200"/>
      <c r="AT200" s="33" t="str">
        <f>IF(OR(ISBLANK(AR200), ISBLANK(AS200)),"",CONCATENATE(" ",VLOOKUP(AS200,Literatuur!$A:$B,2,FALSE)," "))</f>
        <v/>
      </c>
      <c r="AU200">
        <v>364.5</v>
      </c>
      <c r="AV200" s="33" t="s">
        <v>1557</v>
      </c>
      <c r="AW200" s="33" t="str">
        <f>IF(OR(ISBLANK(AU200), ISBLANK(AV200)),"",CONCATENATE(" ",VLOOKUP(AV200,Literatuur!$A:$B,2,FALSE)," "))</f>
        <v xml:space="preserve"> 17 </v>
      </c>
      <c r="AZ200" s="44" t="str">
        <f t="shared" si="136"/>
        <v xml:space="preserve"> </v>
      </c>
      <c r="BA200" s="33" t="str">
        <f>IF(OR(ISBLANK(AY200), ISBLANK(AZ200)),"",CONCATENATE(" ",VLOOKUP(AZ200,Literatuur!$A:$B,2,FALSE)," "))</f>
        <v/>
      </c>
      <c r="BC200" s="44" t="str">
        <f t="shared" si="137"/>
        <v xml:space="preserve"> </v>
      </c>
      <c r="BD200" s="33" t="str">
        <f>IF(OR(ISBLANK(BB200), ISBLANK(BC200)),"",CONCATENATE(" ",VLOOKUP(BC200,Literatuur!$A:$B,2,FALSE)," "))</f>
        <v/>
      </c>
      <c r="BF200" s="44" t="str">
        <f t="shared" si="138"/>
        <v xml:space="preserve"> </v>
      </c>
      <c r="BG200" s="33" t="str">
        <f>IF(OR(ISBLANK(BE200), ISBLANK(BF200)),"",CONCATENATE(" ",VLOOKUP(BF200,Literatuur!$A:$B,2,FALSE)," "))</f>
        <v/>
      </c>
      <c r="BI200" s="44" t="str">
        <f t="shared" si="139"/>
        <v xml:space="preserve"> </v>
      </c>
      <c r="BJ200" s="33" t="str">
        <f>IF(OR(ISBLANK(BH200), ISBLANK(BI200)),"",CONCATENATE(" ",VLOOKUP(BI200,Literatuur!$A:$B,2,FALSE)," "))</f>
        <v/>
      </c>
      <c r="BL200" s="44" t="str">
        <f t="shared" si="140"/>
        <v xml:space="preserve"> </v>
      </c>
      <c r="BM200" s="33" t="str">
        <f>IF(OR(ISBLANK(BK200), ISBLANK(BL200)),"",CONCATENATE(" ",VLOOKUP(BL200,Literatuur!$A:$B,2,FALSE)," "))</f>
        <v/>
      </c>
      <c r="BO200"/>
      <c r="BP200" s="33" t="str">
        <f>IF(OR(ISBLANK(BN200), ISBLANK(BO200)),"",CONCATENATE(" ",VLOOKUP(BO200,Literatuur!$A:$B,2,FALSE)," "))</f>
        <v/>
      </c>
      <c r="BR200"/>
      <c r="BS200" s="33" t="str">
        <f>IF(OR(ISBLANK(BQ200), ISBLANK(BR200)),"",CONCATENATE(" ",VLOOKUP(BR200,Literatuur!$A:$B,2,FALSE)," "))</f>
        <v/>
      </c>
      <c r="BT200">
        <v>6.8</v>
      </c>
      <c r="BU200" s="33" t="s">
        <v>1557</v>
      </c>
      <c r="BV200" s="33" t="str">
        <f>IF(OR(ISBLANK(BT200), ISBLANK(BU200)),"",CONCATENATE(" ",VLOOKUP(BU200,Literatuur!$A:$B,2,FALSE)," "))</f>
        <v xml:space="preserve"> 17 </v>
      </c>
      <c r="BX200"/>
      <c r="CB200" s="33" t="s">
        <v>1557</v>
      </c>
      <c r="CH200" s="33">
        <f t="shared" si="144"/>
        <v>6.8</v>
      </c>
      <c r="CR200" s="33" t="str">
        <f t="shared" si="109"/>
        <v>endrin ketone</v>
      </c>
      <c r="CS200" s="33" t="str">
        <f t="shared" si="110"/>
        <v>overige</v>
      </c>
      <c r="CT200" s="33">
        <f t="shared" si="111"/>
        <v>364.5</v>
      </c>
      <c r="CU200" s="33" t="str">
        <f t="shared" si="112"/>
        <v xml:space="preserve"> 17 </v>
      </c>
      <c r="CV200" s="33" t="str">
        <f t="shared" si="113"/>
        <v/>
      </c>
      <c r="CW200" s="33" t="str">
        <f t="shared" si="114"/>
        <v/>
      </c>
      <c r="CX200" s="33">
        <f t="shared" si="115"/>
        <v>6.8</v>
      </c>
      <c r="CY200" s="33" t="str">
        <f t="shared" si="116"/>
        <v xml:space="preserve"> 17 </v>
      </c>
    </row>
    <row r="201" spans="1:103" x14ac:dyDescent="0.2">
      <c r="A201"/>
      <c r="B201">
        <v>-1770</v>
      </c>
      <c r="C201"/>
      <c r="D201" t="s">
        <v>1200</v>
      </c>
      <c r="E201" t="s">
        <v>1200</v>
      </c>
      <c r="I201" s="33">
        <f t="shared" si="143"/>
        <v>284.8</v>
      </c>
      <c r="J201" s="33">
        <f t="shared" si="117"/>
        <v>0.35854195727897853</v>
      </c>
      <c r="K201" s="44">
        <f t="shared" si="141"/>
        <v>5.6</v>
      </c>
      <c r="L201" s="33">
        <f t="shared" si="142"/>
        <v>161.19999999999999</v>
      </c>
      <c r="M201" s="33" t="s">
        <v>345</v>
      </c>
      <c r="Q201" s="44" t="str">
        <f t="shared" si="145"/>
        <v xml:space="preserve"> </v>
      </c>
      <c r="R201" s="33" t="str">
        <f>IF(OR(ISBLANK(P201), ISBLANK(Q201)),"",CONCATENATE(" ",VLOOKUP(Q201,Literatuur!$A:$B,2,FALSE)," "))</f>
        <v/>
      </c>
      <c r="T201" s="44" t="str">
        <f t="shared" si="129"/>
        <v xml:space="preserve"> </v>
      </c>
      <c r="U201" s="33" t="str">
        <f>IF(OR(ISBLANK(S201), ISBLANK(T201)),"",CONCATENATE(" ",VLOOKUP(T201,Literatuur!$A:$B,2,FALSE)," "))</f>
        <v/>
      </c>
      <c r="W201" s="44" t="str">
        <f t="shared" si="130"/>
        <v xml:space="preserve"> </v>
      </c>
      <c r="X201" s="33" t="str">
        <f>IF(OR(ISBLANK(V201), ISBLANK(W201)),"",CONCATENATE(" ",VLOOKUP(W201,Literatuur!$A:$B,2,FALSE)," "))</f>
        <v/>
      </c>
      <c r="Z201" s="44" t="str">
        <f t="shared" si="131"/>
        <v xml:space="preserve"> </v>
      </c>
      <c r="AA201" s="33" t="str">
        <f>IF(OR(ISBLANK(Y201), ISBLANK(Z201)),"",CONCATENATE(" ",VLOOKUP(Z201,Literatuur!$A:$B,2,FALSE)," "))</f>
        <v/>
      </c>
      <c r="AC201" s="36" t="str">
        <f t="shared" si="132"/>
        <v xml:space="preserve"> </v>
      </c>
      <c r="AD201" s="33" t="str">
        <f>IF(OR(ISBLANK(AB201), ISBLANK(AC201)),"",CONCATENATE(" ",VLOOKUP(AC201,Literatuur!$A:$B,2,FALSE)," "))</f>
        <v/>
      </c>
      <c r="AE201" s="365">
        <v>0.35854195727897853</v>
      </c>
      <c r="AF201" s="33" t="s">
        <v>1557</v>
      </c>
      <c r="AG201" s="33" t="str">
        <f>IF(OR(ISBLANK(AE201), ISBLANK(AF201)),"",CONCATENATE(" ",VLOOKUP(AF201,Literatuur!$A:$B,2,FALSE)," "))</f>
        <v xml:space="preserve"> 17 </v>
      </c>
      <c r="AJ201" s="44" t="str">
        <f t="shared" si="133"/>
        <v xml:space="preserve"> </v>
      </c>
      <c r="AK201" s="33" t="str">
        <f>IF(OR(ISBLANK(AI201), ISBLANK(AJ201)),"",CONCATENATE(" ",VLOOKUP(AJ201,Literatuur!$A:$B,2,FALSE)," "))</f>
        <v/>
      </c>
      <c r="AM201" s="44" t="str">
        <f t="shared" si="134"/>
        <v xml:space="preserve"> </v>
      </c>
      <c r="AN201" s="33" t="str">
        <f>IF(OR(ISBLANK(AL201), ISBLANK(AM201)),"",CONCATENATE(" ",VLOOKUP(AM201,Literatuur!$A:$B,2,FALSE)," "))</f>
        <v/>
      </c>
      <c r="AP201" s="44" t="str">
        <f t="shared" si="135"/>
        <v xml:space="preserve"> </v>
      </c>
      <c r="AQ201" s="33" t="str">
        <f>IF(OR(ISBLANK(AO201), ISBLANK(AP201)),"",CONCATENATE(" ",VLOOKUP(AP201,Literatuur!$A:$B,2,FALSE)," "))</f>
        <v/>
      </c>
      <c r="AS201"/>
      <c r="AT201" s="33" t="str">
        <f>IF(OR(ISBLANK(AR201), ISBLANK(AS201)),"",CONCATENATE(" ",VLOOKUP(AS201,Literatuur!$A:$B,2,FALSE)," "))</f>
        <v/>
      </c>
      <c r="AU201">
        <v>284.8</v>
      </c>
      <c r="AV201" s="33" t="s">
        <v>1557</v>
      </c>
      <c r="AW201" s="33" t="str">
        <f>IF(OR(ISBLANK(AU201), ISBLANK(AV201)),"",CONCATENATE(" ",VLOOKUP(AV201,Literatuur!$A:$B,2,FALSE)," "))</f>
        <v xml:space="preserve"> 17 </v>
      </c>
      <c r="AZ201" s="44" t="str">
        <f t="shared" si="136"/>
        <v xml:space="preserve"> </v>
      </c>
      <c r="BA201" s="33" t="str">
        <f>IF(OR(ISBLANK(AY201), ISBLANK(AZ201)),"",CONCATENATE(" ",VLOOKUP(AZ201,Literatuur!$A:$B,2,FALSE)," "))</f>
        <v/>
      </c>
      <c r="BC201" s="44" t="str">
        <f t="shared" si="137"/>
        <v xml:space="preserve"> </v>
      </c>
      <c r="BD201" s="33" t="str">
        <f>IF(OR(ISBLANK(BB201), ISBLANK(BC201)),"",CONCATENATE(" ",VLOOKUP(BC201,Literatuur!$A:$B,2,FALSE)," "))</f>
        <v/>
      </c>
      <c r="BF201" s="44" t="str">
        <f t="shared" si="138"/>
        <v xml:space="preserve"> </v>
      </c>
      <c r="BG201" s="33" t="str">
        <f>IF(OR(ISBLANK(BE201), ISBLANK(BF201)),"",CONCATENATE(" ",VLOOKUP(BF201,Literatuur!$A:$B,2,FALSE)," "))</f>
        <v/>
      </c>
      <c r="BI201" s="44" t="str">
        <f t="shared" si="139"/>
        <v xml:space="preserve"> </v>
      </c>
      <c r="BJ201" s="33" t="str">
        <f>IF(OR(ISBLANK(BH201), ISBLANK(BI201)),"",CONCATENATE(" ",VLOOKUP(BI201,Literatuur!$A:$B,2,FALSE)," "))</f>
        <v/>
      </c>
      <c r="BL201" s="44" t="str">
        <f t="shared" si="140"/>
        <v xml:space="preserve"> </v>
      </c>
      <c r="BM201" s="33" t="str">
        <f>IF(OR(ISBLANK(BK201), ISBLANK(BL201)),"",CONCATENATE(" ",VLOOKUP(BL201,Literatuur!$A:$B,2,FALSE)," "))</f>
        <v/>
      </c>
      <c r="BO201"/>
      <c r="BP201" s="33" t="str">
        <f>IF(OR(ISBLANK(BN201), ISBLANK(BO201)),"",CONCATENATE(" ",VLOOKUP(BO201,Literatuur!$A:$B,2,FALSE)," "))</f>
        <v/>
      </c>
      <c r="BR201"/>
      <c r="BS201" s="33" t="str">
        <f>IF(OR(ISBLANK(BQ201), ISBLANK(BR201)),"",CONCATENATE(" ",VLOOKUP(BR201,Literatuur!$A:$B,2,FALSE)," "))</f>
        <v/>
      </c>
      <c r="BT201">
        <v>5.6</v>
      </c>
      <c r="BU201" s="33" t="s">
        <v>1557</v>
      </c>
      <c r="BV201" s="33" t="str">
        <f>IF(OR(ISBLANK(BT201), ISBLANK(BU201)),"",CONCATENATE(" ",VLOOKUP(BU201,Literatuur!$A:$B,2,FALSE)," "))</f>
        <v xml:space="preserve"> 17 </v>
      </c>
      <c r="BX201">
        <v>161.19999999999999</v>
      </c>
      <c r="CB201" s="33" t="s">
        <v>1557</v>
      </c>
      <c r="CD201" s="33">
        <f t="shared" ref="CD201:CD206" si="146">L201</f>
        <v>161.19999999999999</v>
      </c>
      <c r="CG201" s="33">
        <f t="shared" ref="CG201:CG206" si="147">LOG(J201)</f>
        <v>-0.44546001503518157</v>
      </c>
      <c r="CH201" s="33">
        <f t="shared" si="144"/>
        <v>5.6</v>
      </c>
      <c r="CR201" s="33" t="str">
        <f t="shared" si="109"/>
        <v>HCB</v>
      </c>
      <c r="CS201" s="33" t="str">
        <f t="shared" si="110"/>
        <v>overige</v>
      </c>
      <c r="CT201" s="33">
        <f t="shared" si="111"/>
        <v>284.8</v>
      </c>
      <c r="CU201" s="33" t="str">
        <f t="shared" si="112"/>
        <v xml:space="preserve"> 17 </v>
      </c>
      <c r="CV201" s="33">
        <f t="shared" si="113"/>
        <v>0.35854195727897853</v>
      </c>
      <c r="CW201" s="33" t="str">
        <f t="shared" si="114"/>
        <v xml:space="preserve"> 17 </v>
      </c>
      <c r="CX201" s="33">
        <f t="shared" si="115"/>
        <v>5.6</v>
      </c>
      <c r="CY201" s="33" t="str">
        <f t="shared" si="116"/>
        <v xml:space="preserve"> 17 </v>
      </c>
    </row>
    <row r="202" spans="1:103" x14ac:dyDescent="0.2">
      <c r="A202"/>
      <c r="B202">
        <v>-1782</v>
      </c>
      <c r="D202" t="s">
        <v>1209</v>
      </c>
      <c r="E202" t="s">
        <v>1209</v>
      </c>
      <c r="I202" s="33">
        <f t="shared" si="143"/>
        <v>373.3</v>
      </c>
      <c r="J202" s="33">
        <f t="shared" si="117"/>
        <v>1.1804782505408549</v>
      </c>
      <c r="K202" s="44">
        <f t="shared" si="141"/>
        <v>6</v>
      </c>
      <c r="L202" s="33">
        <f t="shared" si="142"/>
        <v>230.8</v>
      </c>
      <c r="M202" s="33" t="s">
        <v>345</v>
      </c>
      <c r="Q202" s="44" t="str">
        <f t="shared" si="145"/>
        <v xml:space="preserve"> </v>
      </c>
      <c r="R202" s="33" t="str">
        <f>IF(OR(ISBLANK(P202), ISBLANK(Q202)),"",CONCATENATE(" ",VLOOKUP(Q202,Literatuur!$A:$B,2,FALSE)," "))</f>
        <v/>
      </c>
      <c r="T202" s="44" t="str">
        <f t="shared" si="129"/>
        <v xml:space="preserve"> </v>
      </c>
      <c r="U202" s="33" t="str">
        <f>IF(OR(ISBLANK(S202), ISBLANK(T202)),"",CONCATENATE(" ",VLOOKUP(T202,Literatuur!$A:$B,2,FALSE)," "))</f>
        <v/>
      </c>
      <c r="W202" s="44" t="str">
        <f t="shared" si="130"/>
        <v xml:space="preserve"> </v>
      </c>
      <c r="X202" s="33" t="str">
        <f>IF(OR(ISBLANK(V202), ISBLANK(W202)),"",CONCATENATE(" ",VLOOKUP(W202,Literatuur!$A:$B,2,FALSE)," "))</f>
        <v/>
      </c>
      <c r="Z202" s="44" t="str">
        <f t="shared" si="131"/>
        <v xml:space="preserve"> </v>
      </c>
      <c r="AA202" s="33" t="str">
        <f>IF(OR(ISBLANK(Y202), ISBLANK(Z202)),"",CONCATENATE(" ",VLOOKUP(Z202,Literatuur!$A:$B,2,FALSE)," "))</f>
        <v/>
      </c>
      <c r="AC202" s="36" t="str">
        <f t="shared" si="132"/>
        <v xml:space="preserve"> </v>
      </c>
      <c r="AD202" s="33" t="str">
        <f>IF(OR(ISBLANK(AB202), ISBLANK(AC202)),"",CONCATENATE(" ",VLOOKUP(AC202,Literatuur!$A:$B,2,FALSE)," "))</f>
        <v/>
      </c>
      <c r="AE202" s="365">
        <v>1.1804782505408549</v>
      </c>
      <c r="AF202" s="33" t="s">
        <v>1557</v>
      </c>
      <c r="AG202" s="33" t="str">
        <f>IF(OR(ISBLANK(AE202), ISBLANK(AF202)),"",CONCATENATE(" ",VLOOKUP(AF202,Literatuur!$A:$B,2,FALSE)," "))</f>
        <v xml:space="preserve"> 17 </v>
      </c>
      <c r="AJ202" s="44" t="str">
        <f t="shared" si="133"/>
        <v xml:space="preserve"> </v>
      </c>
      <c r="AK202" s="33" t="str">
        <f>IF(OR(ISBLANK(AI202), ISBLANK(AJ202)),"",CONCATENATE(" ",VLOOKUP(AJ202,Literatuur!$A:$B,2,FALSE)," "))</f>
        <v/>
      </c>
      <c r="AM202" s="44" t="str">
        <f t="shared" si="134"/>
        <v xml:space="preserve"> </v>
      </c>
      <c r="AN202" s="33" t="str">
        <f>IF(OR(ISBLANK(AL202), ISBLANK(AM202)),"",CONCATENATE(" ",VLOOKUP(AM202,Literatuur!$A:$B,2,FALSE)," "))</f>
        <v/>
      </c>
      <c r="AP202" s="44" t="str">
        <f t="shared" si="135"/>
        <v xml:space="preserve"> </v>
      </c>
      <c r="AQ202" s="33" t="str">
        <f>IF(OR(ISBLANK(AO202), ISBLANK(AP202)),"",CONCATENATE(" ",VLOOKUP(AP202,Literatuur!$A:$B,2,FALSE)," "))</f>
        <v/>
      </c>
      <c r="AS202"/>
      <c r="AT202" s="33" t="str">
        <f>IF(OR(ISBLANK(AR202), ISBLANK(AS202)),"",CONCATENATE(" ",VLOOKUP(AS202,Literatuur!$A:$B,2,FALSE)," "))</f>
        <v/>
      </c>
      <c r="AU202">
        <v>373.3</v>
      </c>
      <c r="AV202" s="33" t="s">
        <v>1557</v>
      </c>
      <c r="AW202" s="33" t="str">
        <f>IF(OR(ISBLANK(AU202), ISBLANK(AV202)),"",CONCATENATE(" ",VLOOKUP(AV202,Literatuur!$A:$B,2,FALSE)," "))</f>
        <v xml:space="preserve"> 17 </v>
      </c>
      <c r="AZ202" s="44" t="str">
        <f t="shared" si="136"/>
        <v xml:space="preserve"> </v>
      </c>
      <c r="BA202" s="33" t="str">
        <f>IF(OR(ISBLANK(AY202), ISBLANK(AZ202)),"",CONCATENATE(" ",VLOOKUP(AZ202,Literatuur!$A:$B,2,FALSE)," "))</f>
        <v/>
      </c>
      <c r="BC202" s="44" t="str">
        <f t="shared" si="137"/>
        <v xml:space="preserve"> </v>
      </c>
      <c r="BD202" s="33" t="str">
        <f>IF(OR(ISBLANK(BB202), ISBLANK(BC202)),"",CONCATENATE(" ",VLOOKUP(BC202,Literatuur!$A:$B,2,FALSE)," "))</f>
        <v/>
      </c>
      <c r="BF202" s="44" t="str">
        <f t="shared" si="138"/>
        <v xml:space="preserve"> </v>
      </c>
      <c r="BG202" s="33" t="str">
        <f>IF(OR(ISBLANK(BE202), ISBLANK(BF202)),"",CONCATENATE(" ",VLOOKUP(BF202,Literatuur!$A:$B,2,FALSE)," "))</f>
        <v/>
      </c>
      <c r="BI202" s="44" t="str">
        <f t="shared" si="139"/>
        <v xml:space="preserve"> </v>
      </c>
      <c r="BJ202" s="33" t="str">
        <f>IF(OR(ISBLANK(BH202), ISBLANK(BI202)),"",CONCATENATE(" ",VLOOKUP(BI202,Literatuur!$A:$B,2,FALSE)," "))</f>
        <v/>
      </c>
      <c r="BL202" s="44" t="str">
        <f t="shared" si="140"/>
        <v xml:space="preserve"> </v>
      </c>
      <c r="BM202" s="33" t="str">
        <f>IF(OR(ISBLANK(BK202), ISBLANK(BL202)),"",CONCATENATE(" ",VLOOKUP(BL202,Literatuur!$A:$B,2,FALSE)," "))</f>
        <v/>
      </c>
      <c r="BO202"/>
      <c r="BP202" s="33" t="str">
        <f>IF(OR(ISBLANK(BN202), ISBLANK(BO202)),"",CONCATENATE(" ",VLOOKUP(BO202,Literatuur!$A:$B,2,FALSE)," "))</f>
        <v/>
      </c>
      <c r="BR202"/>
      <c r="BS202" s="33" t="str">
        <f>IF(OR(ISBLANK(BQ202), ISBLANK(BR202)),"",CONCATENATE(" ",VLOOKUP(BR202,Literatuur!$A:$B,2,FALSE)," "))</f>
        <v/>
      </c>
      <c r="BT202">
        <v>6</v>
      </c>
      <c r="BU202" s="33" t="s">
        <v>1557</v>
      </c>
      <c r="BV202" s="33" t="str">
        <f>IF(OR(ISBLANK(BT202), ISBLANK(BU202)),"",CONCATENATE(" ",VLOOKUP(BU202,Literatuur!$A:$B,2,FALSE)," "))</f>
        <v xml:space="preserve"> 17 </v>
      </c>
      <c r="BX202">
        <v>230.8</v>
      </c>
      <c r="CB202" s="33" t="s">
        <v>1557</v>
      </c>
      <c r="CD202" s="33">
        <f t="shared" si="146"/>
        <v>230.8</v>
      </c>
      <c r="CG202" s="33">
        <f t="shared" si="147"/>
        <v>7.205798992630412E-2</v>
      </c>
      <c r="CH202" s="33">
        <f t="shared" si="144"/>
        <v>6</v>
      </c>
      <c r="CR202" s="33" t="str">
        <f t="shared" si="109"/>
        <v>heptachlor</v>
      </c>
      <c r="CS202" s="33" t="str">
        <f t="shared" si="110"/>
        <v>overige</v>
      </c>
      <c r="CT202" s="33">
        <f t="shared" si="111"/>
        <v>373.3</v>
      </c>
      <c r="CU202" s="33" t="str">
        <f t="shared" si="112"/>
        <v xml:space="preserve"> 17 </v>
      </c>
      <c r="CV202" s="33">
        <f t="shared" si="113"/>
        <v>1.1804782505408549</v>
      </c>
      <c r="CW202" s="33" t="str">
        <f t="shared" si="114"/>
        <v xml:space="preserve"> 17 </v>
      </c>
      <c r="CX202" s="33">
        <f t="shared" si="115"/>
        <v>6</v>
      </c>
      <c r="CY202" s="33" t="str">
        <f t="shared" si="116"/>
        <v xml:space="preserve"> 17 </v>
      </c>
    </row>
    <row r="203" spans="1:103" x14ac:dyDescent="0.2">
      <c r="A203"/>
      <c r="B203">
        <v>-1783</v>
      </c>
      <c r="D203" s="4" t="s">
        <v>1219</v>
      </c>
      <c r="E203" s="4" t="s">
        <v>1219</v>
      </c>
      <c r="I203" s="33">
        <f t="shared" si="143"/>
        <v>389.3</v>
      </c>
      <c r="J203" s="33">
        <f t="shared" si="117"/>
        <v>4.9009966281146902</v>
      </c>
      <c r="K203" s="44">
        <f t="shared" si="141"/>
        <v>5.4</v>
      </c>
      <c r="L203" s="33">
        <f t="shared" si="142"/>
        <v>233.7</v>
      </c>
      <c r="M203" s="33" t="s">
        <v>345</v>
      </c>
      <c r="Q203" s="44" t="str">
        <f t="shared" si="145"/>
        <v xml:space="preserve"> </v>
      </c>
      <c r="R203" s="33" t="str">
        <f>IF(OR(ISBLANK(P203), ISBLANK(Q203)),"",CONCATENATE(" ",VLOOKUP(Q203,Literatuur!$A:$B,2,FALSE)," "))</f>
        <v/>
      </c>
      <c r="T203" s="44" t="str">
        <f t="shared" si="129"/>
        <v xml:space="preserve"> </v>
      </c>
      <c r="U203" s="33" t="str">
        <f>IF(OR(ISBLANK(S203), ISBLANK(T203)),"",CONCATENATE(" ",VLOOKUP(T203,Literatuur!$A:$B,2,FALSE)," "))</f>
        <v/>
      </c>
      <c r="W203" s="44" t="str">
        <f t="shared" si="130"/>
        <v xml:space="preserve"> </v>
      </c>
      <c r="X203" s="33" t="str">
        <f>IF(OR(ISBLANK(V203), ISBLANK(W203)),"",CONCATENATE(" ",VLOOKUP(W203,Literatuur!$A:$B,2,FALSE)," "))</f>
        <v/>
      </c>
      <c r="Z203" s="44" t="str">
        <f t="shared" si="131"/>
        <v xml:space="preserve"> </v>
      </c>
      <c r="AA203" s="33" t="str">
        <f>IF(OR(ISBLANK(Y203), ISBLANK(Z203)),"",CONCATENATE(" ",VLOOKUP(Z203,Literatuur!$A:$B,2,FALSE)," "))</f>
        <v/>
      </c>
      <c r="AC203" s="36" t="str">
        <f t="shared" si="132"/>
        <v xml:space="preserve"> </v>
      </c>
      <c r="AD203" s="33" t="str">
        <f>IF(OR(ISBLANK(AB203), ISBLANK(AC203)),"",CONCATENATE(" ",VLOOKUP(AC203,Literatuur!$A:$B,2,FALSE)," "))</f>
        <v/>
      </c>
      <c r="AE203" s="365">
        <v>4.9009966281146902</v>
      </c>
      <c r="AF203" s="33" t="s">
        <v>1557</v>
      </c>
      <c r="AG203" s="33" t="str">
        <f>IF(OR(ISBLANK(AE203), ISBLANK(AF203)),"",CONCATENATE(" ",VLOOKUP(AF203,Literatuur!$A:$B,2,FALSE)," "))</f>
        <v xml:space="preserve"> 17 </v>
      </c>
      <c r="AJ203" s="44" t="str">
        <f t="shared" si="133"/>
        <v xml:space="preserve"> </v>
      </c>
      <c r="AK203" s="33" t="str">
        <f>IF(OR(ISBLANK(AI203), ISBLANK(AJ203)),"",CONCATENATE(" ",VLOOKUP(AJ203,Literatuur!$A:$B,2,FALSE)," "))</f>
        <v/>
      </c>
      <c r="AM203" s="44" t="str">
        <f t="shared" si="134"/>
        <v xml:space="preserve"> </v>
      </c>
      <c r="AN203" s="33" t="str">
        <f>IF(OR(ISBLANK(AL203), ISBLANK(AM203)),"",CONCATENATE(" ",VLOOKUP(AM203,Literatuur!$A:$B,2,FALSE)," "))</f>
        <v/>
      </c>
      <c r="AP203" s="44" t="str">
        <f t="shared" si="135"/>
        <v xml:space="preserve"> </v>
      </c>
      <c r="AQ203" s="33" t="str">
        <f>IF(OR(ISBLANK(AO203), ISBLANK(AP203)),"",CONCATENATE(" ",VLOOKUP(AP203,Literatuur!$A:$B,2,FALSE)," "))</f>
        <v/>
      </c>
      <c r="AS203"/>
      <c r="AT203" s="33" t="str">
        <f>IF(OR(ISBLANK(AR203), ISBLANK(AS203)),"",CONCATENATE(" ",VLOOKUP(AS203,Literatuur!$A:$B,2,FALSE)," "))</f>
        <v/>
      </c>
      <c r="AU203">
        <v>389.3</v>
      </c>
      <c r="AV203" s="33" t="s">
        <v>1557</v>
      </c>
      <c r="AW203" s="33" t="str">
        <f>IF(OR(ISBLANK(AU203), ISBLANK(AV203)),"",CONCATENATE(" ",VLOOKUP(AV203,Literatuur!$A:$B,2,FALSE)," "))</f>
        <v xml:space="preserve"> 17 </v>
      </c>
      <c r="AZ203" s="44" t="str">
        <f t="shared" si="136"/>
        <v xml:space="preserve"> </v>
      </c>
      <c r="BA203" s="33" t="str">
        <f>IF(OR(ISBLANK(AY203), ISBLANK(AZ203)),"",CONCATENATE(" ",VLOOKUP(AZ203,Literatuur!$A:$B,2,FALSE)," "))</f>
        <v/>
      </c>
      <c r="BC203" s="44" t="str">
        <f t="shared" si="137"/>
        <v xml:space="preserve"> </v>
      </c>
      <c r="BD203" s="33" t="str">
        <f>IF(OR(ISBLANK(BB203), ISBLANK(BC203)),"",CONCATENATE(" ",VLOOKUP(BC203,Literatuur!$A:$B,2,FALSE)," "))</f>
        <v/>
      </c>
      <c r="BF203" s="44" t="str">
        <f t="shared" si="138"/>
        <v xml:space="preserve"> </v>
      </c>
      <c r="BG203" s="33" t="str">
        <f>IF(OR(ISBLANK(BE203), ISBLANK(BF203)),"",CONCATENATE(" ",VLOOKUP(BF203,Literatuur!$A:$B,2,FALSE)," "))</f>
        <v/>
      </c>
      <c r="BI203" s="44" t="str">
        <f t="shared" si="139"/>
        <v xml:space="preserve"> </v>
      </c>
      <c r="BJ203" s="33" t="str">
        <f>IF(OR(ISBLANK(BH203), ISBLANK(BI203)),"",CONCATENATE(" ",VLOOKUP(BI203,Literatuur!$A:$B,2,FALSE)," "))</f>
        <v/>
      </c>
      <c r="BL203" s="44" t="str">
        <f t="shared" si="140"/>
        <v xml:space="preserve"> </v>
      </c>
      <c r="BM203" s="33" t="str">
        <f>IF(OR(ISBLANK(BK203), ISBLANK(BL203)),"",CONCATENATE(" ",VLOOKUP(BL203,Literatuur!$A:$B,2,FALSE)," "))</f>
        <v/>
      </c>
      <c r="BO203"/>
      <c r="BP203" s="33" t="str">
        <f>IF(OR(ISBLANK(BN203), ISBLANK(BO203)),"",CONCATENATE(" ",VLOOKUP(BO203,Literatuur!$A:$B,2,FALSE)," "))</f>
        <v/>
      </c>
      <c r="BR203"/>
      <c r="BS203" s="33" t="str">
        <f>IF(OR(ISBLANK(BQ203), ISBLANK(BR203)),"",CONCATENATE(" ",VLOOKUP(BR203,Literatuur!$A:$B,2,FALSE)," "))</f>
        <v/>
      </c>
      <c r="BT203">
        <v>5.4</v>
      </c>
      <c r="BU203" s="33" t="s">
        <v>1557</v>
      </c>
      <c r="BV203" s="33" t="str">
        <f>IF(OR(ISBLANK(BT203), ISBLANK(BU203)),"",CONCATENATE(" ",VLOOKUP(BU203,Literatuur!$A:$B,2,FALSE)," "))</f>
        <v xml:space="preserve"> 17 </v>
      </c>
      <c r="BX203">
        <v>233.7</v>
      </c>
      <c r="CB203" s="33" t="s">
        <v>1557</v>
      </c>
      <c r="CD203" s="33">
        <f t="shared" si="146"/>
        <v>233.7</v>
      </c>
      <c r="CG203" s="33">
        <f t="shared" si="147"/>
        <v>0.69028440371816169</v>
      </c>
      <c r="CH203" s="33">
        <f t="shared" si="144"/>
        <v>5.4</v>
      </c>
      <c r="CR203" s="33" t="str">
        <f t="shared" si="109"/>
        <v>heptachlor epoxide</v>
      </c>
      <c r="CS203" s="33" t="str">
        <f t="shared" si="110"/>
        <v>overige</v>
      </c>
      <c r="CT203" s="33">
        <f t="shared" si="111"/>
        <v>389.3</v>
      </c>
      <c r="CU203" s="33" t="str">
        <f t="shared" si="112"/>
        <v xml:space="preserve"> 17 </v>
      </c>
      <c r="CV203" s="33">
        <f t="shared" si="113"/>
        <v>4.9009966281146902</v>
      </c>
      <c r="CW203" s="33" t="str">
        <f t="shared" si="114"/>
        <v xml:space="preserve"> 17 </v>
      </c>
      <c r="CX203" s="33">
        <f t="shared" si="115"/>
        <v>5.4</v>
      </c>
      <c r="CY203" s="33" t="str">
        <f t="shared" si="116"/>
        <v xml:space="preserve"> 17 </v>
      </c>
    </row>
    <row r="204" spans="1:103" x14ac:dyDescent="0.2">
      <c r="A204"/>
      <c r="B204">
        <v>-1784</v>
      </c>
      <c r="D204" t="s">
        <v>1210</v>
      </c>
      <c r="E204" t="s">
        <v>1210</v>
      </c>
      <c r="I204" s="33">
        <f t="shared" si="143"/>
        <v>345.7</v>
      </c>
      <c r="J204" s="33">
        <f t="shared" si="117"/>
        <v>0.17326042666494795</v>
      </c>
      <c r="K204" s="44">
        <f t="shared" si="141"/>
        <v>5.0999999999999996</v>
      </c>
      <c r="L204" s="33">
        <f t="shared" si="142"/>
        <v>260.5</v>
      </c>
      <c r="M204" s="33" t="s">
        <v>345</v>
      </c>
      <c r="Q204" s="44" t="str">
        <f t="shared" si="145"/>
        <v xml:space="preserve"> </v>
      </c>
      <c r="R204" s="33" t="str">
        <f>IF(OR(ISBLANK(P204), ISBLANK(Q204)),"",CONCATENATE(" ",VLOOKUP(Q204,Literatuur!$A:$B,2,FALSE)," "))</f>
        <v/>
      </c>
      <c r="T204" s="44" t="str">
        <f t="shared" si="129"/>
        <v xml:space="preserve"> </v>
      </c>
      <c r="U204" s="33" t="str">
        <f>IF(OR(ISBLANK(S204), ISBLANK(T204)),"",CONCATENATE(" ",VLOOKUP(T204,Literatuur!$A:$B,2,FALSE)," "))</f>
        <v/>
      </c>
      <c r="W204" s="44" t="str">
        <f t="shared" si="130"/>
        <v xml:space="preserve"> </v>
      </c>
      <c r="X204" s="33" t="str">
        <f>IF(OR(ISBLANK(V204), ISBLANK(W204)),"",CONCATENATE(" ",VLOOKUP(W204,Literatuur!$A:$B,2,FALSE)," "))</f>
        <v/>
      </c>
      <c r="Z204" s="44" t="str">
        <f t="shared" si="131"/>
        <v xml:space="preserve"> </v>
      </c>
      <c r="AA204" s="33" t="str">
        <f>IF(OR(ISBLANK(Y204), ISBLANK(Z204)),"",CONCATENATE(" ",VLOOKUP(Z204,Literatuur!$A:$B,2,FALSE)," "))</f>
        <v/>
      </c>
      <c r="AC204" s="36" t="str">
        <f t="shared" si="132"/>
        <v xml:space="preserve"> </v>
      </c>
      <c r="AD204" s="33" t="str">
        <f>IF(OR(ISBLANK(AB204), ISBLANK(AC204)),"",CONCATENATE(" ",VLOOKUP(AC204,Literatuur!$A:$B,2,FALSE)," "))</f>
        <v/>
      </c>
      <c r="AE204" s="365">
        <v>0.17326042666494795</v>
      </c>
      <c r="AF204" s="33" t="s">
        <v>1557</v>
      </c>
      <c r="AG204" s="33" t="str">
        <f>IF(OR(ISBLANK(AE204), ISBLANK(AF204)),"",CONCATENATE(" ",VLOOKUP(AF204,Literatuur!$A:$B,2,FALSE)," "))</f>
        <v xml:space="preserve"> 17 </v>
      </c>
      <c r="AJ204" s="44" t="str">
        <f t="shared" si="133"/>
        <v xml:space="preserve"> </v>
      </c>
      <c r="AK204" s="33" t="str">
        <f>IF(OR(ISBLANK(AI204), ISBLANK(AJ204)),"",CONCATENATE(" ",VLOOKUP(AJ204,Literatuur!$A:$B,2,FALSE)," "))</f>
        <v/>
      </c>
      <c r="AM204" s="44" t="str">
        <f t="shared" si="134"/>
        <v xml:space="preserve"> </v>
      </c>
      <c r="AN204" s="33" t="str">
        <f>IF(OR(ISBLANK(AL204), ISBLANK(AM204)),"",CONCATENATE(" ",VLOOKUP(AM204,Literatuur!$A:$B,2,FALSE)," "))</f>
        <v/>
      </c>
      <c r="AP204" s="44" t="str">
        <f t="shared" si="135"/>
        <v xml:space="preserve"> </v>
      </c>
      <c r="AQ204" s="33" t="str">
        <f>IF(OR(ISBLANK(AO204), ISBLANK(AP204)),"",CONCATENATE(" ",VLOOKUP(AP204,Literatuur!$A:$B,2,FALSE)," "))</f>
        <v/>
      </c>
      <c r="AS204"/>
      <c r="AT204" s="33" t="str">
        <f>IF(OR(ISBLANK(AR204), ISBLANK(AS204)),"",CONCATENATE(" ",VLOOKUP(AS204,Literatuur!$A:$B,2,FALSE)," "))</f>
        <v/>
      </c>
      <c r="AU204">
        <v>345.7</v>
      </c>
      <c r="AV204" s="33" t="s">
        <v>1557</v>
      </c>
      <c r="AW204" s="33" t="str">
        <f>IF(OR(ISBLANK(AU204), ISBLANK(AV204)),"",CONCATENATE(" ",VLOOKUP(AV204,Literatuur!$A:$B,2,FALSE)," "))</f>
        <v xml:space="preserve"> 17 </v>
      </c>
      <c r="AZ204" s="44" t="str">
        <f t="shared" si="136"/>
        <v xml:space="preserve"> </v>
      </c>
      <c r="BA204" s="33" t="str">
        <f>IF(OR(ISBLANK(AY204), ISBLANK(AZ204)),"",CONCATENATE(" ",VLOOKUP(AZ204,Literatuur!$A:$B,2,FALSE)," "))</f>
        <v/>
      </c>
      <c r="BC204" s="44" t="str">
        <f t="shared" si="137"/>
        <v xml:space="preserve"> </v>
      </c>
      <c r="BD204" s="33" t="str">
        <f>IF(OR(ISBLANK(BB204), ISBLANK(BC204)),"",CONCATENATE(" ",VLOOKUP(BC204,Literatuur!$A:$B,2,FALSE)," "))</f>
        <v/>
      </c>
      <c r="BF204" s="44" t="str">
        <f t="shared" si="138"/>
        <v xml:space="preserve"> </v>
      </c>
      <c r="BG204" s="33" t="str">
        <f>IF(OR(ISBLANK(BE204), ISBLANK(BF204)),"",CONCATENATE(" ",VLOOKUP(BF204,Literatuur!$A:$B,2,FALSE)," "))</f>
        <v/>
      </c>
      <c r="BI204" s="44" t="str">
        <f t="shared" si="139"/>
        <v xml:space="preserve"> </v>
      </c>
      <c r="BJ204" s="33" t="str">
        <f>IF(OR(ISBLANK(BH204), ISBLANK(BI204)),"",CONCATENATE(" ",VLOOKUP(BI204,Literatuur!$A:$B,2,FALSE)," "))</f>
        <v/>
      </c>
      <c r="BL204" s="44" t="str">
        <f t="shared" si="140"/>
        <v xml:space="preserve"> </v>
      </c>
      <c r="BM204" s="33" t="str">
        <f>IF(OR(ISBLANK(BK204), ISBLANK(BL204)),"",CONCATENATE(" ",VLOOKUP(BL204,Literatuur!$A:$B,2,FALSE)," "))</f>
        <v/>
      </c>
      <c r="BO204"/>
      <c r="BP204" s="33" t="str">
        <f>IF(OR(ISBLANK(BN204), ISBLANK(BO204)),"",CONCATENATE(" ",VLOOKUP(BO204,Literatuur!$A:$B,2,FALSE)," "))</f>
        <v/>
      </c>
      <c r="BR204"/>
      <c r="BS204" s="33" t="str">
        <f>IF(OR(ISBLANK(BQ204), ISBLANK(BR204)),"",CONCATENATE(" ",VLOOKUP(BR204,Literatuur!$A:$B,2,FALSE)," "))</f>
        <v/>
      </c>
      <c r="BT204">
        <v>5.0999999999999996</v>
      </c>
      <c r="BU204" s="33" t="s">
        <v>1557</v>
      </c>
      <c r="BV204" s="33" t="str">
        <f>IF(OR(ISBLANK(BT204), ISBLANK(BU204)),"",CONCATENATE(" ",VLOOKUP(BU204,Literatuur!$A:$B,2,FALSE)," "))</f>
        <v xml:space="preserve"> 17 </v>
      </c>
      <c r="BX204">
        <v>260.5</v>
      </c>
      <c r="CB204" s="33" t="s">
        <v>1557</v>
      </c>
      <c r="CD204" s="33">
        <f t="shared" si="146"/>
        <v>260.5</v>
      </c>
      <c r="CG204" s="33">
        <f t="shared" si="147"/>
        <v>-0.76130062045759339</v>
      </c>
      <c r="CH204" s="33">
        <f t="shared" si="144"/>
        <v>5.0999999999999996</v>
      </c>
      <c r="CR204" s="33" t="str">
        <f t="shared" si="109"/>
        <v>methoxychlor</v>
      </c>
      <c r="CS204" s="33" t="str">
        <f t="shared" si="110"/>
        <v>overige</v>
      </c>
      <c r="CT204" s="33">
        <f t="shared" si="111"/>
        <v>345.7</v>
      </c>
      <c r="CU204" s="33" t="str">
        <f t="shared" si="112"/>
        <v xml:space="preserve"> 17 </v>
      </c>
      <c r="CV204" s="33">
        <f t="shared" si="113"/>
        <v>0.17326042666494795</v>
      </c>
      <c r="CW204" s="33" t="str">
        <f t="shared" si="114"/>
        <v xml:space="preserve"> 17 </v>
      </c>
      <c r="CX204" s="33">
        <f t="shared" si="115"/>
        <v>5.0999999999999996</v>
      </c>
      <c r="CY204" s="33" t="str">
        <f t="shared" si="116"/>
        <v xml:space="preserve"> 17 </v>
      </c>
    </row>
    <row r="205" spans="1:103" x14ac:dyDescent="0.2">
      <c r="A205"/>
      <c r="B205">
        <v>-1786</v>
      </c>
      <c r="D205" t="s">
        <v>1212</v>
      </c>
      <c r="E205" t="s">
        <v>1212</v>
      </c>
      <c r="I205" s="33">
        <f t="shared" si="143"/>
        <v>303.60000000000002</v>
      </c>
      <c r="J205" s="33">
        <f t="shared" si="117"/>
        <v>2.4115805206229179</v>
      </c>
      <c r="K205" s="44">
        <f t="shared" si="141"/>
        <v>5.4</v>
      </c>
      <c r="L205" s="33">
        <f t="shared" si="142"/>
        <v>214.2</v>
      </c>
      <c r="M205" s="33" t="s">
        <v>345</v>
      </c>
      <c r="Q205" s="44" t="str">
        <f t="shared" si="145"/>
        <v xml:space="preserve"> </v>
      </c>
      <c r="R205" s="33" t="str">
        <f>IF(OR(ISBLANK(P205), ISBLANK(Q205)),"",CONCATENATE(" ",VLOOKUP(Q205,Literatuur!$A:$B,2,FALSE)," "))</f>
        <v/>
      </c>
      <c r="T205" s="44" t="str">
        <f t="shared" si="129"/>
        <v xml:space="preserve"> </v>
      </c>
      <c r="U205" s="33" t="str">
        <f>IF(OR(ISBLANK(S205), ISBLANK(T205)),"",CONCATENATE(" ",VLOOKUP(T205,Literatuur!$A:$B,2,FALSE)," "))</f>
        <v/>
      </c>
      <c r="W205" s="44" t="str">
        <f t="shared" si="130"/>
        <v xml:space="preserve"> </v>
      </c>
      <c r="X205" s="33" t="str">
        <f>IF(OR(ISBLANK(V205), ISBLANK(W205)),"",CONCATENATE(" ",VLOOKUP(W205,Literatuur!$A:$B,2,FALSE)," "))</f>
        <v/>
      </c>
      <c r="Z205" s="44" t="str">
        <f t="shared" si="131"/>
        <v xml:space="preserve"> </v>
      </c>
      <c r="AA205" s="33" t="str">
        <f>IF(OR(ISBLANK(Y205), ISBLANK(Z205)),"",CONCATENATE(" ",VLOOKUP(Z205,Literatuur!$A:$B,2,FALSE)," "))</f>
        <v/>
      </c>
      <c r="AC205" s="36" t="str">
        <f t="shared" si="132"/>
        <v xml:space="preserve"> </v>
      </c>
      <c r="AD205" s="33" t="str">
        <f>IF(OR(ISBLANK(AB205), ISBLANK(AC205)),"",CONCATENATE(" ",VLOOKUP(AC205,Literatuur!$A:$B,2,FALSE)," "))</f>
        <v/>
      </c>
      <c r="AE205" s="365">
        <v>2.4115805206229179</v>
      </c>
      <c r="AF205" s="33" t="s">
        <v>1557</v>
      </c>
      <c r="AG205" s="33" t="str">
        <f>IF(OR(ISBLANK(AE205), ISBLANK(AF205)),"",CONCATENATE(" ",VLOOKUP(AF205,Literatuur!$A:$B,2,FALSE)," "))</f>
        <v xml:space="preserve"> 17 </v>
      </c>
      <c r="AJ205" s="44" t="str">
        <f t="shared" si="133"/>
        <v xml:space="preserve"> </v>
      </c>
      <c r="AK205" s="33" t="str">
        <f>IF(OR(ISBLANK(AI205), ISBLANK(AJ205)),"",CONCATENATE(" ",VLOOKUP(AJ205,Literatuur!$A:$B,2,FALSE)," "))</f>
        <v/>
      </c>
      <c r="AM205" s="44" t="str">
        <f t="shared" si="134"/>
        <v xml:space="preserve"> </v>
      </c>
      <c r="AN205" s="33" t="str">
        <f>IF(OR(ISBLANK(AL205), ISBLANK(AM205)),"",CONCATENATE(" ",VLOOKUP(AM205,Literatuur!$A:$B,2,FALSE)," "))</f>
        <v/>
      </c>
      <c r="AP205" s="44" t="str">
        <f t="shared" si="135"/>
        <v xml:space="preserve"> </v>
      </c>
      <c r="AQ205" s="33" t="str">
        <f>IF(OR(ISBLANK(AO205), ISBLANK(AP205)),"",CONCATENATE(" ",VLOOKUP(AP205,Literatuur!$A:$B,2,FALSE)," "))</f>
        <v/>
      </c>
      <c r="AS205"/>
      <c r="AT205" s="33" t="str">
        <f>IF(OR(ISBLANK(AR205), ISBLANK(AS205)),"",CONCATENATE(" ",VLOOKUP(AS205,Literatuur!$A:$B,2,FALSE)," "))</f>
        <v/>
      </c>
      <c r="AU205">
        <v>303.60000000000002</v>
      </c>
      <c r="AV205" s="33" t="s">
        <v>1557</v>
      </c>
      <c r="AW205" s="33" t="str">
        <f>IF(OR(ISBLANK(AU205), ISBLANK(AV205)),"",CONCATENATE(" ",VLOOKUP(AV205,Literatuur!$A:$B,2,FALSE)," "))</f>
        <v xml:space="preserve"> 17 </v>
      </c>
      <c r="AZ205" s="44" t="str">
        <f t="shared" si="136"/>
        <v xml:space="preserve"> </v>
      </c>
      <c r="BA205" s="33" t="str">
        <f>IF(OR(ISBLANK(AY205), ISBLANK(AZ205)),"",CONCATENATE(" ",VLOOKUP(AZ205,Literatuur!$A:$B,2,FALSE)," "))</f>
        <v/>
      </c>
      <c r="BC205" s="44" t="str">
        <f t="shared" si="137"/>
        <v xml:space="preserve"> </v>
      </c>
      <c r="BD205" s="33" t="str">
        <f>IF(OR(ISBLANK(BB205), ISBLANK(BC205)),"",CONCATENATE(" ",VLOOKUP(BC205,Literatuur!$A:$B,2,FALSE)," "))</f>
        <v/>
      </c>
      <c r="BF205" s="44" t="str">
        <f t="shared" si="138"/>
        <v xml:space="preserve"> </v>
      </c>
      <c r="BG205" s="33" t="str">
        <f>IF(OR(ISBLANK(BE205), ISBLANK(BF205)),"",CONCATENATE(" ",VLOOKUP(BF205,Literatuur!$A:$B,2,FALSE)," "))</f>
        <v/>
      </c>
      <c r="BI205" s="44" t="str">
        <f t="shared" si="139"/>
        <v xml:space="preserve"> </v>
      </c>
      <c r="BJ205" s="33" t="str">
        <f>IF(OR(ISBLANK(BH205), ISBLANK(BI205)),"",CONCATENATE(" ",VLOOKUP(BI205,Literatuur!$A:$B,2,FALSE)," "))</f>
        <v/>
      </c>
      <c r="BL205" s="44" t="str">
        <f t="shared" si="140"/>
        <v xml:space="preserve"> </v>
      </c>
      <c r="BM205" s="33" t="str">
        <f>IF(OR(ISBLANK(BK205), ISBLANK(BL205)),"",CONCATENATE(" ",VLOOKUP(BL205,Literatuur!$A:$B,2,FALSE)," "))</f>
        <v/>
      </c>
      <c r="BO205"/>
      <c r="BP205" s="33" t="str">
        <f>IF(OR(ISBLANK(BN205), ISBLANK(BO205)),"",CONCATENATE(" ",VLOOKUP(BO205,Literatuur!$A:$B,2,FALSE)," "))</f>
        <v/>
      </c>
      <c r="BR205"/>
      <c r="BS205" s="33" t="str">
        <f>IF(OR(ISBLANK(BQ205), ISBLANK(BR205)),"",CONCATENATE(" ",VLOOKUP(BR205,Literatuur!$A:$B,2,FALSE)," "))</f>
        <v/>
      </c>
      <c r="BT205">
        <v>5.4</v>
      </c>
      <c r="BU205" s="33" t="s">
        <v>1557</v>
      </c>
      <c r="BV205" s="33" t="str">
        <f>IF(OR(ISBLANK(BT205), ISBLANK(BU205)),"",CONCATENATE(" ",VLOOKUP(BU205,Literatuur!$A:$B,2,FALSE)," "))</f>
        <v xml:space="preserve"> 17 </v>
      </c>
      <c r="BX205">
        <v>214.2</v>
      </c>
      <c r="CB205" s="33" t="s">
        <v>1557</v>
      </c>
      <c r="CD205" s="33">
        <f t="shared" si="146"/>
        <v>214.2</v>
      </c>
      <c r="CG205" s="33">
        <f t="shared" si="147"/>
        <v>0.38230176722344261</v>
      </c>
      <c r="CH205" s="33">
        <f t="shared" si="144"/>
        <v>5.4</v>
      </c>
      <c r="CR205" s="33" t="str">
        <f t="shared" si="109"/>
        <v>me-triclosan</v>
      </c>
      <c r="CS205" s="33" t="str">
        <f t="shared" si="110"/>
        <v>overige</v>
      </c>
      <c r="CT205" s="33">
        <f t="shared" si="111"/>
        <v>303.60000000000002</v>
      </c>
      <c r="CU205" s="33" t="str">
        <f t="shared" si="112"/>
        <v xml:space="preserve"> 17 </v>
      </c>
      <c r="CV205" s="33">
        <f t="shared" si="113"/>
        <v>2.4115805206229179</v>
      </c>
      <c r="CW205" s="33" t="str">
        <f t="shared" si="114"/>
        <v xml:space="preserve"> 17 </v>
      </c>
      <c r="CX205" s="33">
        <f t="shared" si="115"/>
        <v>5.4</v>
      </c>
      <c r="CY205" s="33" t="str">
        <f t="shared" si="116"/>
        <v xml:space="preserve"> 17 </v>
      </c>
    </row>
    <row r="206" spans="1:103" x14ac:dyDescent="0.2">
      <c r="A206"/>
      <c r="B206">
        <v>-1787</v>
      </c>
      <c r="D206" t="s">
        <v>1213</v>
      </c>
      <c r="E206" t="s">
        <v>1213</v>
      </c>
      <c r="I206" s="33">
        <f t="shared" si="143"/>
        <v>220.4</v>
      </c>
      <c r="J206" s="33">
        <f t="shared" si="117"/>
        <v>1.1046166629145078</v>
      </c>
      <c r="K206" s="44">
        <f t="shared" si="141"/>
        <v>4.5</v>
      </c>
      <c r="L206" s="33">
        <f t="shared" si="142"/>
        <v>238.8</v>
      </c>
      <c r="M206" s="33" t="s">
        <v>345</v>
      </c>
      <c r="Q206" s="44" t="str">
        <f t="shared" si="145"/>
        <v xml:space="preserve"> </v>
      </c>
      <c r="R206" s="33" t="str">
        <f>IF(OR(ISBLANK(P206), ISBLANK(Q206)),"",CONCATENATE(" ",VLOOKUP(Q206,Literatuur!$A:$B,2,FALSE)," "))</f>
        <v/>
      </c>
      <c r="T206" s="44" t="str">
        <f t="shared" ref="T206" si="148">IF(ISBLANK(S206)," ","Gestis")</f>
        <v xml:space="preserve"> </v>
      </c>
      <c r="U206" s="33" t="str">
        <f>IF(OR(ISBLANK(S206), ISBLANK(T206)),"",CONCATENATE(" ",VLOOKUP(T206,Literatuur!$A:$B,2,FALSE)," "))</f>
        <v/>
      </c>
      <c r="W206" s="44" t="str">
        <f t="shared" ref="W206" si="149">IF(ISBLANK(V206)," ","US EPA 1995")</f>
        <v xml:space="preserve"> </v>
      </c>
      <c r="X206" s="33" t="str">
        <f>IF(OR(ISBLANK(V206), ISBLANK(W206)),"",CONCATENATE(" ",VLOOKUP(W206,Literatuur!$A:$B,2,FALSE)," "))</f>
        <v/>
      </c>
      <c r="Z206" s="44" t="str">
        <f t="shared" ref="Z206" si="150">IF(ISBLANK(Y206)," ","US EPA suite")</f>
        <v xml:space="preserve"> </v>
      </c>
      <c r="AA206" s="33" t="str">
        <f>IF(OR(ISBLANK(Y206), ISBLANK(Z206)),"",CONCATENATE(" ",VLOOKUP(Z206,Literatuur!$A:$B,2,FALSE)," "))</f>
        <v/>
      </c>
      <c r="AC206" s="36" t="str">
        <f t="shared" ref="AC206" si="151">IF(ISBLANK(AB206)," ","Vonk 1985")</f>
        <v xml:space="preserve"> </v>
      </c>
      <c r="AD206" s="33" t="str">
        <f>IF(OR(ISBLANK(AB206), ISBLANK(AC206)),"",CONCATENATE(" ",VLOOKUP(AC206,Literatuur!$A:$B,2,FALSE)," "))</f>
        <v/>
      </c>
      <c r="AE206" s="365">
        <v>1.1046166629145078</v>
      </c>
      <c r="AF206" s="33" t="s">
        <v>1557</v>
      </c>
      <c r="AG206" s="33" t="str">
        <f>IF(OR(ISBLANK(AE206), ISBLANK(AF206)),"",CONCATENATE(" ",VLOOKUP(AF206,Literatuur!$A:$B,2,FALSE)," "))</f>
        <v xml:space="preserve"> 17 </v>
      </c>
      <c r="AJ206" s="44" t="str">
        <f t="shared" ref="AJ206" si="152">IF(ISBLANK(AI206)," ","Sanscrit")</f>
        <v xml:space="preserve"> </v>
      </c>
      <c r="AK206" s="33" t="str">
        <f>IF(OR(ISBLANK(AI206), ISBLANK(AJ206)),"",CONCATENATE(" ",VLOOKUP(AJ206,Literatuur!$A:$B,2,FALSE)," "))</f>
        <v/>
      </c>
      <c r="AM206" s="44" t="str">
        <f t="shared" ref="AM206" si="153">IF(ISBLANK(AL206)," ","Gestis")</f>
        <v xml:space="preserve"> </v>
      </c>
      <c r="AN206" s="33" t="str">
        <f>IF(OR(ISBLANK(AL206), ISBLANK(AM206)),"",CONCATENATE(" ",VLOOKUP(AM206,Literatuur!$A:$B,2,FALSE)," "))</f>
        <v/>
      </c>
      <c r="AP206" s="44" t="str">
        <f t="shared" ref="AP206" si="154">IF(ISBLANK(AO206)," ","US EPA suite")</f>
        <v xml:space="preserve"> </v>
      </c>
      <c r="AQ206" s="33" t="str">
        <f>IF(OR(ISBLANK(AO206), ISBLANK(AP206)),"",CONCATENATE(" ",VLOOKUP(AP206,Literatuur!$A:$B,2,FALSE)," "))</f>
        <v/>
      </c>
      <c r="AS206"/>
      <c r="AT206" s="33" t="str">
        <f>IF(OR(ISBLANK(AR206), ISBLANK(AS206)),"",CONCATENATE(" ",VLOOKUP(AS206,Literatuur!$A:$B,2,FALSE)," "))</f>
        <v/>
      </c>
      <c r="AU206">
        <v>220.4</v>
      </c>
      <c r="AV206" s="33" t="s">
        <v>1557</v>
      </c>
      <c r="AW206" s="33" t="str">
        <f>IF(OR(ISBLANK(AU206), ISBLANK(AV206)),"",CONCATENATE(" ",VLOOKUP(AV206,Literatuur!$A:$B,2,FALSE)," "))</f>
        <v xml:space="preserve"> 17 </v>
      </c>
      <c r="AZ206" s="44" t="str">
        <f t="shared" ref="AZ206" si="155">IF(ISBLANK(AY206)," ","Sanscrit")</f>
        <v xml:space="preserve"> </v>
      </c>
      <c r="BA206" s="33" t="str">
        <f>IF(OR(ISBLANK(AY206), ISBLANK(AZ206)),"",CONCATENATE(" ",VLOOKUP(AZ206,Literatuur!$A:$B,2,FALSE)," "))</f>
        <v/>
      </c>
      <c r="BC206" s="44" t="str">
        <f t="shared" ref="BC206" si="156">IF(ISBLANK(BB206)," ","Gestis")</f>
        <v xml:space="preserve"> </v>
      </c>
      <c r="BD206" s="33" t="str">
        <f>IF(OR(ISBLANK(BB206), ISBLANK(BC206)),"",CONCATENATE(" ",VLOOKUP(BC206,Literatuur!$A:$B,2,FALSE)," "))</f>
        <v/>
      </c>
      <c r="BF206" s="44" t="str">
        <f t="shared" ref="BF206" si="157">IF(ISBLANK(BE206)," ","US EPA 1995")</f>
        <v xml:space="preserve"> </v>
      </c>
      <c r="BG206" s="33" t="str">
        <f>IF(OR(ISBLANK(BE206), ISBLANK(BF206)),"",CONCATENATE(" ",VLOOKUP(BF206,Literatuur!$A:$B,2,FALSE)," "))</f>
        <v/>
      </c>
      <c r="BI206" s="44" t="str">
        <f t="shared" ref="BI206" si="158">IF(ISBLANK(BH206)," ","US EPA suite")</f>
        <v xml:space="preserve"> </v>
      </c>
      <c r="BJ206" s="33" t="str">
        <f>IF(OR(ISBLANK(BH206), ISBLANK(BI206)),"",CONCATENATE(" ",VLOOKUP(BI206,Literatuur!$A:$B,2,FALSE)," "))</f>
        <v/>
      </c>
      <c r="BL206" s="44" t="str">
        <f t="shared" ref="BL206" si="159">IF(ISBLANK(BK206)," ","Sangster 1989")</f>
        <v xml:space="preserve"> </v>
      </c>
      <c r="BM206" s="33" t="str">
        <f>IF(OR(ISBLANK(BK206), ISBLANK(BL206)),"",CONCATENATE(" ",VLOOKUP(BL206,Literatuur!$A:$B,2,FALSE)," "))</f>
        <v/>
      </c>
      <c r="BO206"/>
      <c r="BP206" s="33" t="str">
        <f>IF(OR(ISBLANK(BN206), ISBLANK(BO206)),"",CONCATENATE(" ",VLOOKUP(BO206,Literatuur!$A:$B,2,FALSE)," "))</f>
        <v/>
      </c>
      <c r="BR206"/>
      <c r="BS206" s="33" t="str">
        <f>IF(OR(ISBLANK(BQ206), ISBLANK(BR206)),"",CONCATENATE(" ",VLOOKUP(BR206,Literatuur!$A:$B,2,FALSE)," "))</f>
        <v/>
      </c>
      <c r="BT206">
        <v>4.5</v>
      </c>
      <c r="BU206" s="33" t="s">
        <v>1557</v>
      </c>
      <c r="BV206" s="33" t="str">
        <f>IF(OR(ISBLANK(BT206), ISBLANK(BU206)),"",CONCATENATE(" ",VLOOKUP(BU206,Literatuur!$A:$B,2,FALSE)," "))</f>
        <v xml:space="preserve"> 17 </v>
      </c>
      <c r="BX206">
        <v>238.8</v>
      </c>
      <c r="CB206" s="33" t="s">
        <v>1557</v>
      </c>
      <c r="CD206" s="33">
        <f t="shared" si="146"/>
        <v>238.8</v>
      </c>
      <c r="CG206" s="33">
        <f t="shared" si="147"/>
        <v>4.3211590179747301E-2</v>
      </c>
      <c r="CH206" s="33">
        <f t="shared" si="144"/>
        <v>4.5</v>
      </c>
      <c r="CR206" s="33" t="str">
        <f t="shared" ref="CR206:CR269" si="160">IF(ISBLANK(E206),"",E206)</f>
        <v>n-nonylphenol</v>
      </c>
      <c r="CS206" s="33" t="str">
        <f t="shared" ref="CS206:CS269" si="161">IF(ISBLANK(M206),"",M206)</f>
        <v>overige</v>
      </c>
      <c r="CT206" s="33">
        <f t="shared" ref="CT206:CT218" si="162">IF(OR(ISBLANK(I206),ISERROR(I206)),"",I206)</f>
        <v>220.4</v>
      </c>
      <c r="CU206" s="33" t="str">
        <f t="shared" ref="CU206:CU269" si="163">IF(ISBLANK(AI206),CONCATENATE(AN206,AQ206,AT206,AW206,AX206),AK206)</f>
        <v xml:space="preserve"> 17 </v>
      </c>
      <c r="CV206" s="33">
        <f t="shared" ref="CV206:CV269" si="164">IF(OR(ISBLANK(J206),ISERROR(J206)),"",J206)</f>
        <v>1.1046166629145078</v>
      </c>
      <c r="CW206" s="33" t="str">
        <f t="shared" ref="CW206:CW269" si="165">IF(ISBLANK(P206),CONCATENATE(U206,X206,AA206,AD206,AG206),R206)</f>
        <v xml:space="preserve"> 17 </v>
      </c>
      <c r="CX206" s="33">
        <f t="shared" ref="CX206:CX269" si="166">IF(OR(ISBLANK(K206),ISERROR(K206)),"",K206)</f>
        <v>4.5</v>
      </c>
      <c r="CY206" s="33" t="str">
        <f t="shared" ref="CY206:CY269" si="167">IF(ISBLANK(AY206),CONCATENATE(BD206,BG206,BJ206,BM206,BP206,BS206,BV206,BW206),BA206)</f>
        <v xml:space="preserve"> 17 </v>
      </c>
    </row>
    <row r="207" spans="1:103" x14ac:dyDescent="0.2">
      <c r="B207" s="33">
        <v>-1813</v>
      </c>
      <c r="D207" s="4" t="s">
        <v>1977</v>
      </c>
      <c r="E207" s="4" t="s">
        <v>1977</v>
      </c>
      <c r="I207" s="33" t="e">
        <f t="shared" si="143"/>
        <v>#DIV/0!</v>
      </c>
      <c r="J207" s="33" t="e">
        <f t="shared" ref="J207:J270" si="168">IF(ISNUMBER(P207),P207,AVERAGE(S207:AE207))</f>
        <v>#DIV/0!</v>
      </c>
      <c r="K207" s="44" t="e">
        <f t="shared" si="141"/>
        <v>#DIV/0!</v>
      </c>
      <c r="M207" s="33" t="s">
        <v>345</v>
      </c>
      <c r="CR207" s="33" t="str">
        <f t="shared" si="160"/>
        <v>n-nonylphenol-tech</v>
      </c>
      <c r="CS207" s="33" t="str">
        <f t="shared" si="161"/>
        <v>overige</v>
      </c>
      <c r="CT207" s="33" t="str">
        <f t="shared" si="162"/>
        <v/>
      </c>
      <c r="CU207" s="33" t="str">
        <f t="shared" si="163"/>
        <v/>
      </c>
      <c r="CV207" s="33" t="str">
        <f t="shared" si="164"/>
        <v/>
      </c>
      <c r="CW207" s="33" t="str">
        <f t="shared" si="165"/>
        <v/>
      </c>
      <c r="CX207" s="33" t="str">
        <f t="shared" si="166"/>
        <v/>
      </c>
      <c r="CY207" s="33" t="str">
        <f t="shared" si="167"/>
        <v/>
      </c>
    </row>
    <row r="208" spans="1:103" x14ac:dyDescent="0.2">
      <c r="A208"/>
      <c r="B208">
        <v>-1788</v>
      </c>
      <c r="D208" t="s">
        <v>1214</v>
      </c>
      <c r="E208" t="s">
        <v>1214</v>
      </c>
      <c r="I208" s="33">
        <f t="shared" si="143"/>
        <v>206.3</v>
      </c>
      <c r="J208" s="33">
        <f t="shared" si="168"/>
        <v>5.1820217082042594</v>
      </c>
      <c r="K208" s="44">
        <f t="shared" si="141"/>
        <v>4</v>
      </c>
      <c r="L208" s="33">
        <f>AVERAGE(BX208:BY208)</f>
        <v>222.3</v>
      </c>
      <c r="M208" s="33" t="s">
        <v>345</v>
      </c>
      <c r="Q208" s="44" t="str">
        <f>IF(ISBLANK(P208)," ","Sanscrit")</f>
        <v xml:space="preserve"> </v>
      </c>
      <c r="R208" s="33" t="str">
        <f>IF(OR(ISBLANK(P208), ISBLANK(Q208)),"",CONCATENATE(" ",VLOOKUP(Q208,Literatuur!$A:$B,2,FALSE)," "))</f>
        <v/>
      </c>
      <c r="T208" s="44" t="str">
        <f>IF(ISBLANK(S208)," ","Gestis")</f>
        <v xml:space="preserve"> </v>
      </c>
      <c r="U208" s="33" t="str">
        <f>IF(OR(ISBLANK(S208), ISBLANK(T208)),"",CONCATENATE(" ",VLOOKUP(T208,Literatuur!$A:$B,2,FALSE)," "))</f>
        <v/>
      </c>
      <c r="W208" s="44" t="str">
        <f>IF(ISBLANK(V208)," ","US EPA 1995")</f>
        <v xml:space="preserve"> </v>
      </c>
      <c r="X208" s="33" t="str">
        <f>IF(OR(ISBLANK(V208), ISBLANK(W208)),"",CONCATENATE(" ",VLOOKUP(W208,Literatuur!$A:$B,2,FALSE)," "))</f>
        <v/>
      </c>
      <c r="Z208" s="44" t="str">
        <f>IF(ISBLANK(Y208)," ","US EPA suite")</f>
        <v xml:space="preserve"> </v>
      </c>
      <c r="AA208" s="33" t="str">
        <f>IF(OR(ISBLANK(Y208), ISBLANK(Z208)),"",CONCATENATE(" ",VLOOKUP(Z208,Literatuur!$A:$B,2,FALSE)," "))</f>
        <v/>
      </c>
      <c r="AC208" s="36" t="str">
        <f>IF(ISBLANK(AB208)," ","Vonk 1985")</f>
        <v xml:space="preserve"> </v>
      </c>
      <c r="AD208" s="33" t="str">
        <f>IF(OR(ISBLANK(AB208), ISBLANK(AC208)),"",CONCATENATE(" ",VLOOKUP(AC208,Literatuur!$A:$B,2,FALSE)," "))</f>
        <v/>
      </c>
      <c r="AE208" s="365">
        <v>5.1820217082042594</v>
      </c>
      <c r="AF208" s="33" t="s">
        <v>1557</v>
      </c>
      <c r="AG208" s="33" t="str">
        <f>IF(OR(ISBLANK(AE208), ISBLANK(AF208)),"",CONCATENATE(" ",VLOOKUP(AF208,Literatuur!$A:$B,2,FALSE)," "))</f>
        <v xml:space="preserve"> 17 </v>
      </c>
      <c r="AJ208" s="44" t="str">
        <f>IF(ISBLANK(AI208)," ","Sanscrit")</f>
        <v xml:space="preserve"> </v>
      </c>
      <c r="AK208" s="33" t="str">
        <f>IF(OR(ISBLANK(AI208), ISBLANK(AJ208)),"",CONCATENATE(" ",VLOOKUP(AJ208,Literatuur!$A:$B,2,FALSE)," "))</f>
        <v/>
      </c>
      <c r="AM208" s="44" t="str">
        <f>IF(ISBLANK(AL208)," ","Gestis")</f>
        <v xml:space="preserve"> </v>
      </c>
      <c r="AN208" s="33" t="str">
        <f>IF(OR(ISBLANK(AL208), ISBLANK(AM208)),"",CONCATENATE(" ",VLOOKUP(AM208,Literatuur!$A:$B,2,FALSE)," "))</f>
        <v/>
      </c>
      <c r="AP208" s="44" t="str">
        <f>IF(ISBLANK(AO208)," ","US EPA suite")</f>
        <v xml:space="preserve"> </v>
      </c>
      <c r="AQ208" s="33" t="str">
        <f>IF(OR(ISBLANK(AO208), ISBLANK(AP208)),"",CONCATENATE(" ",VLOOKUP(AP208,Literatuur!$A:$B,2,FALSE)," "))</f>
        <v/>
      </c>
      <c r="AS208"/>
      <c r="AT208" s="33" t="str">
        <f>IF(OR(ISBLANK(AR208), ISBLANK(AS208)),"",CONCATENATE(" ",VLOOKUP(AS208,Literatuur!$A:$B,2,FALSE)," "))</f>
        <v/>
      </c>
      <c r="AU208">
        <v>206.3</v>
      </c>
      <c r="AV208" s="33" t="s">
        <v>1557</v>
      </c>
      <c r="AW208" s="33" t="str">
        <f>IF(OR(ISBLANK(AU208), ISBLANK(AV208)),"",CONCATENATE(" ",VLOOKUP(AV208,Literatuur!$A:$B,2,FALSE)," "))</f>
        <v xml:space="preserve"> 17 </v>
      </c>
      <c r="AZ208" s="44" t="str">
        <f>IF(ISBLANK(AY208)," ","Sanscrit")</f>
        <v xml:space="preserve"> </v>
      </c>
      <c r="BA208" s="33" t="str">
        <f>IF(OR(ISBLANK(AY208), ISBLANK(AZ208)),"",CONCATENATE(" ",VLOOKUP(AZ208,Literatuur!$A:$B,2,FALSE)," "))</f>
        <v/>
      </c>
      <c r="BC208" s="44" t="str">
        <f>IF(ISBLANK(BB208)," ","Gestis")</f>
        <v xml:space="preserve"> </v>
      </c>
      <c r="BD208" s="33" t="str">
        <f>IF(OR(ISBLANK(BB208), ISBLANK(BC208)),"",CONCATENATE(" ",VLOOKUP(BC208,Literatuur!$A:$B,2,FALSE)," "))</f>
        <v/>
      </c>
      <c r="BF208" s="44" t="str">
        <f>IF(ISBLANK(BE208)," ","US EPA 1995")</f>
        <v xml:space="preserve"> </v>
      </c>
      <c r="BG208" s="33" t="str">
        <f>IF(OR(ISBLANK(BE208), ISBLANK(BF208)),"",CONCATENATE(" ",VLOOKUP(BF208,Literatuur!$A:$B,2,FALSE)," "))</f>
        <v/>
      </c>
      <c r="BI208" s="44" t="str">
        <f>IF(ISBLANK(BH208)," ","US EPA suite")</f>
        <v xml:space="preserve"> </v>
      </c>
      <c r="BJ208" s="33" t="str">
        <f>IF(OR(ISBLANK(BH208), ISBLANK(BI208)),"",CONCATENATE(" ",VLOOKUP(BI208,Literatuur!$A:$B,2,FALSE)," "))</f>
        <v/>
      </c>
      <c r="BL208" s="44" t="str">
        <f>IF(ISBLANK(BK208)," ","Sangster 1989")</f>
        <v xml:space="preserve"> </v>
      </c>
      <c r="BM208" s="33" t="str">
        <f>IF(OR(ISBLANK(BK208), ISBLANK(BL208)),"",CONCATENATE(" ",VLOOKUP(BL208,Literatuur!$A:$B,2,FALSE)," "))</f>
        <v/>
      </c>
      <c r="BO208"/>
      <c r="BP208" s="33" t="str">
        <f>IF(OR(ISBLANK(BN208), ISBLANK(BO208)),"",CONCATENATE(" ",VLOOKUP(BO208,Literatuur!$A:$B,2,FALSE)," "))</f>
        <v/>
      </c>
      <c r="BR208"/>
      <c r="BS208" s="33" t="str">
        <f>IF(OR(ISBLANK(BQ208), ISBLANK(BR208)),"",CONCATENATE(" ",VLOOKUP(BR208,Literatuur!$A:$B,2,FALSE)," "))</f>
        <v/>
      </c>
      <c r="BT208">
        <v>4</v>
      </c>
      <c r="BU208" s="33" t="s">
        <v>1557</v>
      </c>
      <c r="BV208" s="33" t="str">
        <f>IF(OR(ISBLANK(BT208), ISBLANK(BU208)),"",CONCATENATE(" ",VLOOKUP(BU208,Literatuur!$A:$B,2,FALSE)," "))</f>
        <v xml:space="preserve"> 17 </v>
      </c>
      <c r="BX208">
        <v>222.3</v>
      </c>
      <c r="CB208" s="33" t="s">
        <v>1557</v>
      </c>
      <c r="CD208" s="33">
        <f>L208</f>
        <v>222.3</v>
      </c>
      <c r="CG208" s="33">
        <f>LOG(J208)</f>
        <v>0.71449922797315124</v>
      </c>
      <c r="CH208" s="33">
        <f>K208</f>
        <v>4</v>
      </c>
      <c r="CR208" s="33" t="str">
        <f t="shared" si="160"/>
        <v>n-octylphenol</v>
      </c>
      <c r="CS208" s="33" t="str">
        <f t="shared" si="161"/>
        <v>overige</v>
      </c>
      <c r="CT208" s="33">
        <f t="shared" si="162"/>
        <v>206.3</v>
      </c>
      <c r="CU208" s="33" t="str">
        <f t="shared" si="163"/>
        <v xml:space="preserve"> 17 </v>
      </c>
      <c r="CV208" s="33">
        <f t="shared" si="164"/>
        <v>5.1820217082042594</v>
      </c>
      <c r="CW208" s="33" t="str">
        <f t="shared" si="165"/>
        <v xml:space="preserve"> 17 </v>
      </c>
      <c r="CX208" s="33">
        <f t="shared" si="166"/>
        <v>4</v>
      </c>
      <c r="CY208" s="33" t="str">
        <f t="shared" si="167"/>
        <v xml:space="preserve"> 17 </v>
      </c>
    </row>
    <row r="209" spans="1:103" x14ac:dyDescent="0.2">
      <c r="B209" s="33">
        <v>-1814</v>
      </c>
      <c r="D209" s="4" t="s">
        <v>1978</v>
      </c>
      <c r="E209" s="4" t="s">
        <v>1978</v>
      </c>
      <c r="I209" s="33" t="e">
        <f t="shared" si="143"/>
        <v>#DIV/0!</v>
      </c>
      <c r="J209" s="33" t="e">
        <f t="shared" si="168"/>
        <v>#DIV/0!</v>
      </c>
      <c r="K209" s="44" t="e">
        <f t="shared" si="141"/>
        <v>#DIV/0!</v>
      </c>
      <c r="M209" s="33" t="s">
        <v>345</v>
      </c>
      <c r="CR209" s="33" t="str">
        <f t="shared" si="160"/>
        <v>nonylphenol-d4</v>
      </c>
      <c r="CS209" s="33" t="str">
        <f t="shared" si="161"/>
        <v>overige</v>
      </c>
      <c r="CT209" s="33" t="str">
        <f t="shared" si="162"/>
        <v/>
      </c>
      <c r="CU209" s="33" t="str">
        <f t="shared" si="163"/>
        <v/>
      </c>
      <c r="CV209" s="33" t="str">
        <f t="shared" si="164"/>
        <v/>
      </c>
      <c r="CW209" s="33" t="str">
        <f t="shared" si="165"/>
        <v/>
      </c>
      <c r="CX209" s="33" t="str">
        <f t="shared" si="166"/>
        <v/>
      </c>
      <c r="CY209" s="33" t="str">
        <f t="shared" si="167"/>
        <v/>
      </c>
    </row>
    <row r="210" spans="1:103" x14ac:dyDescent="0.2">
      <c r="A210"/>
      <c r="B210">
        <v>-1766</v>
      </c>
      <c r="C210"/>
      <c r="D210" t="s">
        <v>1196</v>
      </c>
      <c r="E210" t="s">
        <v>1196</v>
      </c>
      <c r="I210" s="33">
        <f t="shared" si="143"/>
        <v>320.10000000000002</v>
      </c>
      <c r="J210" s="33">
        <f t="shared" si="168"/>
        <v>0.32010000000000005</v>
      </c>
      <c r="K210" s="44">
        <f t="shared" si="141"/>
        <v>6.8</v>
      </c>
      <c r="L210" s="33">
        <f>AVERAGE(BX210:BY210)</f>
        <v>224.8</v>
      </c>
      <c r="M210" s="33" t="s">
        <v>345</v>
      </c>
      <c r="Q210" s="44" t="str">
        <f>IF(ISBLANK(P210)," ","Sanscrit")</f>
        <v xml:space="preserve"> </v>
      </c>
      <c r="R210" s="33" t="str">
        <f>IF(OR(ISBLANK(P210), ISBLANK(Q210)),"",CONCATENATE(" ",VLOOKUP(Q210,Literatuur!$A:$B,2,FALSE)," "))</f>
        <v/>
      </c>
      <c r="T210" s="44" t="str">
        <f>IF(ISBLANK(S210)," ","Gestis")</f>
        <v xml:space="preserve"> </v>
      </c>
      <c r="U210" s="33" t="str">
        <f>IF(OR(ISBLANK(S210), ISBLANK(T210)),"",CONCATENATE(" ",VLOOKUP(T210,Literatuur!$A:$B,2,FALSE)," "))</f>
        <v/>
      </c>
      <c r="W210" s="44" t="str">
        <f>IF(ISBLANK(V210)," ","US EPA 1995")</f>
        <v xml:space="preserve"> </v>
      </c>
      <c r="X210" s="33" t="str">
        <f>IF(OR(ISBLANK(V210), ISBLANK(W210)),"",CONCATENATE(" ",VLOOKUP(W210,Literatuur!$A:$B,2,FALSE)," "))</f>
        <v/>
      </c>
      <c r="Z210" s="44" t="str">
        <f>IF(ISBLANK(Y210)," ","US EPA suite")</f>
        <v xml:space="preserve"> </v>
      </c>
      <c r="AA210" s="33" t="str">
        <f>IF(OR(ISBLANK(Y210), ISBLANK(Z210)),"",CONCATENATE(" ",VLOOKUP(Z210,Literatuur!$A:$B,2,FALSE)," "))</f>
        <v/>
      </c>
      <c r="AC210" s="36" t="str">
        <f>IF(ISBLANK(AB210)," ","Vonk 1985")</f>
        <v xml:space="preserve"> </v>
      </c>
      <c r="AD210" s="33" t="str">
        <f>IF(OR(ISBLANK(AB210), ISBLANK(AC210)),"",CONCATENATE(" ",VLOOKUP(AC210,Literatuur!$A:$B,2,FALSE)," "))</f>
        <v/>
      </c>
      <c r="AE210" s="365">
        <v>0.32010000000000005</v>
      </c>
      <c r="AF210" s="33" t="s">
        <v>1557</v>
      </c>
      <c r="AG210" s="33" t="str">
        <f>IF(OR(ISBLANK(AE210), ISBLANK(AF210)),"",CONCATENATE(" ",VLOOKUP(AF210,Literatuur!$A:$B,2,FALSE)," "))</f>
        <v xml:space="preserve"> 17 </v>
      </c>
      <c r="AJ210" s="44" t="str">
        <f>IF(ISBLANK(AI210)," ","Sanscrit")</f>
        <v xml:space="preserve"> </v>
      </c>
      <c r="AK210" s="33" t="str">
        <f>IF(OR(ISBLANK(AI210), ISBLANK(AJ210)),"",CONCATENATE(" ",VLOOKUP(AJ210,Literatuur!$A:$B,2,FALSE)," "))</f>
        <v/>
      </c>
      <c r="AM210" s="44" t="str">
        <f>IF(ISBLANK(AL210)," ","Gestis")</f>
        <v xml:space="preserve"> </v>
      </c>
      <c r="AN210" s="33" t="str">
        <f>IF(OR(ISBLANK(AL210), ISBLANK(AM210)),"",CONCATENATE(" ",VLOOKUP(AM210,Literatuur!$A:$B,2,FALSE)," "))</f>
        <v/>
      </c>
      <c r="AP210" s="44" t="str">
        <f>IF(ISBLANK(AO210)," ","US EPA suite")</f>
        <v xml:space="preserve"> </v>
      </c>
      <c r="AQ210" s="33" t="str">
        <f>IF(OR(ISBLANK(AO210), ISBLANK(AP210)),"",CONCATENATE(" ",VLOOKUP(AP210,Literatuur!$A:$B,2,FALSE)," "))</f>
        <v/>
      </c>
      <c r="AS210"/>
      <c r="AT210" s="33" t="str">
        <f>IF(OR(ISBLANK(AR210), ISBLANK(AS210)),"",CONCATENATE(" ",VLOOKUP(AS210,Literatuur!$A:$B,2,FALSE)," "))</f>
        <v/>
      </c>
      <c r="AU210">
        <v>320.10000000000002</v>
      </c>
      <c r="AV210" s="33" t="s">
        <v>1557</v>
      </c>
      <c r="AW210" s="33" t="str">
        <f>IF(OR(ISBLANK(AU210), ISBLANK(AV210)),"",CONCATENATE(" ",VLOOKUP(AV210,Literatuur!$A:$B,2,FALSE)," "))</f>
        <v xml:space="preserve"> 17 </v>
      </c>
      <c r="AZ210" s="44" t="str">
        <f>IF(ISBLANK(AY210)," ","Sanscrit")</f>
        <v xml:space="preserve"> </v>
      </c>
      <c r="BA210" s="33" t="str">
        <f>IF(OR(ISBLANK(AY210), ISBLANK(AZ210)),"",CONCATENATE(" ",VLOOKUP(AZ210,Literatuur!$A:$B,2,FALSE)," "))</f>
        <v/>
      </c>
      <c r="BC210" s="44" t="str">
        <f>IF(ISBLANK(BB210)," ","Gestis")</f>
        <v xml:space="preserve"> </v>
      </c>
      <c r="BD210" s="33" t="str">
        <f>IF(OR(ISBLANK(BB210), ISBLANK(BC210)),"",CONCATENATE(" ",VLOOKUP(BC210,Literatuur!$A:$B,2,FALSE)," "))</f>
        <v/>
      </c>
      <c r="BF210" s="44" t="str">
        <f>IF(ISBLANK(BE210)," ","US EPA 1995")</f>
        <v xml:space="preserve"> </v>
      </c>
      <c r="BG210" s="33" t="str">
        <f>IF(OR(ISBLANK(BE210), ISBLANK(BF210)),"",CONCATENATE(" ",VLOOKUP(BF210,Literatuur!$A:$B,2,FALSE)," "))</f>
        <v/>
      </c>
      <c r="BI210" s="44" t="str">
        <f>IF(ISBLANK(BH210)," ","US EPA suite")</f>
        <v xml:space="preserve"> </v>
      </c>
      <c r="BJ210" s="33" t="str">
        <f>IF(OR(ISBLANK(BH210), ISBLANK(BI210)),"",CONCATENATE(" ",VLOOKUP(BI210,Literatuur!$A:$B,2,FALSE)," "))</f>
        <v/>
      </c>
      <c r="BL210" s="44" t="str">
        <f>IF(ISBLANK(BK210)," ","Sangster 1989")</f>
        <v xml:space="preserve"> </v>
      </c>
      <c r="BM210" s="33" t="str">
        <f>IF(OR(ISBLANK(BK210), ISBLANK(BL210)),"",CONCATENATE(" ",VLOOKUP(BL210,Literatuur!$A:$B,2,FALSE)," "))</f>
        <v/>
      </c>
      <c r="BO210"/>
      <c r="BP210" s="33" t="str">
        <f>IF(OR(ISBLANK(BN210), ISBLANK(BO210)),"",CONCATENATE(" ",VLOOKUP(BO210,Literatuur!$A:$B,2,FALSE)," "))</f>
        <v/>
      </c>
      <c r="BR210"/>
      <c r="BS210" s="33" t="str">
        <f>IF(OR(ISBLANK(BQ210), ISBLANK(BR210)),"",CONCATENATE(" ",VLOOKUP(BR210,Literatuur!$A:$B,2,FALSE)," "))</f>
        <v/>
      </c>
      <c r="BT210">
        <v>6.8</v>
      </c>
      <c r="BU210" s="33" t="s">
        <v>1557</v>
      </c>
      <c r="BV210" s="33" t="str">
        <f>IF(OR(ISBLANK(BT210), ISBLANK(BU210)),"",CONCATENATE(" ",VLOOKUP(BU210,Literatuur!$A:$B,2,FALSE)," "))</f>
        <v xml:space="preserve"> 17 </v>
      </c>
      <c r="BX210">
        <v>224.8</v>
      </c>
      <c r="CB210" s="33" t="s">
        <v>1557</v>
      </c>
      <c r="CD210" s="33">
        <f>L210</f>
        <v>224.8</v>
      </c>
      <c r="CG210" s="33">
        <f>LOG(J210)</f>
        <v>-0.49471432585586761</v>
      </c>
      <c r="CH210" s="33">
        <f>K210</f>
        <v>6.8</v>
      </c>
      <c r="CR210" s="33" t="str">
        <f t="shared" si="160"/>
        <v>o,p’-DDD</v>
      </c>
      <c r="CS210" s="33" t="str">
        <f t="shared" si="161"/>
        <v>overige</v>
      </c>
      <c r="CT210" s="33">
        <f t="shared" si="162"/>
        <v>320.10000000000002</v>
      </c>
      <c r="CU210" s="33" t="str">
        <f t="shared" si="163"/>
        <v xml:space="preserve"> 17 </v>
      </c>
      <c r="CV210" s="33">
        <f t="shared" si="164"/>
        <v>0.32010000000000005</v>
      </c>
      <c r="CW210" s="33" t="str">
        <f t="shared" si="165"/>
        <v xml:space="preserve"> 17 </v>
      </c>
      <c r="CX210" s="33">
        <f t="shared" si="166"/>
        <v>6.8</v>
      </c>
      <c r="CY210" s="33" t="str">
        <f t="shared" si="167"/>
        <v xml:space="preserve"> 17 </v>
      </c>
    </row>
    <row r="211" spans="1:103" x14ac:dyDescent="0.2">
      <c r="A211"/>
      <c r="B211">
        <v>-1768</v>
      </c>
      <c r="C211"/>
      <c r="D211" t="s">
        <v>1198</v>
      </c>
      <c r="E211" t="s">
        <v>1198</v>
      </c>
      <c r="I211" s="33">
        <f t="shared" si="143"/>
        <v>318</v>
      </c>
      <c r="J211" s="33">
        <f t="shared" si="168"/>
        <v>0.40033828095054486</v>
      </c>
      <c r="K211" s="44">
        <f t="shared" si="141"/>
        <v>7.1</v>
      </c>
      <c r="L211" s="33">
        <f>AVERAGE(BX211:BY211)</f>
        <v>221.1</v>
      </c>
      <c r="M211" s="33" t="s">
        <v>345</v>
      </c>
      <c r="Q211" s="44" t="str">
        <f>IF(ISBLANK(P211)," ","Sanscrit")</f>
        <v xml:space="preserve"> </v>
      </c>
      <c r="R211" s="33" t="str">
        <f>IF(OR(ISBLANK(P211), ISBLANK(Q211)),"",CONCATENATE(" ",VLOOKUP(Q211,Literatuur!$A:$B,2,FALSE)," "))</f>
        <v/>
      </c>
      <c r="T211" s="44" t="str">
        <f>IF(ISBLANK(S211)," ","Gestis")</f>
        <v xml:space="preserve"> </v>
      </c>
      <c r="U211" s="33" t="str">
        <f>IF(OR(ISBLANK(S211), ISBLANK(T211)),"",CONCATENATE(" ",VLOOKUP(T211,Literatuur!$A:$B,2,FALSE)," "))</f>
        <v/>
      </c>
      <c r="W211" s="44" t="str">
        <f>IF(ISBLANK(V211)," ","US EPA 1995")</f>
        <v xml:space="preserve"> </v>
      </c>
      <c r="X211" s="33" t="str">
        <f>IF(OR(ISBLANK(V211), ISBLANK(W211)),"",CONCATENATE(" ",VLOOKUP(W211,Literatuur!$A:$B,2,FALSE)," "))</f>
        <v/>
      </c>
      <c r="Z211" s="44" t="str">
        <f>IF(ISBLANK(Y211)," ","US EPA suite")</f>
        <v xml:space="preserve"> </v>
      </c>
      <c r="AA211" s="33" t="str">
        <f>IF(OR(ISBLANK(Y211), ISBLANK(Z211)),"",CONCATENATE(" ",VLOOKUP(Z211,Literatuur!$A:$B,2,FALSE)," "))</f>
        <v/>
      </c>
      <c r="AC211" s="36" t="str">
        <f>IF(ISBLANK(AB211)," ","Vonk 1985")</f>
        <v xml:space="preserve"> </v>
      </c>
      <c r="AD211" s="33" t="str">
        <f>IF(OR(ISBLANK(AB211), ISBLANK(AC211)),"",CONCATENATE(" ",VLOOKUP(AC211,Literatuur!$A:$B,2,FALSE)," "))</f>
        <v/>
      </c>
      <c r="AE211" s="365">
        <v>0.40033828095054486</v>
      </c>
      <c r="AF211" s="33" t="s">
        <v>1557</v>
      </c>
      <c r="AG211" s="33" t="str">
        <f>IF(OR(ISBLANK(AE211), ISBLANK(AF211)),"",CONCATENATE(" ",VLOOKUP(AF211,Literatuur!$A:$B,2,FALSE)," "))</f>
        <v xml:space="preserve"> 17 </v>
      </c>
      <c r="AJ211" s="44" t="str">
        <f>IF(ISBLANK(AI211)," ","Sanscrit")</f>
        <v xml:space="preserve"> </v>
      </c>
      <c r="AK211" s="33" t="str">
        <f>IF(OR(ISBLANK(AI211), ISBLANK(AJ211)),"",CONCATENATE(" ",VLOOKUP(AJ211,Literatuur!$A:$B,2,FALSE)," "))</f>
        <v/>
      </c>
      <c r="AM211" s="44" t="str">
        <f>IF(ISBLANK(AL211)," ","Gestis")</f>
        <v xml:space="preserve"> </v>
      </c>
      <c r="AN211" s="33" t="str">
        <f>IF(OR(ISBLANK(AL211), ISBLANK(AM211)),"",CONCATENATE(" ",VLOOKUP(AM211,Literatuur!$A:$B,2,FALSE)," "))</f>
        <v/>
      </c>
      <c r="AP211" s="44" t="str">
        <f>IF(ISBLANK(AO211)," ","US EPA suite")</f>
        <v xml:space="preserve"> </v>
      </c>
      <c r="AQ211" s="33" t="str">
        <f>IF(OR(ISBLANK(AO211), ISBLANK(AP211)),"",CONCATENATE(" ",VLOOKUP(AP211,Literatuur!$A:$B,2,FALSE)," "))</f>
        <v/>
      </c>
      <c r="AS211"/>
      <c r="AT211" s="33" t="str">
        <f>IF(OR(ISBLANK(AR211), ISBLANK(AS211)),"",CONCATENATE(" ",VLOOKUP(AS211,Literatuur!$A:$B,2,FALSE)," "))</f>
        <v/>
      </c>
      <c r="AU211">
        <v>318</v>
      </c>
      <c r="AV211" s="33" t="s">
        <v>1557</v>
      </c>
      <c r="AW211" s="33" t="str">
        <f>IF(OR(ISBLANK(AU211), ISBLANK(AV211)),"",CONCATENATE(" ",VLOOKUP(AV211,Literatuur!$A:$B,2,FALSE)," "))</f>
        <v xml:space="preserve"> 17 </v>
      </c>
      <c r="AZ211" s="44" t="str">
        <f>IF(ISBLANK(AY211)," ","Sanscrit")</f>
        <v xml:space="preserve"> </v>
      </c>
      <c r="BA211" s="33" t="str">
        <f>IF(OR(ISBLANK(AY211), ISBLANK(AZ211)),"",CONCATENATE(" ",VLOOKUP(AZ211,Literatuur!$A:$B,2,FALSE)," "))</f>
        <v/>
      </c>
      <c r="BC211" s="44" t="str">
        <f>IF(ISBLANK(BB211)," ","Gestis")</f>
        <v xml:space="preserve"> </v>
      </c>
      <c r="BD211" s="33" t="str">
        <f>IF(OR(ISBLANK(BB211), ISBLANK(BC211)),"",CONCATENATE(" ",VLOOKUP(BC211,Literatuur!$A:$B,2,FALSE)," "))</f>
        <v/>
      </c>
      <c r="BF211" s="44" t="str">
        <f>IF(ISBLANK(BE211)," ","US EPA 1995")</f>
        <v xml:space="preserve"> </v>
      </c>
      <c r="BG211" s="33" t="str">
        <f>IF(OR(ISBLANK(BE211), ISBLANK(BF211)),"",CONCATENATE(" ",VLOOKUP(BF211,Literatuur!$A:$B,2,FALSE)," "))</f>
        <v/>
      </c>
      <c r="BI211" s="44" t="str">
        <f>IF(ISBLANK(BH211)," ","US EPA suite")</f>
        <v xml:space="preserve"> </v>
      </c>
      <c r="BJ211" s="33" t="str">
        <f>IF(OR(ISBLANK(BH211), ISBLANK(BI211)),"",CONCATENATE(" ",VLOOKUP(BI211,Literatuur!$A:$B,2,FALSE)," "))</f>
        <v/>
      </c>
      <c r="BL211" s="44" t="str">
        <f>IF(ISBLANK(BK211)," ","Sangster 1989")</f>
        <v xml:space="preserve"> </v>
      </c>
      <c r="BM211" s="33" t="str">
        <f>IF(OR(ISBLANK(BK211), ISBLANK(BL211)),"",CONCATENATE(" ",VLOOKUP(BL211,Literatuur!$A:$B,2,FALSE)," "))</f>
        <v/>
      </c>
      <c r="BO211"/>
      <c r="BP211" s="33" t="str">
        <f>IF(OR(ISBLANK(BN211), ISBLANK(BO211)),"",CONCATENATE(" ",VLOOKUP(BO211,Literatuur!$A:$B,2,FALSE)," "))</f>
        <v/>
      </c>
      <c r="BR211"/>
      <c r="BS211" s="33" t="str">
        <f>IF(OR(ISBLANK(BQ211), ISBLANK(BR211)),"",CONCATENATE(" ",VLOOKUP(BR211,Literatuur!$A:$B,2,FALSE)," "))</f>
        <v/>
      </c>
      <c r="BT211">
        <v>7.1</v>
      </c>
      <c r="BU211" s="33" t="s">
        <v>1557</v>
      </c>
      <c r="BV211" s="33" t="str">
        <f>IF(OR(ISBLANK(BT211), ISBLANK(BU211)),"",CONCATENATE(" ",VLOOKUP(BU211,Literatuur!$A:$B,2,FALSE)," "))</f>
        <v xml:space="preserve"> 17 </v>
      </c>
      <c r="BX211">
        <v>221.1</v>
      </c>
      <c r="CB211" s="33" t="s">
        <v>1557</v>
      </c>
      <c r="CD211" s="33">
        <f>L211</f>
        <v>221.1</v>
      </c>
      <c r="CG211" s="33">
        <f>LOG(J211)</f>
        <v>-0.39757288001556768</v>
      </c>
      <c r="CH211" s="33">
        <f>K211</f>
        <v>7.1</v>
      </c>
      <c r="CR211" s="33" t="str">
        <f t="shared" si="160"/>
        <v>o,p’-DDE</v>
      </c>
      <c r="CS211" s="33" t="str">
        <f t="shared" si="161"/>
        <v>overige</v>
      </c>
      <c r="CT211" s="33">
        <f t="shared" si="162"/>
        <v>318</v>
      </c>
      <c r="CU211" s="33" t="str">
        <f t="shared" si="163"/>
        <v xml:space="preserve"> 17 </v>
      </c>
      <c r="CV211" s="33">
        <f t="shared" si="164"/>
        <v>0.40033828095054486</v>
      </c>
      <c r="CW211" s="33" t="str">
        <f t="shared" si="165"/>
        <v xml:space="preserve"> 17 </v>
      </c>
      <c r="CX211" s="33">
        <f t="shared" si="166"/>
        <v>7.1</v>
      </c>
      <c r="CY211" s="33" t="str">
        <f t="shared" si="167"/>
        <v xml:space="preserve"> 17 </v>
      </c>
    </row>
    <row r="212" spans="1:103" x14ac:dyDescent="0.2">
      <c r="A212"/>
      <c r="B212">
        <v>-1764</v>
      </c>
      <c r="C212"/>
      <c r="D212" t="s">
        <v>1194</v>
      </c>
      <c r="E212" t="s">
        <v>1194</v>
      </c>
      <c r="I212" s="33">
        <f t="shared" si="143"/>
        <v>354.5</v>
      </c>
      <c r="J212" s="33">
        <f t="shared" si="168"/>
        <v>0.17767087432086795</v>
      </c>
      <c r="K212" s="44">
        <f t="shared" si="141"/>
        <v>6.4</v>
      </c>
      <c r="L212" s="33">
        <f>AVERAGE(BX212:BY212)</f>
        <v>237.7</v>
      </c>
      <c r="M212" s="33" t="s">
        <v>345</v>
      </c>
      <c r="Q212" s="44" t="str">
        <f>IF(ISBLANK(P212)," ","Sanscrit")</f>
        <v xml:space="preserve"> </v>
      </c>
      <c r="R212" s="33" t="str">
        <f>IF(OR(ISBLANK(P212), ISBLANK(Q212)),"",CONCATENATE(" ",VLOOKUP(Q212,Literatuur!$A:$B,2,FALSE)," "))</f>
        <v/>
      </c>
      <c r="T212" s="44" t="str">
        <f>IF(ISBLANK(S212)," ","Gestis")</f>
        <v xml:space="preserve"> </v>
      </c>
      <c r="U212" s="33" t="str">
        <f>IF(OR(ISBLANK(S212), ISBLANK(T212)),"",CONCATENATE(" ",VLOOKUP(T212,Literatuur!$A:$B,2,FALSE)," "))</f>
        <v/>
      </c>
      <c r="W212" s="44" t="str">
        <f>IF(ISBLANK(V212)," ","US EPA 1995")</f>
        <v xml:space="preserve"> </v>
      </c>
      <c r="X212" s="33" t="str">
        <f>IF(OR(ISBLANK(V212), ISBLANK(W212)),"",CONCATENATE(" ",VLOOKUP(W212,Literatuur!$A:$B,2,FALSE)," "))</f>
        <v/>
      </c>
      <c r="Z212" s="44" t="str">
        <f>IF(ISBLANK(Y212)," ","US EPA suite")</f>
        <v xml:space="preserve"> </v>
      </c>
      <c r="AA212" s="33" t="str">
        <f>IF(OR(ISBLANK(Y212), ISBLANK(Z212)),"",CONCATENATE(" ",VLOOKUP(Z212,Literatuur!$A:$B,2,FALSE)," "))</f>
        <v/>
      </c>
      <c r="AC212" s="36" t="str">
        <f>IF(ISBLANK(AB212)," ","Vonk 1985")</f>
        <v xml:space="preserve"> </v>
      </c>
      <c r="AD212" s="33" t="str">
        <f>IF(OR(ISBLANK(AB212), ISBLANK(AC212)),"",CONCATENATE(" ",VLOOKUP(AC212,Literatuur!$A:$B,2,FALSE)," "))</f>
        <v/>
      </c>
      <c r="AE212" s="365">
        <v>0.17767087432086795</v>
      </c>
      <c r="AF212" s="33" t="s">
        <v>1557</v>
      </c>
      <c r="AG212" s="33" t="str">
        <f>IF(OR(ISBLANK(AE212), ISBLANK(AF212)),"",CONCATENATE(" ",VLOOKUP(AF212,Literatuur!$A:$B,2,FALSE)," "))</f>
        <v xml:space="preserve"> 17 </v>
      </c>
      <c r="AJ212" s="44" t="str">
        <f>IF(ISBLANK(AI212)," ","Sanscrit")</f>
        <v xml:space="preserve"> </v>
      </c>
      <c r="AK212" s="33" t="str">
        <f>IF(OR(ISBLANK(AI212), ISBLANK(AJ212)),"",CONCATENATE(" ",VLOOKUP(AJ212,Literatuur!$A:$B,2,FALSE)," "))</f>
        <v/>
      </c>
      <c r="AM212" s="44" t="str">
        <f>IF(ISBLANK(AL212)," ","Gestis")</f>
        <v xml:space="preserve"> </v>
      </c>
      <c r="AN212" s="33" t="str">
        <f>IF(OR(ISBLANK(AL212), ISBLANK(AM212)),"",CONCATENATE(" ",VLOOKUP(AM212,Literatuur!$A:$B,2,FALSE)," "))</f>
        <v/>
      </c>
      <c r="AP212" s="44" t="str">
        <f>IF(ISBLANK(AO212)," ","US EPA suite")</f>
        <v xml:space="preserve"> </v>
      </c>
      <c r="AQ212" s="33" t="str">
        <f>IF(OR(ISBLANK(AO212), ISBLANK(AP212)),"",CONCATENATE(" ",VLOOKUP(AP212,Literatuur!$A:$B,2,FALSE)," "))</f>
        <v/>
      </c>
      <c r="AS212"/>
      <c r="AT212" s="33" t="str">
        <f>IF(OR(ISBLANK(AR212), ISBLANK(AS212)),"",CONCATENATE(" ",VLOOKUP(AS212,Literatuur!$A:$B,2,FALSE)," "))</f>
        <v/>
      </c>
      <c r="AU212">
        <v>354.5</v>
      </c>
      <c r="AV212" s="33" t="s">
        <v>1557</v>
      </c>
      <c r="AW212" s="33" t="str">
        <f>IF(OR(ISBLANK(AU212), ISBLANK(AV212)),"",CONCATENATE(" ",VLOOKUP(AV212,Literatuur!$A:$B,2,FALSE)," "))</f>
        <v xml:space="preserve"> 17 </v>
      </c>
      <c r="AZ212" s="44" t="str">
        <f>IF(ISBLANK(AY212)," ","Sanscrit")</f>
        <v xml:space="preserve"> </v>
      </c>
      <c r="BA212" s="33" t="str">
        <f>IF(OR(ISBLANK(AY212), ISBLANK(AZ212)),"",CONCATENATE(" ",VLOOKUP(AZ212,Literatuur!$A:$B,2,FALSE)," "))</f>
        <v/>
      </c>
      <c r="BC212" s="44" t="str">
        <f>IF(ISBLANK(BB212)," ","Gestis")</f>
        <v xml:space="preserve"> </v>
      </c>
      <c r="BD212" s="33" t="str">
        <f>IF(OR(ISBLANK(BB212), ISBLANK(BC212)),"",CONCATENATE(" ",VLOOKUP(BC212,Literatuur!$A:$B,2,FALSE)," "))</f>
        <v/>
      </c>
      <c r="BF212" s="44" t="str">
        <f>IF(ISBLANK(BE212)," ","US EPA 1995")</f>
        <v xml:space="preserve"> </v>
      </c>
      <c r="BG212" s="33" t="str">
        <f>IF(OR(ISBLANK(BE212), ISBLANK(BF212)),"",CONCATENATE(" ",VLOOKUP(BF212,Literatuur!$A:$B,2,FALSE)," "))</f>
        <v/>
      </c>
      <c r="BI212" s="44" t="str">
        <f>IF(ISBLANK(BH212)," ","US EPA suite")</f>
        <v xml:space="preserve"> </v>
      </c>
      <c r="BJ212" s="33" t="str">
        <f>IF(OR(ISBLANK(BH212), ISBLANK(BI212)),"",CONCATENATE(" ",VLOOKUP(BI212,Literatuur!$A:$B,2,FALSE)," "))</f>
        <v/>
      </c>
      <c r="BL212" s="44" t="str">
        <f>IF(ISBLANK(BK212)," ","Sangster 1989")</f>
        <v xml:space="preserve"> </v>
      </c>
      <c r="BM212" s="33" t="str">
        <f>IF(OR(ISBLANK(BK212), ISBLANK(BL212)),"",CONCATENATE(" ",VLOOKUP(BL212,Literatuur!$A:$B,2,FALSE)," "))</f>
        <v/>
      </c>
      <c r="BO212"/>
      <c r="BP212" s="33" t="str">
        <f>IF(OR(ISBLANK(BN212), ISBLANK(BO212)),"",CONCATENATE(" ",VLOOKUP(BO212,Literatuur!$A:$B,2,FALSE)," "))</f>
        <v/>
      </c>
      <c r="BR212"/>
      <c r="BS212" s="33" t="str">
        <f>IF(OR(ISBLANK(BQ212), ISBLANK(BR212)),"",CONCATENATE(" ",VLOOKUP(BR212,Literatuur!$A:$B,2,FALSE)," "))</f>
        <v/>
      </c>
      <c r="BT212">
        <v>6.4</v>
      </c>
      <c r="BU212" s="33" t="s">
        <v>1557</v>
      </c>
      <c r="BV212" s="33" t="str">
        <f>IF(OR(ISBLANK(BT212), ISBLANK(BU212)),"",CONCATENATE(" ",VLOOKUP(BU212,Literatuur!$A:$B,2,FALSE)," "))</f>
        <v xml:space="preserve"> 17 </v>
      </c>
      <c r="BX212">
        <v>237.7</v>
      </c>
      <c r="CB212" s="33" t="s">
        <v>1557</v>
      </c>
      <c r="CD212" s="33">
        <f>L212</f>
        <v>237.7</v>
      </c>
      <c r="CG212" s="33">
        <f>LOG(J212)</f>
        <v>-0.75038376048091482</v>
      </c>
      <c r="CH212" s="33">
        <f>K212</f>
        <v>6.4</v>
      </c>
      <c r="CR212" s="33" t="str">
        <f t="shared" si="160"/>
        <v>o,p’-DDT</v>
      </c>
      <c r="CS212" s="33" t="str">
        <f t="shared" si="161"/>
        <v>overige</v>
      </c>
      <c r="CT212" s="33">
        <f t="shared" si="162"/>
        <v>354.5</v>
      </c>
      <c r="CU212" s="33" t="str">
        <f t="shared" si="163"/>
        <v xml:space="preserve"> 17 </v>
      </c>
      <c r="CV212" s="33">
        <f t="shared" si="164"/>
        <v>0.17767087432086795</v>
      </c>
      <c r="CW212" s="33" t="str">
        <f t="shared" si="165"/>
        <v xml:space="preserve"> 17 </v>
      </c>
      <c r="CX212" s="33">
        <f t="shared" si="166"/>
        <v>6.4</v>
      </c>
      <c r="CY212" s="33" t="str">
        <f t="shared" si="167"/>
        <v xml:space="preserve"> 17 </v>
      </c>
    </row>
    <row r="213" spans="1:103" x14ac:dyDescent="0.2">
      <c r="B213" s="33">
        <v>-1815</v>
      </c>
      <c r="D213" s="4" t="s">
        <v>1979</v>
      </c>
      <c r="E213" s="4" t="s">
        <v>1979</v>
      </c>
      <c r="I213" s="33" t="e">
        <f t="shared" si="143"/>
        <v>#DIV/0!</v>
      </c>
      <c r="J213" s="33" t="e">
        <f t="shared" si="168"/>
        <v>#DIV/0!</v>
      </c>
      <c r="K213" s="44" t="e">
        <f t="shared" si="141"/>
        <v>#DIV/0!</v>
      </c>
      <c r="M213" s="33" t="s">
        <v>345</v>
      </c>
      <c r="CR213" s="33" t="str">
        <f t="shared" si="160"/>
        <v>octylphenol-d17</v>
      </c>
      <c r="CS213" s="33" t="str">
        <f t="shared" si="161"/>
        <v>overige</v>
      </c>
      <c r="CT213" s="33" t="str">
        <f t="shared" si="162"/>
        <v/>
      </c>
      <c r="CU213" s="33" t="str">
        <f t="shared" si="163"/>
        <v/>
      </c>
      <c r="CV213" s="33" t="str">
        <f t="shared" si="164"/>
        <v/>
      </c>
      <c r="CW213" s="33" t="str">
        <f t="shared" si="165"/>
        <v/>
      </c>
      <c r="CX213" s="33" t="str">
        <f t="shared" si="166"/>
        <v/>
      </c>
      <c r="CY213" s="33" t="str">
        <f t="shared" si="167"/>
        <v/>
      </c>
    </row>
    <row r="214" spans="1:103" x14ac:dyDescent="0.2">
      <c r="A214"/>
      <c r="B214">
        <v>-1765</v>
      </c>
      <c r="C214"/>
      <c r="D214" t="s">
        <v>1195</v>
      </c>
      <c r="E214" t="s">
        <v>1195</v>
      </c>
      <c r="I214" s="33">
        <f t="shared" si="143"/>
        <v>320.10000000000002</v>
      </c>
      <c r="J214" s="33">
        <f t="shared" si="168"/>
        <v>0.80405484672621585</v>
      </c>
      <c r="K214" s="44">
        <f t="shared" si="141"/>
        <v>6.3</v>
      </c>
      <c r="L214" s="33">
        <f>AVERAGE(BX214:BY214)</f>
        <v>227.1</v>
      </c>
      <c r="M214" s="33" t="s">
        <v>345</v>
      </c>
      <c r="Q214" s="44" t="str">
        <f t="shared" ref="Q214:Q245" si="169">IF(ISBLANK(P214)," ","Sanscrit")</f>
        <v xml:space="preserve"> </v>
      </c>
      <c r="R214" s="33" t="str">
        <f>IF(OR(ISBLANK(P214), ISBLANK(Q214)),"",CONCATENATE(" ",VLOOKUP(Q214,Literatuur!$A:$B,2,FALSE)," "))</f>
        <v/>
      </c>
      <c r="T214" s="44" t="str">
        <f t="shared" ref="T214:T245" si="170">IF(ISBLANK(S214)," ","Gestis")</f>
        <v xml:space="preserve"> </v>
      </c>
      <c r="U214" s="33" t="str">
        <f>IF(OR(ISBLANK(S214), ISBLANK(T214)),"",CONCATENATE(" ",VLOOKUP(T214,Literatuur!$A:$B,2,FALSE)," "))</f>
        <v/>
      </c>
      <c r="W214" s="44" t="str">
        <f t="shared" ref="W214:W245" si="171">IF(ISBLANK(V214)," ","US EPA 1995")</f>
        <v xml:space="preserve"> </v>
      </c>
      <c r="X214" s="33" t="str">
        <f>IF(OR(ISBLANK(V214), ISBLANK(W214)),"",CONCATENATE(" ",VLOOKUP(W214,Literatuur!$A:$B,2,FALSE)," "))</f>
        <v/>
      </c>
      <c r="Z214" s="44" t="str">
        <f t="shared" ref="Z214:Z245" si="172">IF(ISBLANK(Y214)," ","US EPA suite")</f>
        <v xml:space="preserve"> </v>
      </c>
      <c r="AA214" s="33" t="str">
        <f>IF(OR(ISBLANK(Y214), ISBLANK(Z214)),"",CONCATENATE(" ",VLOOKUP(Z214,Literatuur!$A:$B,2,FALSE)," "))</f>
        <v/>
      </c>
      <c r="AC214" s="36" t="str">
        <f t="shared" ref="AC214:AC245" si="173">IF(ISBLANK(AB214)," ","Vonk 1985")</f>
        <v xml:space="preserve"> </v>
      </c>
      <c r="AD214" s="33" t="str">
        <f>IF(OR(ISBLANK(AB214), ISBLANK(AC214)),"",CONCATENATE(" ",VLOOKUP(AC214,Literatuur!$A:$B,2,FALSE)," "))</f>
        <v/>
      </c>
      <c r="AE214" s="365">
        <v>0.80405484672621585</v>
      </c>
      <c r="AF214" s="33" t="s">
        <v>1557</v>
      </c>
      <c r="AG214" s="33" t="str">
        <f>IF(OR(ISBLANK(AE214), ISBLANK(AF214)),"",CONCATENATE(" ",VLOOKUP(AF214,Literatuur!$A:$B,2,FALSE)," "))</f>
        <v xml:space="preserve"> 17 </v>
      </c>
      <c r="AJ214" s="44" t="str">
        <f t="shared" ref="AJ214:AJ245" si="174">IF(ISBLANK(AI214)," ","Sanscrit")</f>
        <v xml:space="preserve"> </v>
      </c>
      <c r="AK214" s="33" t="str">
        <f>IF(OR(ISBLANK(AI214), ISBLANK(AJ214)),"",CONCATENATE(" ",VLOOKUP(AJ214,Literatuur!$A:$B,2,FALSE)," "))</f>
        <v/>
      </c>
      <c r="AM214" s="44" t="str">
        <f t="shared" ref="AM214:AM245" si="175">IF(ISBLANK(AL214)," ","Gestis")</f>
        <v xml:space="preserve"> </v>
      </c>
      <c r="AN214" s="33" t="str">
        <f>IF(OR(ISBLANK(AL214), ISBLANK(AM214)),"",CONCATENATE(" ",VLOOKUP(AM214,Literatuur!$A:$B,2,FALSE)," "))</f>
        <v/>
      </c>
      <c r="AP214" s="44" t="str">
        <f t="shared" ref="AP214:AP245" si="176">IF(ISBLANK(AO214)," ","US EPA suite")</f>
        <v xml:space="preserve"> </v>
      </c>
      <c r="AQ214" s="33" t="str">
        <f>IF(OR(ISBLANK(AO214), ISBLANK(AP214)),"",CONCATENATE(" ",VLOOKUP(AP214,Literatuur!$A:$B,2,FALSE)," "))</f>
        <v/>
      </c>
      <c r="AS214"/>
      <c r="AT214" s="33" t="str">
        <f>IF(OR(ISBLANK(AR214), ISBLANK(AS214)),"",CONCATENATE(" ",VLOOKUP(AS214,Literatuur!$A:$B,2,FALSE)," "))</f>
        <v/>
      </c>
      <c r="AU214">
        <v>320.10000000000002</v>
      </c>
      <c r="AV214" s="33" t="s">
        <v>1557</v>
      </c>
      <c r="AW214" s="33" t="str">
        <f>IF(OR(ISBLANK(AU214), ISBLANK(AV214)),"",CONCATENATE(" ",VLOOKUP(AV214,Literatuur!$A:$B,2,FALSE)," "))</f>
        <v xml:space="preserve"> 17 </v>
      </c>
      <c r="AZ214" s="44" t="str">
        <f t="shared" ref="AZ214:AZ245" si="177">IF(ISBLANK(AY214)," ","Sanscrit")</f>
        <v xml:space="preserve"> </v>
      </c>
      <c r="BA214" s="33" t="str">
        <f>IF(OR(ISBLANK(AY214), ISBLANK(AZ214)),"",CONCATENATE(" ",VLOOKUP(AZ214,Literatuur!$A:$B,2,FALSE)," "))</f>
        <v/>
      </c>
      <c r="BC214" s="44" t="str">
        <f t="shared" ref="BC214:BC245" si="178">IF(ISBLANK(BB214)," ","Gestis")</f>
        <v xml:space="preserve"> </v>
      </c>
      <c r="BD214" s="33" t="str">
        <f>IF(OR(ISBLANK(BB214), ISBLANK(BC214)),"",CONCATENATE(" ",VLOOKUP(BC214,Literatuur!$A:$B,2,FALSE)," "))</f>
        <v/>
      </c>
      <c r="BF214" s="44" t="str">
        <f t="shared" ref="BF214:BF245" si="179">IF(ISBLANK(BE214)," ","US EPA 1995")</f>
        <v xml:space="preserve"> </v>
      </c>
      <c r="BG214" s="33" t="str">
        <f>IF(OR(ISBLANK(BE214), ISBLANK(BF214)),"",CONCATENATE(" ",VLOOKUP(BF214,Literatuur!$A:$B,2,FALSE)," "))</f>
        <v/>
      </c>
      <c r="BI214" s="44" t="str">
        <f t="shared" ref="BI214:BI245" si="180">IF(ISBLANK(BH214)," ","US EPA suite")</f>
        <v xml:space="preserve"> </v>
      </c>
      <c r="BJ214" s="33" t="str">
        <f>IF(OR(ISBLANK(BH214), ISBLANK(BI214)),"",CONCATENATE(" ",VLOOKUP(BI214,Literatuur!$A:$B,2,FALSE)," "))</f>
        <v/>
      </c>
      <c r="BL214" s="44" t="str">
        <f t="shared" ref="BL214:BL245" si="181">IF(ISBLANK(BK214)," ","Sangster 1989")</f>
        <v xml:space="preserve"> </v>
      </c>
      <c r="BM214" s="33" t="str">
        <f>IF(OR(ISBLANK(BK214), ISBLANK(BL214)),"",CONCATENATE(" ",VLOOKUP(BL214,Literatuur!$A:$B,2,FALSE)," "))</f>
        <v/>
      </c>
      <c r="BO214"/>
      <c r="BP214" s="33" t="str">
        <f>IF(OR(ISBLANK(BN214), ISBLANK(BO214)),"",CONCATENATE(" ",VLOOKUP(BO214,Literatuur!$A:$B,2,FALSE)," "))</f>
        <v/>
      </c>
      <c r="BR214"/>
      <c r="BS214" s="33" t="str">
        <f>IF(OR(ISBLANK(BQ214), ISBLANK(BR214)),"",CONCATENATE(" ",VLOOKUP(BR214,Literatuur!$A:$B,2,FALSE)," "))</f>
        <v/>
      </c>
      <c r="BT214">
        <v>6.3</v>
      </c>
      <c r="BU214" s="33" t="s">
        <v>1557</v>
      </c>
      <c r="BV214" s="33" t="str">
        <f>IF(OR(ISBLANK(BT214), ISBLANK(BU214)),"",CONCATENATE(" ",VLOOKUP(BU214,Literatuur!$A:$B,2,FALSE)," "))</f>
        <v xml:space="preserve"> 17 </v>
      </c>
      <c r="BX214">
        <v>227.1</v>
      </c>
      <c r="CB214" s="33" t="s">
        <v>1557</v>
      </c>
      <c r="CD214" s="33">
        <f>L214</f>
        <v>227.1</v>
      </c>
      <c r="CG214" s="33">
        <f>LOG(J214)</f>
        <v>-9.4714325855868073E-2</v>
      </c>
      <c r="CH214" s="33">
        <f t="shared" ref="CH214:CH221" si="182">K214</f>
        <v>6.3</v>
      </c>
      <c r="CR214" s="33" t="str">
        <f t="shared" si="160"/>
        <v>p,p’-DDD</v>
      </c>
      <c r="CS214" s="33" t="str">
        <f t="shared" si="161"/>
        <v>overige</v>
      </c>
      <c r="CT214" s="33">
        <f t="shared" si="162"/>
        <v>320.10000000000002</v>
      </c>
      <c r="CU214" s="33" t="str">
        <f t="shared" si="163"/>
        <v xml:space="preserve"> 17 </v>
      </c>
      <c r="CV214" s="33">
        <f t="shared" si="164"/>
        <v>0.80405484672621585</v>
      </c>
      <c r="CW214" s="33" t="str">
        <f t="shared" si="165"/>
        <v xml:space="preserve"> 17 </v>
      </c>
      <c r="CX214" s="33">
        <f t="shared" si="166"/>
        <v>6.3</v>
      </c>
      <c r="CY214" s="33" t="str">
        <f t="shared" si="167"/>
        <v xml:space="preserve"> 17 </v>
      </c>
    </row>
    <row r="215" spans="1:103" x14ac:dyDescent="0.2">
      <c r="A215"/>
      <c r="B215">
        <v>-1767</v>
      </c>
      <c r="C215"/>
      <c r="D215" t="s">
        <v>1197</v>
      </c>
      <c r="E215" t="s">
        <v>1197</v>
      </c>
      <c r="I215" s="33">
        <f t="shared" si="143"/>
        <v>318</v>
      </c>
      <c r="J215" s="33">
        <f t="shared" si="168"/>
        <v>0.25259637864232137</v>
      </c>
      <c r="K215" s="44">
        <f t="shared" si="141"/>
        <v>6.9</v>
      </c>
      <c r="L215" s="33">
        <f>AVERAGE(BX215:BY215)</f>
        <v>222.4</v>
      </c>
      <c r="M215" s="33" t="s">
        <v>345</v>
      </c>
      <c r="Q215" s="44" t="str">
        <f t="shared" si="169"/>
        <v xml:space="preserve"> </v>
      </c>
      <c r="R215" s="33" t="str">
        <f>IF(OR(ISBLANK(P215), ISBLANK(Q215)),"",CONCATENATE(" ",VLOOKUP(Q215,Literatuur!$A:$B,2,FALSE)," "))</f>
        <v/>
      </c>
      <c r="T215" s="44" t="str">
        <f t="shared" si="170"/>
        <v xml:space="preserve"> </v>
      </c>
      <c r="U215" s="33" t="str">
        <f>IF(OR(ISBLANK(S215), ISBLANK(T215)),"",CONCATENATE(" ",VLOOKUP(T215,Literatuur!$A:$B,2,FALSE)," "))</f>
        <v/>
      </c>
      <c r="W215" s="44" t="str">
        <f t="shared" si="171"/>
        <v xml:space="preserve"> </v>
      </c>
      <c r="X215" s="33" t="str">
        <f>IF(OR(ISBLANK(V215), ISBLANK(W215)),"",CONCATENATE(" ",VLOOKUP(W215,Literatuur!$A:$B,2,FALSE)," "))</f>
        <v/>
      </c>
      <c r="Z215" s="44" t="str">
        <f t="shared" si="172"/>
        <v xml:space="preserve"> </v>
      </c>
      <c r="AA215" s="33" t="str">
        <f>IF(OR(ISBLANK(Y215), ISBLANK(Z215)),"",CONCATENATE(" ",VLOOKUP(Z215,Literatuur!$A:$B,2,FALSE)," "))</f>
        <v/>
      </c>
      <c r="AC215" s="36" t="str">
        <f t="shared" si="173"/>
        <v xml:space="preserve"> </v>
      </c>
      <c r="AD215" s="33" t="str">
        <f>IF(OR(ISBLANK(AB215), ISBLANK(AC215)),"",CONCATENATE(" ",VLOOKUP(AC215,Literatuur!$A:$B,2,FALSE)," "))</f>
        <v/>
      </c>
      <c r="AE215" s="365">
        <v>0.25259637864232137</v>
      </c>
      <c r="AF215" s="33" t="s">
        <v>1557</v>
      </c>
      <c r="AG215" s="33" t="str">
        <f>IF(OR(ISBLANK(AE215), ISBLANK(AF215)),"",CONCATENATE(" ",VLOOKUP(AF215,Literatuur!$A:$B,2,FALSE)," "))</f>
        <v xml:space="preserve"> 17 </v>
      </c>
      <c r="AJ215" s="44" t="str">
        <f t="shared" si="174"/>
        <v xml:space="preserve"> </v>
      </c>
      <c r="AK215" s="33" t="str">
        <f>IF(OR(ISBLANK(AI215), ISBLANK(AJ215)),"",CONCATENATE(" ",VLOOKUP(AJ215,Literatuur!$A:$B,2,FALSE)," "))</f>
        <v/>
      </c>
      <c r="AM215" s="44" t="str">
        <f t="shared" si="175"/>
        <v xml:space="preserve"> </v>
      </c>
      <c r="AN215" s="33" t="str">
        <f>IF(OR(ISBLANK(AL215), ISBLANK(AM215)),"",CONCATENATE(" ",VLOOKUP(AM215,Literatuur!$A:$B,2,FALSE)," "))</f>
        <v/>
      </c>
      <c r="AP215" s="44" t="str">
        <f t="shared" si="176"/>
        <v xml:space="preserve"> </v>
      </c>
      <c r="AQ215" s="33" t="str">
        <f>IF(OR(ISBLANK(AO215), ISBLANK(AP215)),"",CONCATENATE(" ",VLOOKUP(AP215,Literatuur!$A:$B,2,FALSE)," "))</f>
        <v/>
      </c>
      <c r="AS215"/>
      <c r="AT215" s="33" t="str">
        <f>IF(OR(ISBLANK(AR215), ISBLANK(AS215)),"",CONCATENATE(" ",VLOOKUP(AS215,Literatuur!$A:$B,2,FALSE)," "))</f>
        <v/>
      </c>
      <c r="AU215">
        <v>318</v>
      </c>
      <c r="AV215" s="33" t="s">
        <v>1557</v>
      </c>
      <c r="AW215" s="33" t="str">
        <f>IF(OR(ISBLANK(AU215), ISBLANK(AV215)),"",CONCATENATE(" ",VLOOKUP(AV215,Literatuur!$A:$B,2,FALSE)," "))</f>
        <v xml:space="preserve"> 17 </v>
      </c>
      <c r="AZ215" s="44" t="str">
        <f t="shared" si="177"/>
        <v xml:space="preserve"> </v>
      </c>
      <c r="BA215" s="33" t="str">
        <f>IF(OR(ISBLANK(AY215), ISBLANK(AZ215)),"",CONCATENATE(" ",VLOOKUP(AZ215,Literatuur!$A:$B,2,FALSE)," "))</f>
        <v/>
      </c>
      <c r="BC215" s="44" t="str">
        <f t="shared" si="178"/>
        <v xml:space="preserve"> </v>
      </c>
      <c r="BD215" s="33" t="str">
        <f>IF(OR(ISBLANK(BB215), ISBLANK(BC215)),"",CONCATENATE(" ",VLOOKUP(BC215,Literatuur!$A:$B,2,FALSE)," "))</f>
        <v/>
      </c>
      <c r="BF215" s="44" t="str">
        <f t="shared" si="179"/>
        <v xml:space="preserve"> </v>
      </c>
      <c r="BG215" s="33" t="str">
        <f>IF(OR(ISBLANK(BE215), ISBLANK(BF215)),"",CONCATENATE(" ",VLOOKUP(BF215,Literatuur!$A:$B,2,FALSE)," "))</f>
        <v/>
      </c>
      <c r="BI215" s="44" t="str">
        <f t="shared" si="180"/>
        <v xml:space="preserve"> </v>
      </c>
      <c r="BJ215" s="33" t="str">
        <f>IF(OR(ISBLANK(BH215), ISBLANK(BI215)),"",CONCATENATE(" ",VLOOKUP(BI215,Literatuur!$A:$B,2,FALSE)," "))</f>
        <v/>
      </c>
      <c r="BL215" s="44" t="str">
        <f t="shared" si="181"/>
        <v xml:space="preserve"> </v>
      </c>
      <c r="BM215" s="33" t="str">
        <f>IF(OR(ISBLANK(BK215), ISBLANK(BL215)),"",CONCATENATE(" ",VLOOKUP(BL215,Literatuur!$A:$B,2,FALSE)," "))</f>
        <v/>
      </c>
      <c r="BO215"/>
      <c r="BP215" s="33" t="str">
        <f>IF(OR(ISBLANK(BN215), ISBLANK(BO215)),"",CONCATENATE(" ",VLOOKUP(BO215,Literatuur!$A:$B,2,FALSE)," "))</f>
        <v/>
      </c>
      <c r="BR215"/>
      <c r="BS215" s="33" t="str">
        <f>IF(OR(ISBLANK(BQ215), ISBLANK(BR215)),"",CONCATENATE(" ",VLOOKUP(BR215,Literatuur!$A:$B,2,FALSE)," "))</f>
        <v/>
      </c>
      <c r="BT215">
        <v>6.9</v>
      </c>
      <c r="BU215" s="33" t="s">
        <v>1557</v>
      </c>
      <c r="BV215" s="33" t="str">
        <f>IF(OR(ISBLANK(BT215), ISBLANK(BU215)),"",CONCATENATE(" ",VLOOKUP(BU215,Literatuur!$A:$B,2,FALSE)," "))</f>
        <v xml:space="preserve"> 17 </v>
      </c>
      <c r="BX215">
        <v>222.4</v>
      </c>
      <c r="CB215" s="33" t="s">
        <v>1557</v>
      </c>
      <c r="CD215" s="33">
        <f>L215</f>
        <v>222.4</v>
      </c>
      <c r="CG215" s="33">
        <f>LOG(J215)</f>
        <v>-0.59757288001556752</v>
      </c>
      <c r="CH215" s="33">
        <f t="shared" si="182"/>
        <v>6.9</v>
      </c>
      <c r="CR215" s="33" t="str">
        <f t="shared" si="160"/>
        <v>p,p’-DDE</v>
      </c>
      <c r="CS215" s="33" t="str">
        <f t="shared" si="161"/>
        <v>overige</v>
      </c>
      <c r="CT215" s="33">
        <f t="shared" si="162"/>
        <v>318</v>
      </c>
      <c r="CU215" s="33" t="str">
        <f t="shared" si="163"/>
        <v xml:space="preserve"> 17 </v>
      </c>
      <c r="CV215" s="33">
        <f t="shared" si="164"/>
        <v>0.25259637864232137</v>
      </c>
      <c r="CW215" s="33" t="str">
        <f t="shared" si="165"/>
        <v xml:space="preserve"> 17 </v>
      </c>
      <c r="CX215" s="33">
        <f t="shared" si="166"/>
        <v>6.9</v>
      </c>
      <c r="CY215" s="33" t="str">
        <f t="shared" si="167"/>
        <v xml:space="preserve"> 17 </v>
      </c>
    </row>
    <row r="216" spans="1:103" x14ac:dyDescent="0.2">
      <c r="A216"/>
      <c r="B216">
        <v>-1769</v>
      </c>
      <c r="C216"/>
      <c r="D216" t="s">
        <v>1199</v>
      </c>
      <c r="E216" t="s">
        <v>1199</v>
      </c>
      <c r="I216" s="33">
        <f t="shared" si="143"/>
        <v>283.60000000000002</v>
      </c>
      <c r="J216" s="33" t="e">
        <f t="shared" si="168"/>
        <v>#DIV/0!</v>
      </c>
      <c r="K216" s="44">
        <f t="shared" si="141"/>
        <v>6.2</v>
      </c>
      <c r="L216" s="33">
        <f>AVERAGE(BX216:BY216)</f>
        <v>210.4</v>
      </c>
      <c r="M216" s="33" t="s">
        <v>345</v>
      </c>
      <c r="Q216" s="44" t="str">
        <f t="shared" si="169"/>
        <v xml:space="preserve"> </v>
      </c>
      <c r="R216" s="33" t="str">
        <f>IF(OR(ISBLANK(P216), ISBLANK(Q216)),"",CONCATENATE(" ",VLOOKUP(Q216,Literatuur!$A:$B,2,FALSE)," "))</f>
        <v/>
      </c>
      <c r="T216" s="44" t="str">
        <f t="shared" si="170"/>
        <v xml:space="preserve"> </v>
      </c>
      <c r="U216" s="33" t="str">
        <f>IF(OR(ISBLANK(S216), ISBLANK(T216)),"",CONCATENATE(" ",VLOOKUP(T216,Literatuur!$A:$B,2,FALSE)," "))</f>
        <v/>
      </c>
      <c r="W216" s="44" t="str">
        <f t="shared" si="171"/>
        <v xml:space="preserve"> </v>
      </c>
      <c r="X216" s="33" t="str">
        <f>IF(OR(ISBLANK(V216), ISBLANK(W216)),"",CONCATENATE(" ",VLOOKUP(W216,Literatuur!$A:$B,2,FALSE)," "))</f>
        <v/>
      </c>
      <c r="Z216" s="44" t="str">
        <f t="shared" si="172"/>
        <v xml:space="preserve"> </v>
      </c>
      <c r="AA216" s="33" t="str">
        <f>IF(OR(ISBLANK(Y216), ISBLANK(Z216)),"",CONCATENATE(" ",VLOOKUP(Z216,Literatuur!$A:$B,2,FALSE)," "))</f>
        <v/>
      </c>
      <c r="AC216" s="36" t="str">
        <f t="shared" si="173"/>
        <v xml:space="preserve"> </v>
      </c>
      <c r="AD216" s="33" t="str">
        <f>IF(OR(ISBLANK(AB216), ISBLANK(AC216)),"",CONCATENATE(" ",VLOOKUP(AC216,Literatuur!$A:$B,2,FALSE)," "))</f>
        <v/>
      </c>
      <c r="AE216"/>
      <c r="AG216" s="33" t="str">
        <f>IF(OR(ISBLANK(AE216), ISBLANK(AF216)),"",CONCATENATE(" ",VLOOKUP(AF216,Literatuur!$A:$B,2,FALSE)," "))</f>
        <v/>
      </c>
      <c r="AJ216" s="44" t="str">
        <f t="shared" si="174"/>
        <v xml:space="preserve"> </v>
      </c>
      <c r="AK216" s="33" t="str">
        <f>IF(OR(ISBLANK(AI216), ISBLANK(AJ216)),"",CONCATENATE(" ",VLOOKUP(AJ216,Literatuur!$A:$B,2,FALSE)," "))</f>
        <v/>
      </c>
      <c r="AM216" s="44" t="str">
        <f t="shared" si="175"/>
        <v xml:space="preserve"> </v>
      </c>
      <c r="AN216" s="33" t="str">
        <f>IF(OR(ISBLANK(AL216), ISBLANK(AM216)),"",CONCATENATE(" ",VLOOKUP(AM216,Literatuur!$A:$B,2,FALSE)," "))</f>
        <v/>
      </c>
      <c r="AP216" s="44" t="str">
        <f t="shared" si="176"/>
        <v xml:space="preserve"> </v>
      </c>
      <c r="AQ216" s="33" t="str">
        <f>IF(OR(ISBLANK(AO216), ISBLANK(AP216)),"",CONCATENATE(" ",VLOOKUP(AP216,Literatuur!$A:$B,2,FALSE)," "))</f>
        <v/>
      </c>
      <c r="AS216"/>
      <c r="AT216" s="33" t="str">
        <f>IF(OR(ISBLANK(AR216), ISBLANK(AS216)),"",CONCATENATE(" ",VLOOKUP(AS216,Literatuur!$A:$B,2,FALSE)," "))</f>
        <v/>
      </c>
      <c r="AU216">
        <v>283.60000000000002</v>
      </c>
      <c r="AV216" s="33" t="s">
        <v>1557</v>
      </c>
      <c r="AW216" s="33" t="str">
        <f>IF(OR(ISBLANK(AU216), ISBLANK(AV216)),"",CONCATENATE(" ",VLOOKUP(AV216,Literatuur!$A:$B,2,FALSE)," "))</f>
        <v xml:space="preserve"> 17 </v>
      </c>
      <c r="AZ216" s="44" t="str">
        <f t="shared" si="177"/>
        <v xml:space="preserve"> </v>
      </c>
      <c r="BA216" s="33" t="str">
        <f>IF(OR(ISBLANK(AY216), ISBLANK(AZ216)),"",CONCATENATE(" ",VLOOKUP(AZ216,Literatuur!$A:$B,2,FALSE)," "))</f>
        <v/>
      </c>
      <c r="BC216" s="44" t="str">
        <f t="shared" si="178"/>
        <v xml:space="preserve"> </v>
      </c>
      <c r="BD216" s="33" t="str">
        <f>IF(OR(ISBLANK(BB216), ISBLANK(BC216)),"",CONCATENATE(" ",VLOOKUP(BC216,Literatuur!$A:$B,2,FALSE)," "))</f>
        <v/>
      </c>
      <c r="BF216" s="44" t="str">
        <f t="shared" si="179"/>
        <v xml:space="preserve"> </v>
      </c>
      <c r="BG216" s="33" t="str">
        <f>IF(OR(ISBLANK(BE216), ISBLANK(BF216)),"",CONCATENATE(" ",VLOOKUP(BF216,Literatuur!$A:$B,2,FALSE)," "))</f>
        <v/>
      </c>
      <c r="BI216" s="44" t="str">
        <f t="shared" si="180"/>
        <v xml:space="preserve"> </v>
      </c>
      <c r="BJ216" s="33" t="str">
        <f>IF(OR(ISBLANK(BH216), ISBLANK(BI216)),"",CONCATENATE(" ",VLOOKUP(BI216,Literatuur!$A:$B,2,FALSE)," "))</f>
        <v/>
      </c>
      <c r="BL216" s="44" t="str">
        <f t="shared" si="181"/>
        <v xml:space="preserve"> </v>
      </c>
      <c r="BM216" s="33" t="str">
        <f>IF(OR(ISBLANK(BK216), ISBLANK(BL216)),"",CONCATENATE(" ",VLOOKUP(BL216,Literatuur!$A:$B,2,FALSE)," "))</f>
        <v/>
      </c>
      <c r="BO216"/>
      <c r="BP216" s="33" t="str">
        <f>IF(OR(ISBLANK(BN216), ISBLANK(BO216)),"",CONCATENATE(" ",VLOOKUP(BO216,Literatuur!$A:$B,2,FALSE)," "))</f>
        <v/>
      </c>
      <c r="BR216"/>
      <c r="BS216" s="33" t="str">
        <f>IF(OR(ISBLANK(BQ216), ISBLANK(BR216)),"",CONCATENATE(" ",VLOOKUP(BR216,Literatuur!$A:$B,2,FALSE)," "))</f>
        <v/>
      </c>
      <c r="BT216">
        <v>6.2</v>
      </c>
      <c r="BU216" s="33" t="s">
        <v>1557</v>
      </c>
      <c r="BV216" s="33" t="str">
        <f>IF(OR(ISBLANK(BT216), ISBLANK(BU216)),"",CONCATENATE(" ",VLOOKUP(BU216,Literatuur!$A:$B,2,FALSE)," "))</f>
        <v xml:space="preserve"> 17 </v>
      </c>
      <c r="BX216">
        <v>210.4</v>
      </c>
      <c r="CB216" s="33" t="s">
        <v>1557</v>
      </c>
      <c r="CD216" s="33">
        <f>L216</f>
        <v>210.4</v>
      </c>
      <c r="CH216" s="33">
        <f t="shared" si="182"/>
        <v>6.2</v>
      </c>
      <c r="CR216" s="33" t="str">
        <f t="shared" si="160"/>
        <v>p,p’-DDMU</v>
      </c>
      <c r="CS216" s="33" t="str">
        <f t="shared" si="161"/>
        <v>overige</v>
      </c>
      <c r="CT216" s="33">
        <f t="shared" si="162"/>
        <v>283.60000000000002</v>
      </c>
      <c r="CU216" s="33" t="str">
        <f t="shared" si="163"/>
        <v xml:space="preserve"> 17 </v>
      </c>
      <c r="CV216" s="33" t="str">
        <f t="shared" si="164"/>
        <v/>
      </c>
      <c r="CW216" s="33" t="str">
        <f t="shared" si="165"/>
        <v/>
      </c>
      <c r="CX216" s="33">
        <f t="shared" si="166"/>
        <v>6.2</v>
      </c>
      <c r="CY216" s="33" t="str">
        <f t="shared" si="167"/>
        <v xml:space="preserve"> 17 </v>
      </c>
    </row>
    <row r="217" spans="1:103" x14ac:dyDescent="0.2">
      <c r="A217"/>
      <c r="B217">
        <v>-1763</v>
      </c>
      <c r="C217"/>
      <c r="D217" t="s">
        <v>1193</v>
      </c>
      <c r="E217" t="s">
        <v>1193</v>
      </c>
      <c r="I217" s="33">
        <f t="shared" si="143"/>
        <v>354.5</v>
      </c>
      <c r="J217" s="33">
        <f t="shared" si="168"/>
        <v>0.14112899196121473</v>
      </c>
      <c r="K217" s="44">
        <f t="shared" si="141"/>
        <v>6.4</v>
      </c>
      <c r="L217" s="33">
        <f>AVERAGE(BX217:BY217)</f>
        <v>240.1</v>
      </c>
      <c r="M217" s="33" t="s">
        <v>345</v>
      </c>
      <c r="Q217" s="44" t="str">
        <f t="shared" si="169"/>
        <v xml:space="preserve"> </v>
      </c>
      <c r="R217" s="33" t="str">
        <f>IF(OR(ISBLANK(P217), ISBLANK(Q217)),"",CONCATENATE(" ",VLOOKUP(Q217,Literatuur!$A:$B,2,FALSE)," "))</f>
        <v/>
      </c>
      <c r="T217" s="44" t="str">
        <f t="shared" si="170"/>
        <v xml:space="preserve"> </v>
      </c>
      <c r="U217" s="33" t="str">
        <f>IF(OR(ISBLANK(S217), ISBLANK(T217)),"",CONCATENATE(" ",VLOOKUP(T217,Literatuur!$A:$B,2,FALSE)," "))</f>
        <v/>
      </c>
      <c r="W217" s="44" t="str">
        <f t="shared" si="171"/>
        <v xml:space="preserve"> </v>
      </c>
      <c r="X217" s="33" t="str">
        <f>IF(OR(ISBLANK(V217), ISBLANK(W217)),"",CONCATENATE(" ",VLOOKUP(W217,Literatuur!$A:$B,2,FALSE)," "))</f>
        <v/>
      </c>
      <c r="Z217" s="44" t="str">
        <f t="shared" si="172"/>
        <v xml:space="preserve"> </v>
      </c>
      <c r="AA217" s="33" t="str">
        <f>IF(OR(ISBLANK(Y217), ISBLANK(Z217)),"",CONCATENATE(" ",VLOOKUP(Z217,Literatuur!$A:$B,2,FALSE)," "))</f>
        <v/>
      </c>
      <c r="AC217" s="36" t="str">
        <f t="shared" si="173"/>
        <v xml:space="preserve"> </v>
      </c>
      <c r="AD217" s="33" t="str">
        <f>IF(OR(ISBLANK(AB217), ISBLANK(AC217)),"",CONCATENATE(" ",VLOOKUP(AC217,Literatuur!$A:$B,2,FALSE)," "))</f>
        <v/>
      </c>
      <c r="AE217" s="365">
        <v>0.14112899196121473</v>
      </c>
      <c r="AF217" s="33" t="s">
        <v>1557</v>
      </c>
      <c r="AG217" s="33" t="str">
        <f>IF(OR(ISBLANK(AE217), ISBLANK(AF217)),"",CONCATENATE(" ",VLOOKUP(AF217,Literatuur!$A:$B,2,FALSE)," "))</f>
        <v xml:space="preserve"> 17 </v>
      </c>
      <c r="AJ217" s="44" t="str">
        <f t="shared" si="174"/>
        <v xml:space="preserve"> </v>
      </c>
      <c r="AK217" s="33" t="str">
        <f>IF(OR(ISBLANK(AI217), ISBLANK(AJ217)),"",CONCATENATE(" ",VLOOKUP(AJ217,Literatuur!$A:$B,2,FALSE)," "))</f>
        <v/>
      </c>
      <c r="AM217" s="44" t="str">
        <f t="shared" si="175"/>
        <v xml:space="preserve"> </v>
      </c>
      <c r="AN217" s="33" t="str">
        <f>IF(OR(ISBLANK(AL217), ISBLANK(AM217)),"",CONCATENATE(" ",VLOOKUP(AM217,Literatuur!$A:$B,2,FALSE)," "))</f>
        <v/>
      </c>
      <c r="AP217" s="44" t="str">
        <f t="shared" si="176"/>
        <v xml:space="preserve"> </v>
      </c>
      <c r="AQ217" s="33" t="str">
        <f>IF(OR(ISBLANK(AO217), ISBLANK(AP217)),"",CONCATENATE(" ",VLOOKUP(AP217,Literatuur!$A:$B,2,FALSE)," "))</f>
        <v/>
      </c>
      <c r="AS217"/>
      <c r="AT217" s="33" t="str">
        <f>IF(OR(ISBLANK(AR217), ISBLANK(AS217)),"",CONCATENATE(" ",VLOOKUP(AS217,Literatuur!$A:$B,2,FALSE)," "))</f>
        <v/>
      </c>
      <c r="AU217">
        <v>354.5</v>
      </c>
      <c r="AV217" s="33" t="s">
        <v>1557</v>
      </c>
      <c r="AW217" s="33" t="str">
        <f>IF(OR(ISBLANK(AU217), ISBLANK(AV217)),"",CONCATENATE(" ",VLOOKUP(AV217,Literatuur!$A:$B,2,FALSE)," "))</f>
        <v xml:space="preserve"> 17 </v>
      </c>
      <c r="AZ217" s="44" t="str">
        <f t="shared" si="177"/>
        <v xml:space="preserve"> </v>
      </c>
      <c r="BA217" s="33" t="str">
        <f>IF(OR(ISBLANK(AY217), ISBLANK(AZ217)),"",CONCATENATE(" ",VLOOKUP(AZ217,Literatuur!$A:$B,2,FALSE)," "))</f>
        <v/>
      </c>
      <c r="BC217" s="44" t="str">
        <f t="shared" si="178"/>
        <v xml:space="preserve"> </v>
      </c>
      <c r="BD217" s="33" t="str">
        <f>IF(OR(ISBLANK(BB217), ISBLANK(BC217)),"",CONCATENATE(" ",VLOOKUP(BC217,Literatuur!$A:$B,2,FALSE)," "))</f>
        <v/>
      </c>
      <c r="BF217" s="44" t="str">
        <f t="shared" si="179"/>
        <v xml:space="preserve"> </v>
      </c>
      <c r="BG217" s="33" t="str">
        <f>IF(OR(ISBLANK(BE217), ISBLANK(BF217)),"",CONCATENATE(" ",VLOOKUP(BF217,Literatuur!$A:$B,2,FALSE)," "))</f>
        <v/>
      </c>
      <c r="BI217" s="44" t="str">
        <f t="shared" si="180"/>
        <v xml:space="preserve"> </v>
      </c>
      <c r="BJ217" s="33" t="str">
        <f>IF(OR(ISBLANK(BH217), ISBLANK(BI217)),"",CONCATENATE(" ",VLOOKUP(BI217,Literatuur!$A:$B,2,FALSE)," "))</f>
        <v/>
      </c>
      <c r="BL217" s="44" t="str">
        <f t="shared" si="181"/>
        <v xml:space="preserve"> </v>
      </c>
      <c r="BM217" s="33" t="str">
        <f>IF(OR(ISBLANK(BK217), ISBLANK(BL217)),"",CONCATENATE(" ",VLOOKUP(BL217,Literatuur!$A:$B,2,FALSE)," "))</f>
        <v/>
      </c>
      <c r="BO217"/>
      <c r="BP217" s="33" t="str">
        <f>IF(OR(ISBLANK(BN217), ISBLANK(BO217)),"",CONCATENATE(" ",VLOOKUP(BO217,Literatuur!$A:$B,2,FALSE)," "))</f>
        <v/>
      </c>
      <c r="BR217"/>
      <c r="BS217" s="33" t="str">
        <f>IF(OR(ISBLANK(BQ217), ISBLANK(BR217)),"",CONCATENATE(" ",VLOOKUP(BR217,Literatuur!$A:$B,2,FALSE)," "))</f>
        <v/>
      </c>
      <c r="BT217">
        <v>6.4</v>
      </c>
      <c r="BU217" s="33" t="s">
        <v>1557</v>
      </c>
      <c r="BV217" s="33" t="str">
        <f>IF(OR(ISBLANK(BT217), ISBLANK(BU217)),"",CONCATENATE(" ",VLOOKUP(BU217,Literatuur!$A:$B,2,FALSE)," "))</f>
        <v xml:space="preserve"> 17 </v>
      </c>
      <c r="BX217">
        <v>240.1</v>
      </c>
      <c r="CB217" s="33" t="s">
        <v>1557</v>
      </c>
      <c r="CD217" s="33">
        <f>L217</f>
        <v>240.1</v>
      </c>
      <c r="CG217" s="33">
        <f>LOG(J217)</f>
        <v>-0.8503837604809148</v>
      </c>
      <c r="CH217" s="33">
        <f t="shared" si="182"/>
        <v>6.4</v>
      </c>
      <c r="CR217" s="33" t="str">
        <f t="shared" si="160"/>
        <v>p,p’-DDT</v>
      </c>
      <c r="CS217" s="33" t="str">
        <f t="shared" si="161"/>
        <v>overige</v>
      </c>
      <c r="CT217" s="33">
        <f t="shared" si="162"/>
        <v>354.5</v>
      </c>
      <c r="CU217" s="33" t="str">
        <f t="shared" si="163"/>
        <v xml:space="preserve"> 17 </v>
      </c>
      <c r="CV217" s="33">
        <f t="shared" si="164"/>
        <v>0.14112899196121473</v>
      </c>
      <c r="CW217" s="33" t="str">
        <f t="shared" si="165"/>
        <v xml:space="preserve"> 17 </v>
      </c>
      <c r="CX217" s="33">
        <f t="shared" si="166"/>
        <v>6.4</v>
      </c>
      <c r="CY217" s="33" t="str">
        <f t="shared" si="167"/>
        <v xml:space="preserve"> 17 </v>
      </c>
    </row>
    <row r="218" spans="1:103" x14ac:dyDescent="0.2">
      <c r="B218" s="33">
        <v>-1656</v>
      </c>
      <c r="D218" s="105" t="s">
        <v>444</v>
      </c>
      <c r="E218" s="105" t="s">
        <v>444</v>
      </c>
      <c r="H218" s="34" t="s">
        <v>443</v>
      </c>
      <c r="I218" s="33">
        <f t="shared" si="143"/>
        <v>55.08</v>
      </c>
      <c r="J218" s="33">
        <f t="shared" si="168"/>
        <v>103000</v>
      </c>
      <c r="K218" s="44">
        <f t="shared" si="141"/>
        <v>0.16</v>
      </c>
      <c r="L218" s="33" t="e">
        <f>AVERAGE(BX218:BY218)</f>
        <v>#DIV/0!</v>
      </c>
      <c r="M218" s="33" t="s">
        <v>345</v>
      </c>
      <c r="Q218" s="44" t="str">
        <f t="shared" si="169"/>
        <v xml:space="preserve"> </v>
      </c>
      <c r="R218" s="33" t="str">
        <f>IF(OR(ISBLANK(P218), ISBLANK(Q218)),"",CONCATENATE(" ",VLOOKUP(Q218,Literatuur!$A:$B,2,FALSE)," "))</f>
        <v/>
      </c>
      <c r="T218" s="44" t="str">
        <f t="shared" si="170"/>
        <v xml:space="preserve"> </v>
      </c>
      <c r="U218" s="33" t="str">
        <f>IF(OR(ISBLANK(S218), ISBLANK(T218)),"",CONCATENATE(" ",VLOOKUP(T218,Literatuur!$A:$B,2,FALSE)," "))</f>
        <v/>
      </c>
      <c r="W218" s="44" t="str">
        <f t="shared" si="171"/>
        <v xml:space="preserve"> </v>
      </c>
      <c r="X218" s="33" t="str">
        <f>IF(OR(ISBLANK(V218), ISBLANK(W218)),"",CONCATENATE(" ",VLOOKUP(W218,Literatuur!$A:$B,2,FALSE)," "))</f>
        <v/>
      </c>
      <c r="Y218" s="33">
        <v>103000</v>
      </c>
      <c r="Z218" s="44" t="str">
        <f t="shared" si="172"/>
        <v>US EPA suite</v>
      </c>
      <c r="AA218" s="33" t="str">
        <f>IF(OR(ISBLANK(Y218), ISBLANK(Z218)),"",CONCATENATE(" ",VLOOKUP(Z218,Literatuur!$A:$B,2,FALSE)," "))</f>
        <v xml:space="preserve"> F </v>
      </c>
      <c r="AC218" s="36" t="str">
        <f t="shared" si="173"/>
        <v xml:space="preserve"> </v>
      </c>
      <c r="AD218" s="33" t="str">
        <f>IF(OR(ISBLANK(AB218), ISBLANK(AC218)),"",CONCATENATE(" ",VLOOKUP(AC218,Literatuur!$A:$B,2,FALSE)," "))</f>
        <v/>
      </c>
      <c r="AG218" s="33" t="str">
        <f>IF(OR(ISBLANK(AE218), ISBLANK(AF218)),"",CONCATENATE(" ",VLOOKUP(AF218,Literatuur!$A:$B,2,FALSE)," "))</f>
        <v/>
      </c>
      <c r="AJ218" s="44" t="str">
        <f t="shared" si="174"/>
        <v xml:space="preserve"> </v>
      </c>
      <c r="AK218" s="33" t="str">
        <f>IF(OR(ISBLANK(AI218), ISBLANK(AJ218)),"",CONCATENATE(" ",VLOOKUP(AJ218,Literatuur!$A:$B,2,FALSE)," "))</f>
        <v/>
      </c>
      <c r="AM218" s="44" t="str">
        <f t="shared" si="175"/>
        <v xml:space="preserve"> </v>
      </c>
      <c r="AN218" s="33" t="str">
        <f>IF(OR(ISBLANK(AL218), ISBLANK(AM218)),"",CONCATENATE(" ",VLOOKUP(AM218,Literatuur!$A:$B,2,FALSE)," "))</f>
        <v/>
      </c>
      <c r="AO218" s="33">
        <v>55.08</v>
      </c>
      <c r="AP218" s="44" t="str">
        <f t="shared" si="176"/>
        <v>US EPA suite</v>
      </c>
      <c r="AQ218" s="33" t="str">
        <f>IF(OR(ISBLANK(AO218), ISBLANK(AP218)),"",CONCATENATE(" ",VLOOKUP(AP218,Literatuur!$A:$B,2,FALSE)," "))</f>
        <v xml:space="preserve"> F </v>
      </c>
      <c r="AT218" s="33" t="str">
        <f>IF(OR(ISBLANK(AR218), ISBLANK(AS218)),"",CONCATENATE(" ",VLOOKUP(AS218,Literatuur!$A:$B,2,FALSE)," "))</f>
        <v/>
      </c>
      <c r="AW218" s="33" t="str">
        <f>IF(OR(ISBLANK(AU218), ISBLANK(AV218)),"",CONCATENATE(" ",VLOOKUP(AV218,Literatuur!$A:$B,2,FALSE)," "))</f>
        <v/>
      </c>
      <c r="AZ218" s="44" t="str">
        <f t="shared" si="177"/>
        <v xml:space="preserve"> </v>
      </c>
      <c r="BA218" s="33" t="str">
        <f>IF(OR(ISBLANK(AY218), ISBLANK(AZ218)),"",CONCATENATE(" ",VLOOKUP(AZ218,Literatuur!$A:$B,2,FALSE)," "))</f>
        <v/>
      </c>
      <c r="BC218" s="44" t="str">
        <f t="shared" si="178"/>
        <v xml:space="preserve"> </v>
      </c>
      <c r="BD218" s="33" t="str">
        <f>IF(OR(ISBLANK(BB218), ISBLANK(BC218)),"",CONCATENATE(" ",VLOOKUP(BC218,Literatuur!$A:$B,2,FALSE)," "))</f>
        <v/>
      </c>
      <c r="BF218" s="44" t="str">
        <f t="shared" si="179"/>
        <v xml:space="preserve"> </v>
      </c>
      <c r="BG218" s="33" t="str">
        <f>IF(OR(ISBLANK(BE218), ISBLANK(BF218)),"",CONCATENATE(" ",VLOOKUP(BF218,Literatuur!$A:$B,2,FALSE)," "))</f>
        <v/>
      </c>
      <c r="BH218" s="33">
        <v>0.16</v>
      </c>
      <c r="BI218" s="44" t="str">
        <f t="shared" si="180"/>
        <v>US EPA suite</v>
      </c>
      <c r="BJ218" s="33" t="str">
        <f>IF(OR(ISBLANK(BH218), ISBLANK(BI218)),"",CONCATENATE(" ",VLOOKUP(BI218,Literatuur!$A:$B,2,FALSE)," "))</f>
        <v xml:space="preserve"> F </v>
      </c>
      <c r="BL218" s="44" t="str">
        <f t="shared" si="181"/>
        <v xml:space="preserve"> </v>
      </c>
      <c r="BM218" s="33" t="str">
        <f>IF(OR(ISBLANK(BK218), ISBLANK(BL218)),"",CONCATENATE(" ",VLOOKUP(BL218,Literatuur!$A:$B,2,FALSE)," "))</f>
        <v/>
      </c>
      <c r="BP218" s="33" t="str">
        <f>IF(OR(ISBLANK(BN218), ISBLANK(BO218)),"",CONCATENATE(" ",VLOOKUP(BO218,Literatuur!$A:$B,2,FALSE)," "))</f>
        <v/>
      </c>
      <c r="BS218" s="33" t="str">
        <f>IF(OR(ISBLANK(BQ218), ISBLANK(BR218)),"",CONCATENATE(" ",VLOOKUP(BR218,Literatuur!$A:$B,2,FALSE)," "))</f>
        <v/>
      </c>
      <c r="BV218" s="33" t="str">
        <f>IF(OR(ISBLANK(BT218), ISBLANK(BU218)),"",CONCATENATE(" ",VLOOKUP(BU218,Literatuur!$A:$B,2,FALSE)," "))</f>
        <v/>
      </c>
      <c r="CG218" s="33">
        <f>LOG(J218)</f>
        <v>5.012837224705172</v>
      </c>
      <c r="CH218" s="33">
        <f t="shared" si="182"/>
        <v>0.16</v>
      </c>
      <c r="CR218" s="33" t="str">
        <f t="shared" si="160"/>
        <v>Propionitrile</v>
      </c>
      <c r="CS218" s="33" t="str">
        <f t="shared" si="161"/>
        <v>overige</v>
      </c>
      <c r="CT218" s="33">
        <f t="shared" si="162"/>
        <v>55.08</v>
      </c>
      <c r="CU218" s="33" t="str">
        <f t="shared" si="163"/>
        <v xml:space="preserve"> F </v>
      </c>
      <c r="CV218" s="33">
        <f t="shared" si="164"/>
        <v>103000</v>
      </c>
      <c r="CW218" s="33" t="str">
        <f t="shared" si="165"/>
        <v xml:space="preserve"> F </v>
      </c>
      <c r="CX218" s="33">
        <f t="shared" si="166"/>
        <v>0.16</v>
      </c>
      <c r="CY218" s="33" t="str">
        <f t="shared" si="167"/>
        <v xml:space="preserve"> F </v>
      </c>
    </row>
    <row r="219" spans="1:103" ht="12.75" customHeight="1" x14ac:dyDescent="0.25">
      <c r="B219" s="33">
        <v>-1806</v>
      </c>
      <c r="D219" s="480" t="s">
        <v>197</v>
      </c>
      <c r="E219" s="480" t="s">
        <v>197</v>
      </c>
      <c r="I219" s="33">
        <f t="shared" si="143"/>
        <v>79.100000000000009</v>
      </c>
      <c r="J219" s="33">
        <f t="shared" si="168"/>
        <v>665483.58001075115</v>
      </c>
      <c r="K219" s="44">
        <f t="shared" si="141"/>
        <v>0.65</v>
      </c>
      <c r="M219" s="33" t="s">
        <v>345</v>
      </c>
      <c r="P219" s="33">
        <v>665483.58001075115</v>
      </c>
      <c r="Q219" s="44" t="str">
        <f t="shared" si="169"/>
        <v>Sanscrit</v>
      </c>
      <c r="R219" s="33" t="str">
        <f>IF(OR(ISBLANK(P219), ISBLANK(Q219)),"",CONCATENATE(" ",VLOOKUP(Q219,Literatuur!$A:$B,2,FALSE)," "))</f>
        <v xml:space="preserve"> D </v>
      </c>
      <c r="T219" s="44" t="str">
        <f t="shared" si="170"/>
        <v xml:space="preserve"> </v>
      </c>
      <c r="U219" s="33" t="str">
        <f>IF(OR(ISBLANK(S219), ISBLANK(T219)),"",CONCATENATE(" ",VLOOKUP(T219,Literatuur!$A:$B,2,FALSE)," "))</f>
        <v/>
      </c>
      <c r="W219" s="44" t="str">
        <f t="shared" si="171"/>
        <v xml:space="preserve"> </v>
      </c>
      <c r="X219" s="33" t="str">
        <f>IF(OR(ISBLANK(V219), ISBLANK(W219)),"",CONCATENATE(" ",VLOOKUP(W219,Literatuur!$A:$B,2,FALSE)," "))</f>
        <v/>
      </c>
      <c r="Z219" s="44" t="str">
        <f t="shared" si="172"/>
        <v xml:space="preserve"> </v>
      </c>
      <c r="AA219" s="33" t="str">
        <f>IF(OR(ISBLANK(Y219), ISBLANK(Z219)),"",CONCATENATE(" ",VLOOKUP(Z219,Literatuur!$A:$B,2,FALSE)," "))</f>
        <v/>
      </c>
      <c r="AC219" s="36" t="str">
        <f t="shared" si="173"/>
        <v xml:space="preserve"> </v>
      </c>
      <c r="AD219" s="33" t="str">
        <f>IF(OR(ISBLANK(AB219), ISBLANK(AC219)),"",CONCATENATE(" ",VLOOKUP(AC219,Literatuur!$A:$B,2,FALSE)," "))</f>
        <v/>
      </c>
      <c r="AG219" s="33" t="str">
        <f>IF(OR(ISBLANK(AE219), ISBLANK(AF219)),"",CONCATENATE(" ",VLOOKUP(AF219,Literatuur!$A:$B,2,FALSE)," "))</f>
        <v/>
      </c>
      <c r="AJ219" s="44" t="str">
        <f t="shared" si="174"/>
        <v xml:space="preserve"> </v>
      </c>
      <c r="AK219" s="33" t="str">
        <f>IF(OR(ISBLANK(AI219), ISBLANK(AJ219)),"",CONCATENATE(" ",VLOOKUP(AJ219,Literatuur!$A:$B,2,FALSE)," "))</f>
        <v/>
      </c>
      <c r="AM219" s="44" t="str">
        <f t="shared" si="175"/>
        <v xml:space="preserve"> </v>
      </c>
      <c r="AN219" s="33" t="str">
        <f>IF(OR(ISBLANK(AL219), ISBLANK(AM219)),"",CONCATENATE(" ",VLOOKUP(AM219,Literatuur!$A:$B,2,FALSE)," "))</f>
        <v/>
      </c>
      <c r="AP219" s="44" t="str">
        <f t="shared" si="176"/>
        <v xml:space="preserve"> </v>
      </c>
      <c r="AQ219" s="33" t="str">
        <f>IF(OR(ISBLANK(AO219), ISBLANK(AP219)),"",CONCATENATE(" ",VLOOKUP(AP219,Literatuur!$A:$B,2,FALSE)," "))</f>
        <v/>
      </c>
      <c r="AT219" s="33" t="str">
        <f>IF(OR(ISBLANK(AR219), ISBLANK(AS219)),"",CONCATENATE(" ",VLOOKUP(AS219,Literatuur!$A:$B,2,FALSE)," "))</f>
        <v/>
      </c>
      <c r="AU219" s="26">
        <v>79.100000000000009</v>
      </c>
      <c r="AW219" s="33" t="str">
        <f>IF(OR(ISBLANK(AU219), ISBLANK(AV219)),"",CONCATENATE(" ",VLOOKUP(AV219,Literatuur!$A:$B,2,FALSE)," "))</f>
        <v/>
      </c>
      <c r="AY219" s="33">
        <v>0.65</v>
      </c>
      <c r="AZ219" s="44" t="str">
        <f t="shared" si="177"/>
        <v>Sanscrit</v>
      </c>
      <c r="BA219" s="33" t="str">
        <f>IF(OR(ISBLANK(AY219), ISBLANK(AZ219)),"",CONCATENATE(" ",VLOOKUP(AZ219,Literatuur!$A:$B,2,FALSE)," "))</f>
        <v xml:space="preserve"> D </v>
      </c>
      <c r="BC219" s="44" t="str">
        <f t="shared" si="178"/>
        <v xml:space="preserve"> </v>
      </c>
      <c r="BD219" s="33" t="str">
        <f>IF(OR(ISBLANK(BB219), ISBLANK(BC219)),"",CONCATENATE(" ",VLOOKUP(BC219,Literatuur!$A:$B,2,FALSE)," "))</f>
        <v/>
      </c>
      <c r="BF219" s="44" t="str">
        <f t="shared" si="179"/>
        <v xml:space="preserve"> </v>
      </c>
      <c r="BG219" s="33" t="str">
        <f>IF(OR(ISBLANK(BE219), ISBLANK(BF219)),"",CONCATENATE(" ",VLOOKUP(BF219,Literatuur!$A:$B,2,FALSE)," "))</f>
        <v/>
      </c>
      <c r="BI219" s="44" t="str">
        <f t="shared" si="180"/>
        <v xml:space="preserve"> </v>
      </c>
      <c r="BJ219" s="33" t="str">
        <f>IF(OR(ISBLANK(BH219), ISBLANK(BI219)),"",CONCATENATE(" ",VLOOKUP(BI219,Literatuur!$A:$B,2,FALSE)," "))</f>
        <v/>
      </c>
      <c r="BL219" s="44" t="str">
        <f t="shared" si="181"/>
        <v xml:space="preserve"> </v>
      </c>
      <c r="BM219" s="33" t="str">
        <f>IF(OR(ISBLANK(BK219), ISBLANK(BL219)),"",CONCATENATE(" ",VLOOKUP(BL219,Literatuur!$A:$B,2,FALSE)," "))</f>
        <v/>
      </c>
      <c r="BP219" s="33" t="str">
        <f>IF(OR(ISBLANK(BN219), ISBLANK(BO219)),"",CONCATENATE(" ",VLOOKUP(BO219,Literatuur!$A:$B,2,FALSE)," "))</f>
        <v/>
      </c>
      <c r="BS219" s="33" t="str">
        <f>IF(OR(ISBLANK(BQ219), ISBLANK(BR219)),"",CONCATENATE(" ",VLOOKUP(BR219,Literatuur!$A:$B,2,FALSE)," "))</f>
        <v/>
      </c>
      <c r="BV219" s="33" t="str">
        <f>IF(OR(ISBLANK(BT219), ISBLANK(BU219)),"",CONCATENATE(" ",VLOOKUP(BU219,Literatuur!$A:$B,2,FALSE)," "))</f>
        <v/>
      </c>
      <c r="CH219" s="33">
        <f t="shared" si="182"/>
        <v>0.65</v>
      </c>
      <c r="CI219" s="33">
        <v>13</v>
      </c>
      <c r="CR219" s="33" t="str">
        <f t="shared" si="160"/>
        <v>pyridine</v>
      </c>
      <c r="CS219" s="33" t="str">
        <f t="shared" si="161"/>
        <v>overige</v>
      </c>
      <c r="CT219" s="33">
        <f>IF(OR(ISBLANK(AU219),ISERROR(AU219)),"",AU219)</f>
        <v>79.100000000000009</v>
      </c>
      <c r="CU219" s="33" t="str">
        <f t="shared" si="163"/>
        <v/>
      </c>
      <c r="CV219" s="33">
        <f t="shared" si="164"/>
        <v>665483.58001075115</v>
      </c>
      <c r="CW219" s="33" t="str">
        <f t="shared" si="165"/>
        <v xml:space="preserve"> D </v>
      </c>
      <c r="CX219" s="33">
        <f t="shared" si="166"/>
        <v>0.65</v>
      </c>
      <c r="CY219" s="33" t="str">
        <f t="shared" si="167"/>
        <v xml:space="preserve"> D </v>
      </c>
    </row>
    <row r="220" spans="1:103" x14ac:dyDescent="0.2">
      <c r="A220"/>
      <c r="B220">
        <v>-1789</v>
      </c>
      <c r="D220" t="s">
        <v>1215</v>
      </c>
      <c r="E220" t="s">
        <v>1215</v>
      </c>
      <c r="I220" s="33">
        <f t="shared" si="143"/>
        <v>206.3</v>
      </c>
      <c r="J220" s="33">
        <f t="shared" si="168"/>
        <v>25.97163124531366</v>
      </c>
      <c r="K220" s="44">
        <f t="shared" si="141"/>
        <v>4.0999999999999996</v>
      </c>
      <c r="L220" s="33">
        <f t="shared" ref="L220:L265" si="183">AVERAGE(BX220:BY220)</f>
        <v>219.5</v>
      </c>
      <c r="M220" s="33" t="s">
        <v>345</v>
      </c>
      <c r="Q220" s="44" t="str">
        <f t="shared" si="169"/>
        <v xml:space="preserve"> </v>
      </c>
      <c r="R220" s="33" t="str">
        <f>IF(OR(ISBLANK(P220), ISBLANK(Q220)),"",CONCATENATE(" ",VLOOKUP(Q220,Literatuur!$A:$B,2,FALSE)," "))</f>
        <v/>
      </c>
      <c r="T220" s="44" t="str">
        <f t="shared" si="170"/>
        <v xml:space="preserve"> </v>
      </c>
      <c r="U220" s="33" t="str">
        <f>IF(OR(ISBLANK(S220), ISBLANK(T220)),"",CONCATENATE(" ",VLOOKUP(T220,Literatuur!$A:$B,2,FALSE)," "))</f>
        <v/>
      </c>
      <c r="W220" s="44" t="str">
        <f t="shared" si="171"/>
        <v xml:space="preserve"> </v>
      </c>
      <c r="X220" s="33" t="str">
        <f>IF(OR(ISBLANK(V220), ISBLANK(W220)),"",CONCATENATE(" ",VLOOKUP(W220,Literatuur!$A:$B,2,FALSE)," "))</f>
        <v/>
      </c>
      <c r="Z220" s="44" t="str">
        <f t="shared" si="172"/>
        <v xml:space="preserve"> </v>
      </c>
      <c r="AA220" s="33" t="str">
        <f>IF(OR(ISBLANK(Y220), ISBLANK(Z220)),"",CONCATENATE(" ",VLOOKUP(Z220,Literatuur!$A:$B,2,FALSE)," "))</f>
        <v/>
      </c>
      <c r="AC220" s="36" t="str">
        <f t="shared" si="173"/>
        <v xml:space="preserve"> </v>
      </c>
      <c r="AD220" s="33" t="str">
        <f>IF(OR(ISBLANK(AB220), ISBLANK(AC220)),"",CONCATENATE(" ",VLOOKUP(AC220,Literatuur!$A:$B,2,FALSE)," "))</f>
        <v/>
      </c>
      <c r="AE220" s="365">
        <v>25.97163124531366</v>
      </c>
      <c r="AF220" s="33" t="s">
        <v>1557</v>
      </c>
      <c r="AG220" s="33" t="str">
        <f>IF(OR(ISBLANK(AE220), ISBLANK(AF220)),"",CONCATENATE(" ",VLOOKUP(AF220,Literatuur!$A:$B,2,FALSE)," "))</f>
        <v xml:space="preserve"> 17 </v>
      </c>
      <c r="AJ220" s="44" t="str">
        <f t="shared" si="174"/>
        <v xml:space="preserve"> </v>
      </c>
      <c r="AK220" s="33" t="str">
        <f>IF(OR(ISBLANK(AI220), ISBLANK(AJ220)),"",CONCATENATE(" ",VLOOKUP(AJ220,Literatuur!$A:$B,2,FALSE)," "))</f>
        <v/>
      </c>
      <c r="AM220" s="44" t="str">
        <f t="shared" si="175"/>
        <v xml:space="preserve"> </v>
      </c>
      <c r="AN220" s="33" t="str">
        <f>IF(OR(ISBLANK(AL220), ISBLANK(AM220)),"",CONCATENATE(" ",VLOOKUP(AM220,Literatuur!$A:$B,2,FALSE)," "))</f>
        <v/>
      </c>
      <c r="AP220" s="44" t="str">
        <f t="shared" si="176"/>
        <v xml:space="preserve"> </v>
      </c>
      <c r="AQ220" s="33" t="str">
        <f>IF(OR(ISBLANK(AO220), ISBLANK(AP220)),"",CONCATENATE(" ",VLOOKUP(AP220,Literatuur!$A:$B,2,FALSE)," "))</f>
        <v/>
      </c>
      <c r="AS220"/>
      <c r="AT220" s="33" t="str">
        <f>IF(OR(ISBLANK(AR220), ISBLANK(AS220)),"",CONCATENATE(" ",VLOOKUP(AS220,Literatuur!$A:$B,2,FALSE)," "))</f>
        <v/>
      </c>
      <c r="AU220">
        <v>206.3</v>
      </c>
      <c r="AV220" s="33" t="s">
        <v>1557</v>
      </c>
      <c r="AW220" s="33" t="str">
        <f>IF(OR(ISBLANK(AU220), ISBLANK(AV220)),"",CONCATENATE(" ",VLOOKUP(AV220,Literatuur!$A:$B,2,FALSE)," "))</f>
        <v xml:space="preserve"> 17 </v>
      </c>
      <c r="AZ220" s="44" t="str">
        <f t="shared" si="177"/>
        <v xml:space="preserve"> </v>
      </c>
      <c r="BA220" s="33" t="str">
        <f>IF(OR(ISBLANK(AY220), ISBLANK(AZ220)),"",CONCATENATE(" ",VLOOKUP(AZ220,Literatuur!$A:$B,2,FALSE)," "))</f>
        <v/>
      </c>
      <c r="BC220" s="44" t="str">
        <f t="shared" si="178"/>
        <v xml:space="preserve"> </v>
      </c>
      <c r="BD220" s="33" t="str">
        <f>IF(OR(ISBLANK(BB220), ISBLANK(BC220)),"",CONCATENATE(" ",VLOOKUP(BC220,Literatuur!$A:$B,2,FALSE)," "))</f>
        <v/>
      </c>
      <c r="BF220" s="44" t="str">
        <f t="shared" si="179"/>
        <v xml:space="preserve"> </v>
      </c>
      <c r="BG220" s="33" t="str">
        <f>IF(OR(ISBLANK(BE220), ISBLANK(BF220)),"",CONCATENATE(" ",VLOOKUP(BF220,Literatuur!$A:$B,2,FALSE)," "))</f>
        <v/>
      </c>
      <c r="BI220" s="44" t="str">
        <f t="shared" si="180"/>
        <v xml:space="preserve"> </v>
      </c>
      <c r="BJ220" s="33" t="str">
        <f>IF(OR(ISBLANK(BH220), ISBLANK(BI220)),"",CONCATENATE(" ",VLOOKUP(BI220,Literatuur!$A:$B,2,FALSE)," "))</f>
        <v/>
      </c>
      <c r="BL220" s="44" t="str">
        <f t="shared" si="181"/>
        <v xml:space="preserve"> </v>
      </c>
      <c r="BM220" s="33" t="str">
        <f>IF(OR(ISBLANK(BK220), ISBLANK(BL220)),"",CONCATENATE(" ",VLOOKUP(BL220,Literatuur!$A:$B,2,FALSE)," "))</f>
        <v/>
      </c>
      <c r="BO220"/>
      <c r="BP220" s="33" t="str">
        <f>IF(OR(ISBLANK(BN220), ISBLANK(BO220)),"",CONCATENATE(" ",VLOOKUP(BO220,Literatuur!$A:$B,2,FALSE)," "))</f>
        <v/>
      </c>
      <c r="BR220"/>
      <c r="BS220" s="33" t="str">
        <f>IF(OR(ISBLANK(BQ220), ISBLANK(BR220)),"",CONCATENATE(" ",VLOOKUP(BR220,Literatuur!$A:$B,2,FALSE)," "))</f>
        <v/>
      </c>
      <c r="BT220">
        <v>4.0999999999999996</v>
      </c>
      <c r="BU220" s="33" t="s">
        <v>1557</v>
      </c>
      <c r="BV220" s="33" t="str">
        <f>IF(OR(ISBLANK(BT220), ISBLANK(BU220)),"",CONCATENATE(" ",VLOOKUP(BU220,Literatuur!$A:$B,2,FALSE)," "))</f>
        <v xml:space="preserve"> 17 </v>
      </c>
      <c r="BX220">
        <v>219.5</v>
      </c>
      <c r="CB220" s="33" t="s">
        <v>1557</v>
      </c>
      <c r="CD220" s="33">
        <f>L220</f>
        <v>219.5</v>
      </c>
      <c r="CG220" s="33">
        <f>LOG(J220)</f>
        <v>1.4144992279731514</v>
      </c>
      <c r="CH220" s="33">
        <f t="shared" si="182"/>
        <v>4.0999999999999996</v>
      </c>
      <c r="CR220" s="33" t="str">
        <f t="shared" si="160"/>
        <v>t-octylphenol</v>
      </c>
      <c r="CS220" s="33" t="str">
        <f t="shared" si="161"/>
        <v>overige</v>
      </c>
      <c r="CT220" s="33">
        <f t="shared" ref="CT220:CT265" si="184">IF(OR(ISBLANK(I220),ISERROR(I220)),"",I220)</f>
        <v>206.3</v>
      </c>
      <c r="CU220" s="33" t="str">
        <f t="shared" si="163"/>
        <v xml:space="preserve"> 17 </v>
      </c>
      <c r="CV220" s="33">
        <f t="shared" si="164"/>
        <v>25.97163124531366</v>
      </c>
      <c r="CW220" s="33" t="str">
        <f t="shared" si="165"/>
        <v xml:space="preserve"> 17 </v>
      </c>
      <c r="CX220" s="33">
        <f t="shared" si="166"/>
        <v>4.0999999999999996</v>
      </c>
      <c r="CY220" s="33" t="str">
        <f t="shared" si="167"/>
        <v xml:space="preserve"> 17 </v>
      </c>
    </row>
    <row r="221" spans="1:103" x14ac:dyDescent="0.2">
      <c r="A221"/>
      <c r="B221">
        <v>-1785</v>
      </c>
      <c r="D221" t="s">
        <v>1211</v>
      </c>
      <c r="E221" t="s">
        <v>1211</v>
      </c>
      <c r="I221" s="33">
        <f t="shared" si="143"/>
        <v>289.5</v>
      </c>
      <c r="J221" s="33">
        <f t="shared" si="168"/>
        <v>11.525202587523745</v>
      </c>
      <c r="K221" s="44">
        <f t="shared" ref="K221:K252" si="185">IF(ISNUMBER(AY221),AY221,AVERAGE(BB221,BE221,BH221,BK221,BN221,BQ221,BT221))</f>
        <v>4.8</v>
      </c>
      <c r="L221" s="33">
        <f t="shared" si="183"/>
        <v>192.1</v>
      </c>
      <c r="M221" s="33" t="s">
        <v>345</v>
      </c>
      <c r="Q221" s="44" t="str">
        <f t="shared" si="169"/>
        <v xml:space="preserve"> </v>
      </c>
      <c r="R221" s="33" t="str">
        <f>IF(OR(ISBLANK(P221), ISBLANK(Q221)),"",CONCATENATE(" ",VLOOKUP(Q221,Literatuur!$A:$B,2,FALSE)," "))</f>
        <v/>
      </c>
      <c r="T221" s="44" t="str">
        <f t="shared" si="170"/>
        <v xml:space="preserve"> </v>
      </c>
      <c r="U221" s="33" t="str">
        <f>IF(OR(ISBLANK(S221), ISBLANK(T221)),"",CONCATENATE(" ",VLOOKUP(T221,Literatuur!$A:$B,2,FALSE)," "))</f>
        <v/>
      </c>
      <c r="W221" s="44" t="str">
        <f t="shared" si="171"/>
        <v xml:space="preserve"> </v>
      </c>
      <c r="X221" s="33" t="str">
        <f>IF(OR(ISBLANK(V221), ISBLANK(W221)),"",CONCATENATE(" ",VLOOKUP(W221,Literatuur!$A:$B,2,FALSE)," "))</f>
        <v/>
      </c>
      <c r="Z221" s="44" t="str">
        <f t="shared" si="172"/>
        <v xml:space="preserve"> </v>
      </c>
      <c r="AA221" s="33" t="str">
        <f>IF(OR(ISBLANK(Y221), ISBLANK(Z221)),"",CONCATENATE(" ",VLOOKUP(Z221,Literatuur!$A:$B,2,FALSE)," "))</f>
        <v/>
      </c>
      <c r="AC221" s="36" t="str">
        <f t="shared" si="173"/>
        <v xml:space="preserve"> </v>
      </c>
      <c r="AD221" s="33" t="str">
        <f>IF(OR(ISBLANK(AB221), ISBLANK(AC221)),"",CONCATENATE(" ",VLOOKUP(AC221,Literatuur!$A:$B,2,FALSE)," "))</f>
        <v/>
      </c>
      <c r="AE221" s="365">
        <v>11.525202587523745</v>
      </c>
      <c r="AF221" s="33" t="s">
        <v>1557</v>
      </c>
      <c r="AG221" s="33" t="str">
        <f>IF(OR(ISBLANK(AE221), ISBLANK(AF221)),"",CONCATENATE(" ",VLOOKUP(AF221,Literatuur!$A:$B,2,FALSE)," "))</f>
        <v xml:space="preserve"> 17 </v>
      </c>
      <c r="AJ221" s="44" t="str">
        <f t="shared" si="174"/>
        <v xml:space="preserve"> </v>
      </c>
      <c r="AK221" s="33" t="str">
        <f>IF(OR(ISBLANK(AI221), ISBLANK(AJ221)),"",CONCATENATE(" ",VLOOKUP(AJ221,Literatuur!$A:$B,2,FALSE)," "))</f>
        <v/>
      </c>
      <c r="AM221" s="44" t="str">
        <f t="shared" si="175"/>
        <v xml:space="preserve"> </v>
      </c>
      <c r="AN221" s="33" t="str">
        <f>IF(OR(ISBLANK(AL221), ISBLANK(AM221)),"",CONCATENATE(" ",VLOOKUP(AM221,Literatuur!$A:$B,2,FALSE)," "))</f>
        <v/>
      </c>
      <c r="AP221" s="44" t="str">
        <f t="shared" si="176"/>
        <v xml:space="preserve"> </v>
      </c>
      <c r="AQ221" s="33" t="str">
        <f>IF(OR(ISBLANK(AO221), ISBLANK(AP221)),"",CONCATENATE(" ",VLOOKUP(AP221,Literatuur!$A:$B,2,FALSE)," "))</f>
        <v/>
      </c>
      <c r="AS221"/>
      <c r="AT221" s="33" t="str">
        <f>IF(OR(ISBLANK(AR221), ISBLANK(AS221)),"",CONCATENATE(" ",VLOOKUP(AS221,Literatuur!$A:$B,2,FALSE)," "))</f>
        <v/>
      </c>
      <c r="AU221">
        <v>289.5</v>
      </c>
      <c r="AV221" s="33" t="s">
        <v>1557</v>
      </c>
      <c r="AW221" s="33" t="str">
        <f>IF(OR(ISBLANK(AU221), ISBLANK(AV221)),"",CONCATENATE(" ",VLOOKUP(AV221,Literatuur!$A:$B,2,FALSE)," "))</f>
        <v xml:space="preserve"> 17 </v>
      </c>
      <c r="AZ221" s="44" t="str">
        <f t="shared" si="177"/>
        <v xml:space="preserve"> </v>
      </c>
      <c r="BA221" s="33" t="str">
        <f>IF(OR(ISBLANK(AY221), ISBLANK(AZ221)),"",CONCATENATE(" ",VLOOKUP(AZ221,Literatuur!$A:$B,2,FALSE)," "))</f>
        <v/>
      </c>
      <c r="BC221" s="44" t="str">
        <f t="shared" si="178"/>
        <v xml:space="preserve"> </v>
      </c>
      <c r="BD221" s="33" t="str">
        <f>IF(OR(ISBLANK(BB221), ISBLANK(BC221)),"",CONCATENATE(" ",VLOOKUP(BC221,Literatuur!$A:$B,2,FALSE)," "))</f>
        <v/>
      </c>
      <c r="BF221" s="44" t="str">
        <f t="shared" si="179"/>
        <v xml:space="preserve"> </v>
      </c>
      <c r="BG221" s="33" t="str">
        <f>IF(OR(ISBLANK(BE221), ISBLANK(BF221)),"",CONCATENATE(" ",VLOOKUP(BF221,Literatuur!$A:$B,2,FALSE)," "))</f>
        <v/>
      </c>
      <c r="BI221" s="44" t="str">
        <f t="shared" si="180"/>
        <v xml:space="preserve"> </v>
      </c>
      <c r="BJ221" s="33" t="str">
        <f>IF(OR(ISBLANK(BH221), ISBLANK(BI221)),"",CONCATENATE(" ",VLOOKUP(BI221,Literatuur!$A:$B,2,FALSE)," "))</f>
        <v/>
      </c>
      <c r="BL221" s="44" t="str">
        <f t="shared" si="181"/>
        <v xml:space="preserve"> </v>
      </c>
      <c r="BM221" s="33" t="str">
        <f>IF(OR(ISBLANK(BK221), ISBLANK(BL221)),"",CONCATENATE(" ",VLOOKUP(BL221,Literatuur!$A:$B,2,FALSE)," "))</f>
        <v/>
      </c>
      <c r="BO221"/>
      <c r="BP221" s="33" t="str">
        <f>IF(OR(ISBLANK(BN221), ISBLANK(BO221)),"",CONCATENATE(" ",VLOOKUP(BO221,Literatuur!$A:$B,2,FALSE)," "))</f>
        <v/>
      </c>
      <c r="BR221"/>
      <c r="BS221" s="33" t="str">
        <f>IF(OR(ISBLANK(BQ221), ISBLANK(BR221)),"",CONCATENATE(" ",VLOOKUP(BR221,Literatuur!$A:$B,2,FALSE)," "))</f>
        <v/>
      </c>
      <c r="BT221">
        <v>4.8</v>
      </c>
      <c r="BU221" s="33" t="s">
        <v>1557</v>
      </c>
      <c r="BV221" s="33" t="str">
        <f>IF(OR(ISBLANK(BT221), ISBLANK(BU221)),"",CONCATENATE(" ",VLOOKUP(BU221,Literatuur!$A:$B,2,FALSE)," "))</f>
        <v xml:space="preserve"> 17 </v>
      </c>
      <c r="BX221">
        <v>192.1</v>
      </c>
      <c r="CB221" s="33" t="s">
        <v>1557</v>
      </c>
      <c r="CD221" s="33">
        <f>L221</f>
        <v>192.1</v>
      </c>
      <c r="CG221" s="33">
        <f>LOG(J221)</f>
        <v>1.0616485680634551</v>
      </c>
      <c r="CH221" s="33">
        <f t="shared" si="182"/>
        <v>4.8</v>
      </c>
      <c r="CR221" s="33" t="str">
        <f t="shared" si="160"/>
        <v>triclosan</v>
      </c>
      <c r="CS221" s="33" t="str">
        <f t="shared" si="161"/>
        <v>overige</v>
      </c>
      <c r="CT221" s="33">
        <f t="shared" si="184"/>
        <v>289.5</v>
      </c>
      <c r="CU221" s="33" t="str">
        <f t="shared" si="163"/>
        <v xml:space="preserve"> 17 </v>
      </c>
      <c r="CV221" s="33">
        <f t="shared" si="164"/>
        <v>11.525202587523745</v>
      </c>
      <c r="CW221" s="33" t="str">
        <f t="shared" si="165"/>
        <v xml:space="preserve"> 17 </v>
      </c>
      <c r="CX221" s="33">
        <f t="shared" si="166"/>
        <v>4.8</v>
      </c>
      <c r="CY221" s="33" t="str">
        <f t="shared" si="167"/>
        <v xml:space="preserve"> 17 </v>
      </c>
    </row>
    <row r="222" spans="1:103" x14ac:dyDescent="0.2">
      <c r="B222">
        <v>-1795</v>
      </c>
      <c r="D222" s="33" t="s">
        <v>1465</v>
      </c>
      <c r="E222" s="33" t="s">
        <v>1465</v>
      </c>
      <c r="F222" s="33" t="s">
        <v>1478</v>
      </c>
      <c r="I222" s="33">
        <f t="shared" si="143"/>
        <v>214</v>
      </c>
      <c r="J222" s="33" t="e">
        <f t="shared" si="168"/>
        <v>#DIV/0!</v>
      </c>
      <c r="K222" s="44" t="e">
        <f t="shared" si="185"/>
        <v>#DIV/0!</v>
      </c>
      <c r="L222" s="33" t="e">
        <f t="shared" si="183"/>
        <v>#DIV/0!</v>
      </c>
      <c r="M222" s="33" t="s">
        <v>345</v>
      </c>
      <c r="Q222" s="44" t="str">
        <f t="shared" si="169"/>
        <v xml:space="preserve"> </v>
      </c>
      <c r="R222" s="33" t="str">
        <f>IF(OR(ISBLANK(P222), ISBLANK(Q222)),"",CONCATENATE(" ",VLOOKUP(Q222,Literatuur!$A:$B,2,FALSE)," "))</f>
        <v/>
      </c>
      <c r="T222" s="44" t="str">
        <f t="shared" si="170"/>
        <v xml:space="preserve"> </v>
      </c>
      <c r="U222" s="33" t="str">
        <f>IF(OR(ISBLANK(S222), ISBLANK(T222)),"",CONCATENATE(" ",VLOOKUP(T222,Literatuur!$A:$B,2,FALSE)," "))</f>
        <v/>
      </c>
      <c r="W222" s="44" t="str">
        <f t="shared" si="171"/>
        <v xml:space="preserve"> </v>
      </c>
      <c r="X222" s="33" t="str">
        <f>IF(OR(ISBLANK(V222), ISBLANK(W222)),"",CONCATENATE(" ",VLOOKUP(W222,Literatuur!$A:$B,2,FALSE)," "))</f>
        <v/>
      </c>
      <c r="Z222" s="44" t="str">
        <f t="shared" si="172"/>
        <v xml:space="preserve"> </v>
      </c>
      <c r="AA222" s="33" t="str">
        <f>IF(OR(ISBLANK(Y222), ISBLANK(Z222)),"",CONCATENATE(" ",VLOOKUP(Z222,Literatuur!$A:$B,2,FALSE)," "))</f>
        <v/>
      </c>
      <c r="AC222" s="36" t="str">
        <f t="shared" si="173"/>
        <v xml:space="preserve"> </v>
      </c>
      <c r="AD222" s="33" t="str">
        <f>IF(OR(ISBLANK(AB222), ISBLANK(AC222)),"",CONCATENATE(" ",VLOOKUP(AC222,Literatuur!$A:$B,2,FALSE)," "))</f>
        <v/>
      </c>
      <c r="AG222" s="33" t="str">
        <f>IF(OR(ISBLANK(AE222), ISBLANK(AF222)),"",CONCATENATE(" ",VLOOKUP(AF222,Literatuur!$A:$B,2,FALSE)," "))</f>
        <v/>
      </c>
      <c r="AJ222" s="44" t="str">
        <f t="shared" si="174"/>
        <v xml:space="preserve"> </v>
      </c>
      <c r="AK222" s="33" t="str">
        <f>IF(OR(ISBLANK(AI222), ISBLANK(AJ222)),"",CONCATENATE(" ",VLOOKUP(AJ222,Literatuur!$A:$B,2,FALSE)," "))</f>
        <v/>
      </c>
      <c r="AM222" s="44" t="str">
        <f t="shared" si="175"/>
        <v xml:space="preserve"> </v>
      </c>
      <c r="AN222" s="33" t="str">
        <f>IF(OR(ISBLANK(AL222), ISBLANK(AM222)),"",CONCATENATE(" ",VLOOKUP(AM222,Literatuur!$A:$B,2,FALSE)," "))</f>
        <v/>
      </c>
      <c r="AP222" s="44" t="str">
        <f t="shared" si="176"/>
        <v xml:space="preserve"> </v>
      </c>
      <c r="AQ222" s="33" t="str">
        <f>IF(OR(ISBLANK(AO222), ISBLANK(AP222)),"",CONCATENATE(" ",VLOOKUP(AP222,Literatuur!$A:$B,2,FALSE)," "))</f>
        <v/>
      </c>
      <c r="AT222" s="33" t="str">
        <f>IF(OR(ISBLANK(AR222), ISBLANK(AS222)),"",CONCATENATE(" ",VLOOKUP(AS222,Literatuur!$A:$B,2,FALSE)," "))</f>
        <v/>
      </c>
      <c r="AU222" s="33">
        <v>214</v>
      </c>
      <c r="AV222" s="33" t="s">
        <v>1744</v>
      </c>
      <c r="AW222" s="33" t="str">
        <f>IF(OR(ISBLANK(AU222), ISBLANK(AV222)),"",CONCATENATE(" ",VLOOKUP(AV222,Literatuur!$A:$B,2,FALSE)," "))</f>
        <v xml:space="preserve"> 1 </v>
      </c>
      <c r="AZ222" s="44" t="str">
        <f t="shared" si="177"/>
        <v xml:space="preserve"> </v>
      </c>
      <c r="BA222" s="33" t="str">
        <f>IF(OR(ISBLANK(AY222), ISBLANK(AZ222)),"",CONCATENATE(" ",VLOOKUP(AZ222,Literatuur!$A:$B,2,FALSE)," "))</f>
        <v/>
      </c>
      <c r="BC222" s="44" t="str">
        <f t="shared" si="178"/>
        <v xml:space="preserve"> </v>
      </c>
      <c r="BD222" s="33" t="str">
        <f>IF(OR(ISBLANK(BB222), ISBLANK(BC222)),"",CONCATENATE(" ",VLOOKUP(BC222,Literatuur!$A:$B,2,FALSE)," "))</f>
        <v/>
      </c>
      <c r="BF222" s="44" t="str">
        <f t="shared" si="179"/>
        <v xml:space="preserve"> </v>
      </c>
      <c r="BG222" s="33" t="str">
        <f>IF(OR(ISBLANK(BE222), ISBLANK(BF222)),"",CONCATENATE(" ",VLOOKUP(BF222,Literatuur!$A:$B,2,FALSE)," "))</f>
        <v/>
      </c>
      <c r="BI222" s="44" t="str">
        <f t="shared" si="180"/>
        <v xml:space="preserve"> </v>
      </c>
      <c r="BJ222" s="33" t="str">
        <f>IF(OR(ISBLANK(BH222), ISBLANK(BI222)),"",CONCATENATE(" ",VLOOKUP(BI222,Literatuur!$A:$B,2,FALSE)," "))</f>
        <v/>
      </c>
      <c r="BL222" s="44" t="str">
        <f t="shared" si="181"/>
        <v xml:space="preserve"> </v>
      </c>
      <c r="BM222" s="33" t="str">
        <f>IF(OR(ISBLANK(BK222), ISBLANK(BL222)),"",CONCATENATE(" ",VLOOKUP(BL222,Literatuur!$A:$B,2,FALSE)," "))</f>
        <v/>
      </c>
      <c r="BP222" s="33" t="str">
        <f>IF(OR(ISBLANK(BN222), ISBLANK(BO222)),"",CONCATENATE(" ",VLOOKUP(BO222,Literatuur!$A:$B,2,FALSE)," "))</f>
        <v/>
      </c>
      <c r="BS222" s="33" t="str">
        <f>IF(OR(ISBLANK(BQ222), ISBLANK(BR222)),"",CONCATENATE(" ",VLOOKUP(BR222,Literatuur!$A:$B,2,FALSE)," "))</f>
        <v/>
      </c>
      <c r="BV222" s="33" t="str">
        <f>IF(OR(ISBLANK(BT222), ISBLANK(BU222)),"",CONCATENATE(" ",VLOOKUP(BU222,Literatuur!$A:$B,2,FALSE)," "))</f>
        <v/>
      </c>
      <c r="CR222" s="33" t="str">
        <f t="shared" si="160"/>
        <v>UV1</v>
      </c>
      <c r="CS222" s="33" t="str">
        <f t="shared" si="161"/>
        <v>overige</v>
      </c>
      <c r="CT222" s="33">
        <f t="shared" si="184"/>
        <v>214</v>
      </c>
      <c r="CU222" s="33" t="str">
        <f t="shared" si="163"/>
        <v xml:space="preserve"> 1 </v>
      </c>
      <c r="CV222" s="33" t="str">
        <f t="shared" si="164"/>
        <v/>
      </c>
      <c r="CW222" s="33" t="str">
        <f t="shared" si="165"/>
        <v/>
      </c>
      <c r="CX222" s="33" t="str">
        <f t="shared" si="166"/>
        <v/>
      </c>
      <c r="CY222" s="33" t="str">
        <f t="shared" si="167"/>
        <v/>
      </c>
    </row>
    <row r="223" spans="1:103" x14ac:dyDescent="0.2">
      <c r="B223">
        <v>-1804</v>
      </c>
      <c r="D223" s="33" t="s">
        <v>1476</v>
      </c>
      <c r="E223" s="33" t="s">
        <v>1476</v>
      </c>
      <c r="F223" s="33" t="s">
        <v>1478</v>
      </c>
      <c r="I223" s="33">
        <f t="shared" si="143"/>
        <v>585</v>
      </c>
      <c r="J223" s="33" t="e">
        <f t="shared" si="168"/>
        <v>#DIV/0!</v>
      </c>
      <c r="K223" s="44" t="e">
        <f t="shared" si="185"/>
        <v>#DIV/0!</v>
      </c>
      <c r="L223" s="33" t="e">
        <f t="shared" si="183"/>
        <v>#DIV/0!</v>
      </c>
      <c r="M223" s="33" t="s">
        <v>345</v>
      </c>
      <c r="Q223" s="44" t="str">
        <f t="shared" si="169"/>
        <v xml:space="preserve"> </v>
      </c>
      <c r="R223" s="33" t="str">
        <f>IF(OR(ISBLANK(P223), ISBLANK(Q223)),"",CONCATENATE(" ",VLOOKUP(Q223,Literatuur!$A:$B,2,FALSE)," "))</f>
        <v/>
      </c>
      <c r="T223" s="44" t="str">
        <f t="shared" si="170"/>
        <v xml:space="preserve"> </v>
      </c>
      <c r="U223" s="33" t="str">
        <f>IF(OR(ISBLANK(S223), ISBLANK(T223)),"",CONCATENATE(" ",VLOOKUP(T223,Literatuur!$A:$B,2,FALSE)," "))</f>
        <v/>
      </c>
      <c r="W223" s="44" t="str">
        <f t="shared" si="171"/>
        <v xml:space="preserve"> </v>
      </c>
      <c r="X223" s="33" t="str">
        <f>IF(OR(ISBLANK(V223), ISBLANK(W223)),"",CONCATENATE(" ",VLOOKUP(W223,Literatuur!$A:$B,2,FALSE)," "))</f>
        <v/>
      </c>
      <c r="Z223" s="44" t="str">
        <f t="shared" si="172"/>
        <v xml:space="preserve"> </v>
      </c>
      <c r="AA223" s="33" t="str">
        <f>IF(OR(ISBLANK(Y223), ISBLANK(Z223)),"",CONCATENATE(" ",VLOOKUP(Z223,Literatuur!$A:$B,2,FALSE)," "))</f>
        <v/>
      </c>
      <c r="AC223" s="36" t="str">
        <f t="shared" si="173"/>
        <v xml:space="preserve"> </v>
      </c>
      <c r="AD223" s="33" t="str">
        <f>IF(OR(ISBLANK(AB223), ISBLANK(AC223)),"",CONCATENATE(" ",VLOOKUP(AC223,Literatuur!$A:$B,2,FALSE)," "))</f>
        <v/>
      </c>
      <c r="AG223" s="33" t="str">
        <f>IF(OR(ISBLANK(AE223), ISBLANK(AF223)),"",CONCATENATE(" ",VLOOKUP(AF223,Literatuur!$A:$B,2,FALSE)," "))</f>
        <v/>
      </c>
      <c r="AJ223" s="44" t="str">
        <f t="shared" si="174"/>
        <v xml:space="preserve"> </v>
      </c>
      <c r="AK223" s="33" t="str">
        <f>IF(OR(ISBLANK(AI223), ISBLANK(AJ223)),"",CONCATENATE(" ",VLOOKUP(AJ223,Literatuur!$A:$B,2,FALSE)," "))</f>
        <v/>
      </c>
      <c r="AM223" s="44" t="str">
        <f t="shared" si="175"/>
        <v xml:space="preserve"> </v>
      </c>
      <c r="AN223" s="33" t="str">
        <f>IF(OR(ISBLANK(AL223), ISBLANK(AM223)),"",CONCATENATE(" ",VLOOKUP(AM223,Literatuur!$A:$B,2,FALSE)," "))</f>
        <v/>
      </c>
      <c r="AP223" s="44" t="str">
        <f t="shared" si="176"/>
        <v xml:space="preserve"> </v>
      </c>
      <c r="AQ223" s="33" t="str">
        <f>IF(OR(ISBLANK(AO223), ISBLANK(AP223)),"",CONCATENATE(" ",VLOOKUP(AP223,Literatuur!$A:$B,2,FALSE)," "))</f>
        <v/>
      </c>
      <c r="AT223" s="33" t="str">
        <f>IF(OR(ISBLANK(AR223), ISBLANK(AS223)),"",CONCATENATE(" ",VLOOKUP(AS223,Literatuur!$A:$B,2,FALSE)," "))</f>
        <v/>
      </c>
      <c r="AU223" s="33">
        <v>585</v>
      </c>
      <c r="AV223" s="33" t="s">
        <v>1744</v>
      </c>
      <c r="AW223" s="33" t="str">
        <f>IF(OR(ISBLANK(AU223), ISBLANK(AV223)),"",CONCATENATE(" ",VLOOKUP(AV223,Literatuur!$A:$B,2,FALSE)," "))</f>
        <v xml:space="preserve"> 1 </v>
      </c>
      <c r="AZ223" s="44" t="str">
        <f t="shared" si="177"/>
        <v xml:space="preserve"> </v>
      </c>
      <c r="BA223" s="33" t="str">
        <f>IF(OR(ISBLANK(AY223), ISBLANK(AZ223)),"",CONCATENATE(" ",VLOOKUP(AZ223,Literatuur!$A:$B,2,FALSE)," "))</f>
        <v/>
      </c>
      <c r="BC223" s="44" t="str">
        <f t="shared" si="178"/>
        <v xml:space="preserve"> </v>
      </c>
      <c r="BD223" s="33" t="str">
        <f>IF(OR(ISBLANK(BB223), ISBLANK(BC223)),"",CONCATENATE(" ",VLOOKUP(BC223,Literatuur!$A:$B,2,FALSE)," "))</f>
        <v/>
      </c>
      <c r="BF223" s="44" t="str">
        <f t="shared" si="179"/>
        <v xml:space="preserve"> </v>
      </c>
      <c r="BG223" s="33" t="str">
        <f>IF(OR(ISBLANK(BE223), ISBLANK(BF223)),"",CONCATENATE(" ",VLOOKUP(BF223,Literatuur!$A:$B,2,FALSE)," "))</f>
        <v/>
      </c>
      <c r="BI223" s="44" t="str">
        <f t="shared" si="180"/>
        <v xml:space="preserve"> </v>
      </c>
      <c r="BJ223" s="33" t="str">
        <f>IF(OR(ISBLANK(BH223), ISBLANK(BI223)),"",CONCATENATE(" ",VLOOKUP(BI223,Literatuur!$A:$B,2,FALSE)," "))</f>
        <v/>
      </c>
      <c r="BL223" s="44" t="str">
        <f t="shared" si="181"/>
        <v xml:space="preserve"> </v>
      </c>
      <c r="BM223" s="33" t="str">
        <f>IF(OR(ISBLANK(BK223), ISBLANK(BL223)),"",CONCATENATE(" ",VLOOKUP(BL223,Literatuur!$A:$B,2,FALSE)," "))</f>
        <v/>
      </c>
      <c r="BP223" s="33" t="str">
        <f>IF(OR(ISBLANK(BN223), ISBLANK(BO223)),"",CONCATENATE(" ",VLOOKUP(BO223,Literatuur!$A:$B,2,FALSE)," "))</f>
        <v/>
      </c>
      <c r="BS223" s="33" t="str">
        <f>IF(OR(ISBLANK(BQ223), ISBLANK(BR223)),"",CONCATENATE(" ",VLOOKUP(BR223,Literatuur!$A:$B,2,FALSE)," "))</f>
        <v/>
      </c>
      <c r="BV223" s="33" t="str">
        <f>IF(OR(ISBLANK(BT223), ISBLANK(BU223)),"",CONCATENATE(" ",VLOOKUP(BU223,Literatuur!$A:$B,2,FALSE)," "))</f>
        <v/>
      </c>
      <c r="CR223" s="33" t="str">
        <f t="shared" si="160"/>
        <v>UV10</v>
      </c>
      <c r="CS223" s="33" t="str">
        <f t="shared" si="161"/>
        <v>overige</v>
      </c>
      <c r="CT223" s="33">
        <f t="shared" si="184"/>
        <v>585</v>
      </c>
      <c r="CU223" s="33" t="str">
        <f t="shared" si="163"/>
        <v xml:space="preserve"> 1 </v>
      </c>
      <c r="CV223" s="33" t="str">
        <f t="shared" si="164"/>
        <v/>
      </c>
      <c r="CW223" s="33" t="str">
        <f t="shared" si="165"/>
        <v/>
      </c>
      <c r="CX223" s="33" t="str">
        <f t="shared" si="166"/>
        <v/>
      </c>
      <c r="CY223" s="33" t="str">
        <f t="shared" si="167"/>
        <v/>
      </c>
    </row>
    <row r="224" spans="1:103" x14ac:dyDescent="0.2">
      <c r="B224">
        <v>-1796</v>
      </c>
      <c r="D224" s="33" t="s">
        <v>1466</v>
      </c>
      <c r="E224" s="33" t="s">
        <v>1466</v>
      </c>
      <c r="F224" s="33" t="s">
        <v>1478</v>
      </c>
      <c r="I224" s="33">
        <f t="shared" si="143"/>
        <v>258</v>
      </c>
      <c r="J224" s="33" t="e">
        <f t="shared" si="168"/>
        <v>#DIV/0!</v>
      </c>
      <c r="K224" s="44" t="e">
        <f t="shared" si="185"/>
        <v>#DIV/0!</v>
      </c>
      <c r="L224" s="33" t="e">
        <f t="shared" si="183"/>
        <v>#DIV/0!</v>
      </c>
      <c r="M224" s="33" t="s">
        <v>345</v>
      </c>
      <c r="Q224" s="44" t="str">
        <f t="shared" si="169"/>
        <v xml:space="preserve"> </v>
      </c>
      <c r="R224" s="33" t="str">
        <f>IF(OR(ISBLANK(P224), ISBLANK(Q224)),"",CONCATENATE(" ",VLOOKUP(Q224,Literatuur!$A:$B,2,FALSE)," "))</f>
        <v/>
      </c>
      <c r="T224" s="44" t="str">
        <f t="shared" si="170"/>
        <v xml:space="preserve"> </v>
      </c>
      <c r="U224" s="33" t="str">
        <f>IF(OR(ISBLANK(S224), ISBLANK(T224)),"",CONCATENATE(" ",VLOOKUP(T224,Literatuur!$A:$B,2,FALSE)," "))</f>
        <v/>
      </c>
      <c r="W224" s="44" t="str">
        <f t="shared" si="171"/>
        <v xml:space="preserve"> </v>
      </c>
      <c r="X224" s="33" t="str">
        <f>IF(OR(ISBLANK(V224), ISBLANK(W224)),"",CONCATENATE(" ",VLOOKUP(W224,Literatuur!$A:$B,2,FALSE)," "))</f>
        <v/>
      </c>
      <c r="Z224" s="44" t="str">
        <f t="shared" si="172"/>
        <v xml:space="preserve"> </v>
      </c>
      <c r="AA224" s="33" t="str">
        <f>IF(OR(ISBLANK(Y224), ISBLANK(Z224)),"",CONCATENATE(" ",VLOOKUP(Z224,Literatuur!$A:$B,2,FALSE)," "))</f>
        <v/>
      </c>
      <c r="AC224" s="36" t="str">
        <f t="shared" si="173"/>
        <v xml:space="preserve"> </v>
      </c>
      <c r="AD224" s="33" t="str">
        <f>IF(OR(ISBLANK(AB224), ISBLANK(AC224)),"",CONCATENATE(" ",VLOOKUP(AC224,Literatuur!$A:$B,2,FALSE)," "))</f>
        <v/>
      </c>
      <c r="AG224" s="33" t="str">
        <f>IF(OR(ISBLANK(AE224), ISBLANK(AF224)),"",CONCATENATE(" ",VLOOKUP(AF224,Literatuur!$A:$B,2,FALSE)," "))</f>
        <v/>
      </c>
      <c r="AJ224" s="44" t="str">
        <f t="shared" si="174"/>
        <v xml:space="preserve"> </v>
      </c>
      <c r="AK224" s="33" t="str">
        <f>IF(OR(ISBLANK(AI224), ISBLANK(AJ224)),"",CONCATENATE(" ",VLOOKUP(AJ224,Literatuur!$A:$B,2,FALSE)," "))</f>
        <v/>
      </c>
      <c r="AM224" s="44" t="str">
        <f t="shared" si="175"/>
        <v xml:space="preserve"> </v>
      </c>
      <c r="AN224" s="33" t="str">
        <f>IF(OR(ISBLANK(AL224), ISBLANK(AM224)),"",CONCATENATE(" ",VLOOKUP(AM224,Literatuur!$A:$B,2,FALSE)," "))</f>
        <v/>
      </c>
      <c r="AP224" s="44" t="str">
        <f t="shared" si="176"/>
        <v xml:space="preserve"> </v>
      </c>
      <c r="AQ224" s="33" t="str">
        <f>IF(OR(ISBLANK(AO224), ISBLANK(AP224)),"",CONCATENATE(" ",VLOOKUP(AP224,Literatuur!$A:$B,2,FALSE)," "))</f>
        <v/>
      </c>
      <c r="AT224" s="33" t="str">
        <f>IF(OR(ISBLANK(AR224), ISBLANK(AS224)),"",CONCATENATE(" ",VLOOKUP(AS224,Literatuur!$A:$B,2,FALSE)," "))</f>
        <v/>
      </c>
      <c r="AU224" s="33">
        <v>258</v>
      </c>
      <c r="AV224" s="33" t="s">
        <v>1744</v>
      </c>
      <c r="AW224" s="33" t="str">
        <f>IF(OR(ISBLANK(AU224), ISBLANK(AV224)),"",CONCATENATE(" ",VLOOKUP(AV224,Literatuur!$A:$B,2,FALSE)," "))</f>
        <v xml:space="preserve"> 1 </v>
      </c>
      <c r="AZ224" s="44" t="str">
        <f t="shared" si="177"/>
        <v xml:space="preserve"> </v>
      </c>
      <c r="BA224" s="33" t="str">
        <f>IF(OR(ISBLANK(AY224), ISBLANK(AZ224)),"",CONCATENATE(" ",VLOOKUP(AZ224,Literatuur!$A:$B,2,FALSE)," "))</f>
        <v/>
      </c>
      <c r="BC224" s="44" t="str">
        <f t="shared" si="178"/>
        <v xml:space="preserve"> </v>
      </c>
      <c r="BD224" s="33" t="str">
        <f>IF(OR(ISBLANK(BB224), ISBLANK(BC224)),"",CONCATENATE(" ",VLOOKUP(BC224,Literatuur!$A:$B,2,FALSE)," "))</f>
        <v/>
      </c>
      <c r="BF224" s="44" t="str">
        <f t="shared" si="179"/>
        <v xml:space="preserve"> </v>
      </c>
      <c r="BG224" s="33" t="str">
        <f>IF(OR(ISBLANK(BE224), ISBLANK(BF224)),"",CONCATENATE(" ",VLOOKUP(BF224,Literatuur!$A:$B,2,FALSE)," "))</f>
        <v/>
      </c>
      <c r="BI224" s="44" t="str">
        <f t="shared" si="180"/>
        <v xml:space="preserve"> </v>
      </c>
      <c r="BJ224" s="33" t="str">
        <f>IF(OR(ISBLANK(BH224), ISBLANK(BI224)),"",CONCATENATE(" ",VLOOKUP(BI224,Literatuur!$A:$B,2,FALSE)," "))</f>
        <v/>
      </c>
      <c r="BL224" s="44" t="str">
        <f t="shared" si="181"/>
        <v xml:space="preserve"> </v>
      </c>
      <c r="BM224" s="33" t="str">
        <f>IF(OR(ISBLANK(BK224), ISBLANK(BL224)),"",CONCATENATE(" ",VLOOKUP(BL224,Literatuur!$A:$B,2,FALSE)," "))</f>
        <v/>
      </c>
      <c r="BP224" s="33" t="str">
        <f>IF(OR(ISBLANK(BN224), ISBLANK(BO224)),"",CONCATENATE(" ",VLOOKUP(BO224,Literatuur!$A:$B,2,FALSE)," "))</f>
        <v/>
      </c>
      <c r="BS224" s="33" t="str">
        <f>IF(OR(ISBLANK(BQ224), ISBLANK(BR224)),"",CONCATENATE(" ",VLOOKUP(BR224,Literatuur!$A:$B,2,FALSE)," "))</f>
        <v/>
      </c>
      <c r="BV224" s="33" t="str">
        <f>IF(OR(ISBLANK(BT224), ISBLANK(BU224)),"",CONCATENATE(" ",VLOOKUP(BU224,Literatuur!$A:$B,2,FALSE)," "))</f>
        <v/>
      </c>
      <c r="CR224" s="33" t="str">
        <f t="shared" si="160"/>
        <v>UV2</v>
      </c>
      <c r="CS224" s="33" t="str">
        <f t="shared" si="161"/>
        <v>overige</v>
      </c>
      <c r="CT224" s="33">
        <f t="shared" si="184"/>
        <v>258</v>
      </c>
      <c r="CU224" s="33" t="str">
        <f t="shared" si="163"/>
        <v xml:space="preserve"> 1 </v>
      </c>
      <c r="CV224" s="33" t="str">
        <f t="shared" si="164"/>
        <v/>
      </c>
      <c r="CW224" s="33" t="str">
        <f t="shared" si="165"/>
        <v/>
      </c>
      <c r="CX224" s="33" t="str">
        <f t="shared" si="166"/>
        <v/>
      </c>
      <c r="CY224" s="33" t="str">
        <f t="shared" si="167"/>
        <v/>
      </c>
    </row>
    <row r="225" spans="1:103" x14ac:dyDescent="0.2">
      <c r="B225">
        <v>-1797</v>
      </c>
      <c r="D225" s="33" t="s">
        <v>1469</v>
      </c>
      <c r="E225" s="33" t="s">
        <v>1469</v>
      </c>
      <c r="F225" s="33" t="s">
        <v>1478</v>
      </c>
      <c r="I225" s="33">
        <f t="shared" si="143"/>
        <v>326</v>
      </c>
      <c r="J225" s="33" t="e">
        <f t="shared" si="168"/>
        <v>#DIV/0!</v>
      </c>
      <c r="K225" s="44" t="e">
        <f t="shared" si="185"/>
        <v>#DIV/0!</v>
      </c>
      <c r="L225" s="33" t="e">
        <f t="shared" si="183"/>
        <v>#DIV/0!</v>
      </c>
      <c r="M225" s="33" t="s">
        <v>345</v>
      </c>
      <c r="Q225" s="44" t="str">
        <f t="shared" si="169"/>
        <v xml:space="preserve"> </v>
      </c>
      <c r="R225" s="33" t="str">
        <f>IF(OR(ISBLANK(P225), ISBLANK(Q225)),"",CONCATENATE(" ",VLOOKUP(Q225,Literatuur!$A:$B,2,FALSE)," "))</f>
        <v/>
      </c>
      <c r="T225" s="44" t="str">
        <f t="shared" si="170"/>
        <v xml:space="preserve"> </v>
      </c>
      <c r="U225" s="33" t="str">
        <f>IF(OR(ISBLANK(S225), ISBLANK(T225)),"",CONCATENATE(" ",VLOOKUP(T225,Literatuur!$A:$B,2,FALSE)," "))</f>
        <v/>
      </c>
      <c r="W225" s="44" t="str">
        <f t="shared" si="171"/>
        <v xml:space="preserve"> </v>
      </c>
      <c r="X225" s="33" t="str">
        <f>IF(OR(ISBLANK(V225), ISBLANK(W225)),"",CONCATENATE(" ",VLOOKUP(W225,Literatuur!$A:$B,2,FALSE)," "))</f>
        <v/>
      </c>
      <c r="Z225" s="44" t="str">
        <f t="shared" si="172"/>
        <v xml:space="preserve"> </v>
      </c>
      <c r="AA225" s="33" t="str">
        <f>IF(OR(ISBLANK(Y225), ISBLANK(Z225)),"",CONCATENATE(" ",VLOOKUP(Z225,Literatuur!$A:$B,2,FALSE)," "))</f>
        <v/>
      </c>
      <c r="AC225" s="36" t="str">
        <f t="shared" si="173"/>
        <v xml:space="preserve"> </v>
      </c>
      <c r="AD225" s="33" t="str">
        <f>IF(OR(ISBLANK(AB225), ISBLANK(AC225)),"",CONCATENATE(" ",VLOOKUP(AC225,Literatuur!$A:$B,2,FALSE)," "))</f>
        <v/>
      </c>
      <c r="AG225" s="33" t="str">
        <f>IF(OR(ISBLANK(AE225), ISBLANK(AF225)),"",CONCATENATE(" ",VLOOKUP(AF225,Literatuur!$A:$B,2,FALSE)," "))</f>
        <v/>
      </c>
      <c r="AJ225" s="44" t="str">
        <f t="shared" si="174"/>
        <v xml:space="preserve"> </v>
      </c>
      <c r="AK225" s="33" t="str">
        <f>IF(OR(ISBLANK(AI225), ISBLANK(AJ225)),"",CONCATENATE(" ",VLOOKUP(AJ225,Literatuur!$A:$B,2,FALSE)," "))</f>
        <v/>
      </c>
      <c r="AM225" s="44" t="str">
        <f t="shared" si="175"/>
        <v xml:space="preserve"> </v>
      </c>
      <c r="AN225" s="33" t="str">
        <f>IF(OR(ISBLANK(AL225), ISBLANK(AM225)),"",CONCATENATE(" ",VLOOKUP(AM225,Literatuur!$A:$B,2,FALSE)," "))</f>
        <v/>
      </c>
      <c r="AP225" s="44" t="str">
        <f t="shared" si="176"/>
        <v xml:space="preserve"> </v>
      </c>
      <c r="AQ225" s="33" t="str">
        <f>IF(OR(ISBLANK(AO225), ISBLANK(AP225)),"",CONCATENATE(" ",VLOOKUP(AP225,Literatuur!$A:$B,2,FALSE)," "))</f>
        <v/>
      </c>
      <c r="AT225" s="33" t="str">
        <f>IF(OR(ISBLANK(AR225), ISBLANK(AS225)),"",CONCATENATE(" ",VLOOKUP(AS225,Literatuur!$A:$B,2,FALSE)," "))</f>
        <v/>
      </c>
      <c r="AU225" s="33">
        <v>326</v>
      </c>
      <c r="AV225" s="33" t="s">
        <v>1744</v>
      </c>
      <c r="AW225" s="33" t="str">
        <f>IF(OR(ISBLANK(AU225), ISBLANK(AV225)),"",CONCATENATE(" ",VLOOKUP(AV225,Literatuur!$A:$B,2,FALSE)," "))</f>
        <v xml:space="preserve"> 1 </v>
      </c>
      <c r="AZ225" s="44" t="str">
        <f t="shared" si="177"/>
        <v xml:space="preserve"> </v>
      </c>
      <c r="BA225" s="33" t="str">
        <f>IF(OR(ISBLANK(AY225), ISBLANK(AZ225)),"",CONCATENATE(" ",VLOOKUP(AZ225,Literatuur!$A:$B,2,FALSE)," "))</f>
        <v/>
      </c>
      <c r="BC225" s="44" t="str">
        <f t="shared" si="178"/>
        <v xml:space="preserve"> </v>
      </c>
      <c r="BD225" s="33" t="str">
        <f>IF(OR(ISBLANK(BB225), ISBLANK(BC225)),"",CONCATENATE(" ",VLOOKUP(BC225,Literatuur!$A:$B,2,FALSE)," "))</f>
        <v/>
      </c>
      <c r="BF225" s="44" t="str">
        <f t="shared" si="179"/>
        <v xml:space="preserve"> </v>
      </c>
      <c r="BG225" s="33" t="str">
        <f>IF(OR(ISBLANK(BE225), ISBLANK(BF225)),"",CONCATENATE(" ",VLOOKUP(BF225,Literatuur!$A:$B,2,FALSE)," "))</f>
        <v/>
      </c>
      <c r="BI225" s="44" t="str">
        <f t="shared" si="180"/>
        <v xml:space="preserve"> </v>
      </c>
      <c r="BJ225" s="33" t="str">
        <f>IF(OR(ISBLANK(BH225), ISBLANK(BI225)),"",CONCATENATE(" ",VLOOKUP(BI225,Literatuur!$A:$B,2,FALSE)," "))</f>
        <v/>
      </c>
      <c r="BL225" s="44" t="str">
        <f t="shared" si="181"/>
        <v xml:space="preserve"> </v>
      </c>
      <c r="BM225" s="33" t="str">
        <f>IF(OR(ISBLANK(BK225), ISBLANK(BL225)),"",CONCATENATE(" ",VLOOKUP(BL225,Literatuur!$A:$B,2,FALSE)," "))</f>
        <v/>
      </c>
      <c r="BP225" s="33" t="str">
        <f>IF(OR(ISBLANK(BN225), ISBLANK(BO225)),"",CONCATENATE(" ",VLOOKUP(BO225,Literatuur!$A:$B,2,FALSE)," "))</f>
        <v/>
      </c>
      <c r="BS225" s="33" t="str">
        <f>IF(OR(ISBLANK(BQ225), ISBLANK(BR225)),"",CONCATENATE(" ",VLOOKUP(BR225,Literatuur!$A:$B,2,FALSE)," "))</f>
        <v/>
      </c>
      <c r="BV225" s="33" t="str">
        <f>IF(OR(ISBLANK(BT225), ISBLANK(BU225)),"",CONCATENATE(" ",VLOOKUP(BU225,Literatuur!$A:$B,2,FALSE)," "))</f>
        <v/>
      </c>
      <c r="CR225" s="33" t="str">
        <f t="shared" si="160"/>
        <v>UV3</v>
      </c>
      <c r="CS225" s="33" t="str">
        <f t="shared" si="161"/>
        <v>overige</v>
      </c>
      <c r="CT225" s="33">
        <f t="shared" si="184"/>
        <v>326</v>
      </c>
      <c r="CU225" s="33" t="str">
        <f t="shared" si="163"/>
        <v xml:space="preserve"> 1 </v>
      </c>
      <c r="CV225" s="33" t="str">
        <f t="shared" si="164"/>
        <v/>
      </c>
      <c r="CW225" s="33" t="str">
        <f t="shared" si="165"/>
        <v/>
      </c>
      <c r="CX225" s="33" t="str">
        <f t="shared" si="166"/>
        <v/>
      </c>
      <c r="CY225" s="33" t="str">
        <f t="shared" si="167"/>
        <v/>
      </c>
    </row>
    <row r="226" spans="1:103" x14ac:dyDescent="0.2">
      <c r="B226">
        <v>-1798</v>
      </c>
      <c r="D226" s="33" t="s">
        <v>1470</v>
      </c>
      <c r="E226" s="33" t="s">
        <v>1470</v>
      </c>
      <c r="F226" s="33" t="s">
        <v>1478</v>
      </c>
      <c r="I226" s="33">
        <f t="shared" si="143"/>
        <v>332</v>
      </c>
      <c r="J226" s="33" t="e">
        <f t="shared" si="168"/>
        <v>#DIV/0!</v>
      </c>
      <c r="K226" s="44" t="e">
        <f t="shared" si="185"/>
        <v>#DIV/0!</v>
      </c>
      <c r="L226" s="33" t="e">
        <f t="shared" si="183"/>
        <v>#DIV/0!</v>
      </c>
      <c r="M226" s="33" t="s">
        <v>345</v>
      </c>
      <c r="Q226" s="44" t="str">
        <f t="shared" si="169"/>
        <v xml:space="preserve"> </v>
      </c>
      <c r="R226" s="33" t="str">
        <f>IF(OR(ISBLANK(P226), ISBLANK(Q226)),"",CONCATENATE(" ",VLOOKUP(Q226,Literatuur!$A:$B,2,FALSE)," "))</f>
        <v/>
      </c>
      <c r="T226" s="44" t="str">
        <f t="shared" si="170"/>
        <v xml:space="preserve"> </v>
      </c>
      <c r="U226" s="33" t="str">
        <f>IF(OR(ISBLANK(S226), ISBLANK(T226)),"",CONCATENATE(" ",VLOOKUP(T226,Literatuur!$A:$B,2,FALSE)," "))</f>
        <v/>
      </c>
      <c r="W226" s="44" t="str">
        <f t="shared" si="171"/>
        <v xml:space="preserve"> </v>
      </c>
      <c r="X226" s="33" t="str">
        <f>IF(OR(ISBLANK(V226), ISBLANK(W226)),"",CONCATENATE(" ",VLOOKUP(W226,Literatuur!$A:$B,2,FALSE)," "))</f>
        <v/>
      </c>
      <c r="Z226" s="44" t="str">
        <f t="shared" si="172"/>
        <v xml:space="preserve"> </v>
      </c>
      <c r="AA226" s="33" t="str">
        <f>IF(OR(ISBLANK(Y226), ISBLANK(Z226)),"",CONCATENATE(" ",VLOOKUP(Z226,Literatuur!$A:$B,2,FALSE)," "))</f>
        <v/>
      </c>
      <c r="AC226" s="36" t="str">
        <f t="shared" si="173"/>
        <v xml:space="preserve"> </v>
      </c>
      <c r="AD226" s="33" t="str">
        <f>IF(OR(ISBLANK(AB226), ISBLANK(AC226)),"",CONCATENATE(" ",VLOOKUP(AC226,Literatuur!$A:$B,2,FALSE)," "))</f>
        <v/>
      </c>
      <c r="AG226" s="33" t="str">
        <f>IF(OR(ISBLANK(AE226), ISBLANK(AF226)),"",CONCATENATE(" ",VLOOKUP(AF226,Literatuur!$A:$B,2,FALSE)," "))</f>
        <v/>
      </c>
      <c r="AJ226" s="44" t="str">
        <f t="shared" si="174"/>
        <v xml:space="preserve"> </v>
      </c>
      <c r="AK226" s="33" t="str">
        <f>IF(OR(ISBLANK(AI226), ISBLANK(AJ226)),"",CONCATENATE(" ",VLOOKUP(AJ226,Literatuur!$A:$B,2,FALSE)," "))</f>
        <v/>
      </c>
      <c r="AM226" s="44" t="str">
        <f t="shared" si="175"/>
        <v xml:space="preserve"> </v>
      </c>
      <c r="AN226" s="33" t="str">
        <f>IF(OR(ISBLANK(AL226), ISBLANK(AM226)),"",CONCATENATE(" ",VLOOKUP(AM226,Literatuur!$A:$B,2,FALSE)," "))</f>
        <v/>
      </c>
      <c r="AP226" s="44" t="str">
        <f t="shared" si="176"/>
        <v xml:space="preserve"> </v>
      </c>
      <c r="AQ226" s="33" t="str">
        <f>IF(OR(ISBLANK(AO226), ISBLANK(AP226)),"",CONCATENATE(" ",VLOOKUP(AP226,Literatuur!$A:$B,2,FALSE)," "))</f>
        <v/>
      </c>
      <c r="AT226" s="33" t="str">
        <f>IF(OR(ISBLANK(AR226), ISBLANK(AS226)),"",CONCATENATE(" ",VLOOKUP(AS226,Literatuur!$A:$B,2,FALSE)," "))</f>
        <v/>
      </c>
      <c r="AU226" s="33">
        <v>332</v>
      </c>
      <c r="AV226" s="33" t="s">
        <v>1744</v>
      </c>
      <c r="AW226" s="33" t="str">
        <f>IF(OR(ISBLANK(AU226), ISBLANK(AV226)),"",CONCATENATE(" ",VLOOKUP(AV226,Literatuur!$A:$B,2,FALSE)," "))</f>
        <v xml:space="preserve"> 1 </v>
      </c>
      <c r="AZ226" s="44" t="str">
        <f t="shared" si="177"/>
        <v xml:space="preserve"> </v>
      </c>
      <c r="BA226" s="33" t="str">
        <f>IF(OR(ISBLANK(AY226), ISBLANK(AZ226)),"",CONCATENATE(" ",VLOOKUP(AZ226,Literatuur!$A:$B,2,FALSE)," "))</f>
        <v/>
      </c>
      <c r="BC226" s="44" t="str">
        <f t="shared" si="178"/>
        <v xml:space="preserve"> </v>
      </c>
      <c r="BD226" s="33" t="str">
        <f>IF(OR(ISBLANK(BB226), ISBLANK(BC226)),"",CONCATENATE(" ",VLOOKUP(BC226,Literatuur!$A:$B,2,FALSE)," "))</f>
        <v/>
      </c>
      <c r="BF226" s="44" t="str">
        <f t="shared" si="179"/>
        <v xml:space="preserve"> </v>
      </c>
      <c r="BG226" s="33" t="str">
        <f>IF(OR(ISBLANK(BE226), ISBLANK(BF226)),"",CONCATENATE(" ",VLOOKUP(BF226,Literatuur!$A:$B,2,FALSE)," "))</f>
        <v/>
      </c>
      <c r="BI226" s="44" t="str">
        <f t="shared" si="180"/>
        <v xml:space="preserve"> </v>
      </c>
      <c r="BJ226" s="33" t="str">
        <f>IF(OR(ISBLANK(BH226), ISBLANK(BI226)),"",CONCATENATE(" ",VLOOKUP(BI226,Literatuur!$A:$B,2,FALSE)," "))</f>
        <v/>
      </c>
      <c r="BL226" s="44" t="str">
        <f t="shared" si="181"/>
        <v xml:space="preserve"> </v>
      </c>
      <c r="BM226" s="33" t="str">
        <f>IF(OR(ISBLANK(BK226), ISBLANK(BL226)),"",CONCATENATE(" ",VLOOKUP(BL226,Literatuur!$A:$B,2,FALSE)," "))</f>
        <v/>
      </c>
      <c r="BP226" s="33" t="str">
        <f>IF(OR(ISBLANK(BN226), ISBLANK(BO226)),"",CONCATENATE(" ",VLOOKUP(BO226,Literatuur!$A:$B,2,FALSE)," "))</f>
        <v/>
      </c>
      <c r="BS226" s="33" t="str">
        <f>IF(OR(ISBLANK(BQ226), ISBLANK(BR226)),"",CONCATENATE(" ",VLOOKUP(BR226,Literatuur!$A:$B,2,FALSE)," "))</f>
        <v/>
      </c>
      <c r="BV226" s="33" t="str">
        <f>IF(OR(ISBLANK(BT226), ISBLANK(BU226)),"",CONCATENATE(" ",VLOOKUP(BU226,Literatuur!$A:$B,2,FALSE)," "))</f>
        <v/>
      </c>
      <c r="CR226" s="33" t="str">
        <f t="shared" si="160"/>
        <v>UV4</v>
      </c>
      <c r="CS226" s="33" t="str">
        <f t="shared" si="161"/>
        <v>overige</v>
      </c>
      <c r="CT226" s="33">
        <f t="shared" si="184"/>
        <v>332</v>
      </c>
      <c r="CU226" s="33" t="str">
        <f t="shared" si="163"/>
        <v xml:space="preserve"> 1 </v>
      </c>
      <c r="CV226" s="33" t="str">
        <f t="shared" si="164"/>
        <v/>
      </c>
      <c r="CW226" s="33" t="str">
        <f t="shared" si="165"/>
        <v/>
      </c>
      <c r="CX226" s="33" t="str">
        <f t="shared" si="166"/>
        <v/>
      </c>
      <c r="CY226" s="33" t="str">
        <f t="shared" si="167"/>
        <v/>
      </c>
    </row>
    <row r="227" spans="1:103" x14ac:dyDescent="0.2">
      <c r="B227">
        <v>-1799</v>
      </c>
      <c r="D227" s="33" t="s">
        <v>1471</v>
      </c>
      <c r="E227" s="33" t="s">
        <v>1471</v>
      </c>
      <c r="F227" s="33" t="s">
        <v>1478</v>
      </c>
      <c r="I227" s="33">
        <f t="shared" si="143"/>
        <v>346</v>
      </c>
      <c r="J227" s="33" t="e">
        <f t="shared" si="168"/>
        <v>#DIV/0!</v>
      </c>
      <c r="K227" s="44" t="e">
        <f t="shared" si="185"/>
        <v>#DIV/0!</v>
      </c>
      <c r="L227" s="33" t="e">
        <f t="shared" si="183"/>
        <v>#DIV/0!</v>
      </c>
      <c r="M227" s="33" t="s">
        <v>345</v>
      </c>
      <c r="Q227" s="44" t="str">
        <f t="shared" si="169"/>
        <v xml:space="preserve"> </v>
      </c>
      <c r="R227" s="33" t="str">
        <f>IF(OR(ISBLANK(P227), ISBLANK(Q227)),"",CONCATENATE(" ",VLOOKUP(Q227,Literatuur!$A:$B,2,FALSE)," "))</f>
        <v/>
      </c>
      <c r="T227" s="44" t="str">
        <f t="shared" si="170"/>
        <v xml:space="preserve"> </v>
      </c>
      <c r="U227" s="33" t="str">
        <f>IF(OR(ISBLANK(S227), ISBLANK(T227)),"",CONCATENATE(" ",VLOOKUP(T227,Literatuur!$A:$B,2,FALSE)," "))</f>
        <v/>
      </c>
      <c r="W227" s="44" t="str">
        <f t="shared" si="171"/>
        <v xml:space="preserve"> </v>
      </c>
      <c r="X227" s="33" t="str">
        <f>IF(OR(ISBLANK(V227), ISBLANK(W227)),"",CONCATENATE(" ",VLOOKUP(W227,Literatuur!$A:$B,2,FALSE)," "))</f>
        <v/>
      </c>
      <c r="Z227" s="44" t="str">
        <f t="shared" si="172"/>
        <v xml:space="preserve"> </v>
      </c>
      <c r="AA227" s="33" t="str">
        <f>IF(OR(ISBLANK(Y227), ISBLANK(Z227)),"",CONCATENATE(" ",VLOOKUP(Z227,Literatuur!$A:$B,2,FALSE)," "))</f>
        <v/>
      </c>
      <c r="AC227" s="36" t="str">
        <f t="shared" si="173"/>
        <v xml:space="preserve"> </v>
      </c>
      <c r="AD227" s="33" t="str">
        <f>IF(OR(ISBLANK(AB227), ISBLANK(AC227)),"",CONCATENATE(" ",VLOOKUP(AC227,Literatuur!$A:$B,2,FALSE)," "))</f>
        <v/>
      </c>
      <c r="AG227" s="33" t="str">
        <f>IF(OR(ISBLANK(AE227), ISBLANK(AF227)),"",CONCATENATE(" ",VLOOKUP(AF227,Literatuur!$A:$B,2,FALSE)," "))</f>
        <v/>
      </c>
      <c r="AJ227" s="44" t="str">
        <f t="shared" si="174"/>
        <v xml:space="preserve"> </v>
      </c>
      <c r="AK227" s="33" t="str">
        <f>IF(OR(ISBLANK(AI227), ISBLANK(AJ227)),"",CONCATENATE(" ",VLOOKUP(AJ227,Literatuur!$A:$B,2,FALSE)," "))</f>
        <v/>
      </c>
      <c r="AM227" s="44" t="str">
        <f t="shared" si="175"/>
        <v xml:space="preserve"> </v>
      </c>
      <c r="AN227" s="33" t="str">
        <f>IF(OR(ISBLANK(AL227), ISBLANK(AM227)),"",CONCATENATE(" ",VLOOKUP(AM227,Literatuur!$A:$B,2,FALSE)," "))</f>
        <v/>
      </c>
      <c r="AP227" s="44" t="str">
        <f t="shared" si="176"/>
        <v xml:space="preserve"> </v>
      </c>
      <c r="AQ227" s="33" t="str">
        <f>IF(OR(ISBLANK(AO227), ISBLANK(AP227)),"",CONCATENATE(" ",VLOOKUP(AP227,Literatuur!$A:$B,2,FALSE)," "))</f>
        <v/>
      </c>
      <c r="AT227" s="33" t="str">
        <f>IF(OR(ISBLANK(AR227), ISBLANK(AS227)),"",CONCATENATE(" ",VLOOKUP(AS227,Literatuur!$A:$B,2,FALSE)," "))</f>
        <v/>
      </c>
      <c r="AU227" s="33">
        <v>346</v>
      </c>
      <c r="AV227" s="33" t="s">
        <v>1744</v>
      </c>
      <c r="AW227" s="33" t="str">
        <f>IF(OR(ISBLANK(AU227), ISBLANK(AV227)),"",CONCATENATE(" ",VLOOKUP(AV227,Literatuur!$A:$B,2,FALSE)," "))</f>
        <v xml:space="preserve"> 1 </v>
      </c>
      <c r="AZ227" s="44" t="str">
        <f t="shared" si="177"/>
        <v xml:space="preserve"> </v>
      </c>
      <c r="BA227" s="33" t="str">
        <f>IF(OR(ISBLANK(AY227), ISBLANK(AZ227)),"",CONCATENATE(" ",VLOOKUP(AZ227,Literatuur!$A:$B,2,FALSE)," "))</f>
        <v/>
      </c>
      <c r="BC227" s="44" t="str">
        <f t="shared" si="178"/>
        <v xml:space="preserve"> </v>
      </c>
      <c r="BD227" s="33" t="str">
        <f>IF(OR(ISBLANK(BB227), ISBLANK(BC227)),"",CONCATENATE(" ",VLOOKUP(BC227,Literatuur!$A:$B,2,FALSE)," "))</f>
        <v/>
      </c>
      <c r="BF227" s="44" t="str">
        <f t="shared" si="179"/>
        <v xml:space="preserve"> </v>
      </c>
      <c r="BG227" s="33" t="str">
        <f>IF(OR(ISBLANK(BE227), ISBLANK(BF227)),"",CONCATENATE(" ",VLOOKUP(BF227,Literatuur!$A:$B,2,FALSE)," "))</f>
        <v/>
      </c>
      <c r="BI227" s="44" t="str">
        <f t="shared" si="180"/>
        <v xml:space="preserve"> </v>
      </c>
      <c r="BJ227" s="33" t="str">
        <f>IF(OR(ISBLANK(BH227), ISBLANK(BI227)),"",CONCATENATE(" ",VLOOKUP(BI227,Literatuur!$A:$B,2,FALSE)," "))</f>
        <v/>
      </c>
      <c r="BL227" s="44" t="str">
        <f t="shared" si="181"/>
        <v xml:space="preserve"> </v>
      </c>
      <c r="BM227" s="33" t="str">
        <f>IF(OR(ISBLANK(BK227), ISBLANK(BL227)),"",CONCATENATE(" ",VLOOKUP(BL227,Literatuur!$A:$B,2,FALSE)," "))</f>
        <v/>
      </c>
      <c r="BP227" s="33" t="str">
        <f>IF(OR(ISBLANK(BN227), ISBLANK(BO227)),"",CONCATENATE(" ",VLOOKUP(BO227,Literatuur!$A:$B,2,FALSE)," "))</f>
        <v/>
      </c>
      <c r="BS227" s="33" t="str">
        <f>IF(OR(ISBLANK(BQ227), ISBLANK(BR227)),"",CONCATENATE(" ",VLOOKUP(BR227,Literatuur!$A:$B,2,FALSE)," "))</f>
        <v/>
      </c>
      <c r="BV227" s="33" t="str">
        <f>IF(OR(ISBLANK(BT227), ISBLANK(BU227)),"",CONCATENATE(" ",VLOOKUP(BU227,Literatuur!$A:$B,2,FALSE)," "))</f>
        <v/>
      </c>
      <c r="CR227" s="33" t="str">
        <f t="shared" si="160"/>
        <v>UV5</v>
      </c>
      <c r="CS227" s="33" t="str">
        <f t="shared" si="161"/>
        <v>overige</v>
      </c>
      <c r="CT227" s="33">
        <f t="shared" si="184"/>
        <v>346</v>
      </c>
      <c r="CU227" s="33" t="str">
        <f t="shared" si="163"/>
        <v xml:space="preserve"> 1 </v>
      </c>
      <c r="CV227" s="33" t="str">
        <f t="shared" si="164"/>
        <v/>
      </c>
      <c r="CW227" s="33" t="str">
        <f t="shared" si="165"/>
        <v/>
      </c>
      <c r="CX227" s="33" t="str">
        <f t="shared" si="166"/>
        <v/>
      </c>
      <c r="CY227" s="33" t="str">
        <f t="shared" si="167"/>
        <v/>
      </c>
    </row>
    <row r="228" spans="1:103" x14ac:dyDescent="0.2">
      <c r="B228">
        <v>-1800</v>
      </c>
      <c r="D228" s="33" t="s">
        <v>1472</v>
      </c>
      <c r="E228" s="33" t="s">
        <v>1472</v>
      </c>
      <c r="F228" s="33" t="s">
        <v>1478</v>
      </c>
      <c r="I228" s="33">
        <f t="shared" si="143"/>
        <v>388</v>
      </c>
      <c r="J228" s="33" t="e">
        <f t="shared" si="168"/>
        <v>#DIV/0!</v>
      </c>
      <c r="K228" s="44" t="e">
        <f t="shared" si="185"/>
        <v>#DIV/0!</v>
      </c>
      <c r="L228" s="33" t="e">
        <f t="shared" si="183"/>
        <v>#DIV/0!</v>
      </c>
      <c r="M228" s="33" t="s">
        <v>345</v>
      </c>
      <c r="Q228" s="44" t="str">
        <f t="shared" si="169"/>
        <v xml:space="preserve"> </v>
      </c>
      <c r="R228" s="33" t="str">
        <f>IF(OR(ISBLANK(P228), ISBLANK(Q228)),"",CONCATENATE(" ",VLOOKUP(Q228,Literatuur!$A:$B,2,FALSE)," "))</f>
        <v/>
      </c>
      <c r="T228" s="44" t="str">
        <f t="shared" si="170"/>
        <v xml:space="preserve"> </v>
      </c>
      <c r="U228" s="33" t="str">
        <f>IF(OR(ISBLANK(S228), ISBLANK(T228)),"",CONCATENATE(" ",VLOOKUP(T228,Literatuur!$A:$B,2,FALSE)," "))</f>
        <v/>
      </c>
      <c r="W228" s="44" t="str">
        <f t="shared" si="171"/>
        <v xml:space="preserve"> </v>
      </c>
      <c r="X228" s="33" t="str">
        <f>IF(OR(ISBLANK(V228), ISBLANK(W228)),"",CONCATENATE(" ",VLOOKUP(W228,Literatuur!$A:$B,2,FALSE)," "))</f>
        <v/>
      </c>
      <c r="Z228" s="44" t="str">
        <f t="shared" si="172"/>
        <v xml:space="preserve"> </v>
      </c>
      <c r="AA228" s="33" t="str">
        <f>IF(OR(ISBLANK(Y228), ISBLANK(Z228)),"",CONCATENATE(" ",VLOOKUP(Z228,Literatuur!$A:$B,2,FALSE)," "))</f>
        <v/>
      </c>
      <c r="AC228" s="36" t="str">
        <f t="shared" si="173"/>
        <v xml:space="preserve"> </v>
      </c>
      <c r="AD228" s="33" t="str">
        <f>IF(OR(ISBLANK(AB228), ISBLANK(AC228)),"",CONCATENATE(" ",VLOOKUP(AC228,Literatuur!$A:$B,2,FALSE)," "))</f>
        <v/>
      </c>
      <c r="AG228" s="33" t="str">
        <f>IF(OR(ISBLANK(AE228), ISBLANK(AF228)),"",CONCATENATE(" ",VLOOKUP(AF228,Literatuur!$A:$B,2,FALSE)," "))</f>
        <v/>
      </c>
      <c r="AJ228" s="44" t="str">
        <f t="shared" si="174"/>
        <v xml:space="preserve"> </v>
      </c>
      <c r="AK228" s="33" t="str">
        <f>IF(OR(ISBLANK(AI228), ISBLANK(AJ228)),"",CONCATENATE(" ",VLOOKUP(AJ228,Literatuur!$A:$B,2,FALSE)," "))</f>
        <v/>
      </c>
      <c r="AM228" s="44" t="str">
        <f t="shared" si="175"/>
        <v xml:space="preserve"> </v>
      </c>
      <c r="AN228" s="33" t="str">
        <f>IF(OR(ISBLANK(AL228), ISBLANK(AM228)),"",CONCATENATE(" ",VLOOKUP(AM228,Literatuur!$A:$B,2,FALSE)," "))</f>
        <v/>
      </c>
      <c r="AP228" s="44" t="str">
        <f t="shared" si="176"/>
        <v xml:space="preserve"> </v>
      </c>
      <c r="AQ228" s="33" t="str">
        <f>IF(OR(ISBLANK(AO228), ISBLANK(AP228)),"",CONCATENATE(" ",VLOOKUP(AP228,Literatuur!$A:$B,2,FALSE)," "))</f>
        <v/>
      </c>
      <c r="AT228" s="33" t="str">
        <f>IF(OR(ISBLANK(AR228), ISBLANK(AS228)),"",CONCATENATE(" ",VLOOKUP(AS228,Literatuur!$A:$B,2,FALSE)," "))</f>
        <v/>
      </c>
      <c r="AU228" s="33">
        <v>388</v>
      </c>
      <c r="AV228" s="33" t="s">
        <v>1744</v>
      </c>
      <c r="AW228" s="33" t="str">
        <f>IF(OR(ISBLANK(AU228), ISBLANK(AV228)),"",CONCATENATE(" ",VLOOKUP(AV228,Literatuur!$A:$B,2,FALSE)," "))</f>
        <v xml:space="preserve"> 1 </v>
      </c>
      <c r="AZ228" s="44" t="str">
        <f t="shared" si="177"/>
        <v xml:space="preserve"> </v>
      </c>
      <c r="BA228" s="33" t="str">
        <f>IF(OR(ISBLANK(AY228), ISBLANK(AZ228)),"",CONCATENATE(" ",VLOOKUP(AZ228,Literatuur!$A:$B,2,FALSE)," "))</f>
        <v/>
      </c>
      <c r="BC228" s="44" t="str">
        <f t="shared" si="178"/>
        <v xml:space="preserve"> </v>
      </c>
      <c r="BD228" s="33" t="str">
        <f>IF(OR(ISBLANK(BB228), ISBLANK(BC228)),"",CONCATENATE(" ",VLOOKUP(BC228,Literatuur!$A:$B,2,FALSE)," "))</f>
        <v/>
      </c>
      <c r="BF228" s="44" t="str">
        <f t="shared" si="179"/>
        <v xml:space="preserve"> </v>
      </c>
      <c r="BG228" s="33" t="str">
        <f>IF(OR(ISBLANK(BE228), ISBLANK(BF228)),"",CONCATENATE(" ",VLOOKUP(BF228,Literatuur!$A:$B,2,FALSE)," "))</f>
        <v/>
      </c>
      <c r="BI228" s="44" t="str">
        <f t="shared" si="180"/>
        <v xml:space="preserve"> </v>
      </c>
      <c r="BJ228" s="33" t="str">
        <f>IF(OR(ISBLANK(BH228), ISBLANK(BI228)),"",CONCATENATE(" ",VLOOKUP(BI228,Literatuur!$A:$B,2,FALSE)," "))</f>
        <v/>
      </c>
      <c r="BL228" s="44" t="str">
        <f t="shared" si="181"/>
        <v xml:space="preserve"> </v>
      </c>
      <c r="BM228" s="33" t="str">
        <f>IF(OR(ISBLANK(BK228), ISBLANK(BL228)),"",CONCATENATE(" ",VLOOKUP(BL228,Literatuur!$A:$B,2,FALSE)," "))</f>
        <v/>
      </c>
      <c r="BP228" s="33" t="str">
        <f>IF(OR(ISBLANK(BN228), ISBLANK(BO228)),"",CONCATENATE(" ",VLOOKUP(BO228,Literatuur!$A:$B,2,FALSE)," "))</f>
        <v/>
      </c>
      <c r="BS228" s="33" t="str">
        <f>IF(OR(ISBLANK(BQ228), ISBLANK(BR228)),"",CONCATENATE(" ",VLOOKUP(BR228,Literatuur!$A:$B,2,FALSE)," "))</f>
        <v/>
      </c>
      <c r="BV228" s="33" t="str">
        <f>IF(OR(ISBLANK(BT228), ISBLANK(BU228)),"",CONCATENATE(" ",VLOOKUP(BU228,Literatuur!$A:$B,2,FALSE)," "))</f>
        <v/>
      </c>
      <c r="CR228" s="33" t="str">
        <f t="shared" si="160"/>
        <v>UV6</v>
      </c>
      <c r="CS228" s="33" t="str">
        <f t="shared" si="161"/>
        <v>overige</v>
      </c>
      <c r="CT228" s="33">
        <f t="shared" si="184"/>
        <v>388</v>
      </c>
      <c r="CU228" s="33" t="str">
        <f t="shared" si="163"/>
        <v xml:space="preserve"> 1 </v>
      </c>
      <c r="CV228" s="33" t="str">
        <f t="shared" si="164"/>
        <v/>
      </c>
      <c r="CW228" s="33" t="str">
        <f t="shared" si="165"/>
        <v/>
      </c>
      <c r="CX228" s="33" t="str">
        <f t="shared" si="166"/>
        <v/>
      </c>
      <c r="CY228" s="33" t="str">
        <f t="shared" si="167"/>
        <v/>
      </c>
    </row>
    <row r="229" spans="1:103" x14ac:dyDescent="0.2">
      <c r="B229">
        <v>-1801</v>
      </c>
      <c r="D229" s="33" t="s">
        <v>1473</v>
      </c>
      <c r="E229" s="33" t="s">
        <v>1473</v>
      </c>
      <c r="F229" s="33" t="s">
        <v>1478</v>
      </c>
      <c r="I229" s="33">
        <f t="shared" ref="I229:I260" si="186">IF(ISNUMBER(AI229),AI229,AVERAGE(AL229:AU229))</f>
        <v>388</v>
      </c>
      <c r="J229" s="33" t="e">
        <f t="shared" si="168"/>
        <v>#DIV/0!</v>
      </c>
      <c r="K229" s="44" t="e">
        <f t="shared" si="185"/>
        <v>#DIV/0!</v>
      </c>
      <c r="L229" s="33" t="e">
        <f t="shared" si="183"/>
        <v>#DIV/0!</v>
      </c>
      <c r="M229" s="33" t="s">
        <v>345</v>
      </c>
      <c r="Q229" s="44" t="str">
        <f t="shared" si="169"/>
        <v xml:space="preserve"> </v>
      </c>
      <c r="R229" s="33" t="str">
        <f>IF(OR(ISBLANK(P229), ISBLANK(Q229)),"",CONCATENATE(" ",VLOOKUP(Q229,Literatuur!$A:$B,2,FALSE)," "))</f>
        <v/>
      </c>
      <c r="T229" s="44" t="str">
        <f t="shared" si="170"/>
        <v xml:space="preserve"> </v>
      </c>
      <c r="U229" s="33" t="str">
        <f>IF(OR(ISBLANK(S229), ISBLANK(T229)),"",CONCATENATE(" ",VLOOKUP(T229,Literatuur!$A:$B,2,FALSE)," "))</f>
        <v/>
      </c>
      <c r="W229" s="44" t="str">
        <f t="shared" si="171"/>
        <v xml:space="preserve"> </v>
      </c>
      <c r="X229" s="33" t="str">
        <f>IF(OR(ISBLANK(V229), ISBLANK(W229)),"",CONCATENATE(" ",VLOOKUP(W229,Literatuur!$A:$B,2,FALSE)," "))</f>
        <v/>
      </c>
      <c r="Z229" s="44" t="str">
        <f t="shared" si="172"/>
        <v xml:space="preserve"> </v>
      </c>
      <c r="AA229" s="33" t="str">
        <f>IF(OR(ISBLANK(Y229), ISBLANK(Z229)),"",CONCATENATE(" ",VLOOKUP(Z229,Literatuur!$A:$B,2,FALSE)," "))</f>
        <v/>
      </c>
      <c r="AC229" s="36" t="str">
        <f t="shared" si="173"/>
        <v xml:space="preserve"> </v>
      </c>
      <c r="AD229" s="33" t="str">
        <f>IF(OR(ISBLANK(AB229), ISBLANK(AC229)),"",CONCATENATE(" ",VLOOKUP(AC229,Literatuur!$A:$B,2,FALSE)," "))</f>
        <v/>
      </c>
      <c r="AG229" s="33" t="str">
        <f>IF(OR(ISBLANK(AE229), ISBLANK(AF229)),"",CONCATENATE(" ",VLOOKUP(AF229,Literatuur!$A:$B,2,FALSE)," "))</f>
        <v/>
      </c>
      <c r="AJ229" s="44" t="str">
        <f t="shared" si="174"/>
        <v xml:space="preserve"> </v>
      </c>
      <c r="AK229" s="33" t="str">
        <f>IF(OR(ISBLANK(AI229), ISBLANK(AJ229)),"",CONCATENATE(" ",VLOOKUP(AJ229,Literatuur!$A:$B,2,FALSE)," "))</f>
        <v/>
      </c>
      <c r="AM229" s="44" t="str">
        <f t="shared" si="175"/>
        <v xml:space="preserve"> </v>
      </c>
      <c r="AN229" s="33" t="str">
        <f>IF(OR(ISBLANK(AL229), ISBLANK(AM229)),"",CONCATENATE(" ",VLOOKUP(AM229,Literatuur!$A:$B,2,FALSE)," "))</f>
        <v/>
      </c>
      <c r="AP229" s="44" t="str">
        <f t="shared" si="176"/>
        <v xml:space="preserve"> </v>
      </c>
      <c r="AQ229" s="33" t="str">
        <f>IF(OR(ISBLANK(AO229), ISBLANK(AP229)),"",CONCATENATE(" ",VLOOKUP(AP229,Literatuur!$A:$B,2,FALSE)," "))</f>
        <v/>
      </c>
      <c r="AT229" s="33" t="str">
        <f>IF(OR(ISBLANK(AR229), ISBLANK(AS229)),"",CONCATENATE(" ",VLOOKUP(AS229,Literatuur!$A:$B,2,FALSE)," "))</f>
        <v/>
      </c>
      <c r="AU229" s="33">
        <v>388</v>
      </c>
      <c r="AV229" s="33" t="s">
        <v>1744</v>
      </c>
      <c r="AW229" s="33" t="str">
        <f>IF(OR(ISBLANK(AU229), ISBLANK(AV229)),"",CONCATENATE(" ",VLOOKUP(AV229,Literatuur!$A:$B,2,FALSE)," "))</f>
        <v xml:space="preserve"> 1 </v>
      </c>
      <c r="AZ229" s="44" t="str">
        <f t="shared" si="177"/>
        <v xml:space="preserve"> </v>
      </c>
      <c r="BA229" s="33" t="str">
        <f>IF(OR(ISBLANK(AY229), ISBLANK(AZ229)),"",CONCATENATE(" ",VLOOKUP(AZ229,Literatuur!$A:$B,2,FALSE)," "))</f>
        <v/>
      </c>
      <c r="BC229" s="44" t="str">
        <f t="shared" si="178"/>
        <v xml:space="preserve"> </v>
      </c>
      <c r="BD229" s="33" t="str">
        <f>IF(OR(ISBLANK(BB229), ISBLANK(BC229)),"",CONCATENATE(" ",VLOOKUP(BC229,Literatuur!$A:$B,2,FALSE)," "))</f>
        <v/>
      </c>
      <c r="BF229" s="44" t="str">
        <f t="shared" si="179"/>
        <v xml:space="preserve"> </v>
      </c>
      <c r="BG229" s="33" t="str">
        <f>IF(OR(ISBLANK(BE229), ISBLANK(BF229)),"",CONCATENATE(" ",VLOOKUP(BF229,Literatuur!$A:$B,2,FALSE)," "))</f>
        <v/>
      </c>
      <c r="BI229" s="44" t="str">
        <f t="shared" si="180"/>
        <v xml:space="preserve"> </v>
      </c>
      <c r="BJ229" s="33" t="str">
        <f>IF(OR(ISBLANK(BH229), ISBLANK(BI229)),"",CONCATENATE(" ",VLOOKUP(BI229,Literatuur!$A:$B,2,FALSE)," "))</f>
        <v/>
      </c>
      <c r="BL229" s="44" t="str">
        <f t="shared" si="181"/>
        <v xml:space="preserve"> </v>
      </c>
      <c r="BM229" s="33" t="str">
        <f>IF(OR(ISBLANK(BK229), ISBLANK(BL229)),"",CONCATENATE(" ",VLOOKUP(BL229,Literatuur!$A:$B,2,FALSE)," "))</f>
        <v/>
      </c>
      <c r="BP229" s="33" t="str">
        <f>IF(OR(ISBLANK(BN229), ISBLANK(BO229)),"",CONCATENATE(" ",VLOOKUP(BO229,Literatuur!$A:$B,2,FALSE)," "))</f>
        <v/>
      </c>
      <c r="BS229" s="33" t="str">
        <f>IF(OR(ISBLANK(BQ229), ISBLANK(BR229)),"",CONCATENATE(" ",VLOOKUP(BR229,Literatuur!$A:$B,2,FALSE)," "))</f>
        <v/>
      </c>
      <c r="BV229" s="33" t="str">
        <f>IF(OR(ISBLANK(BT229), ISBLANK(BU229)),"",CONCATENATE(" ",VLOOKUP(BU229,Literatuur!$A:$B,2,FALSE)," "))</f>
        <v/>
      </c>
      <c r="CR229" s="33" t="str">
        <f t="shared" si="160"/>
        <v>UV7</v>
      </c>
      <c r="CS229" s="33" t="str">
        <f t="shared" si="161"/>
        <v>overige</v>
      </c>
      <c r="CT229" s="33">
        <f t="shared" si="184"/>
        <v>388</v>
      </c>
      <c r="CU229" s="33" t="str">
        <f t="shared" si="163"/>
        <v xml:space="preserve"> 1 </v>
      </c>
      <c r="CV229" s="33" t="str">
        <f t="shared" si="164"/>
        <v/>
      </c>
      <c r="CW229" s="33" t="str">
        <f t="shared" si="165"/>
        <v/>
      </c>
      <c r="CX229" s="33" t="str">
        <f t="shared" si="166"/>
        <v/>
      </c>
      <c r="CY229" s="33" t="str">
        <f t="shared" si="167"/>
        <v/>
      </c>
    </row>
    <row r="230" spans="1:103" x14ac:dyDescent="0.2">
      <c r="B230">
        <v>-1802</v>
      </c>
      <c r="D230" s="33" t="s">
        <v>1474</v>
      </c>
      <c r="E230" s="33" t="s">
        <v>1474</v>
      </c>
      <c r="F230" s="33" t="s">
        <v>1478</v>
      </c>
      <c r="I230" s="33">
        <f t="shared" si="186"/>
        <v>445</v>
      </c>
      <c r="J230" s="33" t="e">
        <f t="shared" si="168"/>
        <v>#DIV/0!</v>
      </c>
      <c r="K230" s="44" t="e">
        <f t="shared" si="185"/>
        <v>#DIV/0!</v>
      </c>
      <c r="L230" s="33" t="e">
        <f t="shared" si="183"/>
        <v>#DIV/0!</v>
      </c>
      <c r="M230" s="33" t="s">
        <v>345</v>
      </c>
      <c r="Q230" s="44" t="str">
        <f t="shared" si="169"/>
        <v xml:space="preserve"> </v>
      </c>
      <c r="R230" s="33" t="str">
        <f>IF(OR(ISBLANK(P230), ISBLANK(Q230)),"",CONCATENATE(" ",VLOOKUP(Q230,Literatuur!$A:$B,2,FALSE)," "))</f>
        <v/>
      </c>
      <c r="T230" s="44" t="str">
        <f t="shared" si="170"/>
        <v xml:space="preserve"> </v>
      </c>
      <c r="U230" s="33" t="str">
        <f>IF(OR(ISBLANK(S230), ISBLANK(T230)),"",CONCATENATE(" ",VLOOKUP(T230,Literatuur!$A:$B,2,FALSE)," "))</f>
        <v/>
      </c>
      <c r="W230" s="44" t="str">
        <f t="shared" si="171"/>
        <v xml:space="preserve"> </v>
      </c>
      <c r="X230" s="33" t="str">
        <f>IF(OR(ISBLANK(V230), ISBLANK(W230)),"",CONCATENATE(" ",VLOOKUP(W230,Literatuur!$A:$B,2,FALSE)," "))</f>
        <v/>
      </c>
      <c r="Z230" s="44" t="str">
        <f t="shared" si="172"/>
        <v xml:space="preserve"> </v>
      </c>
      <c r="AA230" s="33" t="str">
        <f>IF(OR(ISBLANK(Y230), ISBLANK(Z230)),"",CONCATENATE(" ",VLOOKUP(Z230,Literatuur!$A:$B,2,FALSE)," "))</f>
        <v/>
      </c>
      <c r="AC230" s="36" t="str">
        <f t="shared" si="173"/>
        <v xml:space="preserve"> </v>
      </c>
      <c r="AD230" s="33" t="str">
        <f>IF(OR(ISBLANK(AB230), ISBLANK(AC230)),"",CONCATENATE(" ",VLOOKUP(AC230,Literatuur!$A:$B,2,FALSE)," "))</f>
        <v/>
      </c>
      <c r="AG230" s="33" t="str">
        <f>IF(OR(ISBLANK(AE230), ISBLANK(AF230)),"",CONCATENATE(" ",VLOOKUP(AF230,Literatuur!$A:$B,2,FALSE)," "))</f>
        <v/>
      </c>
      <c r="AJ230" s="44" t="str">
        <f t="shared" si="174"/>
        <v xml:space="preserve"> </v>
      </c>
      <c r="AK230" s="33" t="str">
        <f>IF(OR(ISBLANK(AI230), ISBLANK(AJ230)),"",CONCATENATE(" ",VLOOKUP(AJ230,Literatuur!$A:$B,2,FALSE)," "))</f>
        <v/>
      </c>
      <c r="AM230" s="44" t="str">
        <f t="shared" si="175"/>
        <v xml:space="preserve"> </v>
      </c>
      <c r="AN230" s="33" t="str">
        <f>IF(OR(ISBLANK(AL230), ISBLANK(AM230)),"",CONCATENATE(" ",VLOOKUP(AM230,Literatuur!$A:$B,2,FALSE)," "))</f>
        <v/>
      </c>
      <c r="AP230" s="44" t="str">
        <f t="shared" si="176"/>
        <v xml:space="preserve"> </v>
      </c>
      <c r="AQ230" s="33" t="str">
        <f>IF(OR(ISBLANK(AO230), ISBLANK(AP230)),"",CONCATENATE(" ",VLOOKUP(AP230,Literatuur!$A:$B,2,FALSE)," "))</f>
        <v/>
      </c>
      <c r="AT230" s="33" t="str">
        <f>IF(OR(ISBLANK(AR230), ISBLANK(AS230)),"",CONCATENATE(" ",VLOOKUP(AS230,Literatuur!$A:$B,2,FALSE)," "))</f>
        <v/>
      </c>
      <c r="AU230" s="33">
        <v>445</v>
      </c>
      <c r="AV230" s="33" t="s">
        <v>1744</v>
      </c>
      <c r="AW230" s="33" t="str">
        <f>IF(OR(ISBLANK(AU230), ISBLANK(AV230)),"",CONCATENATE(" ",VLOOKUP(AV230,Literatuur!$A:$B,2,FALSE)," "))</f>
        <v xml:space="preserve"> 1 </v>
      </c>
      <c r="AZ230" s="44" t="str">
        <f t="shared" si="177"/>
        <v xml:space="preserve"> </v>
      </c>
      <c r="BA230" s="33" t="str">
        <f>IF(OR(ISBLANK(AY230), ISBLANK(AZ230)),"",CONCATENATE(" ",VLOOKUP(AZ230,Literatuur!$A:$B,2,FALSE)," "))</f>
        <v/>
      </c>
      <c r="BC230" s="44" t="str">
        <f t="shared" si="178"/>
        <v xml:space="preserve"> </v>
      </c>
      <c r="BD230" s="33" t="str">
        <f>IF(OR(ISBLANK(BB230), ISBLANK(BC230)),"",CONCATENATE(" ",VLOOKUP(BC230,Literatuur!$A:$B,2,FALSE)," "))</f>
        <v/>
      </c>
      <c r="BF230" s="44" t="str">
        <f t="shared" si="179"/>
        <v xml:space="preserve"> </v>
      </c>
      <c r="BG230" s="33" t="str">
        <f>IF(OR(ISBLANK(BE230), ISBLANK(BF230)),"",CONCATENATE(" ",VLOOKUP(BF230,Literatuur!$A:$B,2,FALSE)," "))</f>
        <v/>
      </c>
      <c r="BI230" s="44" t="str">
        <f t="shared" si="180"/>
        <v xml:space="preserve"> </v>
      </c>
      <c r="BJ230" s="33" t="str">
        <f>IF(OR(ISBLANK(BH230), ISBLANK(BI230)),"",CONCATENATE(" ",VLOOKUP(BI230,Literatuur!$A:$B,2,FALSE)," "))</f>
        <v/>
      </c>
      <c r="BL230" s="44" t="str">
        <f t="shared" si="181"/>
        <v xml:space="preserve"> </v>
      </c>
      <c r="BM230" s="33" t="str">
        <f>IF(OR(ISBLANK(BK230), ISBLANK(BL230)),"",CONCATENATE(" ",VLOOKUP(BL230,Literatuur!$A:$B,2,FALSE)," "))</f>
        <v/>
      </c>
      <c r="BP230" s="33" t="str">
        <f>IF(OR(ISBLANK(BN230), ISBLANK(BO230)),"",CONCATENATE(" ",VLOOKUP(BO230,Literatuur!$A:$B,2,FALSE)," "))</f>
        <v/>
      </c>
      <c r="BS230" s="33" t="str">
        <f>IF(OR(ISBLANK(BQ230), ISBLANK(BR230)),"",CONCATENATE(" ",VLOOKUP(BR230,Literatuur!$A:$B,2,FALSE)," "))</f>
        <v/>
      </c>
      <c r="BV230" s="33" t="str">
        <f>IF(OR(ISBLANK(BT230), ISBLANK(BU230)),"",CONCATENATE(" ",VLOOKUP(BU230,Literatuur!$A:$B,2,FALSE)," "))</f>
        <v/>
      </c>
      <c r="CR230" s="33" t="str">
        <f t="shared" si="160"/>
        <v>UV8</v>
      </c>
      <c r="CS230" s="33" t="str">
        <f t="shared" si="161"/>
        <v>overige</v>
      </c>
      <c r="CT230" s="33">
        <f t="shared" si="184"/>
        <v>445</v>
      </c>
      <c r="CU230" s="33" t="str">
        <f t="shared" si="163"/>
        <v xml:space="preserve"> 1 </v>
      </c>
      <c r="CV230" s="33" t="str">
        <f t="shared" si="164"/>
        <v/>
      </c>
      <c r="CW230" s="33" t="str">
        <f t="shared" si="165"/>
        <v/>
      </c>
      <c r="CX230" s="33" t="str">
        <f t="shared" si="166"/>
        <v/>
      </c>
      <c r="CY230" s="33" t="str">
        <f t="shared" si="167"/>
        <v/>
      </c>
    </row>
    <row r="231" spans="1:103" x14ac:dyDescent="0.2">
      <c r="B231">
        <v>-1803</v>
      </c>
      <c r="D231" s="33" t="s">
        <v>1475</v>
      </c>
      <c r="E231" s="33" t="s">
        <v>1475</v>
      </c>
      <c r="F231" s="33" t="s">
        <v>1478</v>
      </c>
      <c r="I231" s="33">
        <f t="shared" si="186"/>
        <v>551</v>
      </c>
      <c r="J231" s="33" t="e">
        <f t="shared" si="168"/>
        <v>#DIV/0!</v>
      </c>
      <c r="K231" s="44" t="e">
        <f t="shared" si="185"/>
        <v>#DIV/0!</v>
      </c>
      <c r="L231" s="33" t="e">
        <f t="shared" si="183"/>
        <v>#DIV/0!</v>
      </c>
      <c r="M231" s="33" t="s">
        <v>345</v>
      </c>
      <c r="Q231" s="44" t="str">
        <f t="shared" si="169"/>
        <v xml:space="preserve"> </v>
      </c>
      <c r="R231" s="33" t="str">
        <f>IF(OR(ISBLANK(P231), ISBLANK(Q231)),"",CONCATENATE(" ",VLOOKUP(Q231,Literatuur!$A:$B,2,FALSE)," "))</f>
        <v/>
      </c>
      <c r="T231" s="44" t="str">
        <f t="shared" si="170"/>
        <v xml:space="preserve"> </v>
      </c>
      <c r="U231" s="33" t="str">
        <f>IF(OR(ISBLANK(S231), ISBLANK(T231)),"",CONCATENATE(" ",VLOOKUP(T231,Literatuur!$A:$B,2,FALSE)," "))</f>
        <v/>
      </c>
      <c r="W231" s="44" t="str">
        <f t="shared" si="171"/>
        <v xml:space="preserve"> </v>
      </c>
      <c r="X231" s="33" t="str">
        <f>IF(OR(ISBLANK(V231), ISBLANK(W231)),"",CONCATENATE(" ",VLOOKUP(W231,Literatuur!$A:$B,2,FALSE)," "))</f>
        <v/>
      </c>
      <c r="Z231" s="44" t="str">
        <f t="shared" si="172"/>
        <v xml:space="preserve"> </v>
      </c>
      <c r="AA231" s="33" t="str">
        <f>IF(OR(ISBLANK(Y231), ISBLANK(Z231)),"",CONCATENATE(" ",VLOOKUP(Z231,Literatuur!$A:$B,2,FALSE)," "))</f>
        <v/>
      </c>
      <c r="AC231" s="36" t="str">
        <f t="shared" si="173"/>
        <v xml:space="preserve"> </v>
      </c>
      <c r="AD231" s="33" t="str">
        <f>IF(OR(ISBLANK(AB231), ISBLANK(AC231)),"",CONCATENATE(" ",VLOOKUP(AC231,Literatuur!$A:$B,2,FALSE)," "))</f>
        <v/>
      </c>
      <c r="AG231" s="33" t="str">
        <f>IF(OR(ISBLANK(AE231), ISBLANK(AF231)),"",CONCATENATE(" ",VLOOKUP(AF231,Literatuur!$A:$B,2,FALSE)," "))</f>
        <v/>
      </c>
      <c r="AJ231" s="44" t="str">
        <f t="shared" si="174"/>
        <v xml:space="preserve"> </v>
      </c>
      <c r="AK231" s="33" t="str">
        <f>IF(OR(ISBLANK(AI231), ISBLANK(AJ231)),"",CONCATENATE(" ",VLOOKUP(AJ231,Literatuur!$A:$B,2,FALSE)," "))</f>
        <v/>
      </c>
      <c r="AM231" s="44" t="str">
        <f t="shared" si="175"/>
        <v xml:space="preserve"> </v>
      </c>
      <c r="AN231" s="33" t="str">
        <f>IF(OR(ISBLANK(AL231), ISBLANK(AM231)),"",CONCATENATE(" ",VLOOKUP(AM231,Literatuur!$A:$B,2,FALSE)," "))</f>
        <v/>
      </c>
      <c r="AP231" s="44" t="str">
        <f t="shared" si="176"/>
        <v xml:space="preserve"> </v>
      </c>
      <c r="AQ231" s="33" t="str">
        <f>IF(OR(ISBLANK(AO231), ISBLANK(AP231)),"",CONCATENATE(" ",VLOOKUP(AP231,Literatuur!$A:$B,2,FALSE)," "))</f>
        <v/>
      </c>
      <c r="AT231" s="33" t="str">
        <f>IF(OR(ISBLANK(AR231), ISBLANK(AS231)),"",CONCATENATE(" ",VLOOKUP(AS231,Literatuur!$A:$B,2,FALSE)," "))</f>
        <v/>
      </c>
      <c r="AU231" s="33">
        <v>551</v>
      </c>
      <c r="AV231" s="33" t="s">
        <v>1744</v>
      </c>
      <c r="AW231" s="33" t="str">
        <f>IF(OR(ISBLANK(AU231), ISBLANK(AV231)),"",CONCATENATE(" ",VLOOKUP(AV231,Literatuur!$A:$B,2,FALSE)," "))</f>
        <v xml:space="preserve"> 1 </v>
      </c>
      <c r="AZ231" s="44" t="str">
        <f t="shared" si="177"/>
        <v xml:space="preserve"> </v>
      </c>
      <c r="BA231" s="33" t="str">
        <f>IF(OR(ISBLANK(AY231), ISBLANK(AZ231)),"",CONCATENATE(" ",VLOOKUP(AZ231,Literatuur!$A:$B,2,FALSE)," "))</f>
        <v/>
      </c>
      <c r="BC231" s="44" t="str">
        <f t="shared" si="178"/>
        <v xml:space="preserve"> </v>
      </c>
      <c r="BD231" s="33" t="str">
        <f>IF(OR(ISBLANK(BB231), ISBLANK(BC231)),"",CONCATENATE(" ",VLOOKUP(BC231,Literatuur!$A:$B,2,FALSE)," "))</f>
        <v/>
      </c>
      <c r="BF231" s="44" t="str">
        <f t="shared" si="179"/>
        <v xml:space="preserve"> </v>
      </c>
      <c r="BG231" s="33" t="str">
        <f>IF(OR(ISBLANK(BE231), ISBLANK(BF231)),"",CONCATENATE(" ",VLOOKUP(BF231,Literatuur!$A:$B,2,FALSE)," "))</f>
        <v/>
      </c>
      <c r="BI231" s="44" t="str">
        <f t="shared" si="180"/>
        <v xml:space="preserve"> </v>
      </c>
      <c r="BJ231" s="33" t="str">
        <f>IF(OR(ISBLANK(BH231), ISBLANK(BI231)),"",CONCATENATE(" ",VLOOKUP(BI231,Literatuur!$A:$B,2,FALSE)," "))</f>
        <v/>
      </c>
      <c r="BL231" s="44" t="str">
        <f t="shared" si="181"/>
        <v xml:space="preserve"> </v>
      </c>
      <c r="BM231" s="33" t="str">
        <f>IF(OR(ISBLANK(BK231), ISBLANK(BL231)),"",CONCATENATE(" ",VLOOKUP(BL231,Literatuur!$A:$B,2,FALSE)," "))</f>
        <v/>
      </c>
      <c r="BP231" s="33" t="str">
        <f>IF(OR(ISBLANK(BN231), ISBLANK(BO231)),"",CONCATENATE(" ",VLOOKUP(BO231,Literatuur!$A:$B,2,FALSE)," "))</f>
        <v/>
      </c>
      <c r="BS231" s="33" t="str">
        <f>IF(OR(ISBLANK(BQ231), ISBLANK(BR231)),"",CONCATENATE(" ",VLOOKUP(BR231,Literatuur!$A:$B,2,FALSE)," "))</f>
        <v/>
      </c>
      <c r="BV231" s="33" t="str">
        <f>IF(OR(ISBLANK(BT231), ISBLANK(BU231)),"",CONCATENATE(" ",VLOOKUP(BU231,Literatuur!$A:$B,2,FALSE)," "))</f>
        <v/>
      </c>
      <c r="CR231" s="33" t="str">
        <f t="shared" si="160"/>
        <v>UV9</v>
      </c>
      <c r="CS231" s="33" t="str">
        <f t="shared" si="161"/>
        <v>overige</v>
      </c>
      <c r="CT231" s="33">
        <f t="shared" si="184"/>
        <v>551</v>
      </c>
      <c r="CU231" s="33" t="str">
        <f t="shared" si="163"/>
        <v xml:space="preserve"> 1 </v>
      </c>
      <c r="CV231" s="33" t="str">
        <f t="shared" si="164"/>
        <v/>
      </c>
      <c r="CW231" s="33" t="str">
        <f t="shared" si="165"/>
        <v/>
      </c>
      <c r="CX231" s="33" t="str">
        <f t="shared" si="166"/>
        <v/>
      </c>
      <c r="CY231" s="33" t="str">
        <f t="shared" si="167"/>
        <v/>
      </c>
    </row>
    <row r="232" spans="1:103" x14ac:dyDescent="0.2">
      <c r="A232"/>
      <c r="B232">
        <v>-1777</v>
      </c>
      <c r="C232"/>
      <c r="D232" t="s">
        <v>1207</v>
      </c>
      <c r="E232" t="s">
        <v>1207</v>
      </c>
      <c r="I232" s="33">
        <f t="shared" si="186"/>
        <v>406.9</v>
      </c>
      <c r="J232" s="33">
        <f t="shared" si="168"/>
        <v>2.5673654346899033</v>
      </c>
      <c r="K232" s="44">
        <f t="shared" si="185"/>
        <v>4.9000000000000004</v>
      </c>
      <c r="L232" s="33">
        <f t="shared" si="183"/>
        <v>236.3</v>
      </c>
      <c r="M232" s="33" t="s">
        <v>345</v>
      </c>
      <c r="Q232" s="44" t="str">
        <f t="shared" si="169"/>
        <v xml:space="preserve"> </v>
      </c>
      <c r="R232" s="33" t="str">
        <f>IF(OR(ISBLANK(P232), ISBLANK(Q232)),"",CONCATENATE(" ",VLOOKUP(Q232,Literatuur!$A:$B,2,FALSE)," "))</f>
        <v/>
      </c>
      <c r="T232" s="44" t="str">
        <f t="shared" si="170"/>
        <v xml:space="preserve"> </v>
      </c>
      <c r="U232" s="33" t="str">
        <f>IF(OR(ISBLANK(S232), ISBLANK(T232)),"",CONCATENATE(" ",VLOOKUP(T232,Literatuur!$A:$B,2,FALSE)," "))</f>
        <v/>
      </c>
      <c r="W232" s="44" t="str">
        <f t="shared" si="171"/>
        <v xml:space="preserve"> </v>
      </c>
      <c r="X232" s="33" t="str">
        <f>IF(OR(ISBLANK(V232), ISBLANK(W232)),"",CONCATENATE(" ",VLOOKUP(W232,Literatuur!$A:$B,2,FALSE)," "))</f>
        <v/>
      </c>
      <c r="Z232" s="44" t="str">
        <f t="shared" si="172"/>
        <v xml:space="preserve"> </v>
      </c>
      <c r="AA232" s="33" t="str">
        <f>IF(OR(ISBLANK(Y232), ISBLANK(Z232)),"",CONCATENATE(" ",VLOOKUP(Z232,Literatuur!$A:$B,2,FALSE)," "))</f>
        <v/>
      </c>
      <c r="AC232" s="36" t="str">
        <f t="shared" si="173"/>
        <v xml:space="preserve"> </v>
      </c>
      <c r="AD232" s="33" t="str">
        <f>IF(OR(ISBLANK(AB232), ISBLANK(AC232)),"",CONCATENATE(" ",VLOOKUP(AC232,Literatuur!$A:$B,2,FALSE)," "))</f>
        <v/>
      </c>
      <c r="AE232" s="365">
        <v>2.5673654346899033</v>
      </c>
      <c r="AF232" s="33" t="s">
        <v>1557</v>
      </c>
      <c r="AG232" s="33" t="str">
        <f>IF(OR(ISBLANK(AE232), ISBLANK(AF232)),"",CONCATENATE(" ",VLOOKUP(AF232,Literatuur!$A:$B,2,FALSE)," "))</f>
        <v xml:space="preserve"> 17 </v>
      </c>
      <c r="AJ232" s="44" t="str">
        <f t="shared" si="174"/>
        <v xml:space="preserve"> </v>
      </c>
      <c r="AK232" s="33" t="str">
        <f>IF(OR(ISBLANK(AI232), ISBLANK(AJ232)),"",CONCATENATE(" ",VLOOKUP(AJ232,Literatuur!$A:$B,2,FALSE)," "))</f>
        <v/>
      </c>
      <c r="AM232" s="44" t="str">
        <f t="shared" si="175"/>
        <v xml:space="preserve"> </v>
      </c>
      <c r="AN232" s="33" t="str">
        <f>IF(OR(ISBLANK(AL232), ISBLANK(AM232)),"",CONCATENATE(" ",VLOOKUP(AM232,Literatuur!$A:$B,2,FALSE)," "))</f>
        <v/>
      </c>
      <c r="AP232" s="44" t="str">
        <f t="shared" si="176"/>
        <v xml:space="preserve"> </v>
      </c>
      <c r="AQ232" s="33" t="str">
        <f>IF(OR(ISBLANK(AO232), ISBLANK(AP232)),"",CONCATENATE(" ",VLOOKUP(AP232,Literatuur!$A:$B,2,FALSE)," "))</f>
        <v/>
      </c>
      <c r="AS232"/>
      <c r="AT232" s="33" t="str">
        <f>IF(OR(ISBLANK(AR232), ISBLANK(AS232)),"",CONCATENATE(" ",VLOOKUP(AS232,Literatuur!$A:$B,2,FALSE)," "))</f>
        <v/>
      </c>
      <c r="AU232">
        <v>406.9</v>
      </c>
      <c r="AV232" s="33" t="s">
        <v>1557</v>
      </c>
      <c r="AW232" s="33" t="str">
        <f>IF(OR(ISBLANK(AU232), ISBLANK(AV232)),"",CONCATENATE(" ",VLOOKUP(AV232,Literatuur!$A:$B,2,FALSE)," "))</f>
        <v xml:space="preserve"> 17 </v>
      </c>
      <c r="AZ232" s="44" t="str">
        <f t="shared" si="177"/>
        <v xml:space="preserve"> </v>
      </c>
      <c r="BA232" s="33" t="str">
        <f>IF(OR(ISBLANK(AY232), ISBLANK(AZ232)),"",CONCATENATE(" ",VLOOKUP(AZ232,Literatuur!$A:$B,2,FALSE)," "))</f>
        <v/>
      </c>
      <c r="BC232" s="44" t="str">
        <f t="shared" si="178"/>
        <v xml:space="preserve"> </v>
      </c>
      <c r="BD232" s="33" t="str">
        <f>IF(OR(ISBLANK(BB232), ISBLANK(BC232)),"",CONCATENATE(" ",VLOOKUP(BC232,Literatuur!$A:$B,2,FALSE)," "))</f>
        <v/>
      </c>
      <c r="BF232" s="44" t="str">
        <f t="shared" si="179"/>
        <v xml:space="preserve"> </v>
      </c>
      <c r="BG232" s="33" t="str">
        <f>IF(OR(ISBLANK(BE232), ISBLANK(BF232)),"",CONCATENATE(" ",VLOOKUP(BF232,Literatuur!$A:$B,2,FALSE)," "))</f>
        <v/>
      </c>
      <c r="BI232" s="44" t="str">
        <f t="shared" si="180"/>
        <v xml:space="preserve"> </v>
      </c>
      <c r="BJ232" s="33" t="str">
        <f>IF(OR(ISBLANK(BH232), ISBLANK(BI232)),"",CONCATENATE(" ",VLOOKUP(BI232,Literatuur!$A:$B,2,FALSE)," "))</f>
        <v/>
      </c>
      <c r="BL232" s="44" t="str">
        <f t="shared" si="181"/>
        <v xml:space="preserve"> </v>
      </c>
      <c r="BM232" s="33" t="str">
        <f>IF(OR(ISBLANK(BK232), ISBLANK(BL232)),"",CONCATENATE(" ",VLOOKUP(BL232,Literatuur!$A:$B,2,FALSE)," "))</f>
        <v/>
      </c>
      <c r="BO232"/>
      <c r="BP232" s="33" t="str">
        <f>IF(OR(ISBLANK(BN232), ISBLANK(BO232)),"",CONCATENATE(" ",VLOOKUP(BO232,Literatuur!$A:$B,2,FALSE)," "))</f>
        <v/>
      </c>
      <c r="BR232"/>
      <c r="BS232" s="33" t="str">
        <f>IF(OR(ISBLANK(BQ232), ISBLANK(BR232)),"",CONCATENATE(" ",VLOOKUP(BR232,Literatuur!$A:$B,2,FALSE)," "))</f>
        <v/>
      </c>
      <c r="BT232">
        <v>4.9000000000000004</v>
      </c>
      <c r="BU232" s="33" t="s">
        <v>1557</v>
      </c>
      <c r="BV232" s="33" t="str">
        <f>IF(OR(ISBLANK(BT232), ISBLANK(BU232)),"",CONCATENATE(" ",VLOOKUP(BU232,Literatuur!$A:$B,2,FALSE)," "))</f>
        <v xml:space="preserve"> 17 </v>
      </c>
      <c r="BX232">
        <v>236.3</v>
      </c>
      <c r="CB232" s="33" t="s">
        <v>1557</v>
      </c>
      <c r="CD232" s="33">
        <f>L232</f>
        <v>236.3</v>
      </c>
      <c r="CG232" s="33">
        <f>LOG(J232)</f>
        <v>0.40948768985328476</v>
      </c>
      <c r="CH232" s="33">
        <f>K232</f>
        <v>4.9000000000000004</v>
      </c>
      <c r="CR232" s="33" t="str">
        <f t="shared" si="160"/>
        <v>α-endosulfan</v>
      </c>
      <c r="CS232" s="33" t="str">
        <f t="shared" si="161"/>
        <v>overige</v>
      </c>
      <c r="CT232" s="33">
        <f t="shared" si="184"/>
        <v>406.9</v>
      </c>
      <c r="CU232" s="33" t="str">
        <f t="shared" si="163"/>
        <v xml:space="preserve"> 17 </v>
      </c>
      <c r="CV232" s="33">
        <f t="shared" si="164"/>
        <v>2.5673654346899033</v>
      </c>
      <c r="CW232" s="33" t="str">
        <f t="shared" si="165"/>
        <v xml:space="preserve"> 17 </v>
      </c>
      <c r="CX232" s="33">
        <f t="shared" si="166"/>
        <v>4.9000000000000004</v>
      </c>
      <c r="CY232" s="33" t="str">
        <f t="shared" si="167"/>
        <v xml:space="preserve"> 17 </v>
      </c>
    </row>
    <row r="233" spans="1:103" x14ac:dyDescent="0.2">
      <c r="A233"/>
      <c r="B233">
        <v>-1771</v>
      </c>
      <c r="C233"/>
      <c r="D233" t="s">
        <v>1201</v>
      </c>
      <c r="E233" t="s">
        <v>1201</v>
      </c>
      <c r="I233" s="33">
        <f t="shared" si="186"/>
        <v>290.8</v>
      </c>
      <c r="J233" s="33">
        <f t="shared" si="168"/>
        <v>91.959034357696481</v>
      </c>
      <c r="K233" s="44">
        <f t="shared" si="185"/>
        <v>3.9</v>
      </c>
      <c r="L233" s="33">
        <f t="shared" si="183"/>
        <v>178</v>
      </c>
      <c r="M233" s="33" t="s">
        <v>345</v>
      </c>
      <c r="Q233" s="44" t="str">
        <f t="shared" si="169"/>
        <v xml:space="preserve"> </v>
      </c>
      <c r="R233" s="33" t="str">
        <f>IF(OR(ISBLANK(P233), ISBLANK(Q233)),"",CONCATENATE(" ",VLOOKUP(Q233,Literatuur!$A:$B,2,FALSE)," "))</f>
        <v/>
      </c>
      <c r="T233" s="44" t="str">
        <f t="shared" si="170"/>
        <v xml:space="preserve"> </v>
      </c>
      <c r="U233" s="33" t="str">
        <f>IF(OR(ISBLANK(S233), ISBLANK(T233)),"",CONCATENATE(" ",VLOOKUP(T233,Literatuur!$A:$B,2,FALSE)," "))</f>
        <v/>
      </c>
      <c r="W233" s="44" t="str">
        <f t="shared" si="171"/>
        <v xml:space="preserve"> </v>
      </c>
      <c r="X233" s="33" t="str">
        <f>IF(OR(ISBLANK(V233), ISBLANK(W233)),"",CONCATENATE(" ",VLOOKUP(W233,Literatuur!$A:$B,2,FALSE)," "))</f>
        <v/>
      </c>
      <c r="Z233" s="44" t="str">
        <f t="shared" si="172"/>
        <v xml:space="preserve"> </v>
      </c>
      <c r="AA233" s="33" t="str">
        <f>IF(OR(ISBLANK(Y233), ISBLANK(Z233)),"",CONCATENATE(" ",VLOOKUP(Z233,Literatuur!$A:$B,2,FALSE)," "))</f>
        <v/>
      </c>
      <c r="AC233" s="36" t="str">
        <f t="shared" si="173"/>
        <v xml:space="preserve"> </v>
      </c>
      <c r="AD233" s="33" t="str">
        <f>IF(OR(ISBLANK(AB233), ISBLANK(AC233)),"",CONCATENATE(" ",VLOOKUP(AC233,Literatuur!$A:$B,2,FALSE)," "))</f>
        <v/>
      </c>
      <c r="AE233" s="365">
        <v>91.959034357696481</v>
      </c>
      <c r="AF233" s="33" t="s">
        <v>1557</v>
      </c>
      <c r="AG233" s="33" t="str">
        <f>IF(OR(ISBLANK(AE233), ISBLANK(AF233)),"",CONCATENATE(" ",VLOOKUP(AF233,Literatuur!$A:$B,2,FALSE)," "))</f>
        <v xml:space="preserve"> 17 </v>
      </c>
      <c r="AJ233" s="44" t="str">
        <f t="shared" si="174"/>
        <v xml:space="preserve"> </v>
      </c>
      <c r="AK233" s="33" t="str">
        <f>IF(OR(ISBLANK(AI233), ISBLANK(AJ233)),"",CONCATENATE(" ",VLOOKUP(AJ233,Literatuur!$A:$B,2,FALSE)," "))</f>
        <v/>
      </c>
      <c r="AM233" s="44" t="str">
        <f t="shared" si="175"/>
        <v xml:space="preserve"> </v>
      </c>
      <c r="AN233" s="33" t="str">
        <f>IF(OR(ISBLANK(AL233), ISBLANK(AM233)),"",CONCATENATE(" ",VLOOKUP(AM233,Literatuur!$A:$B,2,FALSE)," "))</f>
        <v/>
      </c>
      <c r="AP233" s="44" t="str">
        <f t="shared" si="176"/>
        <v xml:space="preserve"> </v>
      </c>
      <c r="AQ233" s="33" t="str">
        <f>IF(OR(ISBLANK(AO233), ISBLANK(AP233)),"",CONCATENATE(" ",VLOOKUP(AP233,Literatuur!$A:$B,2,FALSE)," "))</f>
        <v/>
      </c>
      <c r="AS233"/>
      <c r="AT233" s="33" t="str">
        <f>IF(OR(ISBLANK(AR233), ISBLANK(AS233)),"",CONCATENATE(" ",VLOOKUP(AS233,Literatuur!$A:$B,2,FALSE)," "))</f>
        <v/>
      </c>
      <c r="AU233">
        <v>290.8</v>
      </c>
      <c r="AV233" s="33" t="s">
        <v>1557</v>
      </c>
      <c r="AW233" s="33" t="str">
        <f>IF(OR(ISBLANK(AU233), ISBLANK(AV233)),"",CONCATENATE(" ",VLOOKUP(AV233,Literatuur!$A:$B,2,FALSE)," "))</f>
        <v xml:space="preserve"> 17 </v>
      </c>
      <c r="AZ233" s="44" t="str">
        <f t="shared" si="177"/>
        <v xml:space="preserve"> </v>
      </c>
      <c r="BA233" s="33" t="str">
        <f>IF(OR(ISBLANK(AY233), ISBLANK(AZ233)),"",CONCATENATE(" ",VLOOKUP(AZ233,Literatuur!$A:$B,2,FALSE)," "))</f>
        <v/>
      </c>
      <c r="BC233" s="44" t="str">
        <f t="shared" si="178"/>
        <v xml:space="preserve"> </v>
      </c>
      <c r="BD233" s="33" t="str">
        <f>IF(OR(ISBLANK(BB233), ISBLANK(BC233)),"",CONCATENATE(" ",VLOOKUP(BC233,Literatuur!$A:$B,2,FALSE)," "))</f>
        <v/>
      </c>
      <c r="BF233" s="44" t="str">
        <f t="shared" si="179"/>
        <v xml:space="preserve"> </v>
      </c>
      <c r="BG233" s="33" t="str">
        <f>IF(OR(ISBLANK(BE233), ISBLANK(BF233)),"",CONCATENATE(" ",VLOOKUP(BF233,Literatuur!$A:$B,2,FALSE)," "))</f>
        <v/>
      </c>
      <c r="BI233" s="44" t="str">
        <f t="shared" si="180"/>
        <v xml:space="preserve"> </v>
      </c>
      <c r="BJ233" s="33" t="str">
        <f>IF(OR(ISBLANK(BH233), ISBLANK(BI233)),"",CONCATENATE(" ",VLOOKUP(BI233,Literatuur!$A:$B,2,FALSE)," "))</f>
        <v/>
      </c>
      <c r="BL233" s="44" t="str">
        <f t="shared" si="181"/>
        <v xml:space="preserve"> </v>
      </c>
      <c r="BM233" s="33" t="str">
        <f>IF(OR(ISBLANK(BK233), ISBLANK(BL233)),"",CONCATENATE(" ",VLOOKUP(BL233,Literatuur!$A:$B,2,FALSE)," "))</f>
        <v/>
      </c>
      <c r="BO233"/>
      <c r="BP233" s="33" t="str">
        <f>IF(OR(ISBLANK(BN233), ISBLANK(BO233)),"",CONCATENATE(" ",VLOOKUP(BO233,Literatuur!$A:$B,2,FALSE)," "))</f>
        <v/>
      </c>
      <c r="BR233"/>
      <c r="BS233" s="33" t="str">
        <f>IF(OR(ISBLANK(BQ233), ISBLANK(BR233)),"",CONCATENATE(" ",VLOOKUP(BR233,Literatuur!$A:$B,2,FALSE)," "))</f>
        <v/>
      </c>
      <c r="BT233">
        <v>3.9</v>
      </c>
      <c r="BU233" s="33" t="s">
        <v>1557</v>
      </c>
      <c r="BV233" s="33" t="str">
        <f>IF(OR(ISBLANK(BT233), ISBLANK(BU233)),"",CONCATENATE(" ",VLOOKUP(BU233,Literatuur!$A:$B,2,FALSE)," "))</f>
        <v xml:space="preserve"> 17 </v>
      </c>
      <c r="BX233">
        <v>178</v>
      </c>
      <c r="CB233" s="33" t="s">
        <v>1557</v>
      </c>
      <c r="CD233" s="33">
        <f>L233</f>
        <v>178</v>
      </c>
      <c r="CG233" s="33">
        <f>LOG(J233)</f>
        <v>1.9635944021870002</v>
      </c>
      <c r="CH233" s="33">
        <f>K233</f>
        <v>3.9</v>
      </c>
      <c r="CR233" s="33" t="str">
        <f t="shared" si="160"/>
        <v>α-HCH</v>
      </c>
      <c r="CS233" s="33" t="str">
        <f t="shared" si="161"/>
        <v>overige</v>
      </c>
      <c r="CT233" s="33">
        <f t="shared" si="184"/>
        <v>290.8</v>
      </c>
      <c r="CU233" s="33" t="str">
        <f t="shared" si="163"/>
        <v xml:space="preserve"> 17 </v>
      </c>
      <c r="CV233" s="33">
        <f t="shared" si="164"/>
        <v>91.959034357696481</v>
      </c>
      <c r="CW233" s="33" t="str">
        <f t="shared" si="165"/>
        <v xml:space="preserve"> 17 </v>
      </c>
      <c r="CX233" s="33">
        <f t="shared" si="166"/>
        <v>3.9</v>
      </c>
      <c r="CY233" s="33" t="str">
        <f t="shared" si="167"/>
        <v xml:space="preserve"> 17 </v>
      </c>
    </row>
    <row r="234" spans="1:103" x14ac:dyDescent="0.2">
      <c r="A234"/>
      <c r="B234">
        <v>-1772</v>
      </c>
      <c r="C234"/>
      <c r="D234" t="s">
        <v>1202</v>
      </c>
      <c r="E234" t="s">
        <v>1202</v>
      </c>
      <c r="I234" s="33">
        <f t="shared" si="186"/>
        <v>290.8</v>
      </c>
      <c r="J234" s="33">
        <f t="shared" si="168"/>
        <v>460.88694036769186</v>
      </c>
      <c r="K234" s="44">
        <f t="shared" si="185"/>
        <v>3.9</v>
      </c>
      <c r="L234" s="33">
        <f t="shared" si="183"/>
        <v>178</v>
      </c>
      <c r="M234" s="33" t="s">
        <v>345</v>
      </c>
      <c r="Q234" s="44" t="str">
        <f t="shared" si="169"/>
        <v xml:space="preserve"> </v>
      </c>
      <c r="R234" s="33" t="str">
        <f>IF(OR(ISBLANK(P234), ISBLANK(Q234)),"",CONCATENATE(" ",VLOOKUP(Q234,Literatuur!$A:$B,2,FALSE)," "))</f>
        <v/>
      </c>
      <c r="T234" s="44" t="str">
        <f t="shared" si="170"/>
        <v xml:space="preserve"> </v>
      </c>
      <c r="U234" s="33" t="str">
        <f>IF(OR(ISBLANK(S234), ISBLANK(T234)),"",CONCATENATE(" ",VLOOKUP(T234,Literatuur!$A:$B,2,FALSE)," "))</f>
        <v/>
      </c>
      <c r="W234" s="44" t="str">
        <f t="shared" si="171"/>
        <v xml:space="preserve"> </v>
      </c>
      <c r="X234" s="33" t="str">
        <f>IF(OR(ISBLANK(V234), ISBLANK(W234)),"",CONCATENATE(" ",VLOOKUP(W234,Literatuur!$A:$B,2,FALSE)," "))</f>
        <v/>
      </c>
      <c r="Z234" s="44" t="str">
        <f t="shared" si="172"/>
        <v xml:space="preserve"> </v>
      </c>
      <c r="AA234" s="33" t="str">
        <f>IF(OR(ISBLANK(Y234), ISBLANK(Z234)),"",CONCATENATE(" ",VLOOKUP(Z234,Literatuur!$A:$B,2,FALSE)," "))</f>
        <v/>
      </c>
      <c r="AC234" s="36" t="str">
        <f t="shared" si="173"/>
        <v xml:space="preserve"> </v>
      </c>
      <c r="AD234" s="33" t="str">
        <f>IF(OR(ISBLANK(AB234), ISBLANK(AC234)),"",CONCATENATE(" ",VLOOKUP(AC234,Literatuur!$A:$B,2,FALSE)," "))</f>
        <v/>
      </c>
      <c r="AE234" s="365">
        <v>460.88694036769186</v>
      </c>
      <c r="AF234" s="33" t="s">
        <v>1557</v>
      </c>
      <c r="AG234" s="33" t="str">
        <f>IF(OR(ISBLANK(AE234), ISBLANK(AF234)),"",CONCATENATE(" ",VLOOKUP(AF234,Literatuur!$A:$B,2,FALSE)," "))</f>
        <v xml:space="preserve"> 17 </v>
      </c>
      <c r="AJ234" s="44" t="str">
        <f t="shared" si="174"/>
        <v xml:space="preserve"> </v>
      </c>
      <c r="AK234" s="33" t="str">
        <f>IF(OR(ISBLANK(AI234), ISBLANK(AJ234)),"",CONCATENATE(" ",VLOOKUP(AJ234,Literatuur!$A:$B,2,FALSE)," "))</f>
        <v/>
      </c>
      <c r="AM234" s="44" t="str">
        <f t="shared" si="175"/>
        <v xml:space="preserve"> </v>
      </c>
      <c r="AN234" s="33" t="str">
        <f>IF(OR(ISBLANK(AL234), ISBLANK(AM234)),"",CONCATENATE(" ",VLOOKUP(AM234,Literatuur!$A:$B,2,FALSE)," "))</f>
        <v/>
      </c>
      <c r="AP234" s="44" t="str">
        <f t="shared" si="176"/>
        <v xml:space="preserve"> </v>
      </c>
      <c r="AQ234" s="33" t="str">
        <f>IF(OR(ISBLANK(AO234), ISBLANK(AP234)),"",CONCATENATE(" ",VLOOKUP(AP234,Literatuur!$A:$B,2,FALSE)," "))</f>
        <v/>
      </c>
      <c r="AS234"/>
      <c r="AT234" s="33" t="str">
        <f>IF(OR(ISBLANK(AR234), ISBLANK(AS234)),"",CONCATENATE(" ",VLOOKUP(AS234,Literatuur!$A:$B,2,FALSE)," "))</f>
        <v/>
      </c>
      <c r="AU234">
        <v>290.8</v>
      </c>
      <c r="AV234" s="33" t="s">
        <v>1557</v>
      </c>
      <c r="AW234" s="33" t="str">
        <f>IF(OR(ISBLANK(AU234), ISBLANK(AV234)),"",CONCATENATE(" ",VLOOKUP(AV234,Literatuur!$A:$B,2,FALSE)," "))</f>
        <v xml:space="preserve"> 17 </v>
      </c>
      <c r="AZ234" s="44" t="str">
        <f t="shared" si="177"/>
        <v xml:space="preserve"> </v>
      </c>
      <c r="BA234" s="33" t="str">
        <f>IF(OR(ISBLANK(AY234), ISBLANK(AZ234)),"",CONCATENATE(" ",VLOOKUP(AZ234,Literatuur!$A:$B,2,FALSE)," "))</f>
        <v/>
      </c>
      <c r="BC234" s="44" t="str">
        <f t="shared" si="178"/>
        <v xml:space="preserve"> </v>
      </c>
      <c r="BD234" s="33" t="str">
        <f>IF(OR(ISBLANK(BB234), ISBLANK(BC234)),"",CONCATENATE(" ",VLOOKUP(BC234,Literatuur!$A:$B,2,FALSE)," "))</f>
        <v/>
      </c>
      <c r="BF234" s="44" t="str">
        <f t="shared" si="179"/>
        <v xml:space="preserve"> </v>
      </c>
      <c r="BG234" s="33" t="str">
        <f>IF(OR(ISBLANK(BE234), ISBLANK(BF234)),"",CONCATENATE(" ",VLOOKUP(BF234,Literatuur!$A:$B,2,FALSE)," "))</f>
        <v/>
      </c>
      <c r="BI234" s="44" t="str">
        <f t="shared" si="180"/>
        <v xml:space="preserve"> </v>
      </c>
      <c r="BJ234" s="33" t="str">
        <f>IF(OR(ISBLANK(BH234), ISBLANK(BI234)),"",CONCATENATE(" ",VLOOKUP(BI234,Literatuur!$A:$B,2,FALSE)," "))</f>
        <v/>
      </c>
      <c r="BL234" s="44" t="str">
        <f t="shared" si="181"/>
        <v xml:space="preserve"> </v>
      </c>
      <c r="BM234" s="33" t="str">
        <f>IF(OR(ISBLANK(BK234), ISBLANK(BL234)),"",CONCATENATE(" ",VLOOKUP(BL234,Literatuur!$A:$B,2,FALSE)," "))</f>
        <v/>
      </c>
      <c r="BO234"/>
      <c r="BP234" s="33" t="str">
        <f>IF(OR(ISBLANK(BN234), ISBLANK(BO234)),"",CONCATENATE(" ",VLOOKUP(BO234,Literatuur!$A:$B,2,FALSE)," "))</f>
        <v/>
      </c>
      <c r="BR234"/>
      <c r="BS234" s="33" t="str">
        <f>IF(OR(ISBLANK(BQ234), ISBLANK(BR234)),"",CONCATENATE(" ",VLOOKUP(BR234,Literatuur!$A:$B,2,FALSE)," "))</f>
        <v/>
      </c>
      <c r="BT234">
        <v>3.9</v>
      </c>
      <c r="BU234" s="33" t="s">
        <v>1557</v>
      </c>
      <c r="BV234" s="33" t="str">
        <f>IF(OR(ISBLANK(BT234), ISBLANK(BU234)),"",CONCATENATE(" ",VLOOKUP(BU234,Literatuur!$A:$B,2,FALSE)," "))</f>
        <v xml:space="preserve"> 17 </v>
      </c>
      <c r="BX234">
        <v>178</v>
      </c>
      <c r="CB234" s="33" t="s">
        <v>1557</v>
      </c>
      <c r="CD234" s="33">
        <f>L234</f>
        <v>178</v>
      </c>
      <c r="CG234" s="33">
        <f>LOG(J234)</f>
        <v>2.6635944021870004</v>
      </c>
      <c r="CH234" s="33">
        <f>K234</f>
        <v>3.9</v>
      </c>
      <c r="CR234" s="33" t="str">
        <f t="shared" si="160"/>
        <v>β-HCH</v>
      </c>
      <c r="CS234" s="33" t="str">
        <f t="shared" si="161"/>
        <v>overige</v>
      </c>
      <c r="CT234" s="33">
        <f t="shared" si="184"/>
        <v>290.8</v>
      </c>
      <c r="CU234" s="33" t="str">
        <f t="shared" si="163"/>
        <v xml:space="preserve"> 17 </v>
      </c>
      <c r="CV234" s="33">
        <f t="shared" si="164"/>
        <v>460.88694036769186</v>
      </c>
      <c r="CW234" s="33" t="str">
        <f t="shared" si="165"/>
        <v xml:space="preserve"> 17 </v>
      </c>
      <c r="CX234" s="33">
        <f t="shared" si="166"/>
        <v>3.9</v>
      </c>
      <c r="CY234" s="33" t="str">
        <f t="shared" si="167"/>
        <v xml:space="preserve"> 17 </v>
      </c>
    </row>
    <row r="235" spans="1:103" x14ac:dyDescent="0.2">
      <c r="A235"/>
      <c r="B235">
        <v>-1773</v>
      </c>
      <c r="C235"/>
      <c r="D235" t="s">
        <v>1203</v>
      </c>
      <c r="E235" t="s">
        <v>1203</v>
      </c>
      <c r="I235" s="33">
        <f t="shared" si="186"/>
        <v>290.8</v>
      </c>
      <c r="J235" s="33">
        <f t="shared" si="168"/>
        <v>73.045657428298597</v>
      </c>
      <c r="K235" s="44">
        <f t="shared" si="185"/>
        <v>3.8</v>
      </c>
      <c r="L235" s="33">
        <f t="shared" si="183"/>
        <v>178</v>
      </c>
      <c r="M235" s="33" t="s">
        <v>345</v>
      </c>
      <c r="Q235" s="44" t="str">
        <f t="shared" si="169"/>
        <v xml:space="preserve"> </v>
      </c>
      <c r="R235" s="33" t="str">
        <f>IF(OR(ISBLANK(P235), ISBLANK(Q235)),"",CONCATENATE(" ",VLOOKUP(Q235,Literatuur!$A:$B,2,FALSE)," "))</f>
        <v/>
      </c>
      <c r="T235" s="44" t="str">
        <f t="shared" si="170"/>
        <v xml:space="preserve"> </v>
      </c>
      <c r="U235" s="33" t="str">
        <f>IF(OR(ISBLANK(S235), ISBLANK(T235)),"",CONCATENATE(" ",VLOOKUP(T235,Literatuur!$A:$B,2,FALSE)," "))</f>
        <v/>
      </c>
      <c r="W235" s="44" t="str">
        <f t="shared" si="171"/>
        <v xml:space="preserve"> </v>
      </c>
      <c r="X235" s="33" t="str">
        <f>IF(OR(ISBLANK(V235), ISBLANK(W235)),"",CONCATENATE(" ",VLOOKUP(W235,Literatuur!$A:$B,2,FALSE)," "))</f>
        <v/>
      </c>
      <c r="Z235" s="44" t="str">
        <f t="shared" si="172"/>
        <v xml:space="preserve"> </v>
      </c>
      <c r="AA235" s="33" t="str">
        <f>IF(OR(ISBLANK(Y235), ISBLANK(Z235)),"",CONCATENATE(" ",VLOOKUP(Z235,Literatuur!$A:$B,2,FALSE)," "))</f>
        <v/>
      </c>
      <c r="AC235" s="36" t="str">
        <f t="shared" si="173"/>
        <v xml:space="preserve"> </v>
      </c>
      <c r="AD235" s="33" t="str">
        <f>IF(OR(ISBLANK(AB235), ISBLANK(AC235)),"",CONCATENATE(" ",VLOOKUP(AC235,Literatuur!$A:$B,2,FALSE)," "))</f>
        <v/>
      </c>
      <c r="AE235" s="365">
        <v>73.045657428298597</v>
      </c>
      <c r="AF235" s="33" t="s">
        <v>1557</v>
      </c>
      <c r="AG235" s="33" t="str">
        <f>IF(OR(ISBLANK(AE235), ISBLANK(AF235)),"",CONCATENATE(" ",VLOOKUP(AF235,Literatuur!$A:$B,2,FALSE)," "))</f>
        <v xml:space="preserve"> 17 </v>
      </c>
      <c r="AJ235" s="44" t="str">
        <f t="shared" si="174"/>
        <v xml:space="preserve"> </v>
      </c>
      <c r="AK235" s="33" t="str">
        <f>IF(OR(ISBLANK(AI235), ISBLANK(AJ235)),"",CONCATENATE(" ",VLOOKUP(AJ235,Literatuur!$A:$B,2,FALSE)," "))</f>
        <v/>
      </c>
      <c r="AM235" s="44" t="str">
        <f t="shared" si="175"/>
        <v xml:space="preserve"> </v>
      </c>
      <c r="AN235" s="33" t="str">
        <f>IF(OR(ISBLANK(AL235), ISBLANK(AM235)),"",CONCATENATE(" ",VLOOKUP(AM235,Literatuur!$A:$B,2,FALSE)," "))</f>
        <v/>
      </c>
      <c r="AP235" s="44" t="str">
        <f t="shared" si="176"/>
        <v xml:space="preserve"> </v>
      </c>
      <c r="AQ235" s="33" t="str">
        <f>IF(OR(ISBLANK(AO235), ISBLANK(AP235)),"",CONCATENATE(" ",VLOOKUP(AP235,Literatuur!$A:$B,2,FALSE)," "))</f>
        <v/>
      </c>
      <c r="AS235"/>
      <c r="AT235" s="33" t="str">
        <f>IF(OR(ISBLANK(AR235), ISBLANK(AS235)),"",CONCATENATE(" ",VLOOKUP(AS235,Literatuur!$A:$B,2,FALSE)," "))</f>
        <v/>
      </c>
      <c r="AU235">
        <v>290.8</v>
      </c>
      <c r="AV235" s="33" t="s">
        <v>1557</v>
      </c>
      <c r="AW235" s="33" t="str">
        <f>IF(OR(ISBLANK(AU235), ISBLANK(AV235)),"",CONCATENATE(" ",VLOOKUP(AV235,Literatuur!$A:$B,2,FALSE)," "))</f>
        <v xml:space="preserve"> 17 </v>
      </c>
      <c r="AZ235" s="44" t="str">
        <f t="shared" si="177"/>
        <v xml:space="preserve"> </v>
      </c>
      <c r="BA235" s="33" t="str">
        <f>IF(OR(ISBLANK(AY235), ISBLANK(AZ235)),"",CONCATENATE(" ",VLOOKUP(AZ235,Literatuur!$A:$B,2,FALSE)," "))</f>
        <v/>
      </c>
      <c r="BC235" s="44" t="str">
        <f t="shared" si="178"/>
        <v xml:space="preserve"> </v>
      </c>
      <c r="BD235" s="33" t="str">
        <f>IF(OR(ISBLANK(BB235), ISBLANK(BC235)),"",CONCATENATE(" ",VLOOKUP(BC235,Literatuur!$A:$B,2,FALSE)," "))</f>
        <v/>
      </c>
      <c r="BF235" s="44" t="str">
        <f t="shared" si="179"/>
        <v xml:space="preserve"> </v>
      </c>
      <c r="BG235" s="33" t="str">
        <f>IF(OR(ISBLANK(BE235), ISBLANK(BF235)),"",CONCATENATE(" ",VLOOKUP(BF235,Literatuur!$A:$B,2,FALSE)," "))</f>
        <v/>
      </c>
      <c r="BI235" s="44" t="str">
        <f t="shared" si="180"/>
        <v xml:space="preserve"> </v>
      </c>
      <c r="BJ235" s="33" t="str">
        <f>IF(OR(ISBLANK(BH235), ISBLANK(BI235)),"",CONCATENATE(" ",VLOOKUP(BI235,Literatuur!$A:$B,2,FALSE)," "))</f>
        <v/>
      </c>
      <c r="BL235" s="44" t="str">
        <f t="shared" si="181"/>
        <v xml:space="preserve"> </v>
      </c>
      <c r="BM235" s="33" t="str">
        <f>IF(OR(ISBLANK(BK235), ISBLANK(BL235)),"",CONCATENATE(" ",VLOOKUP(BL235,Literatuur!$A:$B,2,FALSE)," "))</f>
        <v/>
      </c>
      <c r="BO235"/>
      <c r="BP235" s="33" t="str">
        <f>IF(OR(ISBLANK(BN235), ISBLANK(BO235)),"",CONCATENATE(" ",VLOOKUP(BO235,Literatuur!$A:$B,2,FALSE)," "))</f>
        <v/>
      </c>
      <c r="BR235"/>
      <c r="BS235" s="33" t="str">
        <f>IF(OR(ISBLANK(BQ235), ISBLANK(BR235)),"",CONCATENATE(" ",VLOOKUP(BR235,Literatuur!$A:$B,2,FALSE)," "))</f>
        <v/>
      </c>
      <c r="BT235">
        <v>3.8</v>
      </c>
      <c r="BU235" s="33" t="s">
        <v>1557</v>
      </c>
      <c r="BV235" s="33" t="str">
        <f>IF(OR(ISBLANK(BT235), ISBLANK(BU235)),"",CONCATENATE(" ",VLOOKUP(BU235,Literatuur!$A:$B,2,FALSE)," "))</f>
        <v xml:space="preserve"> 17 </v>
      </c>
      <c r="BX235">
        <v>178</v>
      </c>
      <c r="CB235" s="33" t="s">
        <v>1557</v>
      </c>
      <c r="CD235" s="33">
        <f>L235</f>
        <v>178</v>
      </c>
      <c r="CG235" s="33">
        <f>LOG(J235)</f>
        <v>1.8635944021870003</v>
      </c>
      <c r="CH235" s="33">
        <f>K235</f>
        <v>3.8</v>
      </c>
      <c r="CR235" s="33" t="str">
        <f t="shared" si="160"/>
        <v>γ-HCH</v>
      </c>
      <c r="CS235" s="33" t="str">
        <f t="shared" si="161"/>
        <v>overige</v>
      </c>
      <c r="CT235" s="33">
        <f t="shared" si="184"/>
        <v>290.8</v>
      </c>
      <c r="CU235" s="33" t="str">
        <f t="shared" si="163"/>
        <v xml:space="preserve"> 17 </v>
      </c>
      <c r="CV235" s="33">
        <f t="shared" si="164"/>
        <v>73.045657428298597</v>
      </c>
      <c r="CW235" s="33" t="str">
        <f t="shared" si="165"/>
        <v xml:space="preserve"> 17 </v>
      </c>
      <c r="CX235" s="33">
        <f t="shared" si="166"/>
        <v>3.8</v>
      </c>
      <c r="CY235" s="33" t="str">
        <f t="shared" si="167"/>
        <v xml:space="preserve"> 17 </v>
      </c>
    </row>
    <row r="236" spans="1:103" x14ac:dyDescent="0.2">
      <c r="A236"/>
      <c r="B236">
        <v>-1774</v>
      </c>
      <c r="C236"/>
      <c r="D236" t="s">
        <v>1204</v>
      </c>
      <c r="E236" t="s">
        <v>1204</v>
      </c>
      <c r="I236" s="33">
        <f t="shared" si="186"/>
        <v>290.8</v>
      </c>
      <c r="J236" s="33">
        <f t="shared" si="168"/>
        <v>115.76956519695699</v>
      </c>
      <c r="K236" s="44">
        <f t="shared" si="185"/>
        <v>3.9</v>
      </c>
      <c r="L236" s="33">
        <f t="shared" si="183"/>
        <v>178</v>
      </c>
      <c r="M236" s="33" t="s">
        <v>345</v>
      </c>
      <c r="Q236" s="44" t="str">
        <f t="shared" si="169"/>
        <v xml:space="preserve"> </v>
      </c>
      <c r="R236" s="33" t="str">
        <f>IF(OR(ISBLANK(P236), ISBLANK(Q236)),"",CONCATENATE(" ",VLOOKUP(Q236,Literatuur!$A:$B,2,FALSE)," "))</f>
        <v/>
      </c>
      <c r="T236" s="44" t="str">
        <f t="shared" si="170"/>
        <v xml:space="preserve"> </v>
      </c>
      <c r="U236" s="33" t="str">
        <f>IF(OR(ISBLANK(S236), ISBLANK(T236)),"",CONCATENATE(" ",VLOOKUP(T236,Literatuur!$A:$B,2,FALSE)," "))</f>
        <v/>
      </c>
      <c r="W236" s="44" t="str">
        <f t="shared" si="171"/>
        <v xml:space="preserve"> </v>
      </c>
      <c r="X236" s="33" t="str">
        <f>IF(OR(ISBLANK(V236), ISBLANK(W236)),"",CONCATENATE(" ",VLOOKUP(W236,Literatuur!$A:$B,2,FALSE)," "))</f>
        <v/>
      </c>
      <c r="Z236" s="44" t="str">
        <f t="shared" si="172"/>
        <v xml:space="preserve"> </v>
      </c>
      <c r="AA236" s="33" t="str">
        <f>IF(OR(ISBLANK(Y236), ISBLANK(Z236)),"",CONCATENATE(" ",VLOOKUP(Z236,Literatuur!$A:$B,2,FALSE)," "))</f>
        <v/>
      </c>
      <c r="AC236" s="36" t="str">
        <f t="shared" si="173"/>
        <v xml:space="preserve"> </v>
      </c>
      <c r="AD236" s="33" t="str">
        <f>IF(OR(ISBLANK(AB236), ISBLANK(AC236)),"",CONCATENATE(" ",VLOOKUP(AC236,Literatuur!$A:$B,2,FALSE)," "))</f>
        <v/>
      </c>
      <c r="AE236" s="365">
        <v>115.76956519695699</v>
      </c>
      <c r="AF236" s="33" t="s">
        <v>1557</v>
      </c>
      <c r="AG236" s="33" t="str">
        <f>IF(OR(ISBLANK(AE236), ISBLANK(AF236)),"",CONCATENATE(" ",VLOOKUP(AF236,Literatuur!$A:$B,2,FALSE)," "))</f>
        <v xml:space="preserve"> 17 </v>
      </c>
      <c r="AJ236" s="44" t="str">
        <f t="shared" si="174"/>
        <v xml:space="preserve"> </v>
      </c>
      <c r="AK236" s="33" t="str">
        <f>IF(OR(ISBLANK(AI236), ISBLANK(AJ236)),"",CONCATENATE(" ",VLOOKUP(AJ236,Literatuur!$A:$B,2,FALSE)," "))</f>
        <v/>
      </c>
      <c r="AM236" s="44" t="str">
        <f t="shared" si="175"/>
        <v xml:space="preserve"> </v>
      </c>
      <c r="AN236" s="33" t="str">
        <f>IF(OR(ISBLANK(AL236), ISBLANK(AM236)),"",CONCATENATE(" ",VLOOKUP(AM236,Literatuur!$A:$B,2,FALSE)," "))</f>
        <v/>
      </c>
      <c r="AP236" s="44" t="str">
        <f t="shared" si="176"/>
        <v xml:space="preserve"> </v>
      </c>
      <c r="AQ236" s="33" t="str">
        <f>IF(OR(ISBLANK(AO236), ISBLANK(AP236)),"",CONCATENATE(" ",VLOOKUP(AP236,Literatuur!$A:$B,2,FALSE)," "))</f>
        <v/>
      </c>
      <c r="AS236"/>
      <c r="AT236" s="33" t="str">
        <f>IF(OR(ISBLANK(AR236), ISBLANK(AS236)),"",CONCATENATE(" ",VLOOKUP(AS236,Literatuur!$A:$B,2,FALSE)," "))</f>
        <v/>
      </c>
      <c r="AU236">
        <v>290.8</v>
      </c>
      <c r="AV236" s="33" t="s">
        <v>1557</v>
      </c>
      <c r="AW236" s="33" t="str">
        <f>IF(OR(ISBLANK(AU236), ISBLANK(AV236)),"",CONCATENATE(" ",VLOOKUP(AV236,Literatuur!$A:$B,2,FALSE)," "))</f>
        <v xml:space="preserve"> 17 </v>
      </c>
      <c r="AZ236" s="44" t="str">
        <f t="shared" si="177"/>
        <v xml:space="preserve"> </v>
      </c>
      <c r="BA236" s="33" t="str">
        <f>IF(OR(ISBLANK(AY236), ISBLANK(AZ236)),"",CONCATENATE(" ",VLOOKUP(AZ236,Literatuur!$A:$B,2,FALSE)," "))</f>
        <v/>
      </c>
      <c r="BC236" s="44" t="str">
        <f t="shared" si="178"/>
        <v xml:space="preserve"> </v>
      </c>
      <c r="BD236" s="33" t="str">
        <f>IF(OR(ISBLANK(BB236), ISBLANK(BC236)),"",CONCATENATE(" ",VLOOKUP(BC236,Literatuur!$A:$B,2,FALSE)," "))</f>
        <v/>
      </c>
      <c r="BF236" s="44" t="str">
        <f t="shared" si="179"/>
        <v xml:space="preserve"> </v>
      </c>
      <c r="BG236" s="33" t="str">
        <f>IF(OR(ISBLANK(BE236), ISBLANK(BF236)),"",CONCATENATE(" ",VLOOKUP(BF236,Literatuur!$A:$B,2,FALSE)," "))</f>
        <v/>
      </c>
      <c r="BI236" s="44" t="str">
        <f t="shared" si="180"/>
        <v xml:space="preserve"> </v>
      </c>
      <c r="BJ236" s="33" t="str">
        <f>IF(OR(ISBLANK(BH236), ISBLANK(BI236)),"",CONCATENATE(" ",VLOOKUP(BI236,Literatuur!$A:$B,2,FALSE)," "))</f>
        <v/>
      </c>
      <c r="BL236" s="44" t="str">
        <f t="shared" si="181"/>
        <v xml:space="preserve"> </v>
      </c>
      <c r="BM236" s="33" t="str">
        <f>IF(OR(ISBLANK(BK236), ISBLANK(BL236)),"",CONCATENATE(" ",VLOOKUP(BL236,Literatuur!$A:$B,2,FALSE)," "))</f>
        <v/>
      </c>
      <c r="BO236"/>
      <c r="BP236" s="33" t="str">
        <f>IF(OR(ISBLANK(BN236), ISBLANK(BO236)),"",CONCATENATE(" ",VLOOKUP(BO236,Literatuur!$A:$B,2,FALSE)," "))</f>
        <v/>
      </c>
      <c r="BR236"/>
      <c r="BS236" s="33" t="str">
        <f>IF(OR(ISBLANK(BQ236), ISBLANK(BR236)),"",CONCATENATE(" ",VLOOKUP(BR236,Literatuur!$A:$B,2,FALSE)," "))</f>
        <v/>
      </c>
      <c r="BT236">
        <v>3.9</v>
      </c>
      <c r="BU236" s="33" t="s">
        <v>1557</v>
      </c>
      <c r="BV236" s="33" t="str">
        <f>IF(OR(ISBLANK(BT236), ISBLANK(BU236)),"",CONCATENATE(" ",VLOOKUP(BU236,Literatuur!$A:$B,2,FALSE)," "))</f>
        <v xml:space="preserve"> 17 </v>
      </c>
      <c r="BX236">
        <v>178</v>
      </c>
      <c r="CB236" s="33" t="s">
        <v>1557</v>
      </c>
      <c r="CD236" s="33">
        <f>L236</f>
        <v>178</v>
      </c>
      <c r="CG236" s="33">
        <f>LOG(J236)</f>
        <v>2.0635944021870003</v>
      </c>
      <c r="CH236" s="33">
        <f>K236</f>
        <v>3.9</v>
      </c>
      <c r="CR236" s="33" t="str">
        <f t="shared" si="160"/>
        <v>δ-HCH</v>
      </c>
      <c r="CS236" s="33" t="str">
        <f t="shared" si="161"/>
        <v>overige</v>
      </c>
      <c r="CT236" s="33">
        <f t="shared" si="184"/>
        <v>290.8</v>
      </c>
      <c r="CU236" s="33" t="str">
        <f t="shared" si="163"/>
        <v xml:space="preserve"> 17 </v>
      </c>
      <c r="CV236" s="33">
        <f t="shared" si="164"/>
        <v>115.76956519695699</v>
      </c>
      <c r="CW236" s="33" t="str">
        <f t="shared" si="165"/>
        <v xml:space="preserve"> 17 </v>
      </c>
      <c r="CX236" s="33">
        <f t="shared" si="166"/>
        <v>3.9</v>
      </c>
      <c r="CY236" s="33" t="str">
        <f t="shared" si="167"/>
        <v xml:space="preserve"> 17 </v>
      </c>
    </row>
    <row r="237" spans="1:103" x14ac:dyDescent="0.2">
      <c r="B237" s="33">
        <v>-1660</v>
      </c>
      <c r="D237" s="21" t="s">
        <v>805</v>
      </c>
      <c r="E237" s="21" t="s">
        <v>1380</v>
      </c>
      <c r="F237" s="4" t="s">
        <v>1381</v>
      </c>
      <c r="G237" s="4"/>
      <c r="I237" s="33">
        <f t="shared" si="186"/>
        <v>117</v>
      </c>
      <c r="J237" s="33" t="e">
        <f t="shared" si="168"/>
        <v>#DIV/0!</v>
      </c>
      <c r="K237" s="44" t="e">
        <f t="shared" si="185"/>
        <v>#DIV/0!</v>
      </c>
      <c r="L237" s="33" t="e">
        <f t="shared" si="183"/>
        <v>#DIV/0!</v>
      </c>
      <c r="M237" s="33" t="s">
        <v>489</v>
      </c>
      <c r="Q237" s="44" t="str">
        <f t="shared" si="169"/>
        <v xml:space="preserve"> </v>
      </c>
      <c r="R237" s="33" t="str">
        <f>IF(OR(ISBLANK(P237), ISBLANK(Q237)),"",CONCATENATE(" ",VLOOKUP(Q237,Literatuur!$A:$B,2,FALSE)," "))</f>
        <v/>
      </c>
      <c r="T237" s="44" t="str">
        <f t="shared" si="170"/>
        <v xml:space="preserve"> </v>
      </c>
      <c r="U237" s="33" t="str">
        <f>IF(OR(ISBLANK(S237), ISBLANK(T237)),"",CONCATENATE(" ",VLOOKUP(T237,Literatuur!$A:$B,2,FALSE)," "))</f>
        <v/>
      </c>
      <c r="W237" s="44" t="str">
        <f t="shared" si="171"/>
        <v xml:space="preserve"> </v>
      </c>
      <c r="X237" s="33" t="str">
        <f>IF(OR(ISBLANK(V237), ISBLANK(W237)),"",CONCATENATE(" ",VLOOKUP(W237,Literatuur!$A:$B,2,FALSE)," "))</f>
        <v/>
      </c>
      <c r="Z237" s="44" t="str">
        <f t="shared" si="172"/>
        <v xml:space="preserve"> </v>
      </c>
      <c r="AA237" s="33" t="str">
        <f>IF(OR(ISBLANK(Y237), ISBLANK(Z237)),"",CONCATENATE(" ",VLOOKUP(Z237,Literatuur!$A:$B,2,FALSE)," "))</f>
        <v/>
      </c>
      <c r="AC237" s="36" t="str">
        <f t="shared" si="173"/>
        <v xml:space="preserve"> </v>
      </c>
      <c r="AD237" s="33" t="str">
        <f>IF(OR(ISBLANK(AB237), ISBLANK(AC237)),"",CONCATENATE(" ",VLOOKUP(AC237,Literatuur!$A:$B,2,FALSE)," "))</f>
        <v/>
      </c>
      <c r="AG237" s="33" t="str">
        <f>IF(OR(ISBLANK(AE237), ISBLANK(AF237)),"",CONCATENATE(" ",VLOOKUP(AF237,Literatuur!$A:$B,2,FALSE)," "))</f>
        <v/>
      </c>
      <c r="AJ237" s="44" t="str">
        <f t="shared" si="174"/>
        <v xml:space="preserve"> </v>
      </c>
      <c r="AK237" s="33" t="str">
        <f>IF(OR(ISBLANK(AI237), ISBLANK(AJ237)),"",CONCATENATE(" ",VLOOKUP(AJ237,Literatuur!$A:$B,2,FALSE)," "))</f>
        <v/>
      </c>
      <c r="AM237" s="44" t="str">
        <f t="shared" si="175"/>
        <v xml:space="preserve"> </v>
      </c>
      <c r="AN237" s="33" t="str">
        <f>IF(OR(ISBLANK(AL237), ISBLANK(AM237)),"",CONCATENATE(" ",VLOOKUP(AM237,Literatuur!$A:$B,2,FALSE)," "))</f>
        <v/>
      </c>
      <c r="AP237" s="44" t="str">
        <f t="shared" si="176"/>
        <v xml:space="preserve"> </v>
      </c>
      <c r="AQ237" s="33" t="str">
        <f>IF(OR(ISBLANK(AO237), ISBLANK(AP237)),"",CONCATENATE(" ",VLOOKUP(AP237,Literatuur!$A:$B,2,FALSE)," "))</f>
        <v/>
      </c>
      <c r="AS237"/>
      <c r="AT237" s="33" t="str">
        <f>IF(OR(ISBLANK(AR237), ISBLANK(AS237)),"",CONCATENATE(" ",VLOOKUP(AS237,Literatuur!$A:$B,2,FALSE)," "))</f>
        <v/>
      </c>
      <c r="AU237">
        <v>117</v>
      </c>
      <c r="AV237" s="33" t="s">
        <v>1235</v>
      </c>
      <c r="AW237" s="33" t="str">
        <f>IF(OR(ISBLANK(AU237), ISBLANK(AV237)),"",CONCATENATE(" ",VLOOKUP(AV237,Literatuur!$A:$B,2,FALSE)," "))</f>
        <v xml:space="preserve"> 21 </v>
      </c>
      <c r="AZ237" s="44" t="str">
        <f t="shared" si="177"/>
        <v xml:space="preserve"> </v>
      </c>
      <c r="BA237" s="33" t="str">
        <f>IF(OR(ISBLANK(AY237), ISBLANK(AZ237)),"",CONCATENATE(" ",VLOOKUP(AZ237,Literatuur!$A:$B,2,FALSE)," "))</f>
        <v/>
      </c>
      <c r="BC237" s="44" t="str">
        <f t="shared" si="178"/>
        <v xml:space="preserve"> </v>
      </c>
      <c r="BD237" s="33" t="str">
        <f>IF(OR(ISBLANK(BB237), ISBLANK(BC237)),"",CONCATENATE(" ",VLOOKUP(BC237,Literatuur!$A:$B,2,FALSE)," "))</f>
        <v/>
      </c>
      <c r="BF237" s="44" t="str">
        <f t="shared" si="179"/>
        <v xml:space="preserve"> </v>
      </c>
      <c r="BG237" s="33" t="str">
        <f>IF(OR(ISBLANK(BE237), ISBLANK(BF237)),"",CONCATENATE(" ",VLOOKUP(BF237,Literatuur!$A:$B,2,FALSE)," "))</f>
        <v/>
      </c>
      <c r="BI237" s="44" t="str">
        <f t="shared" si="180"/>
        <v xml:space="preserve"> </v>
      </c>
      <c r="BJ237" s="33" t="str">
        <f>IF(OR(ISBLANK(BH237), ISBLANK(BI237)),"",CONCATENATE(" ",VLOOKUP(BI237,Literatuur!$A:$B,2,FALSE)," "))</f>
        <v/>
      </c>
      <c r="BL237" s="44" t="str">
        <f t="shared" si="181"/>
        <v xml:space="preserve"> </v>
      </c>
      <c r="BM237" s="33" t="str">
        <f>IF(OR(ISBLANK(BK237), ISBLANK(BL237)),"",CONCATENATE(" ",VLOOKUP(BL237,Literatuur!$A:$B,2,FALSE)," "))</f>
        <v/>
      </c>
      <c r="BP237" s="33" t="str">
        <f>IF(OR(ISBLANK(BN237), ISBLANK(BO237)),"",CONCATENATE(" ",VLOOKUP(BO237,Literatuur!$A:$B,2,FALSE)," "))</f>
        <v/>
      </c>
      <c r="BS237" s="33" t="str">
        <f>IF(OR(ISBLANK(BQ237), ISBLANK(BR237)),"",CONCATENATE(" ",VLOOKUP(BR237,Literatuur!$A:$B,2,FALSE)," "))</f>
        <v/>
      </c>
      <c r="BV237" s="33" t="str">
        <f>IF(OR(ISBLANK(BT237), ISBLANK(BU237)),"",CONCATENATE(" ",VLOOKUP(BU237,Literatuur!$A:$B,2,FALSE)," "))</f>
        <v/>
      </c>
      <c r="CR237" s="33" t="str">
        <f t="shared" si="160"/>
        <v>2,3-Benzopyrole</v>
      </c>
      <c r="CS237" s="33" t="str">
        <f t="shared" si="161"/>
        <v>onbekend</v>
      </c>
      <c r="CT237" s="33">
        <f t="shared" si="184"/>
        <v>117</v>
      </c>
      <c r="CU237" s="33" t="str">
        <f t="shared" si="163"/>
        <v xml:space="preserve"> 21 </v>
      </c>
      <c r="CV237" s="33" t="str">
        <f t="shared" si="164"/>
        <v/>
      </c>
      <c r="CW237" s="33" t="str">
        <f t="shared" si="165"/>
        <v/>
      </c>
      <c r="CX237" s="33" t="str">
        <f t="shared" si="166"/>
        <v/>
      </c>
      <c r="CY237" s="33" t="str">
        <f t="shared" si="167"/>
        <v/>
      </c>
    </row>
    <row r="238" spans="1:103" x14ac:dyDescent="0.2">
      <c r="B238" s="33">
        <v>-1689</v>
      </c>
      <c r="D238" s="21" t="s">
        <v>833</v>
      </c>
      <c r="E238" s="21" t="s">
        <v>1388</v>
      </c>
      <c r="F238" s="4" t="s">
        <v>1389</v>
      </c>
      <c r="G238" s="4"/>
      <c r="I238" s="33">
        <f t="shared" si="186"/>
        <v>531</v>
      </c>
      <c r="J238" s="33" t="e">
        <f t="shared" si="168"/>
        <v>#DIV/0!</v>
      </c>
      <c r="K238" s="44" t="e">
        <f t="shared" si="185"/>
        <v>#DIV/0!</v>
      </c>
      <c r="L238" s="33" t="e">
        <f t="shared" si="183"/>
        <v>#DIV/0!</v>
      </c>
      <c r="M238" s="33" t="s">
        <v>489</v>
      </c>
      <c r="Q238" s="44" t="str">
        <f t="shared" si="169"/>
        <v xml:space="preserve"> </v>
      </c>
      <c r="R238" s="33" t="str">
        <f>IF(OR(ISBLANK(P238), ISBLANK(Q238)),"",CONCATENATE(" ",VLOOKUP(Q238,Literatuur!$A:$B,2,FALSE)," "))</f>
        <v/>
      </c>
      <c r="T238" s="44" t="str">
        <f t="shared" si="170"/>
        <v xml:space="preserve"> </v>
      </c>
      <c r="U238" s="33" t="str">
        <f>IF(OR(ISBLANK(S238), ISBLANK(T238)),"",CONCATENATE(" ",VLOOKUP(T238,Literatuur!$A:$B,2,FALSE)," "))</f>
        <v/>
      </c>
      <c r="W238" s="44" t="str">
        <f t="shared" si="171"/>
        <v xml:space="preserve"> </v>
      </c>
      <c r="X238" s="33" t="str">
        <f>IF(OR(ISBLANK(V238), ISBLANK(W238)),"",CONCATENATE(" ",VLOOKUP(W238,Literatuur!$A:$B,2,FALSE)," "))</f>
        <v/>
      </c>
      <c r="Z238" s="44" t="str">
        <f t="shared" si="172"/>
        <v xml:space="preserve"> </v>
      </c>
      <c r="AA238" s="33" t="str">
        <f>IF(OR(ISBLANK(Y238), ISBLANK(Z238)),"",CONCATENATE(" ",VLOOKUP(Z238,Literatuur!$A:$B,2,FALSE)," "))</f>
        <v/>
      </c>
      <c r="AC238" s="36" t="str">
        <f t="shared" si="173"/>
        <v xml:space="preserve"> </v>
      </c>
      <c r="AD238" s="33" t="str">
        <f>IF(OR(ISBLANK(AB238), ISBLANK(AC238)),"",CONCATENATE(" ",VLOOKUP(AC238,Literatuur!$A:$B,2,FALSE)," "))</f>
        <v/>
      </c>
      <c r="AG238" s="33" t="str">
        <f>IF(OR(ISBLANK(AE238), ISBLANK(AF238)),"",CONCATENATE(" ",VLOOKUP(AF238,Literatuur!$A:$B,2,FALSE)," "))</f>
        <v/>
      </c>
      <c r="AJ238" s="44" t="str">
        <f t="shared" si="174"/>
        <v xml:space="preserve"> </v>
      </c>
      <c r="AK238" s="33" t="str">
        <f>IF(OR(ISBLANK(AI238), ISBLANK(AJ238)),"",CONCATENATE(" ",VLOOKUP(AJ238,Literatuur!$A:$B,2,FALSE)," "))</f>
        <v/>
      </c>
      <c r="AM238" s="44" t="str">
        <f t="shared" si="175"/>
        <v xml:space="preserve"> </v>
      </c>
      <c r="AN238" s="33" t="str">
        <f>IF(OR(ISBLANK(AL238), ISBLANK(AM238)),"",CONCATENATE(" ",VLOOKUP(AM238,Literatuur!$A:$B,2,FALSE)," "))</f>
        <v/>
      </c>
      <c r="AP238" s="44" t="str">
        <f t="shared" si="176"/>
        <v xml:space="preserve"> </v>
      </c>
      <c r="AQ238" s="33" t="str">
        <f>IF(OR(ISBLANK(AO238), ISBLANK(AP238)),"",CONCATENATE(" ",VLOOKUP(AP238,Literatuur!$A:$B,2,FALSE)," "))</f>
        <v/>
      </c>
      <c r="AS238"/>
      <c r="AT238" s="33" t="str">
        <f>IF(OR(ISBLANK(AR238), ISBLANK(AS238)),"",CONCATENATE(" ",VLOOKUP(AS238,Literatuur!$A:$B,2,FALSE)," "))</f>
        <v/>
      </c>
      <c r="AU238">
        <v>531</v>
      </c>
      <c r="AV238" s="33" t="s">
        <v>1235</v>
      </c>
      <c r="AW238" s="33" t="str">
        <f>IF(OR(ISBLANK(AU238), ISBLANK(AV238)),"",CONCATENATE(" ",VLOOKUP(AV238,Literatuur!$A:$B,2,FALSE)," "))</f>
        <v xml:space="preserve"> 21 </v>
      </c>
      <c r="AZ238" s="44" t="str">
        <f t="shared" si="177"/>
        <v xml:space="preserve"> </v>
      </c>
      <c r="BA238" s="33" t="str">
        <f>IF(OR(ISBLANK(AY238), ISBLANK(AZ238)),"",CONCATENATE(" ",VLOOKUP(AZ238,Literatuur!$A:$B,2,FALSE)," "))</f>
        <v/>
      </c>
      <c r="BC238" s="44" t="str">
        <f t="shared" si="178"/>
        <v xml:space="preserve"> </v>
      </c>
      <c r="BD238" s="33" t="str">
        <f>IF(OR(ISBLANK(BB238), ISBLANK(BC238)),"",CONCATENATE(" ",VLOOKUP(BC238,Literatuur!$A:$B,2,FALSE)," "))</f>
        <v/>
      </c>
      <c r="BF238" s="44" t="str">
        <f t="shared" si="179"/>
        <v xml:space="preserve"> </v>
      </c>
      <c r="BG238" s="33" t="str">
        <f>IF(OR(ISBLANK(BE238), ISBLANK(BF238)),"",CONCATENATE(" ",VLOOKUP(BF238,Literatuur!$A:$B,2,FALSE)," "))</f>
        <v/>
      </c>
      <c r="BI238" s="44" t="str">
        <f t="shared" si="180"/>
        <v xml:space="preserve"> </v>
      </c>
      <c r="BJ238" s="33" t="str">
        <f>IF(OR(ISBLANK(BH238), ISBLANK(BI238)),"",CONCATENATE(" ",VLOOKUP(BI238,Literatuur!$A:$B,2,FALSE)," "))</f>
        <v/>
      </c>
      <c r="BL238" s="44" t="str">
        <f t="shared" si="181"/>
        <v xml:space="preserve"> </v>
      </c>
      <c r="BM238" s="33" t="str">
        <f>IF(OR(ISBLANK(BK238), ISBLANK(BL238)),"",CONCATENATE(" ",VLOOKUP(BL238,Literatuur!$A:$B,2,FALSE)," "))</f>
        <v/>
      </c>
      <c r="BP238" s="33" t="str">
        <f>IF(OR(ISBLANK(BN238), ISBLANK(BO238)),"",CONCATENATE(" ",VLOOKUP(BO238,Literatuur!$A:$B,2,FALSE)," "))</f>
        <v/>
      </c>
      <c r="BS238" s="33" t="str">
        <f>IF(OR(ISBLANK(BQ238), ISBLANK(BR238)),"",CONCATENATE(" ",VLOOKUP(BR238,Literatuur!$A:$B,2,FALSE)," "))</f>
        <v/>
      </c>
      <c r="BV238" s="33" t="str">
        <f>IF(OR(ISBLANK(BT238), ISBLANK(BU238)),"",CONCATENATE(" ",VLOOKUP(BU238,Literatuur!$A:$B,2,FALSE)," "))</f>
        <v/>
      </c>
      <c r="CR238" s="33" t="str">
        <f t="shared" si="160"/>
        <v>3-(3,5-di-tert-butyl-4-hydroxy phenyl)-propionate</v>
      </c>
      <c r="CS238" s="33" t="str">
        <f t="shared" si="161"/>
        <v>onbekend</v>
      </c>
      <c r="CT238" s="33">
        <f t="shared" si="184"/>
        <v>531</v>
      </c>
      <c r="CU238" s="33" t="str">
        <f t="shared" si="163"/>
        <v xml:space="preserve"> 21 </v>
      </c>
      <c r="CV238" s="33" t="str">
        <f t="shared" si="164"/>
        <v/>
      </c>
      <c r="CW238" s="33" t="str">
        <f t="shared" si="165"/>
        <v/>
      </c>
      <c r="CX238" s="33" t="str">
        <f t="shared" si="166"/>
        <v/>
      </c>
      <c r="CY238" s="33" t="str">
        <f t="shared" si="167"/>
        <v/>
      </c>
    </row>
    <row r="239" spans="1:103" x14ac:dyDescent="0.2">
      <c r="B239" s="33">
        <v>-1668</v>
      </c>
      <c r="D239" s="21" t="s">
        <v>812</v>
      </c>
      <c r="E239" s="21" t="s">
        <v>812</v>
      </c>
      <c r="F239" s="4"/>
      <c r="G239" s="4"/>
      <c r="I239" s="33">
        <f t="shared" si="186"/>
        <v>143</v>
      </c>
      <c r="J239" s="33" t="e">
        <f t="shared" si="168"/>
        <v>#DIV/0!</v>
      </c>
      <c r="K239" s="44" t="e">
        <f t="shared" si="185"/>
        <v>#DIV/0!</v>
      </c>
      <c r="L239" s="33" t="e">
        <f t="shared" si="183"/>
        <v>#DIV/0!</v>
      </c>
      <c r="M239" s="33" t="s">
        <v>489</v>
      </c>
      <c r="Q239" s="44" t="str">
        <f t="shared" si="169"/>
        <v xml:space="preserve"> </v>
      </c>
      <c r="R239" s="33" t="str">
        <f>IF(OR(ISBLANK(P239), ISBLANK(Q239)),"",CONCATENATE(" ",VLOOKUP(Q239,Literatuur!$A:$B,2,FALSE)," "))</f>
        <v/>
      </c>
      <c r="T239" s="44" t="str">
        <f t="shared" si="170"/>
        <v xml:space="preserve"> </v>
      </c>
      <c r="U239" s="33" t="str">
        <f>IF(OR(ISBLANK(S239), ISBLANK(T239)),"",CONCATENATE(" ",VLOOKUP(T239,Literatuur!$A:$B,2,FALSE)," "))</f>
        <v/>
      </c>
      <c r="W239" s="44" t="str">
        <f t="shared" si="171"/>
        <v xml:space="preserve"> </v>
      </c>
      <c r="X239" s="33" t="str">
        <f>IF(OR(ISBLANK(V239), ISBLANK(W239)),"",CONCATENATE(" ",VLOOKUP(W239,Literatuur!$A:$B,2,FALSE)," "))</f>
        <v/>
      </c>
      <c r="Z239" s="44" t="str">
        <f t="shared" si="172"/>
        <v xml:space="preserve"> </v>
      </c>
      <c r="AA239" s="33" t="str">
        <f>IF(OR(ISBLANK(Y239), ISBLANK(Z239)),"",CONCATENATE(" ",VLOOKUP(Z239,Literatuur!$A:$B,2,FALSE)," "))</f>
        <v/>
      </c>
      <c r="AC239" s="36" t="str">
        <f t="shared" si="173"/>
        <v xml:space="preserve"> </v>
      </c>
      <c r="AD239" s="33" t="str">
        <f>IF(OR(ISBLANK(AB239), ISBLANK(AC239)),"",CONCATENATE(" ",VLOOKUP(AC239,Literatuur!$A:$B,2,FALSE)," "))</f>
        <v/>
      </c>
      <c r="AG239" s="33" t="str">
        <f>IF(OR(ISBLANK(AE239), ISBLANK(AF239)),"",CONCATENATE(" ",VLOOKUP(AF239,Literatuur!$A:$B,2,FALSE)," "))</f>
        <v/>
      </c>
      <c r="AJ239" s="44" t="str">
        <f t="shared" si="174"/>
        <v xml:space="preserve"> </v>
      </c>
      <c r="AK239" s="33" t="str">
        <f>IF(OR(ISBLANK(AI239), ISBLANK(AJ239)),"",CONCATENATE(" ",VLOOKUP(AJ239,Literatuur!$A:$B,2,FALSE)," "))</f>
        <v/>
      </c>
      <c r="AM239" s="44" t="str">
        <f t="shared" si="175"/>
        <v xml:space="preserve"> </v>
      </c>
      <c r="AN239" s="33" t="str">
        <f>IF(OR(ISBLANK(AL239), ISBLANK(AM239)),"",CONCATENATE(" ",VLOOKUP(AM239,Literatuur!$A:$B,2,FALSE)," "))</f>
        <v/>
      </c>
      <c r="AP239" s="44" t="str">
        <f t="shared" si="176"/>
        <v xml:space="preserve"> </v>
      </c>
      <c r="AQ239" s="33" t="str">
        <f>IF(OR(ISBLANK(AO239), ISBLANK(AP239)),"",CONCATENATE(" ",VLOOKUP(AP239,Literatuur!$A:$B,2,FALSE)," "))</f>
        <v/>
      </c>
      <c r="AS239"/>
      <c r="AT239" s="33" t="str">
        <f>IF(OR(ISBLANK(AR239), ISBLANK(AS239)),"",CONCATENATE(" ",VLOOKUP(AS239,Literatuur!$A:$B,2,FALSE)," "))</f>
        <v/>
      </c>
      <c r="AU239">
        <v>143</v>
      </c>
      <c r="AV239" s="33" t="s">
        <v>1235</v>
      </c>
      <c r="AW239" s="33" t="str">
        <f>IF(OR(ISBLANK(AU239), ISBLANK(AV239)),"",CONCATENATE(" ",VLOOKUP(AV239,Literatuur!$A:$B,2,FALSE)," "))</f>
        <v xml:space="preserve"> 21 </v>
      </c>
      <c r="AZ239" s="44" t="str">
        <f t="shared" si="177"/>
        <v xml:space="preserve"> </v>
      </c>
      <c r="BA239" s="33" t="str">
        <f>IF(OR(ISBLANK(AY239), ISBLANK(AZ239)),"",CONCATENATE(" ",VLOOKUP(AZ239,Literatuur!$A:$B,2,FALSE)," "))</f>
        <v/>
      </c>
      <c r="BC239" s="44" t="str">
        <f t="shared" si="178"/>
        <v xml:space="preserve"> </v>
      </c>
      <c r="BD239" s="33" t="str">
        <f>IF(OR(ISBLANK(BB239), ISBLANK(BC239)),"",CONCATENATE(" ",VLOOKUP(BC239,Literatuur!$A:$B,2,FALSE)," "))</f>
        <v/>
      </c>
      <c r="BF239" s="44" t="str">
        <f t="shared" si="179"/>
        <v xml:space="preserve"> </v>
      </c>
      <c r="BG239" s="33" t="str">
        <f>IF(OR(ISBLANK(BE239), ISBLANK(BF239)),"",CONCATENATE(" ",VLOOKUP(BF239,Literatuur!$A:$B,2,FALSE)," "))</f>
        <v/>
      </c>
      <c r="BI239" s="44" t="str">
        <f t="shared" si="180"/>
        <v xml:space="preserve"> </v>
      </c>
      <c r="BJ239" s="33" t="str">
        <f>IF(OR(ISBLANK(BH239), ISBLANK(BI239)),"",CONCATENATE(" ",VLOOKUP(BI239,Literatuur!$A:$B,2,FALSE)," "))</f>
        <v/>
      </c>
      <c r="BL239" s="44" t="str">
        <f t="shared" si="181"/>
        <v xml:space="preserve"> </v>
      </c>
      <c r="BM239" s="33" t="str">
        <f>IF(OR(ISBLANK(BK239), ISBLANK(BL239)),"",CONCATENATE(" ",VLOOKUP(BL239,Literatuur!$A:$B,2,FALSE)," "))</f>
        <v/>
      </c>
      <c r="BP239" s="33" t="str">
        <f>IF(OR(ISBLANK(BN239), ISBLANK(BO239)),"",CONCATENATE(" ",VLOOKUP(BO239,Literatuur!$A:$B,2,FALSE)," "))</f>
        <v/>
      </c>
      <c r="BS239" s="33" t="str">
        <f>IF(OR(ISBLANK(BQ239), ISBLANK(BR239)),"",CONCATENATE(" ",VLOOKUP(BR239,Literatuur!$A:$B,2,FALSE)," "))</f>
        <v/>
      </c>
      <c r="BV239" s="33" t="str">
        <f>IF(OR(ISBLANK(BT239), ISBLANK(BU239)),"",CONCATENATE(" ",VLOOKUP(BU239,Literatuur!$A:$B,2,FALSE)," "))</f>
        <v/>
      </c>
      <c r="CR239" s="33" t="str">
        <f t="shared" si="160"/>
        <v>7-Methyl-chinoline</v>
      </c>
      <c r="CS239" s="33" t="str">
        <f t="shared" si="161"/>
        <v>onbekend</v>
      </c>
      <c r="CT239" s="33">
        <f t="shared" si="184"/>
        <v>143</v>
      </c>
      <c r="CU239" s="33" t="str">
        <f t="shared" si="163"/>
        <v xml:space="preserve"> 21 </v>
      </c>
      <c r="CV239" s="33" t="str">
        <f t="shared" si="164"/>
        <v/>
      </c>
      <c r="CW239" s="33" t="str">
        <f t="shared" si="165"/>
        <v/>
      </c>
      <c r="CX239" s="33" t="str">
        <f t="shared" si="166"/>
        <v/>
      </c>
      <c r="CY239" s="33" t="str">
        <f t="shared" si="167"/>
        <v/>
      </c>
    </row>
    <row r="240" spans="1:103" x14ac:dyDescent="0.2">
      <c r="B240" s="33">
        <v>-1688</v>
      </c>
      <c r="D240" s="21" t="s">
        <v>832</v>
      </c>
      <c r="E240" s="21" t="s">
        <v>832</v>
      </c>
      <c r="F240" s="4"/>
      <c r="G240" s="4"/>
      <c r="I240" s="33">
        <f t="shared" si="186"/>
        <v>514</v>
      </c>
      <c r="J240" s="33" t="e">
        <f t="shared" si="168"/>
        <v>#DIV/0!</v>
      </c>
      <c r="K240" s="44" t="e">
        <f t="shared" si="185"/>
        <v>#DIV/0!</v>
      </c>
      <c r="L240" s="33" t="e">
        <f t="shared" si="183"/>
        <v>#DIV/0!</v>
      </c>
      <c r="M240" s="33" t="s">
        <v>489</v>
      </c>
      <c r="Q240" s="44" t="str">
        <f t="shared" si="169"/>
        <v xml:space="preserve"> </v>
      </c>
      <c r="R240" s="33" t="str">
        <f>IF(OR(ISBLANK(P240), ISBLANK(Q240)),"",CONCATENATE(" ",VLOOKUP(Q240,Literatuur!$A:$B,2,FALSE)," "))</f>
        <v/>
      </c>
      <c r="T240" s="44" t="str">
        <f t="shared" si="170"/>
        <v xml:space="preserve"> </v>
      </c>
      <c r="U240" s="33" t="str">
        <f>IF(OR(ISBLANK(S240), ISBLANK(T240)),"",CONCATENATE(" ",VLOOKUP(T240,Literatuur!$A:$B,2,FALSE)," "))</f>
        <v/>
      </c>
      <c r="W240" s="44" t="str">
        <f t="shared" si="171"/>
        <v xml:space="preserve"> </v>
      </c>
      <c r="X240" s="33" t="str">
        <f>IF(OR(ISBLANK(V240), ISBLANK(W240)),"",CONCATENATE(" ",VLOOKUP(W240,Literatuur!$A:$B,2,FALSE)," "))</f>
        <v/>
      </c>
      <c r="Z240" s="44" t="str">
        <f t="shared" si="172"/>
        <v xml:space="preserve"> </v>
      </c>
      <c r="AA240" s="33" t="str">
        <f>IF(OR(ISBLANK(Y240), ISBLANK(Z240)),"",CONCATENATE(" ",VLOOKUP(Z240,Literatuur!$A:$B,2,FALSE)," "))</f>
        <v/>
      </c>
      <c r="AC240" s="36" t="str">
        <f t="shared" si="173"/>
        <v xml:space="preserve"> </v>
      </c>
      <c r="AD240" s="33" t="str">
        <f>IF(OR(ISBLANK(AB240), ISBLANK(AC240)),"",CONCATENATE(" ",VLOOKUP(AC240,Literatuur!$A:$B,2,FALSE)," "))</f>
        <v/>
      </c>
      <c r="AG240" s="33" t="str">
        <f>IF(OR(ISBLANK(AE240), ISBLANK(AF240)),"",CONCATENATE(" ",VLOOKUP(AF240,Literatuur!$A:$B,2,FALSE)," "))</f>
        <v/>
      </c>
      <c r="AJ240" s="44" t="str">
        <f t="shared" si="174"/>
        <v xml:space="preserve"> </v>
      </c>
      <c r="AK240" s="33" t="str">
        <f>IF(OR(ISBLANK(AI240), ISBLANK(AJ240)),"",CONCATENATE(" ",VLOOKUP(AJ240,Literatuur!$A:$B,2,FALSE)," "))</f>
        <v/>
      </c>
      <c r="AM240" s="44" t="str">
        <f t="shared" si="175"/>
        <v xml:space="preserve"> </v>
      </c>
      <c r="AN240" s="33" t="str">
        <f>IF(OR(ISBLANK(AL240), ISBLANK(AM240)),"",CONCATENATE(" ",VLOOKUP(AM240,Literatuur!$A:$B,2,FALSE)," "))</f>
        <v/>
      </c>
      <c r="AP240" s="44" t="str">
        <f t="shared" si="176"/>
        <v xml:space="preserve"> </v>
      </c>
      <c r="AQ240" s="33" t="str">
        <f>IF(OR(ISBLANK(AO240), ISBLANK(AP240)),"",CONCATENATE(" ",VLOOKUP(AP240,Literatuur!$A:$B,2,FALSE)," "))</f>
        <v/>
      </c>
      <c r="AS240"/>
      <c r="AT240" s="33" t="str">
        <f>IF(OR(ISBLANK(AR240), ISBLANK(AS240)),"",CONCATENATE(" ",VLOOKUP(AS240,Literatuur!$A:$B,2,FALSE)," "))</f>
        <v/>
      </c>
      <c r="AU240">
        <v>514</v>
      </c>
      <c r="AV240" s="33" t="s">
        <v>1235</v>
      </c>
      <c r="AW240" s="33" t="str">
        <f>IF(OR(ISBLANK(AU240), ISBLANK(AV240)),"",CONCATENATE(" ",VLOOKUP(AV240,Literatuur!$A:$B,2,FALSE)," "))</f>
        <v xml:space="preserve"> 21 </v>
      </c>
      <c r="AZ240" s="44" t="str">
        <f t="shared" si="177"/>
        <v xml:space="preserve"> </v>
      </c>
      <c r="BA240" s="33" t="str">
        <f>IF(OR(ISBLANK(AY240), ISBLANK(AZ240)),"",CONCATENATE(" ",VLOOKUP(AZ240,Literatuur!$A:$B,2,FALSE)," "))</f>
        <v/>
      </c>
      <c r="BC240" s="44" t="str">
        <f t="shared" si="178"/>
        <v xml:space="preserve"> </v>
      </c>
      <c r="BD240" s="33" t="str">
        <f>IF(OR(ISBLANK(BB240), ISBLANK(BC240)),"",CONCATENATE(" ",VLOOKUP(BC240,Literatuur!$A:$B,2,FALSE)," "))</f>
        <v/>
      </c>
      <c r="BF240" s="44" t="str">
        <f t="shared" si="179"/>
        <v xml:space="preserve"> </v>
      </c>
      <c r="BG240" s="33" t="str">
        <f>IF(OR(ISBLANK(BE240), ISBLANK(BF240)),"",CONCATENATE(" ",VLOOKUP(BF240,Literatuur!$A:$B,2,FALSE)," "))</f>
        <v/>
      </c>
      <c r="BI240" s="44" t="str">
        <f t="shared" si="180"/>
        <v xml:space="preserve"> </v>
      </c>
      <c r="BJ240" s="33" t="str">
        <f>IF(OR(ISBLANK(BH240), ISBLANK(BI240)),"",CONCATENATE(" ",VLOOKUP(BI240,Literatuur!$A:$B,2,FALSE)," "))</f>
        <v/>
      </c>
      <c r="BL240" s="44" t="str">
        <f t="shared" si="181"/>
        <v xml:space="preserve"> </v>
      </c>
      <c r="BM240" s="33" t="str">
        <f>IF(OR(ISBLANK(BK240), ISBLANK(BL240)),"",CONCATENATE(" ",VLOOKUP(BL240,Literatuur!$A:$B,2,FALSE)," "))</f>
        <v/>
      </c>
      <c r="BP240" s="33" t="str">
        <f>IF(OR(ISBLANK(BN240), ISBLANK(BO240)),"",CONCATENATE(" ",VLOOKUP(BO240,Literatuur!$A:$B,2,FALSE)," "))</f>
        <v/>
      </c>
      <c r="BS240" s="33" t="str">
        <f>IF(OR(ISBLANK(BQ240), ISBLANK(BR240)),"",CONCATENATE(" ",VLOOKUP(BR240,Literatuur!$A:$B,2,FALSE)," "))</f>
        <v/>
      </c>
      <c r="BV240" s="33" t="str">
        <f>IF(OR(ISBLANK(BT240), ISBLANK(BU240)),"",CONCATENATE(" ",VLOOKUP(BU240,Literatuur!$A:$B,2,FALSE)," "))</f>
        <v/>
      </c>
      <c r="CR240" s="33" t="str">
        <f t="shared" si="160"/>
        <v>Didodecyl-3,3-thio-dipropionate</v>
      </c>
      <c r="CS240" s="33" t="str">
        <f t="shared" si="161"/>
        <v>onbekend</v>
      </c>
      <c r="CT240" s="33">
        <f t="shared" si="184"/>
        <v>514</v>
      </c>
      <c r="CU240" s="33" t="str">
        <f t="shared" si="163"/>
        <v xml:space="preserve"> 21 </v>
      </c>
      <c r="CV240" s="33" t="str">
        <f t="shared" si="164"/>
        <v/>
      </c>
      <c r="CW240" s="33" t="str">
        <f t="shared" si="165"/>
        <v/>
      </c>
      <c r="CX240" s="33" t="str">
        <f t="shared" si="166"/>
        <v/>
      </c>
      <c r="CY240" s="33" t="str">
        <f t="shared" si="167"/>
        <v/>
      </c>
    </row>
    <row r="241" spans="2:103" x14ac:dyDescent="0.2">
      <c r="B241" s="33">
        <v>-1670</v>
      </c>
      <c r="D241" s="21" t="s">
        <v>814</v>
      </c>
      <c r="E241" s="21" t="s">
        <v>814</v>
      </c>
      <c r="F241" s="4"/>
      <c r="G241" s="4"/>
      <c r="I241" s="33">
        <f t="shared" si="186"/>
        <v>150</v>
      </c>
      <c r="J241" s="33" t="e">
        <f t="shared" si="168"/>
        <v>#DIV/0!</v>
      </c>
      <c r="K241" s="44" t="e">
        <f t="shared" si="185"/>
        <v>#DIV/0!</v>
      </c>
      <c r="L241" s="33" t="e">
        <f t="shared" si="183"/>
        <v>#DIV/0!</v>
      </c>
      <c r="M241" s="33" t="s">
        <v>489</v>
      </c>
      <c r="Q241" s="44" t="str">
        <f t="shared" si="169"/>
        <v xml:space="preserve"> </v>
      </c>
      <c r="R241" s="33" t="str">
        <f>IF(OR(ISBLANK(P241), ISBLANK(Q241)),"",CONCATENATE(" ",VLOOKUP(Q241,Literatuur!$A:$B,2,FALSE)," "))</f>
        <v/>
      </c>
      <c r="T241" s="44" t="str">
        <f t="shared" si="170"/>
        <v xml:space="preserve"> </v>
      </c>
      <c r="U241" s="33" t="str">
        <f>IF(OR(ISBLANK(S241), ISBLANK(T241)),"",CONCATENATE(" ",VLOOKUP(T241,Literatuur!$A:$B,2,FALSE)," "))</f>
        <v/>
      </c>
      <c r="W241" s="44" t="str">
        <f t="shared" si="171"/>
        <v xml:space="preserve"> </v>
      </c>
      <c r="X241" s="33" t="str">
        <f>IF(OR(ISBLANK(V241), ISBLANK(W241)),"",CONCATENATE(" ",VLOOKUP(W241,Literatuur!$A:$B,2,FALSE)," "))</f>
        <v/>
      </c>
      <c r="Z241" s="44" t="str">
        <f t="shared" si="172"/>
        <v xml:space="preserve"> </v>
      </c>
      <c r="AA241" s="33" t="str">
        <f>IF(OR(ISBLANK(Y241), ISBLANK(Z241)),"",CONCATENATE(" ",VLOOKUP(Z241,Literatuur!$A:$B,2,FALSE)," "))</f>
        <v/>
      </c>
      <c r="AC241" s="36" t="str">
        <f t="shared" si="173"/>
        <v xml:space="preserve"> </v>
      </c>
      <c r="AD241" s="33" t="str">
        <f>IF(OR(ISBLANK(AB241), ISBLANK(AC241)),"",CONCATENATE(" ",VLOOKUP(AC241,Literatuur!$A:$B,2,FALSE)," "))</f>
        <v/>
      </c>
      <c r="AG241" s="33" t="str">
        <f>IF(OR(ISBLANK(AE241), ISBLANK(AF241)),"",CONCATENATE(" ",VLOOKUP(AF241,Literatuur!$A:$B,2,FALSE)," "))</f>
        <v/>
      </c>
      <c r="AJ241" s="44" t="str">
        <f t="shared" si="174"/>
        <v xml:space="preserve"> </v>
      </c>
      <c r="AK241" s="33" t="str">
        <f>IF(OR(ISBLANK(AI241), ISBLANK(AJ241)),"",CONCATENATE(" ",VLOOKUP(AJ241,Literatuur!$A:$B,2,FALSE)," "))</f>
        <v/>
      </c>
      <c r="AM241" s="44" t="str">
        <f t="shared" si="175"/>
        <v xml:space="preserve"> </v>
      </c>
      <c r="AN241" s="33" t="str">
        <f>IF(OR(ISBLANK(AL241), ISBLANK(AM241)),"",CONCATENATE(" ",VLOOKUP(AM241,Literatuur!$A:$B,2,FALSE)," "))</f>
        <v/>
      </c>
      <c r="AP241" s="44" t="str">
        <f t="shared" si="176"/>
        <v xml:space="preserve"> </v>
      </c>
      <c r="AQ241" s="33" t="str">
        <f>IF(OR(ISBLANK(AO241), ISBLANK(AP241)),"",CONCATENATE(" ",VLOOKUP(AP241,Literatuur!$A:$B,2,FALSE)," "))</f>
        <v/>
      </c>
      <c r="AS241"/>
      <c r="AT241" s="33" t="str">
        <f>IF(OR(ISBLANK(AR241), ISBLANK(AS241)),"",CONCATENATE(" ",VLOOKUP(AS241,Literatuur!$A:$B,2,FALSE)," "))</f>
        <v/>
      </c>
      <c r="AU241">
        <v>150</v>
      </c>
      <c r="AV241" s="33" t="s">
        <v>1235</v>
      </c>
      <c r="AW241" s="33" t="str">
        <f>IF(OR(ISBLANK(AU241), ISBLANK(AV241)),"",CONCATENATE(" ",VLOOKUP(AV241,Literatuur!$A:$B,2,FALSE)," "))</f>
        <v xml:space="preserve"> 21 </v>
      </c>
      <c r="AZ241" s="44" t="str">
        <f t="shared" si="177"/>
        <v xml:space="preserve"> </v>
      </c>
      <c r="BA241" s="33" t="str">
        <f>IF(OR(ISBLANK(AY241), ISBLANK(AZ241)),"",CONCATENATE(" ",VLOOKUP(AZ241,Literatuur!$A:$B,2,FALSE)," "))</f>
        <v/>
      </c>
      <c r="BC241" s="44" t="str">
        <f t="shared" si="178"/>
        <v xml:space="preserve"> </v>
      </c>
      <c r="BD241" s="33" t="str">
        <f>IF(OR(ISBLANK(BB241), ISBLANK(BC241)),"",CONCATENATE(" ",VLOOKUP(BC241,Literatuur!$A:$B,2,FALSE)," "))</f>
        <v/>
      </c>
      <c r="BF241" s="44" t="str">
        <f t="shared" si="179"/>
        <v xml:space="preserve"> </v>
      </c>
      <c r="BG241" s="33" t="str">
        <f>IF(OR(ISBLANK(BE241), ISBLANK(BF241)),"",CONCATENATE(" ",VLOOKUP(BF241,Literatuur!$A:$B,2,FALSE)," "))</f>
        <v/>
      </c>
      <c r="BI241" s="44" t="str">
        <f t="shared" si="180"/>
        <v xml:space="preserve"> </v>
      </c>
      <c r="BJ241" s="33" t="str">
        <f>IF(OR(ISBLANK(BH241), ISBLANK(BI241)),"",CONCATENATE(" ",VLOOKUP(BI241,Literatuur!$A:$B,2,FALSE)," "))</f>
        <v/>
      </c>
      <c r="BL241" s="44" t="str">
        <f t="shared" si="181"/>
        <v xml:space="preserve"> </v>
      </c>
      <c r="BM241" s="33" t="str">
        <f>IF(OR(ISBLANK(BK241), ISBLANK(BL241)),"",CONCATENATE(" ",VLOOKUP(BL241,Literatuur!$A:$B,2,FALSE)," "))</f>
        <v/>
      </c>
      <c r="BP241" s="33" t="str">
        <f>IF(OR(ISBLANK(BN241), ISBLANK(BO241)),"",CONCATENATE(" ",VLOOKUP(BO241,Literatuur!$A:$B,2,FALSE)," "))</f>
        <v/>
      </c>
      <c r="BS241" s="33" t="str">
        <f>IF(OR(ISBLANK(BQ241), ISBLANK(BR241)),"",CONCATENATE(" ",VLOOKUP(BR241,Literatuur!$A:$B,2,FALSE)," "))</f>
        <v/>
      </c>
      <c r="BV241" s="33" t="str">
        <f>IF(OR(ISBLANK(BT241), ISBLANK(BU241)),"",CONCATENATE(" ",VLOOKUP(BU241,Literatuur!$A:$B,2,FALSE)," "))</f>
        <v/>
      </c>
      <c r="CR241" s="33" t="str">
        <f t="shared" si="160"/>
        <v>Dimethyl-benzyl-carbinol</v>
      </c>
      <c r="CS241" s="33" t="str">
        <f t="shared" si="161"/>
        <v>onbekend</v>
      </c>
      <c r="CT241" s="33">
        <f t="shared" si="184"/>
        <v>150</v>
      </c>
      <c r="CU241" s="33" t="str">
        <f t="shared" si="163"/>
        <v xml:space="preserve"> 21 </v>
      </c>
      <c r="CV241" s="33" t="str">
        <f t="shared" si="164"/>
        <v/>
      </c>
      <c r="CW241" s="33" t="str">
        <f t="shared" si="165"/>
        <v/>
      </c>
      <c r="CX241" s="33" t="str">
        <f t="shared" si="166"/>
        <v/>
      </c>
      <c r="CY241" s="33" t="str">
        <f t="shared" si="167"/>
        <v/>
      </c>
    </row>
    <row r="242" spans="2:103" x14ac:dyDescent="0.2">
      <c r="B242" s="33">
        <v>-1683</v>
      </c>
      <c r="D242" s="21" t="s">
        <v>827</v>
      </c>
      <c r="E242" s="21" t="s">
        <v>827</v>
      </c>
      <c r="F242" s="4"/>
      <c r="G242" s="4"/>
      <c r="I242" s="33">
        <f t="shared" si="186"/>
        <v>310</v>
      </c>
      <c r="J242" s="33" t="e">
        <f t="shared" si="168"/>
        <v>#DIV/0!</v>
      </c>
      <c r="K242" s="44" t="e">
        <f t="shared" si="185"/>
        <v>#DIV/0!</v>
      </c>
      <c r="L242" s="33" t="e">
        <f t="shared" si="183"/>
        <v>#DIV/0!</v>
      </c>
      <c r="M242" s="33" t="s">
        <v>489</v>
      </c>
      <c r="Q242" s="44" t="str">
        <f t="shared" si="169"/>
        <v xml:space="preserve"> </v>
      </c>
      <c r="R242" s="33" t="str">
        <f>IF(OR(ISBLANK(P242), ISBLANK(Q242)),"",CONCATENATE(" ",VLOOKUP(Q242,Literatuur!$A:$B,2,FALSE)," "))</f>
        <v/>
      </c>
      <c r="T242" s="44" t="str">
        <f t="shared" si="170"/>
        <v xml:space="preserve"> </v>
      </c>
      <c r="U242" s="33" t="str">
        <f>IF(OR(ISBLANK(S242), ISBLANK(T242)),"",CONCATENATE(" ",VLOOKUP(T242,Literatuur!$A:$B,2,FALSE)," "))</f>
        <v/>
      </c>
      <c r="W242" s="44" t="str">
        <f t="shared" si="171"/>
        <v xml:space="preserve"> </v>
      </c>
      <c r="X242" s="33" t="str">
        <f>IF(OR(ISBLANK(V242), ISBLANK(W242)),"",CONCATENATE(" ",VLOOKUP(W242,Literatuur!$A:$B,2,FALSE)," "))</f>
        <v/>
      </c>
      <c r="Z242" s="44" t="str">
        <f t="shared" si="172"/>
        <v xml:space="preserve"> </v>
      </c>
      <c r="AA242" s="33" t="str">
        <f>IF(OR(ISBLANK(Y242), ISBLANK(Z242)),"",CONCATENATE(" ",VLOOKUP(Z242,Literatuur!$A:$B,2,FALSE)," "))</f>
        <v/>
      </c>
      <c r="AC242" s="36" t="str">
        <f t="shared" si="173"/>
        <v xml:space="preserve"> </v>
      </c>
      <c r="AD242" s="33" t="str">
        <f>IF(OR(ISBLANK(AB242), ISBLANK(AC242)),"",CONCATENATE(" ",VLOOKUP(AC242,Literatuur!$A:$B,2,FALSE)," "))</f>
        <v/>
      </c>
      <c r="AG242" s="33" t="str">
        <f>IF(OR(ISBLANK(AE242), ISBLANK(AF242)),"",CONCATENATE(" ",VLOOKUP(AF242,Literatuur!$A:$B,2,FALSE)," "))</f>
        <v/>
      </c>
      <c r="AJ242" s="44" t="str">
        <f t="shared" si="174"/>
        <v xml:space="preserve"> </v>
      </c>
      <c r="AK242" s="33" t="str">
        <f>IF(OR(ISBLANK(AI242), ISBLANK(AJ242)),"",CONCATENATE(" ",VLOOKUP(AJ242,Literatuur!$A:$B,2,FALSE)," "))</f>
        <v/>
      </c>
      <c r="AM242" s="44" t="str">
        <f t="shared" si="175"/>
        <v xml:space="preserve"> </v>
      </c>
      <c r="AN242" s="33" t="str">
        <f>IF(OR(ISBLANK(AL242), ISBLANK(AM242)),"",CONCATENATE(" ",VLOOKUP(AM242,Literatuur!$A:$B,2,FALSE)," "))</f>
        <v/>
      </c>
      <c r="AP242" s="44" t="str">
        <f t="shared" si="176"/>
        <v xml:space="preserve"> </v>
      </c>
      <c r="AQ242" s="33" t="str">
        <f>IF(OR(ISBLANK(AO242), ISBLANK(AP242)),"",CONCATENATE(" ",VLOOKUP(AP242,Literatuur!$A:$B,2,FALSE)," "))</f>
        <v/>
      </c>
      <c r="AS242"/>
      <c r="AT242" s="33" t="str">
        <f>IF(OR(ISBLANK(AR242), ISBLANK(AS242)),"",CONCATENATE(" ",VLOOKUP(AS242,Literatuur!$A:$B,2,FALSE)," "))</f>
        <v/>
      </c>
      <c r="AU242">
        <v>310</v>
      </c>
      <c r="AV242" s="33" t="s">
        <v>1235</v>
      </c>
      <c r="AW242" s="33" t="str">
        <f>IF(OR(ISBLANK(AU242), ISBLANK(AV242)),"",CONCATENATE(" ",VLOOKUP(AV242,Literatuur!$A:$B,2,FALSE)," "))</f>
        <v xml:space="preserve"> 21 </v>
      </c>
      <c r="AZ242" s="44" t="str">
        <f t="shared" si="177"/>
        <v xml:space="preserve"> </v>
      </c>
      <c r="BA242" s="33" t="str">
        <f>IF(OR(ISBLANK(AY242), ISBLANK(AZ242)),"",CONCATENATE(" ",VLOOKUP(AZ242,Literatuur!$A:$B,2,FALSE)," "))</f>
        <v/>
      </c>
      <c r="BC242" s="44" t="str">
        <f t="shared" si="178"/>
        <v xml:space="preserve"> </v>
      </c>
      <c r="BD242" s="33" t="str">
        <f>IF(OR(ISBLANK(BB242), ISBLANK(BC242)),"",CONCATENATE(" ",VLOOKUP(BC242,Literatuur!$A:$B,2,FALSE)," "))</f>
        <v/>
      </c>
      <c r="BF242" s="44" t="str">
        <f t="shared" si="179"/>
        <v xml:space="preserve"> </v>
      </c>
      <c r="BG242" s="33" t="str">
        <f>IF(OR(ISBLANK(BE242), ISBLANK(BF242)),"",CONCATENATE(" ",VLOOKUP(BF242,Literatuur!$A:$B,2,FALSE)," "))</f>
        <v/>
      </c>
      <c r="BI242" s="44" t="str">
        <f t="shared" si="180"/>
        <v xml:space="preserve"> </v>
      </c>
      <c r="BJ242" s="33" t="str">
        <f>IF(OR(ISBLANK(BH242), ISBLANK(BI242)),"",CONCATENATE(" ",VLOOKUP(BI242,Literatuur!$A:$B,2,FALSE)," "))</f>
        <v/>
      </c>
      <c r="BL242" s="44" t="str">
        <f t="shared" si="181"/>
        <v xml:space="preserve"> </v>
      </c>
      <c r="BM242" s="33" t="str">
        <f>IF(OR(ISBLANK(BK242), ISBLANK(BL242)),"",CONCATENATE(" ",VLOOKUP(BL242,Literatuur!$A:$B,2,FALSE)," "))</f>
        <v/>
      </c>
      <c r="BP242" s="33" t="str">
        <f>IF(OR(ISBLANK(BN242), ISBLANK(BO242)),"",CONCATENATE(" ",VLOOKUP(BO242,Literatuur!$A:$B,2,FALSE)," "))</f>
        <v/>
      </c>
      <c r="BS242" s="33" t="str">
        <f>IF(OR(ISBLANK(BQ242), ISBLANK(BR242)),"",CONCATENATE(" ",VLOOKUP(BR242,Literatuur!$A:$B,2,FALSE)," "))</f>
        <v/>
      </c>
      <c r="BV242" s="33" t="str">
        <f>IF(OR(ISBLANK(BT242), ISBLANK(BU242)),"",CONCATENATE(" ",VLOOKUP(BU242,Literatuur!$A:$B,2,FALSE)," "))</f>
        <v/>
      </c>
      <c r="CR242" s="33" t="str">
        <f t="shared" si="160"/>
        <v>Docosane</v>
      </c>
      <c r="CS242" s="33" t="str">
        <f t="shared" si="161"/>
        <v>onbekend</v>
      </c>
      <c r="CT242" s="33">
        <f t="shared" si="184"/>
        <v>310</v>
      </c>
      <c r="CU242" s="33" t="str">
        <f t="shared" si="163"/>
        <v xml:space="preserve"> 21 </v>
      </c>
      <c r="CV242" s="33" t="str">
        <f t="shared" si="164"/>
        <v/>
      </c>
      <c r="CW242" s="33" t="str">
        <f t="shared" si="165"/>
        <v/>
      </c>
      <c r="CX242" s="33" t="str">
        <f t="shared" si="166"/>
        <v/>
      </c>
      <c r="CY242" s="33" t="str">
        <f t="shared" si="167"/>
        <v/>
      </c>
    </row>
    <row r="243" spans="2:103" x14ac:dyDescent="0.2">
      <c r="B243" s="33">
        <v>-1682</v>
      </c>
      <c r="D243" s="21" t="s">
        <v>826</v>
      </c>
      <c r="E243" s="21" t="s">
        <v>826</v>
      </c>
      <c r="F243" s="4"/>
      <c r="G243" s="4"/>
      <c r="I243" s="33">
        <f t="shared" si="186"/>
        <v>282</v>
      </c>
      <c r="J243" s="33" t="e">
        <f t="shared" si="168"/>
        <v>#DIV/0!</v>
      </c>
      <c r="K243" s="44" t="e">
        <f t="shared" si="185"/>
        <v>#DIV/0!</v>
      </c>
      <c r="L243" s="33" t="e">
        <f t="shared" si="183"/>
        <v>#DIV/0!</v>
      </c>
      <c r="M243" s="33" t="s">
        <v>489</v>
      </c>
      <c r="Q243" s="44" t="str">
        <f t="shared" si="169"/>
        <v xml:space="preserve"> </v>
      </c>
      <c r="R243" s="33" t="str">
        <f>IF(OR(ISBLANK(P243), ISBLANK(Q243)),"",CONCATENATE(" ",VLOOKUP(Q243,Literatuur!$A:$B,2,FALSE)," "))</f>
        <v/>
      </c>
      <c r="T243" s="44" t="str">
        <f t="shared" si="170"/>
        <v xml:space="preserve"> </v>
      </c>
      <c r="U243" s="33" t="str">
        <f>IF(OR(ISBLANK(S243), ISBLANK(T243)),"",CONCATENATE(" ",VLOOKUP(T243,Literatuur!$A:$B,2,FALSE)," "))</f>
        <v/>
      </c>
      <c r="W243" s="44" t="str">
        <f t="shared" si="171"/>
        <v xml:space="preserve"> </v>
      </c>
      <c r="X243" s="33" t="str">
        <f>IF(OR(ISBLANK(V243), ISBLANK(W243)),"",CONCATENATE(" ",VLOOKUP(W243,Literatuur!$A:$B,2,FALSE)," "))</f>
        <v/>
      </c>
      <c r="Z243" s="44" t="str">
        <f t="shared" si="172"/>
        <v xml:space="preserve"> </v>
      </c>
      <c r="AA243" s="33" t="str">
        <f>IF(OR(ISBLANK(Y243), ISBLANK(Z243)),"",CONCATENATE(" ",VLOOKUP(Z243,Literatuur!$A:$B,2,FALSE)," "))</f>
        <v/>
      </c>
      <c r="AC243" s="36" t="str">
        <f t="shared" si="173"/>
        <v xml:space="preserve"> </v>
      </c>
      <c r="AD243" s="33" t="str">
        <f>IF(OR(ISBLANK(AB243), ISBLANK(AC243)),"",CONCATENATE(" ",VLOOKUP(AC243,Literatuur!$A:$B,2,FALSE)," "))</f>
        <v/>
      </c>
      <c r="AG243" s="33" t="str">
        <f>IF(OR(ISBLANK(AE243), ISBLANK(AF243)),"",CONCATENATE(" ",VLOOKUP(AF243,Literatuur!$A:$B,2,FALSE)," "))</f>
        <v/>
      </c>
      <c r="AJ243" s="44" t="str">
        <f t="shared" si="174"/>
        <v xml:space="preserve"> </v>
      </c>
      <c r="AK243" s="33" t="str">
        <f>IF(OR(ISBLANK(AI243), ISBLANK(AJ243)),"",CONCATENATE(" ",VLOOKUP(AJ243,Literatuur!$A:$B,2,FALSE)," "))</f>
        <v/>
      </c>
      <c r="AM243" s="44" t="str">
        <f t="shared" si="175"/>
        <v xml:space="preserve"> </v>
      </c>
      <c r="AN243" s="33" t="str">
        <f>IF(OR(ISBLANK(AL243), ISBLANK(AM243)),"",CONCATENATE(" ",VLOOKUP(AM243,Literatuur!$A:$B,2,FALSE)," "))</f>
        <v/>
      </c>
      <c r="AP243" s="44" t="str">
        <f t="shared" si="176"/>
        <v xml:space="preserve"> </v>
      </c>
      <c r="AQ243" s="33" t="str">
        <f>IF(OR(ISBLANK(AO243), ISBLANK(AP243)),"",CONCATENATE(" ",VLOOKUP(AP243,Literatuur!$A:$B,2,FALSE)," "))</f>
        <v/>
      </c>
      <c r="AS243"/>
      <c r="AT243" s="33" t="str">
        <f>IF(OR(ISBLANK(AR243), ISBLANK(AS243)),"",CONCATENATE(" ",VLOOKUP(AS243,Literatuur!$A:$B,2,FALSE)," "))</f>
        <v/>
      </c>
      <c r="AU243">
        <v>282</v>
      </c>
      <c r="AV243" s="33" t="s">
        <v>1235</v>
      </c>
      <c r="AW243" s="33" t="str">
        <f>IF(OR(ISBLANK(AU243), ISBLANK(AV243)),"",CONCATENATE(" ",VLOOKUP(AV243,Literatuur!$A:$B,2,FALSE)," "))</f>
        <v xml:space="preserve"> 21 </v>
      </c>
      <c r="AZ243" s="44" t="str">
        <f t="shared" si="177"/>
        <v xml:space="preserve"> </v>
      </c>
      <c r="BA243" s="33" t="str">
        <f>IF(OR(ISBLANK(AY243), ISBLANK(AZ243)),"",CONCATENATE(" ",VLOOKUP(AZ243,Literatuur!$A:$B,2,FALSE)," "))</f>
        <v/>
      </c>
      <c r="BC243" s="44" t="str">
        <f t="shared" si="178"/>
        <v xml:space="preserve"> </v>
      </c>
      <c r="BD243" s="33" t="str">
        <f>IF(OR(ISBLANK(BB243), ISBLANK(BC243)),"",CONCATENATE(" ",VLOOKUP(BC243,Literatuur!$A:$B,2,FALSE)," "))</f>
        <v/>
      </c>
      <c r="BF243" s="44" t="str">
        <f t="shared" si="179"/>
        <v xml:space="preserve"> </v>
      </c>
      <c r="BG243" s="33" t="str">
        <f>IF(OR(ISBLANK(BE243), ISBLANK(BF243)),"",CONCATENATE(" ",VLOOKUP(BF243,Literatuur!$A:$B,2,FALSE)," "))</f>
        <v/>
      </c>
      <c r="BI243" s="44" t="str">
        <f t="shared" si="180"/>
        <v xml:space="preserve"> </v>
      </c>
      <c r="BJ243" s="33" t="str">
        <f>IF(OR(ISBLANK(BH243), ISBLANK(BI243)),"",CONCATENATE(" ",VLOOKUP(BI243,Literatuur!$A:$B,2,FALSE)," "))</f>
        <v/>
      </c>
      <c r="BL243" s="44" t="str">
        <f t="shared" si="181"/>
        <v xml:space="preserve"> </v>
      </c>
      <c r="BM243" s="33" t="str">
        <f>IF(OR(ISBLANK(BK243), ISBLANK(BL243)),"",CONCATENATE(" ",VLOOKUP(BL243,Literatuur!$A:$B,2,FALSE)," "))</f>
        <v/>
      </c>
      <c r="BP243" s="33" t="str">
        <f>IF(OR(ISBLANK(BN243), ISBLANK(BO243)),"",CONCATENATE(" ",VLOOKUP(BO243,Literatuur!$A:$B,2,FALSE)," "))</f>
        <v/>
      </c>
      <c r="BS243" s="33" t="str">
        <f>IF(OR(ISBLANK(BQ243), ISBLANK(BR243)),"",CONCATENATE(" ",VLOOKUP(BR243,Literatuur!$A:$B,2,FALSE)," "))</f>
        <v/>
      </c>
      <c r="BV243" s="33" t="str">
        <f>IF(OR(ISBLANK(BT243), ISBLANK(BU243)),"",CONCATENATE(" ",VLOOKUP(BU243,Literatuur!$A:$B,2,FALSE)," "))</f>
        <v/>
      </c>
      <c r="CR243" s="33" t="str">
        <f t="shared" si="160"/>
        <v>Eicosane</v>
      </c>
      <c r="CS243" s="33" t="str">
        <f t="shared" si="161"/>
        <v>onbekend</v>
      </c>
      <c r="CT243" s="33">
        <f t="shared" si="184"/>
        <v>282</v>
      </c>
      <c r="CU243" s="33" t="str">
        <f t="shared" si="163"/>
        <v xml:space="preserve"> 21 </v>
      </c>
      <c r="CV243" s="33" t="str">
        <f t="shared" si="164"/>
        <v/>
      </c>
      <c r="CW243" s="33" t="str">
        <f t="shared" si="165"/>
        <v/>
      </c>
      <c r="CX243" s="33" t="str">
        <f t="shared" si="166"/>
        <v/>
      </c>
      <c r="CY243" s="33" t="str">
        <f t="shared" si="167"/>
        <v/>
      </c>
    </row>
    <row r="244" spans="2:103" x14ac:dyDescent="0.2">
      <c r="B244" s="33">
        <v>-1687</v>
      </c>
      <c r="D244" s="21" t="s">
        <v>831</v>
      </c>
      <c r="E244" s="21" t="s">
        <v>831</v>
      </c>
      <c r="F244" s="4"/>
      <c r="G244" s="4"/>
      <c r="I244" s="33">
        <f t="shared" si="186"/>
        <v>438</v>
      </c>
      <c r="J244" s="33" t="e">
        <f t="shared" si="168"/>
        <v>#DIV/0!</v>
      </c>
      <c r="K244" s="44" t="e">
        <f t="shared" si="185"/>
        <v>#DIV/0!</v>
      </c>
      <c r="L244" s="33" t="e">
        <f t="shared" si="183"/>
        <v>#DIV/0!</v>
      </c>
      <c r="M244" s="33" t="s">
        <v>489</v>
      </c>
      <c r="Q244" s="44" t="str">
        <f t="shared" si="169"/>
        <v xml:space="preserve"> </v>
      </c>
      <c r="R244" s="33" t="str">
        <f>IF(OR(ISBLANK(P244), ISBLANK(Q244)),"",CONCATENATE(" ",VLOOKUP(Q244,Literatuur!$A:$B,2,FALSE)," "))</f>
        <v/>
      </c>
      <c r="T244" s="44" t="str">
        <f t="shared" si="170"/>
        <v xml:space="preserve"> </v>
      </c>
      <c r="U244" s="33" t="str">
        <f>IF(OR(ISBLANK(S244), ISBLANK(T244)),"",CONCATENATE(" ",VLOOKUP(T244,Literatuur!$A:$B,2,FALSE)," "))</f>
        <v/>
      </c>
      <c r="W244" s="44" t="str">
        <f t="shared" si="171"/>
        <v xml:space="preserve"> </v>
      </c>
      <c r="X244" s="33" t="str">
        <f>IF(OR(ISBLANK(V244), ISBLANK(W244)),"",CONCATENATE(" ",VLOOKUP(W244,Literatuur!$A:$B,2,FALSE)," "))</f>
        <v/>
      </c>
      <c r="Z244" s="44" t="str">
        <f t="shared" si="172"/>
        <v xml:space="preserve"> </v>
      </c>
      <c r="AA244" s="33" t="str">
        <f>IF(OR(ISBLANK(Y244), ISBLANK(Z244)),"",CONCATENATE(" ",VLOOKUP(Z244,Literatuur!$A:$B,2,FALSE)," "))</f>
        <v/>
      </c>
      <c r="AC244" s="36" t="str">
        <f t="shared" si="173"/>
        <v xml:space="preserve"> </v>
      </c>
      <c r="AD244" s="33" t="str">
        <f>IF(OR(ISBLANK(AB244), ISBLANK(AC244)),"",CONCATENATE(" ",VLOOKUP(AC244,Literatuur!$A:$B,2,FALSE)," "))</f>
        <v/>
      </c>
      <c r="AG244" s="33" t="str">
        <f>IF(OR(ISBLANK(AE244), ISBLANK(AF244)),"",CONCATENATE(" ",VLOOKUP(AF244,Literatuur!$A:$B,2,FALSE)," "))</f>
        <v/>
      </c>
      <c r="AJ244" s="44" t="str">
        <f t="shared" si="174"/>
        <v xml:space="preserve"> </v>
      </c>
      <c r="AK244" s="33" t="str">
        <f>IF(OR(ISBLANK(AI244), ISBLANK(AJ244)),"",CONCATENATE(" ",VLOOKUP(AJ244,Literatuur!$A:$B,2,FALSE)," "))</f>
        <v/>
      </c>
      <c r="AM244" s="44" t="str">
        <f t="shared" si="175"/>
        <v xml:space="preserve"> </v>
      </c>
      <c r="AN244" s="33" t="str">
        <f>IF(OR(ISBLANK(AL244), ISBLANK(AM244)),"",CONCATENATE(" ",VLOOKUP(AM244,Literatuur!$A:$B,2,FALSE)," "))</f>
        <v/>
      </c>
      <c r="AP244" s="44" t="str">
        <f t="shared" si="176"/>
        <v xml:space="preserve"> </v>
      </c>
      <c r="AQ244" s="33" t="str">
        <f>IF(OR(ISBLANK(AO244), ISBLANK(AP244)),"",CONCATENATE(" ",VLOOKUP(AP244,Literatuur!$A:$B,2,FALSE)," "))</f>
        <v/>
      </c>
      <c r="AS244"/>
      <c r="AT244" s="33" t="str">
        <f>IF(OR(ISBLANK(AR244), ISBLANK(AS244)),"",CONCATENATE(" ",VLOOKUP(AS244,Literatuur!$A:$B,2,FALSE)," "))</f>
        <v/>
      </c>
      <c r="AU244">
        <v>438</v>
      </c>
      <c r="AV244" s="33" t="s">
        <v>1235</v>
      </c>
      <c r="AW244" s="33" t="str">
        <f>IF(OR(ISBLANK(AU244), ISBLANK(AV244)),"",CONCATENATE(" ",VLOOKUP(AV244,Literatuur!$A:$B,2,FALSE)," "))</f>
        <v xml:space="preserve"> 21 </v>
      </c>
      <c r="AZ244" s="44" t="str">
        <f t="shared" si="177"/>
        <v xml:space="preserve"> </v>
      </c>
      <c r="BA244" s="33" t="str">
        <f>IF(OR(ISBLANK(AY244), ISBLANK(AZ244)),"",CONCATENATE(" ",VLOOKUP(AZ244,Literatuur!$A:$B,2,FALSE)," "))</f>
        <v/>
      </c>
      <c r="BC244" s="44" t="str">
        <f t="shared" si="178"/>
        <v xml:space="preserve"> </v>
      </c>
      <c r="BD244" s="33" t="str">
        <f>IF(OR(ISBLANK(BB244), ISBLANK(BC244)),"",CONCATENATE(" ",VLOOKUP(BC244,Literatuur!$A:$B,2,FALSE)," "))</f>
        <v/>
      </c>
      <c r="BF244" s="44" t="str">
        <f t="shared" si="179"/>
        <v xml:space="preserve"> </v>
      </c>
      <c r="BG244" s="33" t="str">
        <f>IF(OR(ISBLANK(BE244), ISBLANK(BF244)),"",CONCATENATE(" ",VLOOKUP(BF244,Literatuur!$A:$B,2,FALSE)," "))</f>
        <v/>
      </c>
      <c r="BI244" s="44" t="str">
        <f t="shared" si="180"/>
        <v xml:space="preserve"> </v>
      </c>
      <c r="BJ244" s="33" t="str">
        <f>IF(OR(ISBLANK(BH244), ISBLANK(BI244)),"",CONCATENATE(" ",VLOOKUP(BI244,Literatuur!$A:$B,2,FALSE)," "))</f>
        <v/>
      </c>
      <c r="BL244" s="44" t="str">
        <f t="shared" si="181"/>
        <v xml:space="preserve"> </v>
      </c>
      <c r="BM244" s="33" t="str">
        <f>IF(OR(ISBLANK(BK244), ISBLANK(BL244)),"",CONCATENATE(" ",VLOOKUP(BL244,Literatuur!$A:$B,2,FALSE)," "))</f>
        <v/>
      </c>
      <c r="BP244" s="33" t="str">
        <f>IF(OR(ISBLANK(BN244), ISBLANK(BO244)),"",CONCATENATE(" ",VLOOKUP(BO244,Literatuur!$A:$B,2,FALSE)," "))</f>
        <v/>
      </c>
      <c r="BS244" s="33" t="str">
        <f>IF(OR(ISBLANK(BQ244), ISBLANK(BR244)),"",CONCATENATE(" ",VLOOKUP(BR244,Literatuur!$A:$B,2,FALSE)," "))</f>
        <v/>
      </c>
      <c r="BV244" s="33" t="str">
        <f>IF(OR(ISBLANK(BT244), ISBLANK(BU244)),"",CONCATENATE(" ",VLOOKUP(BU244,Literatuur!$A:$B,2,FALSE)," "))</f>
        <v/>
      </c>
      <c r="CR244" s="33" t="str">
        <f t="shared" si="160"/>
        <v>Methyl-octacosanate</v>
      </c>
      <c r="CS244" s="33" t="str">
        <f t="shared" si="161"/>
        <v>onbekend</v>
      </c>
      <c r="CT244" s="33">
        <f t="shared" si="184"/>
        <v>438</v>
      </c>
      <c r="CU244" s="33" t="str">
        <f t="shared" si="163"/>
        <v xml:space="preserve"> 21 </v>
      </c>
      <c r="CV244" s="33" t="str">
        <f t="shared" si="164"/>
        <v/>
      </c>
      <c r="CW244" s="33" t="str">
        <f t="shared" si="165"/>
        <v/>
      </c>
      <c r="CX244" s="33" t="str">
        <f t="shared" si="166"/>
        <v/>
      </c>
      <c r="CY244" s="33" t="str">
        <f t="shared" si="167"/>
        <v/>
      </c>
    </row>
    <row r="245" spans="2:103" x14ac:dyDescent="0.2">
      <c r="B245" s="33">
        <v>-1686</v>
      </c>
      <c r="D245" s="21" t="s">
        <v>830</v>
      </c>
      <c r="E245" s="21" t="s">
        <v>830</v>
      </c>
      <c r="F245" s="4"/>
      <c r="G245" s="4"/>
      <c r="I245" s="33">
        <f t="shared" si="186"/>
        <v>368</v>
      </c>
      <c r="J245" s="33" t="e">
        <f t="shared" si="168"/>
        <v>#DIV/0!</v>
      </c>
      <c r="K245" s="44" t="e">
        <f t="shared" si="185"/>
        <v>#DIV/0!</v>
      </c>
      <c r="L245" s="33" t="e">
        <f t="shared" si="183"/>
        <v>#DIV/0!</v>
      </c>
      <c r="M245" s="33" t="s">
        <v>489</v>
      </c>
      <c r="Q245" s="44" t="str">
        <f t="shared" si="169"/>
        <v xml:space="preserve"> </v>
      </c>
      <c r="R245" s="33" t="str">
        <f>IF(OR(ISBLANK(P245), ISBLANK(Q245)),"",CONCATENATE(" ",VLOOKUP(Q245,Literatuur!$A:$B,2,FALSE)," "))</f>
        <v/>
      </c>
      <c r="T245" s="44" t="str">
        <f t="shared" si="170"/>
        <v xml:space="preserve"> </v>
      </c>
      <c r="U245" s="33" t="str">
        <f>IF(OR(ISBLANK(S245), ISBLANK(T245)),"",CONCATENATE(" ",VLOOKUP(T245,Literatuur!$A:$B,2,FALSE)," "))</f>
        <v/>
      </c>
      <c r="W245" s="44" t="str">
        <f t="shared" si="171"/>
        <v xml:space="preserve"> </v>
      </c>
      <c r="X245" s="33" t="str">
        <f>IF(OR(ISBLANK(V245), ISBLANK(W245)),"",CONCATENATE(" ",VLOOKUP(W245,Literatuur!$A:$B,2,FALSE)," "))</f>
        <v/>
      </c>
      <c r="Z245" s="44" t="str">
        <f t="shared" si="172"/>
        <v xml:space="preserve"> </v>
      </c>
      <c r="AA245" s="33" t="str">
        <f>IF(OR(ISBLANK(Y245), ISBLANK(Z245)),"",CONCATENATE(" ",VLOOKUP(Z245,Literatuur!$A:$B,2,FALSE)," "))</f>
        <v/>
      </c>
      <c r="AC245" s="36" t="str">
        <f t="shared" si="173"/>
        <v xml:space="preserve"> </v>
      </c>
      <c r="AD245" s="33" t="str">
        <f>IF(OR(ISBLANK(AB245), ISBLANK(AC245)),"",CONCATENATE(" ",VLOOKUP(AC245,Literatuur!$A:$B,2,FALSE)," "))</f>
        <v/>
      </c>
      <c r="AG245" s="33" t="str">
        <f>IF(OR(ISBLANK(AE245), ISBLANK(AF245)),"",CONCATENATE(" ",VLOOKUP(AF245,Literatuur!$A:$B,2,FALSE)," "))</f>
        <v/>
      </c>
      <c r="AJ245" s="44" t="str">
        <f t="shared" si="174"/>
        <v xml:space="preserve"> </v>
      </c>
      <c r="AK245" s="33" t="str">
        <f>IF(OR(ISBLANK(AI245), ISBLANK(AJ245)),"",CONCATENATE(" ",VLOOKUP(AJ245,Literatuur!$A:$B,2,FALSE)," "))</f>
        <v/>
      </c>
      <c r="AM245" s="44" t="str">
        <f t="shared" si="175"/>
        <v xml:space="preserve"> </v>
      </c>
      <c r="AN245" s="33" t="str">
        <f>IF(OR(ISBLANK(AL245), ISBLANK(AM245)),"",CONCATENATE(" ",VLOOKUP(AM245,Literatuur!$A:$B,2,FALSE)," "))</f>
        <v/>
      </c>
      <c r="AP245" s="44" t="str">
        <f t="shared" si="176"/>
        <v xml:space="preserve"> </v>
      </c>
      <c r="AQ245" s="33" t="str">
        <f>IF(OR(ISBLANK(AO245), ISBLANK(AP245)),"",CONCATENATE(" ",VLOOKUP(AP245,Literatuur!$A:$B,2,FALSE)," "))</f>
        <v/>
      </c>
      <c r="AS245"/>
      <c r="AT245" s="33" t="str">
        <f>IF(OR(ISBLANK(AR245), ISBLANK(AS245)),"",CONCATENATE(" ",VLOOKUP(AS245,Literatuur!$A:$B,2,FALSE)," "))</f>
        <v/>
      </c>
      <c r="AU245">
        <v>368</v>
      </c>
      <c r="AV245" s="33" t="s">
        <v>1235</v>
      </c>
      <c r="AW245" s="33" t="str">
        <f>IF(OR(ISBLANK(AU245), ISBLANK(AV245)),"",CONCATENATE(" ",VLOOKUP(AV245,Literatuur!$A:$B,2,FALSE)," "))</f>
        <v xml:space="preserve"> 21 </v>
      </c>
      <c r="AZ245" s="44" t="str">
        <f t="shared" si="177"/>
        <v xml:space="preserve"> </v>
      </c>
      <c r="BA245" s="33" t="str">
        <f>IF(OR(ISBLANK(AY245), ISBLANK(AZ245)),"",CONCATENATE(" ",VLOOKUP(AZ245,Literatuur!$A:$B,2,FALSE)," "))</f>
        <v/>
      </c>
      <c r="BC245" s="44" t="str">
        <f t="shared" si="178"/>
        <v xml:space="preserve"> </v>
      </c>
      <c r="BD245" s="33" t="str">
        <f>IF(OR(ISBLANK(BB245), ISBLANK(BC245)),"",CONCATENATE(" ",VLOOKUP(BC245,Literatuur!$A:$B,2,FALSE)," "))</f>
        <v/>
      </c>
      <c r="BF245" s="44" t="str">
        <f t="shared" si="179"/>
        <v xml:space="preserve"> </v>
      </c>
      <c r="BG245" s="33" t="str">
        <f>IF(OR(ISBLANK(BE245), ISBLANK(BF245)),"",CONCATENATE(" ",VLOOKUP(BF245,Literatuur!$A:$B,2,FALSE)," "))</f>
        <v/>
      </c>
      <c r="BI245" s="44" t="str">
        <f t="shared" si="180"/>
        <v xml:space="preserve"> </v>
      </c>
      <c r="BJ245" s="33" t="str">
        <f>IF(OR(ISBLANK(BH245), ISBLANK(BI245)),"",CONCATENATE(" ",VLOOKUP(BI245,Literatuur!$A:$B,2,FALSE)," "))</f>
        <v/>
      </c>
      <c r="BL245" s="44" t="str">
        <f t="shared" si="181"/>
        <v xml:space="preserve"> </v>
      </c>
      <c r="BM245" s="33" t="str">
        <f>IF(OR(ISBLANK(BK245), ISBLANK(BL245)),"",CONCATENATE(" ",VLOOKUP(BL245,Literatuur!$A:$B,2,FALSE)," "))</f>
        <v/>
      </c>
      <c r="BP245" s="33" t="str">
        <f>IF(OR(ISBLANK(BN245), ISBLANK(BO245)),"",CONCATENATE(" ",VLOOKUP(BO245,Literatuur!$A:$B,2,FALSE)," "))</f>
        <v/>
      </c>
      <c r="BS245" s="33" t="str">
        <f>IF(OR(ISBLANK(BQ245), ISBLANK(BR245)),"",CONCATENATE(" ",VLOOKUP(BR245,Literatuur!$A:$B,2,FALSE)," "))</f>
        <v/>
      </c>
      <c r="BV245" s="33" t="str">
        <f>IF(OR(ISBLANK(BT245), ISBLANK(BU245)),"",CONCATENATE(" ",VLOOKUP(BU245,Literatuur!$A:$B,2,FALSE)," "))</f>
        <v/>
      </c>
      <c r="CR245" s="33" t="str">
        <f t="shared" si="160"/>
        <v>Methyl-tricosanante</v>
      </c>
      <c r="CS245" s="33" t="str">
        <f t="shared" si="161"/>
        <v>onbekend</v>
      </c>
      <c r="CT245" s="33">
        <f t="shared" si="184"/>
        <v>368</v>
      </c>
      <c r="CU245" s="33" t="str">
        <f t="shared" si="163"/>
        <v xml:space="preserve"> 21 </v>
      </c>
      <c r="CV245" s="33" t="str">
        <f t="shared" si="164"/>
        <v/>
      </c>
      <c r="CW245" s="33" t="str">
        <f t="shared" si="165"/>
        <v/>
      </c>
      <c r="CX245" s="33" t="str">
        <f t="shared" si="166"/>
        <v/>
      </c>
      <c r="CY245" s="33" t="str">
        <f t="shared" si="167"/>
        <v/>
      </c>
    </row>
    <row r="246" spans="2:103" x14ac:dyDescent="0.2">
      <c r="B246" s="33">
        <v>-1693</v>
      </c>
      <c r="D246" s="105" t="s">
        <v>1245</v>
      </c>
      <c r="E246" s="105" t="s">
        <v>1245</v>
      </c>
      <c r="H246" s="34" t="s">
        <v>453</v>
      </c>
      <c r="I246" s="33">
        <f t="shared" si="186"/>
        <v>74.12</v>
      </c>
      <c r="J246" s="33">
        <f t="shared" si="168"/>
        <v>63200</v>
      </c>
      <c r="K246" s="44">
        <f t="shared" si="185"/>
        <v>0.88</v>
      </c>
      <c r="L246" s="33" t="e">
        <f t="shared" si="183"/>
        <v>#DIV/0!</v>
      </c>
      <c r="M246" s="33" t="s">
        <v>1893</v>
      </c>
      <c r="Q246" s="44" t="str">
        <f t="shared" ref="Q246:Q277" si="187">IF(ISBLANK(P246)," ","Sanscrit")</f>
        <v xml:space="preserve"> </v>
      </c>
      <c r="R246" s="33" t="str">
        <f>IF(OR(ISBLANK(P246), ISBLANK(Q246)),"",CONCATENATE(" ",VLOOKUP(Q246,Literatuur!$A:$B,2,FALSE)," "))</f>
        <v/>
      </c>
      <c r="T246" s="44" t="str">
        <f t="shared" ref="T246:T277" si="188">IF(ISBLANK(S246)," ","Gestis")</f>
        <v xml:space="preserve"> </v>
      </c>
      <c r="U246" s="33" t="str">
        <f>IF(OR(ISBLANK(S246), ISBLANK(T246)),"",CONCATENATE(" ",VLOOKUP(T246,Literatuur!$A:$B,2,FALSE)," "))</f>
        <v/>
      </c>
      <c r="W246" s="44" t="str">
        <f t="shared" ref="W246:W277" si="189">IF(ISBLANK(V246)," ","US EPA 1995")</f>
        <v xml:space="preserve"> </v>
      </c>
      <c r="X246" s="33" t="str">
        <f>IF(OR(ISBLANK(V246), ISBLANK(W246)),"",CONCATENATE(" ",VLOOKUP(W246,Literatuur!$A:$B,2,FALSE)," "))</f>
        <v/>
      </c>
      <c r="Y246" s="33">
        <v>63200</v>
      </c>
      <c r="Z246" s="44" t="str">
        <f t="shared" ref="Z246:Z277" si="190">IF(ISBLANK(Y246)," ","US EPA suite")</f>
        <v>US EPA suite</v>
      </c>
      <c r="AA246" s="33" t="str">
        <f>IF(OR(ISBLANK(Y246), ISBLANK(Z246)),"",CONCATENATE(" ",VLOOKUP(Z246,Literatuur!$A:$B,2,FALSE)," "))</f>
        <v xml:space="preserve"> F </v>
      </c>
      <c r="AC246" s="36" t="str">
        <f t="shared" ref="AC246:AC277" si="191">IF(ISBLANK(AB246)," ","Vonk 1985")</f>
        <v xml:space="preserve"> </v>
      </c>
      <c r="AD246" s="33" t="str">
        <f>IF(OR(ISBLANK(AB246), ISBLANK(AC246)),"",CONCATENATE(" ",VLOOKUP(AC246,Literatuur!$A:$B,2,FALSE)," "))</f>
        <v/>
      </c>
      <c r="AG246" s="33" t="str">
        <f>IF(OR(ISBLANK(AE246), ISBLANK(AF246)),"",CONCATENATE(" ",VLOOKUP(AF246,Literatuur!$A:$B,2,FALSE)," "))</f>
        <v/>
      </c>
      <c r="AJ246" s="44" t="str">
        <f t="shared" ref="AJ246:AJ277" si="192">IF(ISBLANK(AI246)," ","Sanscrit")</f>
        <v xml:space="preserve"> </v>
      </c>
      <c r="AK246" s="33" t="str">
        <f>IF(OR(ISBLANK(AI246), ISBLANK(AJ246)),"",CONCATENATE(" ",VLOOKUP(AJ246,Literatuur!$A:$B,2,FALSE)," "))</f>
        <v/>
      </c>
      <c r="AM246" s="44" t="str">
        <f t="shared" ref="AM246:AM277" si="193">IF(ISBLANK(AL246)," ","Gestis")</f>
        <v xml:space="preserve"> </v>
      </c>
      <c r="AN246" s="33" t="str">
        <f>IF(OR(ISBLANK(AL246), ISBLANK(AM246)),"",CONCATENATE(" ",VLOOKUP(AM246,Literatuur!$A:$B,2,FALSE)," "))</f>
        <v/>
      </c>
      <c r="AO246" s="33">
        <v>74.12</v>
      </c>
      <c r="AP246" s="44" t="str">
        <f t="shared" ref="AP246:AP277" si="194">IF(ISBLANK(AO246)," ","US EPA suite")</f>
        <v>US EPA suite</v>
      </c>
      <c r="AQ246" s="33" t="str">
        <f>IF(OR(ISBLANK(AO246), ISBLANK(AP246)),"",CONCATENATE(" ",VLOOKUP(AP246,Literatuur!$A:$B,2,FALSE)," "))</f>
        <v xml:space="preserve"> F </v>
      </c>
      <c r="AT246" s="33" t="str">
        <f>IF(OR(ISBLANK(AR246), ISBLANK(AS246)),"",CONCATENATE(" ",VLOOKUP(AS246,Literatuur!$A:$B,2,FALSE)," "))</f>
        <v/>
      </c>
      <c r="AW246" s="33" t="str">
        <f>IF(OR(ISBLANK(AU246), ISBLANK(AV246)),"",CONCATENATE(" ",VLOOKUP(AV246,Literatuur!$A:$B,2,FALSE)," "))</f>
        <v/>
      </c>
      <c r="AZ246" s="44" t="str">
        <f t="shared" ref="AZ246:AZ277" si="195">IF(ISBLANK(AY246)," ","Sanscrit")</f>
        <v xml:space="preserve"> </v>
      </c>
      <c r="BA246" s="33" t="str">
        <f>IF(OR(ISBLANK(AY246), ISBLANK(AZ246)),"",CONCATENATE(" ",VLOOKUP(AZ246,Literatuur!$A:$B,2,FALSE)," "))</f>
        <v/>
      </c>
      <c r="BC246" s="44" t="str">
        <f t="shared" ref="BC246:BC277" si="196">IF(ISBLANK(BB246)," ","Gestis")</f>
        <v xml:space="preserve"> </v>
      </c>
      <c r="BD246" s="33" t="str">
        <f>IF(OR(ISBLANK(BB246), ISBLANK(BC246)),"",CONCATENATE(" ",VLOOKUP(BC246,Literatuur!$A:$B,2,FALSE)," "))</f>
        <v/>
      </c>
      <c r="BF246" s="44" t="str">
        <f t="shared" ref="BF246:BF277" si="197">IF(ISBLANK(BE246)," ","US EPA 1995")</f>
        <v xml:space="preserve"> </v>
      </c>
      <c r="BG246" s="33" t="str">
        <f>IF(OR(ISBLANK(BE246), ISBLANK(BF246)),"",CONCATENATE(" ",VLOOKUP(BF246,Literatuur!$A:$B,2,FALSE)," "))</f>
        <v/>
      </c>
      <c r="BH246" s="33">
        <v>0.88</v>
      </c>
      <c r="BI246" s="44" t="str">
        <f t="shared" ref="BI246:BI277" si="198">IF(ISBLANK(BH246)," ","US EPA suite")</f>
        <v>US EPA suite</v>
      </c>
      <c r="BJ246" s="33" t="str">
        <f>IF(OR(ISBLANK(BH246), ISBLANK(BI246)),"",CONCATENATE(" ",VLOOKUP(BI246,Literatuur!$A:$B,2,FALSE)," "))</f>
        <v xml:space="preserve"> F </v>
      </c>
      <c r="BL246" s="44" t="str">
        <f t="shared" ref="BL246:BL277" si="199">IF(ISBLANK(BK246)," ","Sangster 1989")</f>
        <v xml:space="preserve"> </v>
      </c>
      <c r="BM246" s="33" t="str">
        <f>IF(OR(ISBLANK(BK246), ISBLANK(BL246)),"",CONCATENATE(" ",VLOOKUP(BL246,Literatuur!$A:$B,2,FALSE)," "))</f>
        <v/>
      </c>
      <c r="BP246" s="33" t="str">
        <f>IF(OR(ISBLANK(BN246), ISBLANK(BO246)),"",CONCATENATE(" ",VLOOKUP(BO246,Literatuur!$A:$B,2,FALSE)," "))</f>
        <v/>
      </c>
      <c r="BS246" s="33" t="str">
        <f>IF(OR(ISBLANK(BQ246), ISBLANK(BR246)),"",CONCATENATE(" ",VLOOKUP(BR246,Literatuur!$A:$B,2,FALSE)," "))</f>
        <v/>
      </c>
      <c r="BV246" s="33" t="str">
        <f>IF(OR(ISBLANK(BT246), ISBLANK(BU246)),"",CONCATENATE(" ",VLOOKUP(BU246,Literatuur!$A:$B,2,FALSE)," "))</f>
        <v/>
      </c>
      <c r="CG246" s="33">
        <f>LOG(J246)</f>
        <v>4.8007170782823847</v>
      </c>
      <c r="CH246" s="33">
        <f>K246</f>
        <v>0.88</v>
      </c>
      <c r="CR246" s="33" t="str">
        <f t="shared" si="160"/>
        <v>1-Butanol</v>
      </c>
      <c r="CS246" s="33" t="str">
        <f t="shared" si="161"/>
        <v>O2</v>
      </c>
      <c r="CT246" s="33">
        <f t="shared" si="184"/>
        <v>74.12</v>
      </c>
      <c r="CU246" s="33" t="str">
        <f t="shared" si="163"/>
        <v xml:space="preserve"> F </v>
      </c>
      <c r="CV246" s="33">
        <f t="shared" si="164"/>
        <v>63200</v>
      </c>
      <c r="CW246" s="33" t="str">
        <f t="shared" si="165"/>
        <v xml:space="preserve"> F </v>
      </c>
      <c r="CX246" s="33">
        <f t="shared" si="166"/>
        <v>0.88</v>
      </c>
      <c r="CY246" s="33" t="str">
        <f t="shared" si="167"/>
        <v xml:space="preserve"> F </v>
      </c>
    </row>
    <row r="247" spans="2:103" x14ac:dyDescent="0.2">
      <c r="B247" s="33">
        <v>-1411</v>
      </c>
      <c r="D247" s="33" t="s">
        <v>1220</v>
      </c>
      <c r="E247" s="33" t="s">
        <v>336</v>
      </c>
      <c r="H247" s="34" t="s">
        <v>475</v>
      </c>
      <c r="I247" s="37">
        <f t="shared" si="186"/>
        <v>102.18</v>
      </c>
      <c r="J247" s="33">
        <f t="shared" si="168"/>
        <v>5900</v>
      </c>
      <c r="K247" s="44">
        <f t="shared" si="185"/>
        <v>2.0299999999999998</v>
      </c>
      <c r="L247" s="33" t="e">
        <f t="shared" si="183"/>
        <v>#DIV/0!</v>
      </c>
      <c r="M247" s="33" t="s">
        <v>1893</v>
      </c>
      <c r="Q247" s="44" t="str">
        <f t="shared" si="187"/>
        <v xml:space="preserve"> </v>
      </c>
      <c r="R247" s="33" t="str">
        <f>IF(OR(ISBLANK(P247), ISBLANK(Q247)),"",CONCATENATE(" ",VLOOKUP(Q247,Literatuur!$A:$B,2,FALSE)," "))</f>
        <v/>
      </c>
      <c r="S247" s="37"/>
      <c r="T247" s="44" t="str">
        <f t="shared" si="188"/>
        <v xml:space="preserve"> </v>
      </c>
      <c r="U247" s="33" t="str">
        <f>IF(OR(ISBLANK(S247), ISBLANK(T247)),"",CONCATENATE(" ",VLOOKUP(T247,Literatuur!$A:$B,2,FALSE)," "))</f>
        <v/>
      </c>
      <c r="W247" s="44" t="str">
        <f t="shared" si="189"/>
        <v xml:space="preserve"> </v>
      </c>
      <c r="X247" s="33" t="str">
        <f>IF(OR(ISBLANK(V247), ISBLANK(W247)),"",CONCATENATE(" ",VLOOKUP(W247,Literatuur!$A:$B,2,FALSE)," "))</f>
        <v/>
      </c>
      <c r="Z247" s="44" t="str">
        <f t="shared" si="190"/>
        <v xml:space="preserve"> </v>
      </c>
      <c r="AA247" s="33" t="str">
        <f>IF(OR(ISBLANK(Y247), ISBLANK(Z247)),"",CONCATENATE(" ",VLOOKUP(Z247,Literatuur!$A:$B,2,FALSE)," "))</f>
        <v/>
      </c>
      <c r="AB247" s="33">
        <v>5900</v>
      </c>
      <c r="AC247" s="36" t="str">
        <f t="shared" si="191"/>
        <v>Vonk 1985</v>
      </c>
      <c r="AD247" s="33" t="str">
        <f>IF(OR(ISBLANK(AB247), ISBLANK(AC247)),"",CONCATENATE(" ",VLOOKUP(AC247,Literatuur!$A:$B,2,FALSE)," "))</f>
        <v xml:space="preserve"> 37 </v>
      </c>
      <c r="AE247" s="33">
        <v>5900</v>
      </c>
      <c r="AG247" s="33" t="str">
        <f>IF(OR(ISBLANK(AE247), ISBLANK(AF247)),"",CONCATENATE(" ",VLOOKUP(AF247,Literatuur!$A:$B,2,FALSE)," "))</f>
        <v/>
      </c>
      <c r="AH247" s="94"/>
      <c r="AI247" s="37"/>
      <c r="AJ247" s="44" t="str">
        <f t="shared" si="192"/>
        <v xml:space="preserve"> </v>
      </c>
      <c r="AK247" s="33" t="str">
        <f>IF(OR(ISBLANK(AI247), ISBLANK(AJ247)),"",CONCATENATE(" ",VLOOKUP(AJ247,Literatuur!$A:$B,2,FALSE)," "))</f>
        <v/>
      </c>
      <c r="AL247" s="33">
        <v>102.18</v>
      </c>
      <c r="AM247" s="44" t="str">
        <f t="shared" si="193"/>
        <v>Gestis</v>
      </c>
      <c r="AN247" s="33" t="str">
        <f>IF(OR(ISBLANK(AL247), ISBLANK(AM247)),"",CONCATENATE(" ",VLOOKUP(AM247,Literatuur!$A:$B,2,FALSE)," "))</f>
        <v xml:space="preserve"> A </v>
      </c>
      <c r="AO247" s="33">
        <v>102.18</v>
      </c>
      <c r="AP247" s="44" t="str">
        <f t="shared" si="194"/>
        <v>US EPA suite</v>
      </c>
      <c r="AQ247" s="33" t="str">
        <f>IF(OR(ISBLANK(AO247), ISBLANK(AP247)),"",CONCATENATE(" ",VLOOKUP(AP247,Literatuur!$A:$B,2,FALSE)," "))</f>
        <v xml:space="preserve"> F </v>
      </c>
      <c r="AT247" s="33" t="str">
        <f>IF(OR(ISBLANK(AR247), ISBLANK(AS247)),"",CONCATENATE(" ",VLOOKUP(AS247,Literatuur!$A:$B,2,FALSE)," "))</f>
        <v/>
      </c>
      <c r="AW247" s="33" t="str">
        <f>IF(OR(ISBLANK(AU247), ISBLANK(AV247)),"",CONCATENATE(" ",VLOOKUP(AV247,Literatuur!$A:$B,2,FALSE)," "))</f>
        <v/>
      </c>
      <c r="AY247" s="44"/>
      <c r="AZ247" s="44" t="str">
        <f t="shared" si="195"/>
        <v xml:space="preserve"> </v>
      </c>
      <c r="BA247" s="33" t="str">
        <f>IF(OR(ISBLANK(AY247), ISBLANK(AZ247)),"",CONCATENATE(" ",VLOOKUP(AZ247,Literatuur!$A:$B,2,FALSE)," "))</f>
        <v/>
      </c>
      <c r="BB247" s="33">
        <v>2.0299999999999998</v>
      </c>
      <c r="BC247" s="44" t="str">
        <f t="shared" si="196"/>
        <v>Gestis</v>
      </c>
      <c r="BD247" s="33" t="str">
        <f>IF(OR(ISBLANK(BB247), ISBLANK(BC247)),"",CONCATENATE(" ",VLOOKUP(BC247,Literatuur!$A:$B,2,FALSE)," "))</f>
        <v xml:space="preserve"> A </v>
      </c>
      <c r="BF247" s="44" t="str">
        <f t="shared" si="197"/>
        <v xml:space="preserve"> </v>
      </c>
      <c r="BG247" s="33" t="str">
        <f>IF(OR(ISBLANK(BE247), ISBLANK(BF247)),"",CONCATENATE(" ",VLOOKUP(BF247,Literatuur!$A:$B,2,FALSE)," "))</f>
        <v/>
      </c>
      <c r="BH247" s="33">
        <v>2.0299999999999998</v>
      </c>
      <c r="BI247" s="44" t="str">
        <f t="shared" si="198"/>
        <v>US EPA suite</v>
      </c>
      <c r="BJ247" s="33" t="str">
        <f>IF(OR(ISBLANK(BH247), ISBLANK(BI247)),"",CONCATENATE(" ",VLOOKUP(BI247,Literatuur!$A:$B,2,FALSE)," "))</f>
        <v xml:space="preserve"> F </v>
      </c>
      <c r="BK247" s="33">
        <v>2.0299999999999998</v>
      </c>
      <c r="BL247" s="44" t="str">
        <f t="shared" si="199"/>
        <v>Sangster 1989</v>
      </c>
      <c r="BM247" s="33" t="str">
        <f>IF(OR(ISBLANK(BK247), ISBLANK(BL247)),"",CONCATENATE(" ",VLOOKUP(BL247,Literatuur!$A:$B,2,FALSE)," "))</f>
        <v xml:space="preserve"> 27 </v>
      </c>
      <c r="BP247" s="33" t="str">
        <f>IF(OR(ISBLANK(BN247), ISBLANK(BO247)),"",CONCATENATE(" ",VLOOKUP(BO247,Literatuur!$A:$B,2,FALSE)," "))</f>
        <v/>
      </c>
      <c r="BS247" s="33" t="str">
        <f>IF(OR(ISBLANK(BQ247), ISBLANK(BR247)),"",CONCATENATE(" ",VLOOKUP(BR247,Literatuur!$A:$B,2,FALSE)," "))</f>
        <v/>
      </c>
      <c r="BV247" s="33" t="str">
        <f>IF(OR(ISBLANK(BT247), ISBLANK(BU247)),"",CONCATENATE(" ",VLOOKUP(BU247,Literatuur!$A:$B,2,FALSE)," "))</f>
        <v/>
      </c>
      <c r="CE247" s="37">
        <f>I247</f>
        <v>102.18</v>
      </c>
      <c r="CG247" s="33">
        <f>LOG(J247)</f>
        <v>3.7708520116421442</v>
      </c>
      <c r="CH247" s="33">
        <f>K247</f>
        <v>2.0299999999999998</v>
      </c>
      <c r="CR247" s="33" t="str">
        <f t="shared" si="160"/>
        <v>1-Hexanol</v>
      </c>
      <c r="CS247" s="33" t="str">
        <f t="shared" si="161"/>
        <v>O2</v>
      </c>
      <c r="CT247" s="33">
        <f t="shared" si="184"/>
        <v>102.18</v>
      </c>
      <c r="CU247" s="33" t="str">
        <f t="shared" si="163"/>
        <v xml:space="preserve"> A  F </v>
      </c>
      <c r="CV247" s="33">
        <f t="shared" si="164"/>
        <v>5900</v>
      </c>
      <c r="CW247" s="33" t="str">
        <f t="shared" si="165"/>
        <v xml:space="preserve"> 37 </v>
      </c>
      <c r="CX247" s="33">
        <f t="shared" si="166"/>
        <v>2.0299999999999998</v>
      </c>
      <c r="CY247" s="33" t="str">
        <f t="shared" si="167"/>
        <v xml:space="preserve"> A  F  27 </v>
      </c>
    </row>
    <row r="248" spans="2:103" x14ac:dyDescent="0.2">
      <c r="B248" s="33">
        <v>-1519</v>
      </c>
      <c r="D248" s="33" t="s">
        <v>465</v>
      </c>
      <c r="E248" s="33" t="s">
        <v>465</v>
      </c>
      <c r="H248" s="34" t="s">
        <v>466</v>
      </c>
      <c r="I248" s="37">
        <f t="shared" si="186"/>
        <v>88.15</v>
      </c>
      <c r="J248" s="33">
        <f t="shared" si="168"/>
        <v>22000</v>
      </c>
      <c r="K248" s="44">
        <f t="shared" si="185"/>
        <v>1.51</v>
      </c>
      <c r="L248" s="33" t="e">
        <f t="shared" si="183"/>
        <v>#DIV/0!</v>
      </c>
      <c r="M248" s="33" t="s">
        <v>1893</v>
      </c>
      <c r="Q248" s="44" t="str">
        <f t="shared" si="187"/>
        <v xml:space="preserve"> </v>
      </c>
      <c r="R248" s="33" t="str">
        <f>IF(OR(ISBLANK(P248), ISBLANK(Q248)),"",CONCATENATE(" ",VLOOKUP(Q248,Literatuur!$A:$B,2,FALSE)," "))</f>
        <v/>
      </c>
      <c r="S248" s="33">
        <v>22000</v>
      </c>
      <c r="T248" s="44" t="str">
        <f t="shared" si="188"/>
        <v>Gestis</v>
      </c>
      <c r="U248" s="33" t="str">
        <f>IF(OR(ISBLANK(S248), ISBLANK(T248)),"",CONCATENATE(" ",VLOOKUP(T248,Literatuur!$A:$B,2,FALSE)," "))</f>
        <v xml:space="preserve"> A </v>
      </c>
      <c r="W248" s="44" t="str">
        <f t="shared" si="189"/>
        <v xml:space="preserve"> </v>
      </c>
      <c r="X248" s="33" t="str">
        <f>IF(OR(ISBLANK(V248), ISBLANK(W248)),"",CONCATENATE(" ",VLOOKUP(W248,Literatuur!$A:$B,2,FALSE)," "))</f>
        <v/>
      </c>
      <c r="Z248" s="44" t="str">
        <f t="shared" si="190"/>
        <v xml:space="preserve"> </v>
      </c>
      <c r="AA248" s="33" t="str">
        <f>IF(OR(ISBLANK(Y248), ISBLANK(Z248)),"",CONCATENATE(" ",VLOOKUP(Z248,Literatuur!$A:$B,2,FALSE)," "))</f>
        <v/>
      </c>
      <c r="AC248" s="36" t="str">
        <f t="shared" si="191"/>
        <v xml:space="preserve"> </v>
      </c>
      <c r="AD248" s="33" t="str">
        <f>IF(OR(ISBLANK(AB248), ISBLANK(AC248)),"",CONCATENATE(" ",VLOOKUP(AC248,Literatuur!$A:$B,2,FALSE)," "))</f>
        <v/>
      </c>
      <c r="AG248" s="33" t="str">
        <f>IF(OR(ISBLANK(AE248), ISBLANK(AF248)),"",CONCATENATE(" ",VLOOKUP(AF248,Literatuur!$A:$B,2,FALSE)," "))</f>
        <v/>
      </c>
      <c r="AJ248" s="44" t="str">
        <f t="shared" si="192"/>
        <v xml:space="preserve"> </v>
      </c>
      <c r="AK248" s="33" t="str">
        <f>IF(OR(ISBLANK(AI248), ISBLANK(AJ248)),"",CONCATENATE(" ",VLOOKUP(AJ248,Literatuur!$A:$B,2,FALSE)," "))</f>
        <v/>
      </c>
      <c r="AL248" s="33">
        <v>88.15</v>
      </c>
      <c r="AM248" s="44" t="str">
        <f t="shared" si="193"/>
        <v>Gestis</v>
      </c>
      <c r="AN248" s="33" t="str">
        <f>IF(OR(ISBLANK(AL248), ISBLANK(AM248)),"",CONCATENATE(" ",VLOOKUP(AM248,Literatuur!$A:$B,2,FALSE)," "))</f>
        <v xml:space="preserve"> A </v>
      </c>
      <c r="AP248" s="44" t="str">
        <f t="shared" si="194"/>
        <v xml:space="preserve"> </v>
      </c>
      <c r="AQ248" s="33" t="str">
        <f>IF(OR(ISBLANK(AO248), ISBLANK(AP248)),"",CONCATENATE(" ",VLOOKUP(AP248,Literatuur!$A:$B,2,FALSE)," "))</f>
        <v/>
      </c>
      <c r="AT248" s="33" t="str">
        <f>IF(OR(ISBLANK(AR248), ISBLANK(AS248)),"",CONCATENATE(" ",VLOOKUP(AS248,Literatuur!$A:$B,2,FALSE)," "))</f>
        <v/>
      </c>
      <c r="AW248" s="33" t="str">
        <f>IF(OR(ISBLANK(AU248), ISBLANK(AV248)),"",CONCATENATE(" ",VLOOKUP(AV248,Literatuur!$A:$B,2,FALSE)," "))</f>
        <v/>
      </c>
      <c r="AZ248" s="44" t="str">
        <f t="shared" si="195"/>
        <v xml:space="preserve"> </v>
      </c>
      <c r="BA248" s="33" t="str">
        <f>IF(OR(ISBLANK(AY248), ISBLANK(AZ248)),"",CONCATENATE(" ",VLOOKUP(AZ248,Literatuur!$A:$B,2,FALSE)," "))</f>
        <v/>
      </c>
      <c r="BB248" s="33">
        <v>1.51</v>
      </c>
      <c r="BC248" s="44" t="str">
        <f t="shared" si="196"/>
        <v>Gestis</v>
      </c>
      <c r="BD248" s="33" t="str">
        <f>IF(OR(ISBLANK(BB248), ISBLANK(BC248)),"",CONCATENATE(" ",VLOOKUP(BC248,Literatuur!$A:$B,2,FALSE)," "))</f>
        <v xml:space="preserve"> A </v>
      </c>
      <c r="BF248" s="44" t="str">
        <f t="shared" si="197"/>
        <v xml:space="preserve"> </v>
      </c>
      <c r="BG248" s="33" t="str">
        <f>IF(OR(ISBLANK(BE248), ISBLANK(BF248)),"",CONCATENATE(" ",VLOOKUP(BF248,Literatuur!$A:$B,2,FALSE)," "))</f>
        <v/>
      </c>
      <c r="BI248" s="44" t="str">
        <f t="shared" si="198"/>
        <v xml:space="preserve"> </v>
      </c>
      <c r="BJ248" s="33" t="str">
        <f>IF(OR(ISBLANK(BH248), ISBLANK(BI248)),"",CONCATENATE(" ",VLOOKUP(BI248,Literatuur!$A:$B,2,FALSE)," "))</f>
        <v/>
      </c>
      <c r="BL248" s="44" t="str">
        <f t="shared" si="199"/>
        <v xml:space="preserve"> </v>
      </c>
      <c r="BM248" s="33" t="str">
        <f>IF(OR(ISBLANK(BK248), ISBLANK(BL248)),"",CONCATENATE(" ",VLOOKUP(BL248,Literatuur!$A:$B,2,FALSE)," "))</f>
        <v/>
      </c>
      <c r="BP248" s="33" t="str">
        <f>IF(OR(ISBLANK(BN248), ISBLANK(BO248)),"",CONCATENATE(" ",VLOOKUP(BO248,Literatuur!$A:$B,2,FALSE)," "))</f>
        <v/>
      </c>
      <c r="BS248" s="33" t="str">
        <f>IF(OR(ISBLANK(BQ248), ISBLANK(BR248)),"",CONCATENATE(" ",VLOOKUP(BR248,Literatuur!$A:$B,2,FALSE)," "))</f>
        <v/>
      </c>
      <c r="BV248" s="33" t="str">
        <f>IF(OR(ISBLANK(BT248), ISBLANK(BU248)),"",CONCATENATE(" ",VLOOKUP(BU248,Literatuur!$A:$B,2,FALSE)," "))</f>
        <v/>
      </c>
      <c r="CE248" s="37">
        <f>I248</f>
        <v>88.15</v>
      </c>
      <c r="CG248" s="33">
        <f>LOG(J248)</f>
        <v>4.3424226808222066</v>
      </c>
      <c r="CH248" s="33">
        <f>K248</f>
        <v>1.51</v>
      </c>
      <c r="CR248" s="33" t="str">
        <f t="shared" si="160"/>
        <v>1-Pentanol</v>
      </c>
      <c r="CS248" s="33" t="str">
        <f t="shared" si="161"/>
        <v>O2</v>
      </c>
      <c r="CT248" s="33">
        <f t="shared" si="184"/>
        <v>88.15</v>
      </c>
      <c r="CU248" s="33" t="str">
        <f t="shared" si="163"/>
        <v xml:space="preserve"> A </v>
      </c>
      <c r="CV248" s="33">
        <f t="shared" si="164"/>
        <v>22000</v>
      </c>
      <c r="CW248" s="33" t="str">
        <f t="shared" si="165"/>
        <v xml:space="preserve"> A </v>
      </c>
      <c r="CX248" s="33">
        <f t="shared" si="166"/>
        <v>1.51</v>
      </c>
      <c r="CY248" s="33" t="str">
        <f t="shared" si="167"/>
        <v xml:space="preserve"> A </v>
      </c>
    </row>
    <row r="249" spans="2:103" x14ac:dyDescent="0.2">
      <c r="B249" s="33">
        <v>-1525</v>
      </c>
      <c r="D249" s="33" t="s">
        <v>476</v>
      </c>
      <c r="E249" s="33" t="s">
        <v>476</v>
      </c>
      <c r="H249" s="34" t="s">
        <v>477</v>
      </c>
      <c r="I249" s="37">
        <f t="shared" si="186"/>
        <v>102.18</v>
      </c>
      <c r="J249" s="33">
        <f t="shared" si="168"/>
        <v>14350</v>
      </c>
      <c r="K249" s="44">
        <f t="shared" si="185"/>
        <v>1.76</v>
      </c>
      <c r="L249" s="33" t="e">
        <f t="shared" si="183"/>
        <v>#DIV/0!</v>
      </c>
      <c r="M249" s="33" t="s">
        <v>1893</v>
      </c>
      <c r="Q249" s="44" t="str">
        <f t="shared" si="187"/>
        <v xml:space="preserve"> </v>
      </c>
      <c r="R249" s="33" t="str">
        <f>IF(OR(ISBLANK(P249), ISBLANK(Q249)),"",CONCATENATE(" ",VLOOKUP(Q249,Literatuur!$A:$B,2,FALSE)," "))</f>
        <v/>
      </c>
      <c r="S249" s="33">
        <v>15000</v>
      </c>
      <c r="T249" s="44" t="str">
        <f t="shared" si="188"/>
        <v>Gestis</v>
      </c>
      <c r="U249" s="33" t="str">
        <f>IF(OR(ISBLANK(S249), ISBLANK(T249)),"",CONCATENATE(" ",VLOOKUP(T249,Literatuur!$A:$B,2,FALSE)," "))</f>
        <v xml:space="preserve"> A </v>
      </c>
      <c r="W249" s="44" t="str">
        <f t="shared" si="189"/>
        <v xml:space="preserve"> </v>
      </c>
      <c r="X249" s="33" t="str">
        <f>IF(OR(ISBLANK(V249), ISBLANK(W249)),"",CONCATENATE(" ",VLOOKUP(W249,Literatuur!$A:$B,2,FALSE)," "))</f>
        <v/>
      </c>
      <c r="Z249" s="44" t="str">
        <f t="shared" si="190"/>
        <v xml:space="preserve"> </v>
      </c>
      <c r="AA249" s="33" t="str">
        <f>IF(OR(ISBLANK(Y249), ISBLANK(Z249)),"",CONCATENATE(" ",VLOOKUP(Z249,Literatuur!$A:$B,2,FALSE)," "))</f>
        <v/>
      </c>
      <c r="AC249" s="36" t="str">
        <f t="shared" si="191"/>
        <v xml:space="preserve"> </v>
      </c>
      <c r="AD249" s="33" t="str">
        <f>IF(OR(ISBLANK(AB249), ISBLANK(AC249)),"",CONCATENATE(" ",VLOOKUP(AC249,Literatuur!$A:$B,2,FALSE)," "))</f>
        <v/>
      </c>
      <c r="AE249" s="33">
        <v>13700</v>
      </c>
      <c r="AG249" s="33" t="str">
        <f>IF(OR(ISBLANK(AE249), ISBLANK(AF249)),"",CONCATENATE(" ",VLOOKUP(AF249,Literatuur!$A:$B,2,FALSE)," "))</f>
        <v/>
      </c>
      <c r="AH249" s="94"/>
      <c r="AJ249" s="44" t="str">
        <f t="shared" si="192"/>
        <v xml:space="preserve"> </v>
      </c>
      <c r="AK249" s="33" t="str">
        <f>IF(OR(ISBLANK(AI249), ISBLANK(AJ249)),"",CONCATENATE(" ",VLOOKUP(AJ249,Literatuur!$A:$B,2,FALSE)," "))</f>
        <v/>
      </c>
      <c r="AL249" s="33">
        <v>102.18</v>
      </c>
      <c r="AM249" s="44" t="str">
        <f t="shared" si="193"/>
        <v>Gestis</v>
      </c>
      <c r="AN249" s="33" t="str">
        <f>IF(OR(ISBLANK(AL249), ISBLANK(AM249)),"",CONCATENATE(" ",VLOOKUP(AM249,Literatuur!$A:$B,2,FALSE)," "))</f>
        <v xml:space="preserve"> A </v>
      </c>
      <c r="AO249" s="33">
        <v>102.18</v>
      </c>
      <c r="AP249" s="44" t="str">
        <f t="shared" si="194"/>
        <v>US EPA suite</v>
      </c>
      <c r="AQ249" s="33" t="str">
        <f>IF(OR(ISBLANK(AO249), ISBLANK(AP249)),"",CONCATENATE(" ",VLOOKUP(AP249,Literatuur!$A:$B,2,FALSE)," "))</f>
        <v xml:space="preserve"> F </v>
      </c>
      <c r="AT249" s="33" t="str">
        <f>IF(OR(ISBLANK(AR249), ISBLANK(AS249)),"",CONCATENATE(" ",VLOOKUP(AS249,Literatuur!$A:$B,2,FALSE)," "))</f>
        <v/>
      </c>
      <c r="AW249" s="33" t="str">
        <f>IF(OR(ISBLANK(AU249), ISBLANK(AV249)),"",CONCATENATE(" ",VLOOKUP(AV249,Literatuur!$A:$B,2,FALSE)," "))</f>
        <v/>
      </c>
      <c r="AZ249" s="44" t="str">
        <f t="shared" si="195"/>
        <v xml:space="preserve"> </v>
      </c>
      <c r="BA249" s="33" t="str">
        <f>IF(OR(ISBLANK(AY249), ISBLANK(AZ249)),"",CONCATENATE(" ",VLOOKUP(AZ249,Literatuur!$A:$B,2,FALSE)," "))</f>
        <v/>
      </c>
      <c r="BB249" s="33">
        <v>1.76</v>
      </c>
      <c r="BC249" s="44" t="str">
        <f t="shared" si="196"/>
        <v>Gestis</v>
      </c>
      <c r="BD249" s="33" t="str">
        <f>IF(OR(ISBLANK(BB249), ISBLANK(BC249)),"",CONCATENATE(" ",VLOOKUP(BC249,Literatuur!$A:$B,2,FALSE)," "))</f>
        <v xml:space="preserve"> A </v>
      </c>
      <c r="BE249" s="33">
        <v>1.76</v>
      </c>
      <c r="BF249" s="44" t="str">
        <f t="shared" si="197"/>
        <v>US EPA 1995</v>
      </c>
      <c r="BG249" s="33" t="str">
        <f>IF(OR(ISBLANK(BE249), ISBLANK(BF249)),"",CONCATENATE(" ",VLOOKUP(BF249,Literatuur!$A:$B,2,FALSE)," "))</f>
        <v xml:space="preserve"> 30 </v>
      </c>
      <c r="BI249" s="44" t="str">
        <f t="shared" si="198"/>
        <v xml:space="preserve"> </v>
      </c>
      <c r="BJ249" s="33" t="str">
        <f>IF(OR(ISBLANK(BH249), ISBLANK(BI249)),"",CONCATENATE(" ",VLOOKUP(BI249,Literatuur!$A:$B,2,FALSE)," "))</f>
        <v/>
      </c>
      <c r="BL249" s="44" t="str">
        <f t="shared" si="199"/>
        <v xml:space="preserve"> </v>
      </c>
      <c r="BM249" s="33" t="str">
        <f>IF(OR(ISBLANK(BK249), ISBLANK(BL249)),"",CONCATENATE(" ",VLOOKUP(BL249,Literatuur!$A:$B,2,FALSE)," "))</f>
        <v/>
      </c>
      <c r="BP249" s="33" t="str">
        <f>IF(OR(ISBLANK(BN249), ISBLANK(BO249)),"",CONCATENATE(" ",VLOOKUP(BO249,Literatuur!$A:$B,2,FALSE)," "))</f>
        <v/>
      </c>
      <c r="BS249" s="33" t="str">
        <f>IF(OR(ISBLANK(BQ249), ISBLANK(BR249)),"",CONCATENATE(" ",VLOOKUP(BR249,Literatuur!$A:$B,2,FALSE)," "))</f>
        <v/>
      </c>
      <c r="BV249" s="33" t="str">
        <f>IF(OR(ISBLANK(BT249), ISBLANK(BU249)),"",CONCATENATE(" ",VLOOKUP(BU249,Literatuur!$A:$B,2,FALSE)," "))</f>
        <v/>
      </c>
      <c r="CE249" s="37">
        <f>I249</f>
        <v>102.18</v>
      </c>
      <c r="CG249" s="33">
        <f>LOG(J249)</f>
        <v>4.1568519010700111</v>
      </c>
      <c r="CH249" s="33">
        <f>K249</f>
        <v>1.76</v>
      </c>
      <c r="CR249" s="33" t="str">
        <f t="shared" si="160"/>
        <v>2-Hexanol</v>
      </c>
      <c r="CS249" s="33" t="str">
        <f t="shared" si="161"/>
        <v>O2</v>
      </c>
      <c r="CT249" s="33">
        <f t="shared" si="184"/>
        <v>102.18</v>
      </c>
      <c r="CU249" s="33" t="str">
        <f t="shared" si="163"/>
        <v xml:space="preserve"> A  F </v>
      </c>
      <c r="CV249" s="33">
        <f t="shared" si="164"/>
        <v>14350</v>
      </c>
      <c r="CW249" s="33" t="str">
        <f t="shared" si="165"/>
        <v xml:space="preserve"> A </v>
      </c>
      <c r="CX249" s="33">
        <f t="shared" si="166"/>
        <v>1.76</v>
      </c>
      <c r="CY249" s="33" t="str">
        <f t="shared" si="167"/>
        <v xml:space="preserve"> A  30 </v>
      </c>
    </row>
    <row r="250" spans="2:103" x14ac:dyDescent="0.2">
      <c r="B250" s="33">
        <v>-1520</v>
      </c>
      <c r="D250" s="33" t="s">
        <v>467</v>
      </c>
      <c r="E250" s="33" t="s">
        <v>467</v>
      </c>
      <c r="H250" s="34" t="s">
        <v>468</v>
      </c>
      <c r="I250" s="37">
        <f t="shared" si="186"/>
        <v>88.15</v>
      </c>
      <c r="J250" s="33">
        <f t="shared" si="168"/>
        <v>166000</v>
      </c>
      <c r="K250" s="44">
        <f t="shared" si="185"/>
        <v>1.25</v>
      </c>
      <c r="L250" s="33" t="e">
        <f t="shared" si="183"/>
        <v>#DIV/0!</v>
      </c>
      <c r="M250" s="33" t="s">
        <v>1893</v>
      </c>
      <c r="Q250" s="44" t="str">
        <f t="shared" si="187"/>
        <v xml:space="preserve"> </v>
      </c>
      <c r="R250" s="33" t="str">
        <f>IF(OR(ISBLANK(P250), ISBLANK(Q250)),"",CONCATENATE(" ",VLOOKUP(Q250,Literatuur!$A:$B,2,FALSE)," "))</f>
        <v/>
      </c>
      <c r="S250" s="33">
        <v>166000</v>
      </c>
      <c r="T250" s="44" t="str">
        <f t="shared" si="188"/>
        <v>Gestis</v>
      </c>
      <c r="U250" s="33" t="str">
        <f>IF(OR(ISBLANK(S250), ISBLANK(T250)),"",CONCATENATE(" ",VLOOKUP(T250,Literatuur!$A:$B,2,FALSE)," "))</f>
        <v xml:space="preserve"> A </v>
      </c>
      <c r="W250" s="44" t="str">
        <f t="shared" si="189"/>
        <v xml:space="preserve"> </v>
      </c>
      <c r="X250" s="33" t="str">
        <f>IF(OR(ISBLANK(V250), ISBLANK(W250)),"",CONCATENATE(" ",VLOOKUP(W250,Literatuur!$A:$B,2,FALSE)," "))</f>
        <v/>
      </c>
      <c r="Z250" s="44" t="str">
        <f t="shared" si="190"/>
        <v xml:space="preserve"> </v>
      </c>
      <c r="AA250" s="33" t="str">
        <f>IF(OR(ISBLANK(Y250), ISBLANK(Z250)),"",CONCATENATE(" ",VLOOKUP(Z250,Literatuur!$A:$B,2,FALSE)," "))</f>
        <v/>
      </c>
      <c r="AC250" s="36" t="str">
        <f t="shared" si="191"/>
        <v xml:space="preserve"> </v>
      </c>
      <c r="AD250" s="33" t="str">
        <f>IF(OR(ISBLANK(AB250), ISBLANK(AC250)),"",CONCATENATE(" ",VLOOKUP(AC250,Literatuur!$A:$B,2,FALSE)," "))</f>
        <v/>
      </c>
      <c r="AG250" s="33" t="str">
        <f>IF(OR(ISBLANK(AE250), ISBLANK(AF250)),"",CONCATENATE(" ",VLOOKUP(AF250,Literatuur!$A:$B,2,FALSE)," "))</f>
        <v/>
      </c>
      <c r="AJ250" s="44" t="str">
        <f t="shared" si="192"/>
        <v xml:space="preserve"> </v>
      </c>
      <c r="AK250" s="33" t="str">
        <f>IF(OR(ISBLANK(AI250), ISBLANK(AJ250)),"",CONCATENATE(" ",VLOOKUP(AJ250,Literatuur!$A:$B,2,FALSE)," "))</f>
        <v/>
      </c>
      <c r="AL250" s="33">
        <v>88.15</v>
      </c>
      <c r="AM250" s="44" t="str">
        <f t="shared" si="193"/>
        <v>Gestis</v>
      </c>
      <c r="AN250" s="33" t="str">
        <f>IF(OR(ISBLANK(AL250), ISBLANK(AM250)),"",CONCATENATE(" ",VLOOKUP(AM250,Literatuur!$A:$B,2,FALSE)," "))</f>
        <v xml:space="preserve"> A </v>
      </c>
      <c r="AP250" s="44" t="str">
        <f t="shared" si="194"/>
        <v xml:space="preserve"> </v>
      </c>
      <c r="AQ250" s="33" t="str">
        <f>IF(OR(ISBLANK(AO250), ISBLANK(AP250)),"",CONCATENATE(" ",VLOOKUP(AP250,Literatuur!$A:$B,2,FALSE)," "))</f>
        <v/>
      </c>
      <c r="AT250" s="33" t="str">
        <f>IF(OR(ISBLANK(AR250), ISBLANK(AS250)),"",CONCATENATE(" ",VLOOKUP(AS250,Literatuur!$A:$B,2,FALSE)," "))</f>
        <v/>
      </c>
      <c r="AW250" s="33" t="str">
        <f>IF(OR(ISBLANK(AU250), ISBLANK(AV250)),"",CONCATENATE(" ",VLOOKUP(AV250,Literatuur!$A:$B,2,FALSE)," "))</f>
        <v/>
      </c>
      <c r="AZ250" s="44" t="str">
        <f t="shared" si="195"/>
        <v xml:space="preserve"> </v>
      </c>
      <c r="BA250" s="33" t="str">
        <f>IF(OR(ISBLANK(AY250), ISBLANK(AZ250)),"",CONCATENATE(" ",VLOOKUP(AZ250,Literatuur!$A:$B,2,FALSE)," "))</f>
        <v/>
      </c>
      <c r="BB250" s="33">
        <v>1.25</v>
      </c>
      <c r="BC250" s="44" t="str">
        <f t="shared" si="196"/>
        <v>Gestis</v>
      </c>
      <c r="BD250" s="33" t="str">
        <f>IF(OR(ISBLANK(BB250), ISBLANK(BC250)),"",CONCATENATE(" ",VLOOKUP(BC250,Literatuur!$A:$B,2,FALSE)," "))</f>
        <v xml:space="preserve"> A </v>
      </c>
      <c r="BF250" s="44" t="str">
        <f t="shared" si="197"/>
        <v xml:space="preserve"> </v>
      </c>
      <c r="BG250" s="33" t="str">
        <f>IF(OR(ISBLANK(BE250), ISBLANK(BF250)),"",CONCATENATE(" ",VLOOKUP(BF250,Literatuur!$A:$B,2,FALSE)," "))</f>
        <v/>
      </c>
      <c r="BI250" s="44" t="str">
        <f t="shared" si="198"/>
        <v xml:space="preserve"> </v>
      </c>
      <c r="BJ250" s="33" t="str">
        <f>IF(OR(ISBLANK(BH250), ISBLANK(BI250)),"",CONCATENATE(" ",VLOOKUP(BI250,Literatuur!$A:$B,2,FALSE)," "))</f>
        <v/>
      </c>
      <c r="BL250" s="44" t="str">
        <f t="shared" si="199"/>
        <v xml:space="preserve"> </v>
      </c>
      <c r="BM250" s="33" t="str">
        <f>IF(OR(ISBLANK(BK250), ISBLANK(BL250)),"",CONCATENATE(" ",VLOOKUP(BL250,Literatuur!$A:$B,2,FALSE)," "))</f>
        <v/>
      </c>
      <c r="BP250" s="33" t="str">
        <f>IF(OR(ISBLANK(BN250), ISBLANK(BO250)),"",CONCATENATE(" ",VLOOKUP(BO250,Literatuur!$A:$B,2,FALSE)," "))</f>
        <v/>
      </c>
      <c r="BS250" s="33" t="str">
        <f>IF(OR(ISBLANK(BQ250), ISBLANK(BR250)),"",CONCATENATE(" ",VLOOKUP(BR250,Literatuur!$A:$B,2,FALSE)," "))</f>
        <v/>
      </c>
      <c r="BV250" s="33" t="str">
        <f>IF(OR(ISBLANK(BT250), ISBLANK(BU250)),"",CONCATENATE(" ",VLOOKUP(BU250,Literatuur!$A:$B,2,FALSE)," "))</f>
        <v/>
      </c>
      <c r="CE250" s="37">
        <f>I250</f>
        <v>88.15</v>
      </c>
      <c r="CG250" s="33">
        <f>LOG(J250)</f>
        <v>5.220108088040055</v>
      </c>
      <c r="CH250" s="33">
        <f>K250</f>
        <v>1.25</v>
      </c>
      <c r="CR250" s="33" t="str">
        <f t="shared" si="160"/>
        <v>2-Pentanol</v>
      </c>
      <c r="CS250" s="33" t="str">
        <f t="shared" si="161"/>
        <v>O2</v>
      </c>
      <c r="CT250" s="33">
        <f t="shared" si="184"/>
        <v>88.15</v>
      </c>
      <c r="CU250" s="33" t="str">
        <f t="shared" si="163"/>
        <v xml:space="preserve"> A </v>
      </c>
      <c r="CV250" s="33">
        <f t="shared" si="164"/>
        <v>166000</v>
      </c>
      <c r="CW250" s="33" t="str">
        <f t="shared" si="165"/>
        <v xml:space="preserve"> A </v>
      </c>
      <c r="CX250" s="33">
        <f t="shared" si="166"/>
        <v>1.25</v>
      </c>
      <c r="CY250" s="33" t="str">
        <f t="shared" si="167"/>
        <v xml:space="preserve"> A </v>
      </c>
    </row>
    <row r="251" spans="2:103" x14ac:dyDescent="0.2">
      <c r="B251" s="33">
        <v>-1661</v>
      </c>
      <c r="D251" s="21" t="s">
        <v>806</v>
      </c>
      <c r="E251" s="21" t="s">
        <v>806</v>
      </c>
      <c r="F251" s="4"/>
      <c r="G251" s="4"/>
      <c r="I251" s="33">
        <f t="shared" si="186"/>
        <v>122</v>
      </c>
      <c r="J251" s="33" t="e">
        <f t="shared" si="168"/>
        <v>#DIV/0!</v>
      </c>
      <c r="K251" s="44" t="e">
        <f t="shared" si="185"/>
        <v>#DIV/0!</v>
      </c>
      <c r="L251" s="33" t="e">
        <f t="shared" si="183"/>
        <v>#DIV/0!</v>
      </c>
      <c r="M251" s="33" t="s">
        <v>1893</v>
      </c>
      <c r="Q251" s="44" t="str">
        <f t="shared" si="187"/>
        <v xml:space="preserve"> </v>
      </c>
      <c r="R251" s="33" t="str">
        <f>IF(OR(ISBLANK(P251), ISBLANK(Q251)),"",CONCATENATE(" ",VLOOKUP(Q251,Literatuur!$A:$B,2,FALSE)," "))</f>
        <v/>
      </c>
      <c r="T251" s="44" t="str">
        <f t="shared" si="188"/>
        <v xml:space="preserve"> </v>
      </c>
      <c r="U251" s="33" t="str">
        <f>IF(OR(ISBLANK(S251), ISBLANK(T251)),"",CONCATENATE(" ",VLOOKUP(T251,Literatuur!$A:$B,2,FALSE)," "))</f>
        <v/>
      </c>
      <c r="W251" s="44" t="str">
        <f t="shared" si="189"/>
        <v xml:space="preserve"> </v>
      </c>
      <c r="X251" s="33" t="str">
        <f>IF(OR(ISBLANK(V251), ISBLANK(W251)),"",CONCATENATE(" ",VLOOKUP(W251,Literatuur!$A:$B,2,FALSE)," "))</f>
        <v/>
      </c>
      <c r="Z251" s="44" t="str">
        <f t="shared" si="190"/>
        <v xml:space="preserve"> </v>
      </c>
      <c r="AA251" s="33" t="str">
        <f>IF(OR(ISBLANK(Y251), ISBLANK(Z251)),"",CONCATENATE(" ",VLOOKUP(Z251,Literatuur!$A:$B,2,FALSE)," "))</f>
        <v/>
      </c>
      <c r="AC251" s="36" t="str">
        <f t="shared" si="191"/>
        <v xml:space="preserve"> </v>
      </c>
      <c r="AD251" s="33" t="str">
        <f>IF(OR(ISBLANK(AB251), ISBLANK(AC251)),"",CONCATENATE(" ",VLOOKUP(AC251,Literatuur!$A:$B,2,FALSE)," "))</f>
        <v/>
      </c>
      <c r="AG251" s="33" t="str">
        <f>IF(OR(ISBLANK(AE251), ISBLANK(AF251)),"",CONCATENATE(" ",VLOOKUP(AF251,Literatuur!$A:$B,2,FALSE)," "))</f>
        <v/>
      </c>
      <c r="AJ251" s="44" t="str">
        <f t="shared" si="192"/>
        <v xml:space="preserve"> </v>
      </c>
      <c r="AK251" s="33" t="str">
        <f>IF(OR(ISBLANK(AI251), ISBLANK(AJ251)),"",CONCATENATE(" ",VLOOKUP(AJ251,Literatuur!$A:$B,2,FALSE)," "))</f>
        <v/>
      </c>
      <c r="AM251" s="44" t="str">
        <f t="shared" si="193"/>
        <v xml:space="preserve"> </v>
      </c>
      <c r="AN251" s="33" t="str">
        <f>IF(OR(ISBLANK(AL251), ISBLANK(AM251)),"",CONCATENATE(" ",VLOOKUP(AM251,Literatuur!$A:$B,2,FALSE)," "))</f>
        <v/>
      </c>
      <c r="AP251" s="44" t="str">
        <f t="shared" si="194"/>
        <v xml:space="preserve"> </v>
      </c>
      <c r="AQ251" s="33" t="str">
        <f>IF(OR(ISBLANK(AO251), ISBLANK(AP251)),"",CONCATENATE(" ",VLOOKUP(AP251,Literatuur!$A:$B,2,FALSE)," "))</f>
        <v/>
      </c>
      <c r="AS251"/>
      <c r="AT251" s="33" t="str">
        <f>IF(OR(ISBLANK(AR251), ISBLANK(AS251)),"",CONCATENATE(" ",VLOOKUP(AS251,Literatuur!$A:$B,2,FALSE)," "))</f>
        <v/>
      </c>
      <c r="AU251">
        <v>122</v>
      </c>
      <c r="AV251" s="33" t="s">
        <v>1235</v>
      </c>
      <c r="AW251" s="33" t="str">
        <f>IF(OR(ISBLANK(AU251), ISBLANK(AV251)),"",CONCATENATE(" ",VLOOKUP(AV251,Literatuur!$A:$B,2,FALSE)," "))</f>
        <v xml:space="preserve"> 21 </v>
      </c>
      <c r="AZ251" s="44" t="str">
        <f t="shared" si="195"/>
        <v xml:space="preserve"> </v>
      </c>
      <c r="BA251" s="33" t="str">
        <f>IF(OR(ISBLANK(AY251), ISBLANK(AZ251)),"",CONCATENATE(" ",VLOOKUP(AZ251,Literatuur!$A:$B,2,FALSE)," "))</f>
        <v/>
      </c>
      <c r="BC251" s="44" t="str">
        <f t="shared" si="196"/>
        <v xml:space="preserve"> </v>
      </c>
      <c r="BD251" s="33" t="str">
        <f>IF(OR(ISBLANK(BB251), ISBLANK(BC251)),"",CONCATENATE(" ",VLOOKUP(BC251,Literatuur!$A:$B,2,FALSE)," "))</f>
        <v/>
      </c>
      <c r="BF251" s="44" t="str">
        <f t="shared" si="197"/>
        <v xml:space="preserve"> </v>
      </c>
      <c r="BG251" s="33" t="str">
        <f>IF(OR(ISBLANK(BE251), ISBLANK(BF251)),"",CONCATENATE(" ",VLOOKUP(BF251,Literatuur!$A:$B,2,FALSE)," "))</f>
        <v/>
      </c>
      <c r="BI251" s="44" t="str">
        <f t="shared" si="198"/>
        <v xml:space="preserve"> </v>
      </c>
      <c r="BJ251" s="33" t="str">
        <f>IF(OR(ISBLANK(BH251), ISBLANK(BI251)),"",CONCATENATE(" ",VLOOKUP(BI251,Literatuur!$A:$B,2,FALSE)," "))</f>
        <v/>
      </c>
      <c r="BL251" s="44" t="str">
        <f t="shared" si="199"/>
        <v xml:space="preserve"> </v>
      </c>
      <c r="BM251" s="33" t="str">
        <f>IF(OR(ISBLANK(BK251), ISBLANK(BL251)),"",CONCATENATE(" ",VLOOKUP(BL251,Literatuur!$A:$B,2,FALSE)," "))</f>
        <v/>
      </c>
      <c r="BP251" s="33" t="str">
        <f>IF(OR(ISBLANK(BN251), ISBLANK(BO251)),"",CONCATENATE(" ",VLOOKUP(BO251,Literatuur!$A:$B,2,FALSE)," "))</f>
        <v/>
      </c>
      <c r="BS251" s="33" t="str">
        <f>IF(OR(ISBLANK(BQ251), ISBLANK(BR251)),"",CONCATENATE(" ",VLOOKUP(BR251,Literatuur!$A:$B,2,FALSE)," "))</f>
        <v/>
      </c>
      <c r="BV251" s="33" t="str">
        <f>IF(OR(ISBLANK(BT251), ISBLANK(BU251)),"",CONCATENATE(" ",VLOOKUP(BU251,Literatuur!$A:$B,2,FALSE)," "))</f>
        <v/>
      </c>
      <c r="CR251" s="33" t="str">
        <f t="shared" si="160"/>
        <v>2-Phenly-ehtyl-alcohol</v>
      </c>
      <c r="CS251" s="33" t="str">
        <f t="shared" si="161"/>
        <v>O2</v>
      </c>
      <c r="CT251" s="33">
        <f t="shared" si="184"/>
        <v>122</v>
      </c>
      <c r="CU251" s="33" t="str">
        <f t="shared" si="163"/>
        <v xml:space="preserve"> 21 </v>
      </c>
      <c r="CV251" s="33" t="str">
        <f t="shared" si="164"/>
        <v/>
      </c>
      <c r="CW251" s="33" t="str">
        <f t="shared" si="165"/>
        <v/>
      </c>
      <c r="CX251" s="33" t="str">
        <f t="shared" si="166"/>
        <v/>
      </c>
      <c r="CY251" s="33" t="str">
        <f t="shared" si="167"/>
        <v/>
      </c>
    </row>
    <row r="252" spans="2:103" x14ac:dyDescent="0.2">
      <c r="B252" s="33">
        <v>-1694</v>
      </c>
      <c r="D252" s="105" t="s">
        <v>1246</v>
      </c>
      <c r="E252" s="105" t="s">
        <v>1390</v>
      </c>
      <c r="F252" s="33" t="s">
        <v>1391</v>
      </c>
      <c r="H252" s="34" t="s">
        <v>1247</v>
      </c>
      <c r="I252" s="33">
        <f t="shared" si="186"/>
        <v>60.1</v>
      </c>
      <c r="J252" s="33">
        <f t="shared" si="168"/>
        <v>1000000</v>
      </c>
      <c r="K252" s="44">
        <f t="shared" si="185"/>
        <v>0.05</v>
      </c>
      <c r="L252" s="33" t="e">
        <f t="shared" si="183"/>
        <v>#DIV/0!</v>
      </c>
      <c r="M252" s="33" t="s">
        <v>1893</v>
      </c>
      <c r="Q252" s="44" t="str">
        <f t="shared" si="187"/>
        <v xml:space="preserve"> </v>
      </c>
      <c r="R252" s="33" t="str">
        <f>IF(OR(ISBLANK(P252), ISBLANK(Q252)),"",CONCATENATE(" ",VLOOKUP(Q252,Literatuur!$A:$B,2,FALSE)," "))</f>
        <v/>
      </c>
      <c r="T252" s="44" t="str">
        <f t="shared" si="188"/>
        <v xml:space="preserve"> </v>
      </c>
      <c r="U252" s="33" t="str">
        <f>IF(OR(ISBLANK(S252), ISBLANK(T252)),"",CONCATENATE(" ",VLOOKUP(T252,Literatuur!$A:$B,2,FALSE)," "))</f>
        <v/>
      </c>
      <c r="W252" s="44" t="str">
        <f t="shared" si="189"/>
        <v xml:space="preserve"> </v>
      </c>
      <c r="X252" s="33" t="str">
        <f>IF(OR(ISBLANK(V252), ISBLANK(W252)),"",CONCATENATE(" ",VLOOKUP(W252,Literatuur!$A:$B,2,FALSE)," "))</f>
        <v/>
      </c>
      <c r="Y252" s="33">
        <v>1000000</v>
      </c>
      <c r="Z252" s="44" t="str">
        <f t="shared" si="190"/>
        <v>US EPA suite</v>
      </c>
      <c r="AA252" s="33" t="str">
        <f>IF(OR(ISBLANK(Y252), ISBLANK(Z252)),"",CONCATENATE(" ",VLOOKUP(Z252,Literatuur!$A:$B,2,FALSE)," "))</f>
        <v xml:space="preserve"> F </v>
      </c>
      <c r="AC252" s="36" t="str">
        <f t="shared" si="191"/>
        <v xml:space="preserve"> </v>
      </c>
      <c r="AD252" s="33" t="str">
        <f>IF(OR(ISBLANK(AB252), ISBLANK(AC252)),"",CONCATENATE(" ",VLOOKUP(AC252,Literatuur!$A:$B,2,FALSE)," "))</f>
        <v/>
      </c>
      <c r="AG252" s="33" t="str">
        <f>IF(OR(ISBLANK(AE252), ISBLANK(AF252)),"",CONCATENATE(" ",VLOOKUP(AF252,Literatuur!$A:$B,2,FALSE)," "))</f>
        <v/>
      </c>
      <c r="AJ252" s="44" t="str">
        <f t="shared" si="192"/>
        <v xml:space="preserve"> </v>
      </c>
      <c r="AK252" s="33" t="str">
        <f>IF(OR(ISBLANK(AI252), ISBLANK(AJ252)),"",CONCATENATE(" ",VLOOKUP(AJ252,Literatuur!$A:$B,2,FALSE)," "))</f>
        <v/>
      </c>
      <c r="AM252" s="44" t="str">
        <f t="shared" si="193"/>
        <v xml:space="preserve"> </v>
      </c>
      <c r="AN252" s="33" t="str">
        <f>IF(OR(ISBLANK(AL252), ISBLANK(AM252)),"",CONCATENATE(" ",VLOOKUP(AM252,Literatuur!$A:$B,2,FALSE)," "))</f>
        <v/>
      </c>
      <c r="AO252" s="33">
        <v>60.1</v>
      </c>
      <c r="AP252" s="44" t="str">
        <f t="shared" si="194"/>
        <v>US EPA suite</v>
      </c>
      <c r="AQ252" s="33" t="str">
        <f>IF(OR(ISBLANK(AO252), ISBLANK(AP252)),"",CONCATENATE(" ",VLOOKUP(AP252,Literatuur!$A:$B,2,FALSE)," "))</f>
        <v xml:space="preserve"> F </v>
      </c>
      <c r="AT252" s="33" t="str">
        <f>IF(OR(ISBLANK(AR252), ISBLANK(AS252)),"",CONCATENATE(" ",VLOOKUP(AS252,Literatuur!$A:$B,2,FALSE)," "))</f>
        <v/>
      </c>
      <c r="AW252" s="33" t="str">
        <f>IF(OR(ISBLANK(AU252), ISBLANK(AV252)),"",CONCATENATE(" ",VLOOKUP(AV252,Literatuur!$A:$B,2,FALSE)," "))</f>
        <v/>
      </c>
      <c r="AZ252" s="44" t="str">
        <f t="shared" si="195"/>
        <v xml:space="preserve"> </v>
      </c>
      <c r="BA252" s="33" t="str">
        <f>IF(OR(ISBLANK(AY252), ISBLANK(AZ252)),"",CONCATENATE(" ",VLOOKUP(AZ252,Literatuur!$A:$B,2,FALSE)," "))</f>
        <v/>
      </c>
      <c r="BC252" s="44" t="str">
        <f t="shared" si="196"/>
        <v xml:space="preserve"> </v>
      </c>
      <c r="BD252" s="33" t="str">
        <f>IF(OR(ISBLANK(BB252), ISBLANK(BC252)),"",CONCATENATE(" ",VLOOKUP(BC252,Literatuur!$A:$B,2,FALSE)," "))</f>
        <v/>
      </c>
      <c r="BF252" s="44" t="str">
        <f t="shared" si="197"/>
        <v xml:space="preserve"> </v>
      </c>
      <c r="BG252" s="33" t="str">
        <f>IF(OR(ISBLANK(BE252), ISBLANK(BF252)),"",CONCATENATE(" ",VLOOKUP(BF252,Literatuur!$A:$B,2,FALSE)," "))</f>
        <v/>
      </c>
      <c r="BH252" s="33">
        <v>0.05</v>
      </c>
      <c r="BI252" s="44" t="str">
        <f t="shared" si="198"/>
        <v>US EPA suite</v>
      </c>
      <c r="BJ252" s="33" t="str">
        <f>IF(OR(ISBLANK(BH252), ISBLANK(BI252)),"",CONCATENATE(" ",VLOOKUP(BI252,Literatuur!$A:$B,2,FALSE)," "))</f>
        <v xml:space="preserve"> F </v>
      </c>
      <c r="BL252" s="44" t="str">
        <f t="shared" si="199"/>
        <v xml:space="preserve"> </v>
      </c>
      <c r="BM252" s="33" t="str">
        <f>IF(OR(ISBLANK(BK252), ISBLANK(BL252)),"",CONCATENATE(" ",VLOOKUP(BL252,Literatuur!$A:$B,2,FALSE)," "))</f>
        <v/>
      </c>
      <c r="BP252" s="33" t="str">
        <f>IF(OR(ISBLANK(BN252), ISBLANK(BO252)),"",CONCATENATE(" ",VLOOKUP(BO252,Literatuur!$A:$B,2,FALSE)," "))</f>
        <v/>
      </c>
      <c r="BS252" s="33" t="str">
        <f>IF(OR(ISBLANK(BQ252), ISBLANK(BR252)),"",CONCATENATE(" ",VLOOKUP(BR252,Literatuur!$A:$B,2,FALSE)," "))</f>
        <v/>
      </c>
      <c r="BV252" s="33" t="str">
        <f>IF(OR(ISBLANK(BT252), ISBLANK(BU252)),"",CONCATENATE(" ",VLOOKUP(BU252,Literatuur!$A:$B,2,FALSE)," "))</f>
        <v/>
      </c>
      <c r="CG252" s="33">
        <f>LOG(J252)</f>
        <v>6</v>
      </c>
      <c r="CH252" s="33">
        <f>K252</f>
        <v>0.05</v>
      </c>
      <c r="CR252" s="33" t="str">
        <f t="shared" si="160"/>
        <v>2-Propanol</v>
      </c>
      <c r="CS252" s="33" t="str">
        <f t="shared" si="161"/>
        <v>O2</v>
      </c>
      <c r="CT252" s="33">
        <f t="shared" si="184"/>
        <v>60.1</v>
      </c>
      <c r="CU252" s="33" t="str">
        <f t="shared" si="163"/>
        <v xml:space="preserve"> F </v>
      </c>
      <c r="CV252" s="33">
        <f t="shared" si="164"/>
        <v>1000000</v>
      </c>
      <c r="CW252" s="33" t="str">
        <f t="shared" si="165"/>
        <v xml:space="preserve"> F </v>
      </c>
      <c r="CX252" s="33">
        <f t="shared" si="166"/>
        <v>0.05</v>
      </c>
      <c r="CY252" s="33" t="str">
        <f t="shared" si="167"/>
        <v xml:space="preserve"> F </v>
      </c>
    </row>
    <row r="253" spans="2:103" x14ac:dyDescent="0.2">
      <c r="B253" s="33">
        <v>-1673</v>
      </c>
      <c r="D253" s="21" t="s">
        <v>817</v>
      </c>
      <c r="E253" s="21" t="s">
        <v>817</v>
      </c>
      <c r="F253" s="4"/>
      <c r="G253" s="4"/>
      <c r="I253" s="33">
        <f t="shared" si="186"/>
        <v>158</v>
      </c>
      <c r="J253" s="33" t="e">
        <f t="shared" si="168"/>
        <v>#DIV/0!</v>
      </c>
      <c r="K253" s="44" t="e">
        <f t="shared" ref="K253:K284" si="200">IF(ISNUMBER(AY253),AY253,AVERAGE(BB253,BE253,BH253,BK253,BN253,BQ253,BT253))</f>
        <v>#DIV/0!</v>
      </c>
      <c r="L253" s="33" t="e">
        <f t="shared" si="183"/>
        <v>#DIV/0!</v>
      </c>
      <c r="M253" s="33" t="s">
        <v>1893</v>
      </c>
      <c r="Q253" s="44" t="str">
        <f t="shared" si="187"/>
        <v xml:space="preserve"> </v>
      </c>
      <c r="R253" s="33" t="str">
        <f>IF(OR(ISBLANK(P253), ISBLANK(Q253)),"",CONCATENATE(" ",VLOOKUP(Q253,Literatuur!$A:$B,2,FALSE)," "))</f>
        <v/>
      </c>
      <c r="T253" s="44" t="str">
        <f t="shared" si="188"/>
        <v xml:space="preserve"> </v>
      </c>
      <c r="U253" s="33" t="str">
        <f>IF(OR(ISBLANK(S253), ISBLANK(T253)),"",CONCATENATE(" ",VLOOKUP(T253,Literatuur!$A:$B,2,FALSE)," "))</f>
        <v/>
      </c>
      <c r="W253" s="44" t="str">
        <f t="shared" si="189"/>
        <v xml:space="preserve"> </v>
      </c>
      <c r="X253" s="33" t="str">
        <f>IF(OR(ISBLANK(V253), ISBLANK(W253)),"",CONCATENATE(" ",VLOOKUP(W253,Literatuur!$A:$B,2,FALSE)," "))</f>
        <v/>
      </c>
      <c r="Z253" s="44" t="str">
        <f t="shared" si="190"/>
        <v xml:space="preserve"> </v>
      </c>
      <c r="AA253" s="33" t="str">
        <f>IF(OR(ISBLANK(Y253), ISBLANK(Z253)),"",CONCATENATE(" ",VLOOKUP(Z253,Literatuur!$A:$B,2,FALSE)," "))</f>
        <v/>
      </c>
      <c r="AC253" s="36" t="str">
        <f t="shared" si="191"/>
        <v xml:space="preserve"> </v>
      </c>
      <c r="AD253" s="33" t="str">
        <f>IF(OR(ISBLANK(AB253), ISBLANK(AC253)),"",CONCATENATE(" ",VLOOKUP(AC253,Literatuur!$A:$B,2,FALSE)," "))</f>
        <v/>
      </c>
      <c r="AG253" s="33" t="str">
        <f>IF(OR(ISBLANK(AE253), ISBLANK(AF253)),"",CONCATENATE(" ",VLOOKUP(AF253,Literatuur!$A:$B,2,FALSE)," "))</f>
        <v/>
      </c>
      <c r="AJ253" s="44" t="str">
        <f t="shared" si="192"/>
        <v xml:space="preserve"> </v>
      </c>
      <c r="AK253" s="33" t="str">
        <f>IF(OR(ISBLANK(AI253), ISBLANK(AJ253)),"",CONCATENATE(" ",VLOOKUP(AJ253,Literatuur!$A:$B,2,FALSE)," "))</f>
        <v/>
      </c>
      <c r="AM253" s="44" t="str">
        <f t="shared" si="193"/>
        <v xml:space="preserve"> </v>
      </c>
      <c r="AN253" s="33" t="str">
        <f>IF(OR(ISBLANK(AL253), ISBLANK(AM253)),"",CONCATENATE(" ",VLOOKUP(AM253,Literatuur!$A:$B,2,FALSE)," "))</f>
        <v/>
      </c>
      <c r="AP253" s="44" t="str">
        <f t="shared" si="194"/>
        <v xml:space="preserve"> </v>
      </c>
      <c r="AQ253" s="33" t="str">
        <f>IF(OR(ISBLANK(AO253), ISBLANK(AP253)),"",CONCATENATE(" ",VLOOKUP(AP253,Literatuur!$A:$B,2,FALSE)," "))</f>
        <v/>
      </c>
      <c r="AS253"/>
      <c r="AT253" s="33" t="str">
        <f>IF(OR(ISBLANK(AR253), ISBLANK(AS253)),"",CONCATENATE(" ",VLOOKUP(AS253,Literatuur!$A:$B,2,FALSE)," "))</f>
        <v/>
      </c>
      <c r="AU253">
        <v>158</v>
      </c>
      <c r="AV253" s="33" t="s">
        <v>1235</v>
      </c>
      <c r="AW253" s="33" t="str">
        <f>IF(OR(ISBLANK(AU253), ISBLANK(AV253)),"",CONCATENATE(" ",VLOOKUP(AV253,Literatuur!$A:$B,2,FALSE)," "))</f>
        <v xml:space="preserve"> 21 </v>
      </c>
      <c r="AZ253" s="44" t="str">
        <f t="shared" si="195"/>
        <v xml:space="preserve"> </v>
      </c>
      <c r="BA253" s="33" t="str">
        <f>IF(OR(ISBLANK(AY253), ISBLANK(AZ253)),"",CONCATENATE(" ",VLOOKUP(AZ253,Literatuur!$A:$B,2,FALSE)," "))</f>
        <v/>
      </c>
      <c r="BC253" s="44" t="str">
        <f t="shared" si="196"/>
        <v xml:space="preserve"> </v>
      </c>
      <c r="BD253" s="33" t="str">
        <f>IF(OR(ISBLANK(BB253), ISBLANK(BC253)),"",CONCATENATE(" ",VLOOKUP(BC253,Literatuur!$A:$B,2,FALSE)," "))</f>
        <v/>
      </c>
      <c r="BF253" s="44" t="str">
        <f t="shared" si="197"/>
        <v xml:space="preserve"> </v>
      </c>
      <c r="BG253" s="33" t="str">
        <f>IF(OR(ISBLANK(BE253), ISBLANK(BF253)),"",CONCATENATE(" ",VLOOKUP(BF253,Literatuur!$A:$B,2,FALSE)," "))</f>
        <v/>
      </c>
      <c r="BI253" s="44" t="str">
        <f t="shared" si="198"/>
        <v xml:space="preserve"> </v>
      </c>
      <c r="BJ253" s="33" t="str">
        <f>IF(OR(ISBLANK(BH253), ISBLANK(BI253)),"",CONCATENATE(" ",VLOOKUP(BI253,Literatuur!$A:$B,2,FALSE)," "))</f>
        <v/>
      </c>
      <c r="BL253" s="44" t="str">
        <f t="shared" si="199"/>
        <v xml:space="preserve"> </v>
      </c>
      <c r="BM253" s="33" t="str">
        <f>IF(OR(ISBLANK(BK253), ISBLANK(BL253)),"",CONCATENATE(" ",VLOOKUP(BL253,Literatuur!$A:$B,2,FALSE)," "))</f>
        <v/>
      </c>
      <c r="BP253" s="33" t="str">
        <f>IF(OR(ISBLANK(BN253), ISBLANK(BO253)),"",CONCATENATE(" ",VLOOKUP(BO253,Literatuur!$A:$B,2,FALSE)," "))</f>
        <v/>
      </c>
      <c r="BS253" s="33" t="str">
        <f>IF(OR(ISBLANK(BQ253), ISBLANK(BR253)),"",CONCATENATE(" ",VLOOKUP(BR253,Literatuur!$A:$B,2,FALSE)," "))</f>
        <v/>
      </c>
      <c r="BV253" s="33" t="str">
        <f>IF(OR(ISBLANK(BT253), ISBLANK(BU253)),"",CONCATENATE(" ",VLOOKUP(BU253,Literatuur!$A:$B,2,FALSE)," "))</f>
        <v/>
      </c>
      <c r="CR253" s="33" t="str">
        <f t="shared" si="160"/>
        <v>3,7-Dimehtyl-octane-3-ol</v>
      </c>
      <c r="CS253" s="33" t="str">
        <f t="shared" si="161"/>
        <v>O2</v>
      </c>
      <c r="CT253" s="33">
        <f t="shared" si="184"/>
        <v>158</v>
      </c>
      <c r="CU253" s="33" t="str">
        <f t="shared" si="163"/>
        <v xml:space="preserve"> 21 </v>
      </c>
      <c r="CV253" s="33" t="str">
        <f t="shared" si="164"/>
        <v/>
      </c>
      <c r="CW253" s="33" t="str">
        <f t="shared" si="165"/>
        <v/>
      </c>
      <c r="CX253" s="33" t="str">
        <f t="shared" si="166"/>
        <v/>
      </c>
      <c r="CY253" s="33" t="str">
        <f t="shared" si="167"/>
        <v/>
      </c>
    </row>
    <row r="254" spans="2:103" x14ac:dyDescent="0.2">
      <c r="B254" s="33">
        <v>-1671</v>
      </c>
      <c r="D254" s="21" t="s">
        <v>815</v>
      </c>
      <c r="E254" s="21" t="s">
        <v>815</v>
      </c>
      <c r="F254" s="4"/>
      <c r="G254" s="4"/>
      <c r="I254" s="33">
        <f t="shared" si="186"/>
        <v>154</v>
      </c>
      <c r="J254" s="33" t="e">
        <f t="shared" si="168"/>
        <v>#DIV/0!</v>
      </c>
      <c r="K254" s="44" t="e">
        <f t="shared" si="200"/>
        <v>#DIV/0!</v>
      </c>
      <c r="L254" s="33" t="e">
        <f t="shared" si="183"/>
        <v>#DIV/0!</v>
      </c>
      <c r="M254" s="33" t="s">
        <v>1893</v>
      </c>
      <c r="Q254" s="44" t="str">
        <f t="shared" si="187"/>
        <v xml:space="preserve"> </v>
      </c>
      <c r="R254" s="33" t="str">
        <f>IF(OR(ISBLANK(P254), ISBLANK(Q254)),"",CONCATENATE(" ",VLOOKUP(Q254,Literatuur!$A:$B,2,FALSE)," "))</f>
        <v/>
      </c>
      <c r="T254" s="44" t="str">
        <f t="shared" si="188"/>
        <v xml:space="preserve"> </v>
      </c>
      <c r="U254" s="33" t="str">
        <f>IF(OR(ISBLANK(S254), ISBLANK(T254)),"",CONCATENATE(" ",VLOOKUP(T254,Literatuur!$A:$B,2,FALSE)," "))</f>
        <v/>
      </c>
      <c r="W254" s="44" t="str">
        <f t="shared" si="189"/>
        <v xml:space="preserve"> </v>
      </c>
      <c r="X254" s="33" t="str">
        <f>IF(OR(ISBLANK(V254), ISBLANK(W254)),"",CONCATENATE(" ",VLOOKUP(W254,Literatuur!$A:$B,2,FALSE)," "))</f>
        <v/>
      </c>
      <c r="Z254" s="44" t="str">
        <f t="shared" si="190"/>
        <v xml:space="preserve"> </v>
      </c>
      <c r="AA254" s="33" t="str">
        <f>IF(OR(ISBLANK(Y254), ISBLANK(Z254)),"",CONCATENATE(" ",VLOOKUP(Z254,Literatuur!$A:$B,2,FALSE)," "))</f>
        <v/>
      </c>
      <c r="AC254" s="36" t="str">
        <f t="shared" si="191"/>
        <v xml:space="preserve"> </v>
      </c>
      <c r="AD254" s="33" t="str">
        <f>IF(OR(ISBLANK(AB254), ISBLANK(AC254)),"",CONCATENATE(" ",VLOOKUP(AC254,Literatuur!$A:$B,2,FALSE)," "))</f>
        <v/>
      </c>
      <c r="AG254" s="33" t="str">
        <f>IF(OR(ISBLANK(AE254), ISBLANK(AF254)),"",CONCATENATE(" ",VLOOKUP(AF254,Literatuur!$A:$B,2,FALSE)," "))</f>
        <v/>
      </c>
      <c r="AJ254" s="44" t="str">
        <f t="shared" si="192"/>
        <v xml:space="preserve"> </v>
      </c>
      <c r="AK254" s="33" t="str">
        <f>IF(OR(ISBLANK(AI254), ISBLANK(AJ254)),"",CONCATENATE(" ",VLOOKUP(AJ254,Literatuur!$A:$B,2,FALSE)," "))</f>
        <v/>
      </c>
      <c r="AM254" s="44" t="str">
        <f t="shared" si="193"/>
        <v xml:space="preserve"> </v>
      </c>
      <c r="AN254" s="33" t="str">
        <f>IF(OR(ISBLANK(AL254), ISBLANK(AM254)),"",CONCATENATE(" ",VLOOKUP(AM254,Literatuur!$A:$B,2,FALSE)," "))</f>
        <v/>
      </c>
      <c r="AP254" s="44" t="str">
        <f t="shared" si="194"/>
        <v xml:space="preserve"> </v>
      </c>
      <c r="AQ254" s="33" t="str">
        <f>IF(OR(ISBLANK(AO254), ISBLANK(AP254)),"",CONCATENATE(" ",VLOOKUP(AP254,Literatuur!$A:$B,2,FALSE)," "))</f>
        <v/>
      </c>
      <c r="AS254"/>
      <c r="AT254" s="33" t="str">
        <f>IF(OR(ISBLANK(AR254), ISBLANK(AS254)),"",CONCATENATE(" ",VLOOKUP(AS254,Literatuur!$A:$B,2,FALSE)," "))</f>
        <v/>
      </c>
      <c r="AU254">
        <v>154</v>
      </c>
      <c r="AV254" s="33" t="s">
        <v>1235</v>
      </c>
      <c r="AW254" s="33" t="str">
        <f>IF(OR(ISBLANK(AU254), ISBLANK(AV254)),"",CONCATENATE(" ",VLOOKUP(AV254,Literatuur!$A:$B,2,FALSE)," "))</f>
        <v xml:space="preserve"> 21 </v>
      </c>
      <c r="AZ254" s="44" t="str">
        <f t="shared" si="195"/>
        <v xml:space="preserve"> </v>
      </c>
      <c r="BA254" s="33" t="str">
        <f>IF(OR(ISBLANK(AY254), ISBLANK(AZ254)),"",CONCATENATE(" ",VLOOKUP(AZ254,Literatuur!$A:$B,2,FALSE)," "))</f>
        <v/>
      </c>
      <c r="BC254" s="44" t="str">
        <f t="shared" si="196"/>
        <v xml:space="preserve"> </v>
      </c>
      <c r="BD254" s="33" t="str">
        <f>IF(OR(ISBLANK(BB254), ISBLANK(BC254)),"",CONCATENATE(" ",VLOOKUP(BC254,Literatuur!$A:$B,2,FALSE)," "))</f>
        <v/>
      </c>
      <c r="BF254" s="44" t="str">
        <f t="shared" si="197"/>
        <v xml:space="preserve"> </v>
      </c>
      <c r="BG254" s="33" t="str">
        <f>IF(OR(ISBLANK(BE254), ISBLANK(BF254)),"",CONCATENATE(" ",VLOOKUP(BF254,Literatuur!$A:$B,2,FALSE)," "))</f>
        <v/>
      </c>
      <c r="BI254" s="44" t="str">
        <f t="shared" si="198"/>
        <v xml:space="preserve"> </v>
      </c>
      <c r="BJ254" s="33" t="str">
        <f>IF(OR(ISBLANK(BH254), ISBLANK(BI254)),"",CONCATENATE(" ",VLOOKUP(BI254,Literatuur!$A:$B,2,FALSE)," "))</f>
        <v/>
      </c>
      <c r="BL254" s="44" t="str">
        <f t="shared" si="199"/>
        <v xml:space="preserve"> </v>
      </c>
      <c r="BM254" s="33" t="str">
        <f>IF(OR(ISBLANK(BK254), ISBLANK(BL254)),"",CONCATENATE(" ",VLOOKUP(BL254,Literatuur!$A:$B,2,FALSE)," "))</f>
        <v/>
      </c>
      <c r="BP254" s="33" t="str">
        <f>IF(OR(ISBLANK(BN254), ISBLANK(BO254)),"",CONCATENATE(" ",VLOOKUP(BO254,Literatuur!$A:$B,2,FALSE)," "))</f>
        <v/>
      </c>
      <c r="BS254" s="33" t="str">
        <f>IF(OR(ISBLANK(BQ254), ISBLANK(BR254)),"",CONCATENATE(" ",VLOOKUP(BR254,Literatuur!$A:$B,2,FALSE)," "))</f>
        <v/>
      </c>
      <c r="BV254" s="33" t="str">
        <f>IF(OR(ISBLANK(BT254), ISBLANK(BU254)),"",CONCATENATE(" ",VLOOKUP(BU254,Literatuur!$A:$B,2,FALSE)," "))</f>
        <v/>
      </c>
      <c r="CR254" s="33" t="str">
        <f t="shared" si="160"/>
        <v>3,7-Dimethyl-6-octene-al</v>
      </c>
      <c r="CS254" s="33" t="str">
        <f t="shared" si="161"/>
        <v>O2</v>
      </c>
      <c r="CT254" s="33">
        <f t="shared" si="184"/>
        <v>154</v>
      </c>
      <c r="CU254" s="33" t="str">
        <f t="shared" si="163"/>
        <v xml:space="preserve"> 21 </v>
      </c>
      <c r="CV254" s="33" t="str">
        <f t="shared" si="164"/>
        <v/>
      </c>
      <c r="CW254" s="33" t="str">
        <f t="shared" si="165"/>
        <v/>
      </c>
      <c r="CX254" s="33" t="str">
        <f t="shared" si="166"/>
        <v/>
      </c>
      <c r="CY254" s="33" t="str">
        <f t="shared" si="167"/>
        <v/>
      </c>
    </row>
    <row r="255" spans="2:103" x14ac:dyDescent="0.2">
      <c r="B255" s="33">
        <v>-1662</v>
      </c>
      <c r="D255" s="21" t="s">
        <v>807</v>
      </c>
      <c r="E255" s="21" t="s">
        <v>807</v>
      </c>
      <c r="F255" s="4"/>
      <c r="G255" s="4"/>
      <c r="I255" s="33">
        <f t="shared" si="186"/>
        <v>126</v>
      </c>
      <c r="J255" s="33" t="e">
        <f t="shared" si="168"/>
        <v>#DIV/0!</v>
      </c>
      <c r="K255" s="44" t="e">
        <f t="shared" si="200"/>
        <v>#DIV/0!</v>
      </c>
      <c r="L255" s="33" t="e">
        <f t="shared" si="183"/>
        <v>#DIV/0!</v>
      </c>
      <c r="M255" s="33" t="s">
        <v>1893</v>
      </c>
      <c r="Q255" s="44" t="str">
        <f t="shared" si="187"/>
        <v xml:space="preserve"> </v>
      </c>
      <c r="R255" s="33" t="str">
        <f>IF(OR(ISBLANK(P255), ISBLANK(Q255)),"",CONCATENATE(" ",VLOOKUP(Q255,Literatuur!$A:$B,2,FALSE)," "))</f>
        <v/>
      </c>
      <c r="T255" s="44" t="str">
        <f t="shared" si="188"/>
        <v xml:space="preserve"> </v>
      </c>
      <c r="U255" s="33" t="str">
        <f>IF(OR(ISBLANK(S255), ISBLANK(T255)),"",CONCATENATE(" ",VLOOKUP(T255,Literatuur!$A:$B,2,FALSE)," "))</f>
        <v/>
      </c>
      <c r="W255" s="44" t="str">
        <f t="shared" si="189"/>
        <v xml:space="preserve"> </v>
      </c>
      <c r="X255" s="33" t="str">
        <f>IF(OR(ISBLANK(V255), ISBLANK(W255)),"",CONCATENATE(" ",VLOOKUP(W255,Literatuur!$A:$B,2,FALSE)," "))</f>
        <v/>
      </c>
      <c r="Z255" s="44" t="str">
        <f t="shared" si="190"/>
        <v xml:space="preserve"> </v>
      </c>
      <c r="AA255" s="33" t="str">
        <f>IF(OR(ISBLANK(Y255), ISBLANK(Z255)),"",CONCATENATE(" ",VLOOKUP(Z255,Literatuur!$A:$B,2,FALSE)," "))</f>
        <v/>
      </c>
      <c r="AC255" s="36" t="str">
        <f t="shared" si="191"/>
        <v xml:space="preserve"> </v>
      </c>
      <c r="AD255" s="33" t="str">
        <f>IF(OR(ISBLANK(AB255), ISBLANK(AC255)),"",CONCATENATE(" ",VLOOKUP(AC255,Literatuur!$A:$B,2,FALSE)," "))</f>
        <v/>
      </c>
      <c r="AG255" s="33" t="str">
        <f>IF(OR(ISBLANK(AE255), ISBLANK(AF255)),"",CONCATENATE(" ",VLOOKUP(AF255,Literatuur!$A:$B,2,FALSE)," "))</f>
        <v/>
      </c>
      <c r="AJ255" s="44" t="str">
        <f t="shared" si="192"/>
        <v xml:space="preserve"> </v>
      </c>
      <c r="AK255" s="33" t="str">
        <f>IF(OR(ISBLANK(AI255), ISBLANK(AJ255)),"",CONCATENATE(" ",VLOOKUP(AJ255,Literatuur!$A:$B,2,FALSE)," "))</f>
        <v/>
      </c>
      <c r="AM255" s="44" t="str">
        <f t="shared" si="193"/>
        <v xml:space="preserve"> </v>
      </c>
      <c r="AN255" s="33" t="str">
        <f>IF(OR(ISBLANK(AL255), ISBLANK(AM255)),"",CONCATENATE(" ",VLOOKUP(AM255,Literatuur!$A:$B,2,FALSE)," "))</f>
        <v/>
      </c>
      <c r="AP255" s="44" t="str">
        <f t="shared" si="194"/>
        <v xml:space="preserve"> </v>
      </c>
      <c r="AQ255" s="33" t="str">
        <f>IF(OR(ISBLANK(AO255), ISBLANK(AP255)),"",CONCATENATE(" ",VLOOKUP(AP255,Literatuur!$A:$B,2,FALSE)," "))</f>
        <v/>
      </c>
      <c r="AS255"/>
      <c r="AT255" s="33" t="str">
        <f>IF(OR(ISBLANK(AR255), ISBLANK(AS255)),"",CONCATENATE(" ",VLOOKUP(AS255,Literatuur!$A:$B,2,FALSE)," "))</f>
        <v/>
      </c>
      <c r="AU255">
        <v>126</v>
      </c>
      <c r="AV255" s="33" t="s">
        <v>1235</v>
      </c>
      <c r="AW255" s="33" t="str">
        <f>IF(OR(ISBLANK(AU255), ISBLANK(AV255)),"",CONCATENATE(" ",VLOOKUP(AV255,Literatuur!$A:$B,2,FALSE)," "))</f>
        <v xml:space="preserve"> 21 </v>
      </c>
      <c r="AZ255" s="44" t="str">
        <f t="shared" si="195"/>
        <v xml:space="preserve"> </v>
      </c>
      <c r="BA255" s="33" t="str">
        <f>IF(OR(ISBLANK(AY255), ISBLANK(AZ255)),"",CONCATENATE(" ",VLOOKUP(AZ255,Literatuur!$A:$B,2,FALSE)," "))</f>
        <v/>
      </c>
      <c r="BC255" s="44" t="str">
        <f t="shared" si="196"/>
        <v xml:space="preserve"> </v>
      </c>
      <c r="BD255" s="33" t="str">
        <f>IF(OR(ISBLANK(BB255), ISBLANK(BC255)),"",CONCATENATE(" ",VLOOKUP(BC255,Literatuur!$A:$B,2,FALSE)," "))</f>
        <v/>
      </c>
      <c r="BF255" s="44" t="str">
        <f t="shared" si="197"/>
        <v xml:space="preserve"> </v>
      </c>
      <c r="BG255" s="33" t="str">
        <f>IF(OR(ISBLANK(BE255), ISBLANK(BF255)),"",CONCATENATE(" ",VLOOKUP(BF255,Literatuur!$A:$B,2,FALSE)," "))</f>
        <v/>
      </c>
      <c r="BI255" s="44" t="str">
        <f t="shared" si="198"/>
        <v xml:space="preserve"> </v>
      </c>
      <c r="BJ255" s="33" t="str">
        <f>IF(OR(ISBLANK(BH255), ISBLANK(BI255)),"",CONCATENATE(" ",VLOOKUP(BI255,Literatuur!$A:$B,2,FALSE)," "))</f>
        <v/>
      </c>
      <c r="BL255" s="44" t="str">
        <f t="shared" si="199"/>
        <v xml:space="preserve"> </v>
      </c>
      <c r="BM255" s="33" t="str">
        <f>IF(OR(ISBLANK(BK255), ISBLANK(BL255)),"",CONCATENATE(" ",VLOOKUP(BL255,Literatuur!$A:$B,2,FALSE)," "))</f>
        <v/>
      </c>
      <c r="BP255" s="33" t="str">
        <f>IF(OR(ISBLANK(BN255), ISBLANK(BO255)),"",CONCATENATE(" ",VLOOKUP(BO255,Literatuur!$A:$B,2,FALSE)," "))</f>
        <v/>
      </c>
      <c r="BS255" s="33" t="str">
        <f>IF(OR(ISBLANK(BQ255), ISBLANK(BR255)),"",CONCATENATE(" ",VLOOKUP(BR255,Literatuur!$A:$B,2,FALSE)," "))</f>
        <v/>
      </c>
      <c r="BV255" s="33" t="str">
        <f>IF(OR(ISBLANK(BT255), ISBLANK(BU255)),"",CONCATENATE(" ",VLOOKUP(BU255,Literatuur!$A:$B,2,FALSE)," "))</f>
        <v/>
      </c>
      <c r="CR255" s="33" t="str">
        <f t="shared" si="160"/>
        <v>3-Octene-2-one</v>
      </c>
      <c r="CS255" s="33" t="str">
        <f t="shared" si="161"/>
        <v>O2</v>
      </c>
      <c r="CT255" s="33">
        <f t="shared" si="184"/>
        <v>126</v>
      </c>
      <c r="CU255" s="33" t="str">
        <f t="shared" si="163"/>
        <v xml:space="preserve"> 21 </v>
      </c>
      <c r="CV255" s="33" t="str">
        <f t="shared" si="164"/>
        <v/>
      </c>
      <c r="CW255" s="33" t="str">
        <f t="shared" si="165"/>
        <v/>
      </c>
      <c r="CX255" s="33" t="str">
        <f t="shared" si="166"/>
        <v/>
      </c>
      <c r="CY255" s="33" t="str">
        <f t="shared" si="167"/>
        <v/>
      </c>
    </row>
    <row r="256" spans="2:103" x14ac:dyDescent="0.2">
      <c r="B256" s="33">
        <v>-1666</v>
      </c>
      <c r="D256" s="21" t="s">
        <v>810</v>
      </c>
      <c r="E256" s="21" t="s">
        <v>810</v>
      </c>
      <c r="F256" s="4"/>
      <c r="G256" s="4"/>
      <c r="I256" s="33">
        <f t="shared" si="186"/>
        <v>136</v>
      </c>
      <c r="J256" s="33" t="e">
        <f t="shared" si="168"/>
        <v>#DIV/0!</v>
      </c>
      <c r="K256" s="44" t="e">
        <f t="shared" si="200"/>
        <v>#DIV/0!</v>
      </c>
      <c r="L256" s="33" t="e">
        <f t="shared" si="183"/>
        <v>#DIV/0!</v>
      </c>
      <c r="M256" s="33" t="s">
        <v>1893</v>
      </c>
      <c r="Q256" s="44" t="str">
        <f t="shared" si="187"/>
        <v xml:space="preserve"> </v>
      </c>
      <c r="R256" s="33" t="str">
        <f>IF(OR(ISBLANK(P256), ISBLANK(Q256)),"",CONCATENATE(" ",VLOOKUP(Q256,Literatuur!$A:$B,2,FALSE)," "))</f>
        <v/>
      </c>
      <c r="T256" s="44" t="str">
        <f t="shared" si="188"/>
        <v xml:space="preserve"> </v>
      </c>
      <c r="U256" s="33" t="str">
        <f>IF(OR(ISBLANK(S256), ISBLANK(T256)),"",CONCATENATE(" ",VLOOKUP(T256,Literatuur!$A:$B,2,FALSE)," "))</f>
        <v/>
      </c>
      <c r="W256" s="44" t="str">
        <f t="shared" si="189"/>
        <v xml:space="preserve"> </v>
      </c>
      <c r="X256" s="33" t="str">
        <f>IF(OR(ISBLANK(V256), ISBLANK(W256)),"",CONCATENATE(" ",VLOOKUP(W256,Literatuur!$A:$B,2,FALSE)," "))</f>
        <v/>
      </c>
      <c r="Z256" s="44" t="str">
        <f t="shared" si="190"/>
        <v xml:space="preserve"> </v>
      </c>
      <c r="AA256" s="33" t="str">
        <f>IF(OR(ISBLANK(Y256), ISBLANK(Z256)),"",CONCATENATE(" ",VLOOKUP(Z256,Literatuur!$A:$B,2,FALSE)," "))</f>
        <v/>
      </c>
      <c r="AC256" s="36" t="str">
        <f t="shared" si="191"/>
        <v xml:space="preserve"> </v>
      </c>
      <c r="AD256" s="33" t="str">
        <f>IF(OR(ISBLANK(AB256), ISBLANK(AC256)),"",CONCATENATE(" ",VLOOKUP(AC256,Literatuur!$A:$B,2,FALSE)," "))</f>
        <v/>
      </c>
      <c r="AG256" s="33" t="str">
        <f>IF(OR(ISBLANK(AE256), ISBLANK(AF256)),"",CONCATENATE(" ",VLOOKUP(AF256,Literatuur!$A:$B,2,FALSE)," "))</f>
        <v/>
      </c>
      <c r="AJ256" s="44" t="str">
        <f t="shared" si="192"/>
        <v xml:space="preserve"> </v>
      </c>
      <c r="AK256" s="33" t="str">
        <f>IF(OR(ISBLANK(AI256), ISBLANK(AJ256)),"",CONCATENATE(" ",VLOOKUP(AJ256,Literatuur!$A:$B,2,FALSE)," "))</f>
        <v/>
      </c>
      <c r="AM256" s="44" t="str">
        <f t="shared" si="193"/>
        <v xml:space="preserve"> </v>
      </c>
      <c r="AN256" s="33" t="str">
        <f>IF(OR(ISBLANK(AL256), ISBLANK(AM256)),"",CONCATENATE(" ",VLOOKUP(AM256,Literatuur!$A:$B,2,FALSE)," "))</f>
        <v/>
      </c>
      <c r="AP256" s="44" t="str">
        <f t="shared" si="194"/>
        <v xml:space="preserve"> </v>
      </c>
      <c r="AQ256" s="33" t="str">
        <f>IF(OR(ISBLANK(AO256), ISBLANK(AP256)),"",CONCATENATE(" ",VLOOKUP(AP256,Literatuur!$A:$B,2,FALSE)," "))</f>
        <v/>
      </c>
      <c r="AS256"/>
      <c r="AT256" s="33" t="str">
        <f>IF(OR(ISBLANK(AR256), ISBLANK(AS256)),"",CONCATENATE(" ",VLOOKUP(AS256,Literatuur!$A:$B,2,FALSE)," "))</f>
        <v/>
      </c>
      <c r="AU256">
        <v>136</v>
      </c>
      <c r="AV256" s="33" t="s">
        <v>1235</v>
      </c>
      <c r="AW256" s="33" t="str">
        <f>IF(OR(ISBLANK(AU256), ISBLANK(AV256)),"",CONCATENATE(" ",VLOOKUP(AV256,Literatuur!$A:$B,2,FALSE)," "))</f>
        <v xml:space="preserve"> 21 </v>
      </c>
      <c r="AZ256" s="44" t="str">
        <f t="shared" si="195"/>
        <v xml:space="preserve"> </v>
      </c>
      <c r="BA256" s="33" t="str">
        <f>IF(OR(ISBLANK(AY256), ISBLANK(AZ256)),"",CONCATENATE(" ",VLOOKUP(AZ256,Literatuur!$A:$B,2,FALSE)," "))</f>
        <v/>
      </c>
      <c r="BC256" s="44" t="str">
        <f t="shared" si="196"/>
        <v xml:space="preserve"> </v>
      </c>
      <c r="BD256" s="33" t="str">
        <f>IF(OR(ISBLANK(BB256), ISBLANK(BC256)),"",CONCATENATE(" ",VLOOKUP(BC256,Literatuur!$A:$B,2,FALSE)," "))</f>
        <v/>
      </c>
      <c r="BF256" s="44" t="str">
        <f t="shared" si="197"/>
        <v xml:space="preserve"> </v>
      </c>
      <c r="BG256" s="33" t="str">
        <f>IF(OR(ISBLANK(BE256), ISBLANK(BF256)),"",CONCATENATE(" ",VLOOKUP(BF256,Literatuur!$A:$B,2,FALSE)," "))</f>
        <v/>
      </c>
      <c r="BI256" s="44" t="str">
        <f t="shared" si="198"/>
        <v xml:space="preserve"> </v>
      </c>
      <c r="BJ256" s="33" t="str">
        <f>IF(OR(ISBLANK(BH256), ISBLANK(BI256)),"",CONCATENATE(" ",VLOOKUP(BI256,Literatuur!$A:$B,2,FALSE)," "))</f>
        <v/>
      </c>
      <c r="BL256" s="44" t="str">
        <f t="shared" si="199"/>
        <v xml:space="preserve"> </v>
      </c>
      <c r="BM256" s="33" t="str">
        <f>IF(OR(ISBLANK(BK256), ISBLANK(BL256)),"",CONCATENATE(" ",VLOOKUP(BL256,Literatuur!$A:$B,2,FALSE)," "))</f>
        <v/>
      </c>
      <c r="BP256" s="33" t="str">
        <f>IF(OR(ISBLANK(BN256), ISBLANK(BO256)),"",CONCATENATE(" ",VLOOKUP(BO256,Literatuur!$A:$B,2,FALSE)," "))</f>
        <v/>
      </c>
      <c r="BS256" s="33" t="str">
        <f>IF(OR(ISBLANK(BQ256), ISBLANK(BR256)),"",CONCATENATE(" ",VLOOKUP(BR256,Literatuur!$A:$B,2,FALSE)," "))</f>
        <v/>
      </c>
      <c r="BV256" s="33" t="str">
        <f>IF(OR(ISBLANK(BT256), ISBLANK(BU256)),"",CONCATENATE(" ",VLOOKUP(BU256,Literatuur!$A:$B,2,FALSE)," "))</f>
        <v/>
      </c>
      <c r="CR256" s="33" t="str">
        <f t="shared" si="160"/>
        <v>3-Phenyl-1-propanol</v>
      </c>
      <c r="CS256" s="33" t="str">
        <f t="shared" si="161"/>
        <v>O2</v>
      </c>
      <c r="CT256" s="33">
        <f t="shared" si="184"/>
        <v>136</v>
      </c>
      <c r="CU256" s="33" t="str">
        <f t="shared" si="163"/>
        <v xml:space="preserve"> 21 </v>
      </c>
      <c r="CV256" s="33" t="str">
        <f t="shared" si="164"/>
        <v/>
      </c>
      <c r="CW256" s="33" t="str">
        <f t="shared" si="165"/>
        <v/>
      </c>
      <c r="CX256" s="33" t="str">
        <f t="shared" si="166"/>
        <v/>
      </c>
      <c r="CY256" s="33" t="str">
        <f t="shared" si="167"/>
        <v/>
      </c>
    </row>
    <row r="257" spans="2:103" x14ac:dyDescent="0.2">
      <c r="B257" s="33">
        <v>-1507</v>
      </c>
      <c r="D257" s="33" t="s">
        <v>448</v>
      </c>
      <c r="E257" s="33" t="s">
        <v>448</v>
      </c>
      <c r="F257" s="33" t="s">
        <v>926</v>
      </c>
      <c r="H257" s="34" t="s">
        <v>447</v>
      </c>
      <c r="I257" s="37">
        <f t="shared" si="186"/>
        <v>58.08</v>
      </c>
      <c r="J257" s="33">
        <f t="shared" si="168"/>
        <v>790000</v>
      </c>
      <c r="K257" s="44">
        <f t="shared" si="200"/>
        <v>-0.24</v>
      </c>
      <c r="L257" s="33">
        <f t="shared" si="183"/>
        <v>74</v>
      </c>
      <c r="M257" s="33" t="s">
        <v>1893</v>
      </c>
      <c r="Q257" s="44" t="str">
        <f t="shared" si="187"/>
        <v xml:space="preserve"> </v>
      </c>
      <c r="R257" s="33" t="str">
        <f>IF(OR(ISBLANK(P257), ISBLANK(Q257)),"",CONCATENATE(" ",VLOOKUP(Q257,Literatuur!$A:$B,2,FALSE)," "))</f>
        <v/>
      </c>
      <c r="S257" s="33">
        <v>790000</v>
      </c>
      <c r="T257" s="44" t="str">
        <f t="shared" si="188"/>
        <v>Gestis</v>
      </c>
      <c r="U257" s="33" t="str">
        <f>IF(OR(ISBLANK(S257), ISBLANK(T257)),"",CONCATENATE(" ",VLOOKUP(T257,Literatuur!$A:$B,2,FALSE)," "))</f>
        <v xml:space="preserve"> A </v>
      </c>
      <c r="W257" s="44" t="str">
        <f t="shared" si="189"/>
        <v xml:space="preserve"> </v>
      </c>
      <c r="X257" s="33" t="str">
        <f>IF(OR(ISBLANK(V257), ISBLANK(W257)),"",CONCATENATE(" ",VLOOKUP(W257,Literatuur!$A:$B,2,FALSE)," "))</f>
        <v/>
      </c>
      <c r="Z257" s="44" t="str">
        <f t="shared" si="190"/>
        <v xml:space="preserve"> </v>
      </c>
      <c r="AA257" s="33" t="str">
        <f>IF(OR(ISBLANK(Y257), ISBLANK(Z257)),"",CONCATENATE(" ",VLOOKUP(Z257,Literatuur!$A:$B,2,FALSE)," "))</f>
        <v/>
      </c>
      <c r="AC257" s="36" t="str">
        <f t="shared" si="191"/>
        <v xml:space="preserve"> </v>
      </c>
      <c r="AD257" s="33" t="str">
        <f>IF(OR(ISBLANK(AB257), ISBLANK(AC257)),"",CONCATENATE(" ",VLOOKUP(AC257,Literatuur!$A:$B,2,FALSE)," "))</f>
        <v/>
      </c>
      <c r="AG257" s="33" t="str">
        <f>IF(OR(ISBLANK(AE257), ISBLANK(AF257)),"",CONCATENATE(" ",VLOOKUP(AF257,Literatuur!$A:$B,2,FALSE)," "))</f>
        <v/>
      </c>
      <c r="AJ257" s="44" t="str">
        <f t="shared" si="192"/>
        <v xml:space="preserve"> </v>
      </c>
      <c r="AK257" s="33" t="str">
        <f>IF(OR(ISBLANK(AI257), ISBLANK(AJ257)),"",CONCATENATE(" ",VLOOKUP(AJ257,Literatuur!$A:$B,2,FALSE)," "))</f>
        <v/>
      </c>
      <c r="AL257" s="33">
        <v>58.08</v>
      </c>
      <c r="AM257" s="44" t="str">
        <f t="shared" si="193"/>
        <v>Gestis</v>
      </c>
      <c r="AN257" s="33" t="str">
        <f>IF(OR(ISBLANK(AL257), ISBLANK(AM257)),"",CONCATENATE(" ",VLOOKUP(AM257,Literatuur!$A:$B,2,FALSE)," "))</f>
        <v xml:space="preserve"> A </v>
      </c>
      <c r="AP257" s="44" t="str">
        <f t="shared" si="194"/>
        <v xml:space="preserve"> </v>
      </c>
      <c r="AQ257" s="33" t="str">
        <f>IF(OR(ISBLANK(AO257), ISBLANK(AP257)),"",CONCATENATE(" ",VLOOKUP(AP257,Literatuur!$A:$B,2,FALSE)," "))</f>
        <v/>
      </c>
      <c r="AT257" s="33" t="str">
        <f>IF(OR(ISBLANK(AR257), ISBLANK(AS257)),"",CONCATENATE(" ",VLOOKUP(AS257,Literatuur!$A:$B,2,FALSE)," "))</f>
        <v/>
      </c>
      <c r="AW257" s="33" t="str">
        <f>IF(OR(ISBLANK(AU257), ISBLANK(AV257)),"",CONCATENATE(" ",VLOOKUP(AV257,Literatuur!$A:$B,2,FALSE)," "))</f>
        <v/>
      </c>
      <c r="AZ257" s="44" t="str">
        <f t="shared" si="195"/>
        <v xml:space="preserve"> </v>
      </c>
      <c r="BA257" s="33" t="str">
        <f>IF(OR(ISBLANK(AY257), ISBLANK(AZ257)),"",CONCATENATE(" ",VLOOKUP(AZ257,Literatuur!$A:$B,2,FALSE)," "))</f>
        <v/>
      </c>
      <c r="BB257" s="33">
        <v>-0.24</v>
      </c>
      <c r="BC257" s="44" t="str">
        <f t="shared" si="196"/>
        <v>Gestis</v>
      </c>
      <c r="BD257" s="33" t="str">
        <f>IF(OR(ISBLANK(BB257), ISBLANK(BC257)),"",CONCATENATE(" ",VLOOKUP(BC257,Literatuur!$A:$B,2,FALSE)," "))</f>
        <v xml:space="preserve"> A </v>
      </c>
      <c r="BF257" s="44" t="str">
        <f t="shared" si="197"/>
        <v xml:space="preserve"> </v>
      </c>
      <c r="BG257" s="33" t="str">
        <f>IF(OR(ISBLANK(BE257), ISBLANK(BF257)),"",CONCATENATE(" ",VLOOKUP(BF257,Literatuur!$A:$B,2,FALSE)," "))</f>
        <v/>
      </c>
      <c r="BI257" s="44" t="str">
        <f t="shared" si="198"/>
        <v xml:space="preserve"> </v>
      </c>
      <c r="BJ257" s="33" t="str">
        <f>IF(OR(ISBLANK(BH257), ISBLANK(BI257)),"",CONCATENATE(" ",VLOOKUP(BI257,Literatuur!$A:$B,2,FALSE)," "))</f>
        <v/>
      </c>
      <c r="BL257" s="44" t="str">
        <f t="shared" si="199"/>
        <v xml:space="preserve"> </v>
      </c>
      <c r="BM257" s="33" t="str">
        <f>IF(OR(ISBLANK(BK257), ISBLANK(BL257)),"",CONCATENATE(" ",VLOOKUP(BL257,Literatuur!$A:$B,2,FALSE)," "))</f>
        <v/>
      </c>
      <c r="BP257" s="33" t="str">
        <f>IF(OR(ISBLANK(BN257), ISBLANK(BO257)),"",CONCATENATE(" ",VLOOKUP(BO257,Literatuur!$A:$B,2,FALSE)," "))</f>
        <v/>
      </c>
      <c r="BS257" s="33" t="str">
        <f>IF(OR(ISBLANK(BQ257), ISBLANK(BR257)),"",CONCATENATE(" ",VLOOKUP(BR257,Literatuur!$A:$B,2,FALSE)," "))</f>
        <v/>
      </c>
      <c r="BV257" s="33" t="str">
        <f>IF(OR(ISBLANK(BT257), ISBLANK(BU257)),"",CONCATENATE(" ",VLOOKUP(BU257,Literatuur!$A:$B,2,FALSE)," "))</f>
        <v/>
      </c>
      <c r="BY257" s="33">
        <v>74</v>
      </c>
      <c r="CB257" s="33" t="s">
        <v>1070</v>
      </c>
      <c r="CD257" s="33">
        <f>L257</f>
        <v>74</v>
      </c>
      <c r="CE257" s="37">
        <f t="shared" ref="CE257:CE264" si="201">I257</f>
        <v>58.08</v>
      </c>
      <c r="CG257" s="33">
        <f t="shared" ref="CG257:CG264" si="202">LOG(J257)</f>
        <v>5.8976270912904418</v>
      </c>
      <c r="CH257" s="33">
        <f t="shared" ref="CH257:CH264" si="203">K257</f>
        <v>-0.24</v>
      </c>
      <c r="CR257" s="33" t="str">
        <f t="shared" si="160"/>
        <v>Acetone</v>
      </c>
      <c r="CS257" s="33" t="str">
        <f t="shared" si="161"/>
        <v>O2</v>
      </c>
      <c r="CT257" s="33">
        <f t="shared" si="184"/>
        <v>58.08</v>
      </c>
      <c r="CU257" s="33" t="str">
        <f t="shared" si="163"/>
        <v xml:space="preserve"> A </v>
      </c>
      <c r="CV257" s="33">
        <f t="shared" si="164"/>
        <v>790000</v>
      </c>
      <c r="CW257" s="33" t="str">
        <f t="shared" si="165"/>
        <v xml:space="preserve"> A </v>
      </c>
      <c r="CX257" s="33">
        <f t="shared" si="166"/>
        <v>-0.24</v>
      </c>
      <c r="CY257" s="33" t="str">
        <f t="shared" si="167"/>
        <v xml:space="preserve"> A </v>
      </c>
    </row>
    <row r="258" spans="2:103" x14ac:dyDescent="0.2">
      <c r="B258" s="33">
        <v>-1417</v>
      </c>
      <c r="D258" s="33" t="s">
        <v>370</v>
      </c>
      <c r="E258" s="33" t="s">
        <v>1364</v>
      </c>
      <c r="F258" s="33" t="s">
        <v>1363</v>
      </c>
      <c r="G258" s="33">
        <v>-1</v>
      </c>
      <c r="H258" s="100" t="s">
        <v>387</v>
      </c>
      <c r="I258" s="37">
        <f t="shared" si="186"/>
        <v>170.21</v>
      </c>
      <c r="J258" s="33">
        <f t="shared" si="168"/>
        <v>20</v>
      </c>
      <c r="K258" s="44">
        <f t="shared" si="200"/>
        <v>4.21</v>
      </c>
      <c r="L258" s="33" t="e">
        <f t="shared" si="183"/>
        <v>#DIV/0!</v>
      </c>
      <c r="M258" s="33" t="s">
        <v>1893</v>
      </c>
      <c r="Q258" s="44" t="str">
        <f t="shared" si="187"/>
        <v xml:space="preserve"> </v>
      </c>
      <c r="R258" s="33" t="str">
        <f>IF(OR(ISBLANK(P258), ISBLANK(Q258)),"",CONCATENATE(" ",VLOOKUP(Q258,Literatuur!$A:$B,2,FALSE)," "))</f>
        <v/>
      </c>
      <c r="S258" s="33">
        <v>21</v>
      </c>
      <c r="T258" s="44" t="str">
        <f t="shared" si="188"/>
        <v>Gestis</v>
      </c>
      <c r="U258" s="33" t="str">
        <f>IF(OR(ISBLANK(S258), ISBLANK(T258)),"",CONCATENATE(" ",VLOOKUP(T258,Literatuur!$A:$B,2,FALSE)," "))</f>
        <v xml:space="preserve"> A </v>
      </c>
      <c r="W258" s="44" t="str">
        <f t="shared" si="189"/>
        <v xml:space="preserve"> </v>
      </c>
      <c r="X258" s="33" t="str">
        <f>IF(OR(ISBLANK(V258), ISBLANK(W258)),"",CONCATENATE(" ",VLOOKUP(W258,Literatuur!$A:$B,2,FALSE)," "))</f>
        <v/>
      </c>
      <c r="Y258" s="33">
        <v>18</v>
      </c>
      <c r="Z258" s="44" t="str">
        <f t="shared" si="190"/>
        <v>US EPA suite</v>
      </c>
      <c r="AA258" s="33" t="str">
        <f>IF(OR(ISBLANK(Y258), ISBLANK(Z258)),"",CONCATENATE(" ",VLOOKUP(Z258,Literatuur!$A:$B,2,FALSE)," "))</f>
        <v xml:space="preserve"> F </v>
      </c>
      <c r="AB258" s="33">
        <v>21</v>
      </c>
      <c r="AC258" s="36" t="str">
        <f t="shared" si="191"/>
        <v>Vonk 1985</v>
      </c>
      <c r="AD258" s="33" t="str">
        <f>IF(OR(ISBLANK(AB258), ISBLANK(AC258)),"",CONCATENATE(" ",VLOOKUP(AC258,Literatuur!$A:$B,2,FALSE)," "))</f>
        <v xml:space="preserve"> 37 </v>
      </c>
      <c r="AG258" s="33" t="str">
        <f>IF(OR(ISBLANK(AE258), ISBLANK(AF258)),"",CONCATENATE(" ",VLOOKUP(AF258,Literatuur!$A:$B,2,FALSE)," "))</f>
        <v/>
      </c>
      <c r="AJ258" s="44" t="str">
        <f t="shared" si="192"/>
        <v xml:space="preserve"> </v>
      </c>
      <c r="AK258" s="33" t="str">
        <f>IF(OR(ISBLANK(AI258), ISBLANK(AJ258)),"",CONCATENATE(" ",VLOOKUP(AJ258,Literatuur!$A:$B,2,FALSE)," "))</f>
        <v/>
      </c>
      <c r="AL258" s="33">
        <v>170.21</v>
      </c>
      <c r="AM258" s="44" t="str">
        <f t="shared" si="193"/>
        <v>Gestis</v>
      </c>
      <c r="AN258" s="33" t="str">
        <f>IF(OR(ISBLANK(AL258), ISBLANK(AM258)),"",CONCATENATE(" ",VLOOKUP(AM258,Literatuur!$A:$B,2,FALSE)," "))</f>
        <v xml:space="preserve"> A </v>
      </c>
      <c r="AO258" s="33">
        <v>170.21</v>
      </c>
      <c r="AP258" s="44" t="str">
        <f t="shared" si="194"/>
        <v>US EPA suite</v>
      </c>
      <c r="AQ258" s="33" t="str">
        <f>IF(OR(ISBLANK(AO258), ISBLANK(AP258)),"",CONCATENATE(" ",VLOOKUP(AP258,Literatuur!$A:$B,2,FALSE)," "))</f>
        <v xml:space="preserve"> F </v>
      </c>
      <c r="AT258" s="33" t="str">
        <f>IF(OR(ISBLANK(AR258), ISBLANK(AS258)),"",CONCATENATE(" ",VLOOKUP(AS258,Literatuur!$A:$B,2,FALSE)," "))</f>
        <v/>
      </c>
      <c r="AW258" s="33" t="str">
        <f>IF(OR(ISBLANK(AU258), ISBLANK(AV258)),"",CONCATENATE(" ",VLOOKUP(AV258,Literatuur!$A:$B,2,FALSE)," "))</f>
        <v/>
      </c>
      <c r="AZ258" s="44" t="str">
        <f t="shared" si="195"/>
        <v xml:space="preserve"> </v>
      </c>
      <c r="BA258" s="33" t="str">
        <f>IF(OR(ISBLANK(AY258), ISBLANK(AZ258)),"",CONCATENATE(" ",VLOOKUP(AZ258,Literatuur!$A:$B,2,FALSE)," "))</f>
        <v/>
      </c>
      <c r="BB258" s="33">
        <v>4.21</v>
      </c>
      <c r="BC258" s="44" t="str">
        <f t="shared" si="196"/>
        <v>Gestis</v>
      </c>
      <c r="BD258" s="33" t="str">
        <f>IF(OR(ISBLANK(BB258), ISBLANK(BC258)),"",CONCATENATE(" ",VLOOKUP(BC258,Literatuur!$A:$B,2,FALSE)," "))</f>
        <v xml:space="preserve"> A </v>
      </c>
      <c r="BF258" s="44" t="str">
        <f t="shared" si="197"/>
        <v xml:space="preserve"> </v>
      </c>
      <c r="BG258" s="33" t="str">
        <f>IF(OR(ISBLANK(BE258), ISBLANK(BF258)),"",CONCATENATE(" ",VLOOKUP(BF258,Literatuur!$A:$B,2,FALSE)," "))</f>
        <v/>
      </c>
      <c r="BH258" s="33">
        <v>4.21</v>
      </c>
      <c r="BI258" s="44" t="str">
        <f t="shared" si="198"/>
        <v>US EPA suite</v>
      </c>
      <c r="BJ258" s="33" t="str">
        <f>IF(OR(ISBLANK(BH258), ISBLANK(BI258)),"",CONCATENATE(" ",VLOOKUP(BI258,Literatuur!$A:$B,2,FALSE)," "))</f>
        <v xml:space="preserve"> F </v>
      </c>
      <c r="BL258" s="44" t="str">
        <f t="shared" si="199"/>
        <v xml:space="preserve"> </v>
      </c>
      <c r="BM258" s="33" t="str">
        <f>IF(OR(ISBLANK(BK258), ISBLANK(BL258)),"",CONCATENATE(" ",VLOOKUP(BL258,Literatuur!$A:$B,2,FALSE)," "))</f>
        <v/>
      </c>
      <c r="BP258" s="33" t="str">
        <f>IF(OR(ISBLANK(BN258), ISBLANK(BO258)),"",CONCATENATE(" ",VLOOKUP(BO258,Literatuur!$A:$B,2,FALSE)," "))</f>
        <v/>
      </c>
      <c r="BS258" s="33" t="str">
        <f>IF(OR(ISBLANK(BQ258), ISBLANK(BR258)),"",CONCATENATE(" ",VLOOKUP(BR258,Literatuur!$A:$B,2,FALSE)," "))</f>
        <v/>
      </c>
      <c r="BV258" s="33" t="str">
        <f>IF(OR(ISBLANK(BT258), ISBLANK(BU258)),"",CONCATENATE(" ",VLOOKUP(BU258,Literatuur!$A:$B,2,FALSE)," "))</f>
        <v/>
      </c>
      <c r="CE258" s="37">
        <f t="shared" si="201"/>
        <v>170.21</v>
      </c>
      <c r="CG258" s="33">
        <f t="shared" si="202"/>
        <v>1.3010299956639813</v>
      </c>
      <c r="CH258" s="33">
        <f t="shared" si="203"/>
        <v>4.21</v>
      </c>
      <c r="CR258" s="33" t="str">
        <f t="shared" si="160"/>
        <v>diphenyl ether</v>
      </c>
      <c r="CS258" s="33" t="str">
        <f t="shared" si="161"/>
        <v>O2</v>
      </c>
      <c r="CT258" s="33">
        <f t="shared" si="184"/>
        <v>170.21</v>
      </c>
      <c r="CU258" s="33" t="str">
        <f t="shared" si="163"/>
        <v xml:space="preserve"> A  F </v>
      </c>
      <c r="CV258" s="33">
        <f t="shared" si="164"/>
        <v>20</v>
      </c>
      <c r="CW258" s="33" t="str">
        <f t="shared" si="165"/>
        <v xml:space="preserve"> A  F  37 </v>
      </c>
      <c r="CX258" s="33">
        <f t="shared" si="166"/>
        <v>4.21</v>
      </c>
      <c r="CY258" s="33" t="str">
        <f t="shared" si="167"/>
        <v xml:space="preserve"> A  F </v>
      </c>
    </row>
    <row r="259" spans="2:103" x14ac:dyDescent="0.2">
      <c r="B259" s="33">
        <v>-1512</v>
      </c>
      <c r="D259" s="33" t="s">
        <v>1223</v>
      </c>
      <c r="E259" s="33" t="s">
        <v>1377</v>
      </c>
      <c r="F259" s="33" t="s">
        <v>851</v>
      </c>
      <c r="H259" s="34" t="s">
        <v>453</v>
      </c>
      <c r="I259" s="37">
        <f t="shared" si="186"/>
        <v>74.12</v>
      </c>
      <c r="J259" s="33">
        <f t="shared" si="168"/>
        <v>77000</v>
      </c>
      <c r="K259" s="44">
        <f t="shared" si="200"/>
        <v>0.84</v>
      </c>
      <c r="L259" s="33" t="e">
        <f t="shared" si="183"/>
        <v>#DIV/0!</v>
      </c>
      <c r="M259" s="33" t="s">
        <v>1893</v>
      </c>
      <c r="Q259" s="44" t="str">
        <f t="shared" si="187"/>
        <v xml:space="preserve"> </v>
      </c>
      <c r="R259" s="33" t="str">
        <f>IF(OR(ISBLANK(P259), ISBLANK(Q259)),"",CONCATENATE(" ",VLOOKUP(Q259,Literatuur!$A:$B,2,FALSE)," "))</f>
        <v/>
      </c>
      <c r="S259" s="33">
        <v>77000</v>
      </c>
      <c r="T259" s="44" t="str">
        <f t="shared" si="188"/>
        <v>Gestis</v>
      </c>
      <c r="U259" s="33" t="str">
        <f>IF(OR(ISBLANK(S259), ISBLANK(T259)),"",CONCATENATE(" ",VLOOKUP(T259,Literatuur!$A:$B,2,FALSE)," "))</f>
        <v xml:space="preserve"> A </v>
      </c>
      <c r="W259" s="44" t="str">
        <f t="shared" si="189"/>
        <v xml:space="preserve"> </v>
      </c>
      <c r="X259" s="33" t="str">
        <f>IF(OR(ISBLANK(V259), ISBLANK(W259)),"",CONCATENATE(" ",VLOOKUP(W259,Literatuur!$A:$B,2,FALSE)," "))</f>
        <v/>
      </c>
      <c r="Z259" s="44" t="str">
        <f t="shared" si="190"/>
        <v xml:space="preserve"> </v>
      </c>
      <c r="AA259" s="33" t="str">
        <f>IF(OR(ISBLANK(Y259), ISBLANK(Z259)),"",CONCATENATE(" ",VLOOKUP(Z259,Literatuur!$A:$B,2,FALSE)," "))</f>
        <v/>
      </c>
      <c r="AC259" s="36" t="str">
        <f t="shared" si="191"/>
        <v xml:space="preserve"> </v>
      </c>
      <c r="AD259" s="33" t="str">
        <f>IF(OR(ISBLANK(AB259), ISBLANK(AC259)),"",CONCATENATE(" ",VLOOKUP(AC259,Literatuur!$A:$B,2,FALSE)," "))</f>
        <v/>
      </c>
      <c r="AG259" s="33" t="str">
        <f>IF(OR(ISBLANK(AE259), ISBLANK(AF259)),"",CONCATENATE(" ",VLOOKUP(AF259,Literatuur!$A:$B,2,FALSE)," "))</f>
        <v/>
      </c>
      <c r="AJ259" s="44" t="str">
        <f t="shared" si="192"/>
        <v xml:space="preserve"> </v>
      </c>
      <c r="AK259" s="33" t="str">
        <f>IF(OR(ISBLANK(AI259), ISBLANK(AJ259)),"",CONCATENATE(" ",VLOOKUP(AJ259,Literatuur!$A:$B,2,FALSE)," "))</f>
        <v/>
      </c>
      <c r="AL259" s="33">
        <v>74.12</v>
      </c>
      <c r="AM259" s="44" t="str">
        <f t="shared" si="193"/>
        <v>Gestis</v>
      </c>
      <c r="AN259" s="33" t="str">
        <f>IF(OR(ISBLANK(AL259), ISBLANK(AM259)),"",CONCATENATE(" ",VLOOKUP(AM259,Literatuur!$A:$B,2,FALSE)," "))</f>
        <v xml:space="preserve"> A </v>
      </c>
      <c r="AP259" s="44" t="str">
        <f t="shared" si="194"/>
        <v xml:space="preserve"> </v>
      </c>
      <c r="AQ259" s="33" t="str">
        <f>IF(OR(ISBLANK(AO259), ISBLANK(AP259)),"",CONCATENATE(" ",VLOOKUP(AP259,Literatuur!$A:$B,2,FALSE)," "))</f>
        <v/>
      </c>
      <c r="AT259" s="33" t="str">
        <f>IF(OR(ISBLANK(AR259), ISBLANK(AS259)),"",CONCATENATE(" ",VLOOKUP(AS259,Literatuur!$A:$B,2,FALSE)," "))</f>
        <v/>
      </c>
      <c r="AW259" s="33" t="str">
        <f>IF(OR(ISBLANK(AU259), ISBLANK(AV259)),"",CONCATENATE(" ",VLOOKUP(AV259,Literatuur!$A:$B,2,FALSE)," "))</f>
        <v/>
      </c>
      <c r="AZ259" s="44" t="str">
        <f t="shared" si="195"/>
        <v xml:space="preserve"> </v>
      </c>
      <c r="BA259" s="33" t="str">
        <f>IF(OR(ISBLANK(AY259), ISBLANK(AZ259)),"",CONCATENATE(" ",VLOOKUP(AZ259,Literatuur!$A:$B,2,FALSE)," "))</f>
        <v/>
      </c>
      <c r="BB259" s="33">
        <v>0.84</v>
      </c>
      <c r="BC259" s="44" t="str">
        <f t="shared" si="196"/>
        <v>Gestis</v>
      </c>
      <c r="BD259" s="33" t="str">
        <f>IF(OR(ISBLANK(BB259), ISBLANK(BC259)),"",CONCATENATE(" ",VLOOKUP(BC259,Literatuur!$A:$B,2,FALSE)," "))</f>
        <v xml:space="preserve"> A </v>
      </c>
      <c r="BF259" s="44" t="str">
        <f t="shared" si="197"/>
        <v xml:space="preserve"> </v>
      </c>
      <c r="BG259" s="33" t="str">
        <f>IF(OR(ISBLANK(BE259), ISBLANK(BF259)),"",CONCATENATE(" ",VLOOKUP(BF259,Literatuur!$A:$B,2,FALSE)," "))</f>
        <v/>
      </c>
      <c r="BI259" s="44" t="str">
        <f t="shared" si="198"/>
        <v xml:space="preserve"> </v>
      </c>
      <c r="BJ259" s="33" t="str">
        <f>IF(OR(ISBLANK(BH259), ISBLANK(BI259)),"",CONCATENATE(" ",VLOOKUP(BI259,Literatuur!$A:$B,2,FALSE)," "))</f>
        <v/>
      </c>
      <c r="BL259" s="44" t="str">
        <f t="shared" si="199"/>
        <v xml:space="preserve"> </v>
      </c>
      <c r="BM259" s="33" t="str">
        <f>IF(OR(ISBLANK(BK259), ISBLANK(BL259)),"",CONCATENATE(" ",VLOOKUP(BL259,Literatuur!$A:$B,2,FALSE)," "))</f>
        <v/>
      </c>
      <c r="BP259" s="33" t="str">
        <f>IF(OR(ISBLANK(BN259), ISBLANK(BO259)),"",CONCATENATE(" ",VLOOKUP(BO259,Literatuur!$A:$B,2,FALSE)," "))</f>
        <v/>
      </c>
      <c r="BS259" s="33" t="str">
        <f>IF(OR(ISBLANK(BQ259), ISBLANK(BR259)),"",CONCATENATE(" ",VLOOKUP(BR259,Literatuur!$A:$B,2,FALSE)," "))</f>
        <v/>
      </c>
      <c r="BV259" s="33" t="str">
        <f>IF(OR(ISBLANK(BT259), ISBLANK(BU259)),"",CONCATENATE(" ",VLOOKUP(BU259,Literatuur!$A:$B,2,FALSE)," "))</f>
        <v/>
      </c>
      <c r="CE259" s="37">
        <f t="shared" si="201"/>
        <v>74.12</v>
      </c>
      <c r="CG259" s="33">
        <f t="shared" si="202"/>
        <v>4.8864907251724823</v>
      </c>
      <c r="CH259" s="33">
        <f t="shared" si="203"/>
        <v>0.84</v>
      </c>
      <c r="CR259" s="33" t="str">
        <f t="shared" si="160"/>
        <v xml:space="preserve">Butylalcohol </v>
      </c>
      <c r="CS259" s="33" t="str">
        <f t="shared" si="161"/>
        <v>O2</v>
      </c>
      <c r="CT259" s="33">
        <f t="shared" si="184"/>
        <v>74.12</v>
      </c>
      <c r="CU259" s="33" t="str">
        <f t="shared" si="163"/>
        <v xml:space="preserve"> A </v>
      </c>
      <c r="CV259" s="33">
        <f t="shared" si="164"/>
        <v>77000</v>
      </c>
      <c r="CW259" s="33" t="str">
        <f t="shared" si="165"/>
        <v xml:space="preserve"> A </v>
      </c>
      <c r="CX259" s="33">
        <f t="shared" si="166"/>
        <v>0.84</v>
      </c>
      <c r="CY259" s="33" t="str">
        <f t="shared" si="167"/>
        <v xml:space="preserve"> A </v>
      </c>
    </row>
    <row r="260" spans="2:103" x14ac:dyDescent="0.2">
      <c r="B260" s="33">
        <v>-1533</v>
      </c>
      <c r="D260" s="4" t="s">
        <v>510</v>
      </c>
      <c r="E260" s="4" t="s">
        <v>510</v>
      </c>
      <c r="F260" s="4" t="s">
        <v>1371</v>
      </c>
      <c r="G260" s="4"/>
      <c r="I260" s="33">
        <f t="shared" si="186"/>
        <v>72.11</v>
      </c>
      <c r="J260" s="33">
        <f t="shared" si="168"/>
        <v>71000</v>
      </c>
      <c r="K260" s="44">
        <f t="shared" si="200"/>
        <v>0.88</v>
      </c>
      <c r="L260" s="33">
        <f t="shared" si="183"/>
        <v>89.6</v>
      </c>
      <c r="M260" s="33" t="s">
        <v>1893</v>
      </c>
      <c r="Q260" s="44" t="str">
        <f t="shared" si="187"/>
        <v xml:space="preserve"> </v>
      </c>
      <c r="R260" s="33" t="str">
        <f>IF(OR(ISBLANK(P260), ISBLANK(Q260)),"",CONCATENATE(" ",VLOOKUP(Q260,Literatuur!$A:$B,2,FALSE)," "))</f>
        <v/>
      </c>
      <c r="T260" s="44" t="str">
        <f t="shared" si="188"/>
        <v xml:space="preserve"> </v>
      </c>
      <c r="U260" s="33" t="str">
        <f>IF(OR(ISBLANK(S260), ISBLANK(T260)),"",CONCATENATE(" ",VLOOKUP(T260,Literatuur!$A:$B,2,FALSE)," "))</f>
        <v/>
      </c>
      <c r="W260" s="44" t="str">
        <f t="shared" si="189"/>
        <v xml:space="preserve"> </v>
      </c>
      <c r="X260" s="33" t="str">
        <f>IF(OR(ISBLANK(V260), ISBLANK(W260)),"",CONCATENATE(" ",VLOOKUP(W260,Literatuur!$A:$B,2,FALSE)," "))</f>
        <v/>
      </c>
      <c r="Y260" s="33">
        <v>71000</v>
      </c>
      <c r="Z260" s="44" t="str">
        <f t="shared" si="190"/>
        <v>US EPA suite</v>
      </c>
      <c r="AA260" s="33" t="str">
        <f>IF(OR(ISBLANK(Y260), ISBLANK(Z260)),"",CONCATENATE(" ",VLOOKUP(Z260,Literatuur!$A:$B,2,FALSE)," "))</f>
        <v xml:space="preserve"> F </v>
      </c>
      <c r="AC260" s="36" t="str">
        <f t="shared" si="191"/>
        <v xml:space="preserve"> </v>
      </c>
      <c r="AD260" s="33" t="str">
        <f>IF(OR(ISBLANK(AB260), ISBLANK(AC260)),"",CONCATENATE(" ",VLOOKUP(AC260,Literatuur!$A:$B,2,FALSE)," "))</f>
        <v/>
      </c>
      <c r="AG260" s="33" t="str">
        <f>IF(OR(ISBLANK(AE260), ISBLANK(AF260)),"",CONCATENATE(" ",VLOOKUP(AF260,Literatuur!$A:$B,2,FALSE)," "))</f>
        <v/>
      </c>
      <c r="AJ260" s="44" t="str">
        <f t="shared" si="192"/>
        <v xml:space="preserve"> </v>
      </c>
      <c r="AK260" s="33" t="str">
        <f>IF(OR(ISBLANK(AI260), ISBLANK(AJ260)),"",CONCATENATE(" ",VLOOKUP(AJ260,Literatuur!$A:$B,2,FALSE)," "))</f>
        <v/>
      </c>
      <c r="AM260" s="44" t="str">
        <f t="shared" si="193"/>
        <v xml:space="preserve"> </v>
      </c>
      <c r="AN260" s="33" t="str">
        <f>IF(OR(ISBLANK(AL260), ISBLANK(AM260)),"",CONCATENATE(" ",VLOOKUP(AM260,Literatuur!$A:$B,2,FALSE)," "))</f>
        <v/>
      </c>
      <c r="AO260" s="33">
        <v>72.11</v>
      </c>
      <c r="AP260" s="44" t="str">
        <f t="shared" si="194"/>
        <v>US EPA suite</v>
      </c>
      <c r="AQ260" s="33" t="str">
        <f>IF(OR(ISBLANK(AO260), ISBLANK(AP260)),"",CONCATENATE(" ",VLOOKUP(AP260,Literatuur!$A:$B,2,FALSE)," "))</f>
        <v xml:space="preserve"> F </v>
      </c>
      <c r="AT260" s="33" t="str">
        <f>IF(OR(ISBLANK(AR260), ISBLANK(AS260)),"",CONCATENATE(" ",VLOOKUP(AS260,Literatuur!$A:$B,2,FALSE)," "))</f>
        <v/>
      </c>
      <c r="AW260" s="33" t="str">
        <f>IF(OR(ISBLANK(AU260), ISBLANK(AV260)),"",CONCATENATE(" ",VLOOKUP(AV260,Literatuur!$A:$B,2,FALSE)," "))</f>
        <v/>
      </c>
      <c r="AZ260" s="44" t="str">
        <f t="shared" si="195"/>
        <v xml:space="preserve"> </v>
      </c>
      <c r="BA260" s="33" t="str">
        <f>IF(OR(ISBLANK(AY260), ISBLANK(AZ260)),"",CONCATENATE(" ",VLOOKUP(AZ260,Literatuur!$A:$B,2,FALSE)," "))</f>
        <v/>
      </c>
      <c r="BC260" s="44" t="str">
        <f t="shared" si="196"/>
        <v xml:space="preserve"> </v>
      </c>
      <c r="BD260" s="33" t="str">
        <f>IF(OR(ISBLANK(BB260), ISBLANK(BC260)),"",CONCATENATE(" ",VLOOKUP(BC260,Literatuur!$A:$B,2,FALSE)," "))</f>
        <v/>
      </c>
      <c r="BF260" s="44" t="str">
        <f t="shared" si="197"/>
        <v xml:space="preserve"> </v>
      </c>
      <c r="BG260" s="33" t="str">
        <f>IF(OR(ISBLANK(BE260), ISBLANK(BF260)),"",CONCATENATE(" ",VLOOKUP(BF260,Literatuur!$A:$B,2,FALSE)," "))</f>
        <v/>
      </c>
      <c r="BH260" s="33">
        <v>0.88</v>
      </c>
      <c r="BI260" s="44" t="str">
        <f t="shared" si="198"/>
        <v>US EPA suite</v>
      </c>
      <c r="BJ260" s="33" t="str">
        <f>IF(OR(ISBLANK(BH260), ISBLANK(BI260)),"",CONCATENATE(" ",VLOOKUP(BI260,Literatuur!$A:$B,2,FALSE)," "))</f>
        <v xml:space="preserve"> F </v>
      </c>
      <c r="BL260" s="44" t="str">
        <f t="shared" si="199"/>
        <v xml:space="preserve"> </v>
      </c>
      <c r="BM260" s="33" t="str">
        <f>IF(OR(ISBLANK(BK260), ISBLANK(BL260)),"",CONCATENATE(" ",VLOOKUP(BL260,Literatuur!$A:$B,2,FALSE)," "))</f>
        <v/>
      </c>
      <c r="BP260" s="33" t="str">
        <f>IF(OR(ISBLANK(BN260), ISBLANK(BO260)),"",CONCATENATE(" ",VLOOKUP(BO260,Literatuur!$A:$B,2,FALSE)," "))</f>
        <v/>
      </c>
      <c r="BS260" s="33" t="str">
        <f>IF(OR(ISBLANK(BQ260), ISBLANK(BR260)),"",CONCATENATE(" ",VLOOKUP(BR260,Literatuur!$A:$B,2,FALSE)," "))</f>
        <v/>
      </c>
      <c r="BV260" s="33" t="str">
        <f>IF(OR(ISBLANK(BT260), ISBLANK(BU260)),"",CONCATENATE(" ",VLOOKUP(BU260,Literatuur!$A:$B,2,FALSE)," "))</f>
        <v/>
      </c>
      <c r="BY260" s="33">
        <v>89.6</v>
      </c>
      <c r="CB260" s="33" t="s">
        <v>1070</v>
      </c>
      <c r="CD260" s="33">
        <f>L260</f>
        <v>89.6</v>
      </c>
      <c r="CE260" s="37">
        <f t="shared" si="201"/>
        <v>72.11</v>
      </c>
      <c r="CG260" s="33">
        <f t="shared" si="202"/>
        <v>4.8512583487190755</v>
      </c>
      <c r="CH260" s="33">
        <f t="shared" si="203"/>
        <v>0.88</v>
      </c>
      <c r="CR260" s="33" t="str">
        <f t="shared" si="160"/>
        <v>Butyraldehyde</v>
      </c>
      <c r="CS260" s="33" t="str">
        <f t="shared" si="161"/>
        <v>O2</v>
      </c>
      <c r="CT260" s="33">
        <f t="shared" si="184"/>
        <v>72.11</v>
      </c>
      <c r="CU260" s="33" t="str">
        <f t="shared" si="163"/>
        <v xml:space="preserve"> F </v>
      </c>
      <c r="CV260" s="33">
        <f t="shared" si="164"/>
        <v>71000</v>
      </c>
      <c r="CW260" s="33" t="str">
        <f t="shared" si="165"/>
        <v xml:space="preserve"> F </v>
      </c>
      <c r="CX260" s="33">
        <f t="shared" si="166"/>
        <v>0.88</v>
      </c>
      <c r="CY260" s="33" t="str">
        <f t="shared" si="167"/>
        <v xml:space="preserve"> F </v>
      </c>
    </row>
    <row r="261" spans="2:103" x14ac:dyDescent="0.2">
      <c r="B261" s="33">
        <v>-1511</v>
      </c>
      <c r="D261" s="33" t="s">
        <v>484</v>
      </c>
      <c r="E261" s="33" t="s">
        <v>510</v>
      </c>
      <c r="F261" s="33" t="s">
        <v>1371</v>
      </c>
      <c r="H261" s="34" t="s">
        <v>451</v>
      </c>
      <c r="I261" s="37">
        <f t="shared" ref="I261:I297" si="204">IF(ISNUMBER(AI261),AI261,AVERAGE(AL261:AU261))</f>
        <v>72.11</v>
      </c>
      <c r="J261" s="33">
        <f t="shared" si="168"/>
        <v>37000</v>
      </c>
      <c r="K261" s="44">
        <f t="shared" si="200"/>
        <v>0.88</v>
      </c>
      <c r="L261" s="33" t="e">
        <f t="shared" si="183"/>
        <v>#DIV/0!</v>
      </c>
      <c r="M261" s="33" t="s">
        <v>1893</v>
      </c>
      <c r="Q261" s="44" t="str">
        <f t="shared" si="187"/>
        <v xml:space="preserve"> </v>
      </c>
      <c r="R261" s="33" t="str">
        <f>IF(OR(ISBLANK(P261), ISBLANK(Q261)),"",CONCATENATE(" ",VLOOKUP(Q261,Literatuur!$A:$B,2,FALSE)," "))</f>
        <v/>
      </c>
      <c r="S261" s="33">
        <v>37000</v>
      </c>
      <c r="T261" s="44" t="str">
        <f t="shared" si="188"/>
        <v>Gestis</v>
      </c>
      <c r="U261" s="33" t="str">
        <f>IF(OR(ISBLANK(S261), ISBLANK(T261)),"",CONCATENATE(" ",VLOOKUP(T261,Literatuur!$A:$B,2,FALSE)," "))</f>
        <v xml:space="preserve"> A </v>
      </c>
      <c r="W261" s="44" t="str">
        <f t="shared" si="189"/>
        <v xml:space="preserve"> </v>
      </c>
      <c r="X261" s="33" t="str">
        <f>IF(OR(ISBLANK(V261), ISBLANK(W261)),"",CONCATENATE(" ",VLOOKUP(W261,Literatuur!$A:$B,2,FALSE)," "))</f>
        <v/>
      </c>
      <c r="Z261" s="44" t="str">
        <f t="shared" si="190"/>
        <v xml:space="preserve"> </v>
      </c>
      <c r="AA261" s="33" t="str">
        <f>IF(OR(ISBLANK(Y261), ISBLANK(Z261)),"",CONCATENATE(" ",VLOOKUP(Z261,Literatuur!$A:$B,2,FALSE)," "))</f>
        <v/>
      </c>
      <c r="AC261" s="36" t="str">
        <f t="shared" si="191"/>
        <v xml:space="preserve"> </v>
      </c>
      <c r="AD261" s="33" t="str">
        <f>IF(OR(ISBLANK(AB261), ISBLANK(AC261)),"",CONCATENATE(" ",VLOOKUP(AC261,Literatuur!$A:$B,2,FALSE)," "))</f>
        <v/>
      </c>
      <c r="AG261" s="33" t="str">
        <f>IF(OR(ISBLANK(AE261), ISBLANK(AF261)),"",CONCATENATE(" ",VLOOKUP(AF261,Literatuur!$A:$B,2,FALSE)," "))</f>
        <v/>
      </c>
      <c r="AJ261" s="44" t="str">
        <f t="shared" si="192"/>
        <v xml:space="preserve"> </v>
      </c>
      <c r="AK261" s="33" t="str">
        <f>IF(OR(ISBLANK(AI261), ISBLANK(AJ261)),"",CONCATENATE(" ",VLOOKUP(AJ261,Literatuur!$A:$B,2,FALSE)," "))</f>
        <v/>
      </c>
      <c r="AL261" s="33">
        <v>72.11</v>
      </c>
      <c r="AM261" s="44" t="str">
        <f t="shared" si="193"/>
        <v>Gestis</v>
      </c>
      <c r="AN261" s="33" t="str">
        <f>IF(OR(ISBLANK(AL261), ISBLANK(AM261)),"",CONCATENATE(" ",VLOOKUP(AM261,Literatuur!$A:$B,2,FALSE)," "))</f>
        <v xml:space="preserve"> A </v>
      </c>
      <c r="AP261" s="44" t="str">
        <f t="shared" si="194"/>
        <v xml:space="preserve"> </v>
      </c>
      <c r="AQ261" s="33" t="str">
        <f>IF(OR(ISBLANK(AO261), ISBLANK(AP261)),"",CONCATENATE(" ",VLOOKUP(AP261,Literatuur!$A:$B,2,FALSE)," "))</f>
        <v/>
      </c>
      <c r="AT261" s="33" t="str">
        <f>IF(OR(ISBLANK(AR261), ISBLANK(AS261)),"",CONCATENATE(" ",VLOOKUP(AS261,Literatuur!$A:$B,2,FALSE)," "))</f>
        <v/>
      </c>
      <c r="AW261" s="33" t="str">
        <f>IF(OR(ISBLANK(AU261), ISBLANK(AV261)),"",CONCATENATE(" ",VLOOKUP(AV261,Literatuur!$A:$B,2,FALSE)," "))</f>
        <v/>
      </c>
      <c r="AZ261" s="44" t="str">
        <f t="shared" si="195"/>
        <v xml:space="preserve"> </v>
      </c>
      <c r="BA261" s="33" t="str">
        <f>IF(OR(ISBLANK(AY261), ISBLANK(AZ261)),"",CONCATENATE(" ",VLOOKUP(AZ261,Literatuur!$A:$B,2,FALSE)," "))</f>
        <v/>
      </c>
      <c r="BB261" s="33">
        <v>0.88</v>
      </c>
      <c r="BC261" s="44" t="str">
        <f t="shared" si="196"/>
        <v>Gestis</v>
      </c>
      <c r="BD261" s="33" t="str">
        <f>IF(OR(ISBLANK(BB261), ISBLANK(BC261)),"",CONCATENATE(" ",VLOOKUP(BC261,Literatuur!$A:$B,2,FALSE)," "))</f>
        <v xml:space="preserve"> A </v>
      </c>
      <c r="BF261" s="44" t="str">
        <f t="shared" si="197"/>
        <v xml:space="preserve"> </v>
      </c>
      <c r="BG261" s="33" t="str">
        <f>IF(OR(ISBLANK(BE261), ISBLANK(BF261)),"",CONCATENATE(" ",VLOOKUP(BF261,Literatuur!$A:$B,2,FALSE)," "))</f>
        <v/>
      </c>
      <c r="BI261" s="44" t="str">
        <f t="shared" si="198"/>
        <v xml:space="preserve"> </v>
      </c>
      <c r="BJ261" s="33" t="str">
        <f>IF(OR(ISBLANK(BH261), ISBLANK(BI261)),"",CONCATENATE(" ",VLOOKUP(BI261,Literatuur!$A:$B,2,FALSE)," "))</f>
        <v/>
      </c>
      <c r="BL261" s="44" t="str">
        <f t="shared" si="199"/>
        <v xml:space="preserve"> </v>
      </c>
      <c r="BM261" s="33" t="str">
        <f>IF(OR(ISBLANK(BK261), ISBLANK(BL261)),"",CONCATENATE(" ",VLOOKUP(BL261,Literatuur!$A:$B,2,FALSE)," "))</f>
        <v/>
      </c>
      <c r="BP261" s="33" t="str">
        <f>IF(OR(ISBLANK(BN261), ISBLANK(BO261)),"",CONCATENATE(" ",VLOOKUP(BO261,Literatuur!$A:$B,2,FALSE)," "))</f>
        <v/>
      </c>
      <c r="BS261" s="33" t="str">
        <f>IF(OR(ISBLANK(BQ261), ISBLANK(BR261)),"",CONCATENATE(" ",VLOOKUP(BR261,Literatuur!$A:$B,2,FALSE)," "))</f>
        <v/>
      </c>
      <c r="BV261" s="33" t="str">
        <f>IF(OR(ISBLANK(BT261), ISBLANK(BU261)),"",CONCATENATE(" ",VLOOKUP(BU261,Literatuur!$A:$B,2,FALSE)," "))</f>
        <v/>
      </c>
      <c r="CE261" s="37">
        <f t="shared" si="201"/>
        <v>72.11</v>
      </c>
      <c r="CG261" s="33">
        <f t="shared" si="202"/>
        <v>4.568201724066995</v>
      </c>
      <c r="CH261" s="33">
        <f t="shared" si="203"/>
        <v>0.88</v>
      </c>
      <c r="CR261" s="33" t="str">
        <f t="shared" si="160"/>
        <v>Butyraldehyde</v>
      </c>
      <c r="CS261" s="33" t="str">
        <f t="shared" si="161"/>
        <v>O2</v>
      </c>
      <c r="CT261" s="33">
        <f t="shared" si="184"/>
        <v>72.11</v>
      </c>
      <c r="CU261" s="33" t="str">
        <f t="shared" si="163"/>
        <v xml:space="preserve"> A </v>
      </c>
      <c r="CV261" s="33">
        <f t="shared" si="164"/>
        <v>37000</v>
      </c>
      <c r="CW261" s="33" t="str">
        <f t="shared" si="165"/>
        <v xml:space="preserve"> A </v>
      </c>
      <c r="CX261" s="33">
        <f t="shared" si="166"/>
        <v>0.88</v>
      </c>
      <c r="CY261" s="33" t="str">
        <f t="shared" si="167"/>
        <v xml:space="preserve"> A </v>
      </c>
    </row>
    <row r="262" spans="2:103" x14ac:dyDescent="0.2">
      <c r="B262" s="33">
        <v>-1521</v>
      </c>
      <c r="D262" s="33" t="s">
        <v>470</v>
      </c>
      <c r="E262" s="33" t="s">
        <v>470</v>
      </c>
      <c r="H262" s="34" t="s">
        <v>471</v>
      </c>
      <c r="I262" s="37">
        <f t="shared" si="204"/>
        <v>100.16</v>
      </c>
      <c r="J262" s="33">
        <f t="shared" si="168"/>
        <v>19300</v>
      </c>
      <c r="K262" s="44">
        <f t="shared" si="200"/>
        <v>1.61</v>
      </c>
      <c r="L262" s="33" t="e">
        <f t="shared" si="183"/>
        <v>#DIV/0!</v>
      </c>
      <c r="M262" s="33" t="s">
        <v>1893</v>
      </c>
      <c r="Q262" s="44" t="str">
        <f t="shared" si="187"/>
        <v xml:space="preserve"> </v>
      </c>
      <c r="R262" s="33" t="str">
        <f>IF(OR(ISBLANK(P262), ISBLANK(Q262)),"",CONCATENATE(" ",VLOOKUP(Q262,Literatuur!$A:$B,2,FALSE)," "))</f>
        <v/>
      </c>
      <c r="S262" s="33">
        <v>19300</v>
      </c>
      <c r="T262" s="44" t="str">
        <f t="shared" si="188"/>
        <v>Gestis</v>
      </c>
      <c r="U262" s="33" t="str">
        <f>IF(OR(ISBLANK(S262), ISBLANK(T262)),"",CONCATENATE(" ",VLOOKUP(T262,Literatuur!$A:$B,2,FALSE)," "))</f>
        <v xml:space="preserve"> A </v>
      </c>
      <c r="W262" s="44" t="str">
        <f t="shared" si="189"/>
        <v xml:space="preserve"> </v>
      </c>
      <c r="X262" s="33" t="str">
        <f>IF(OR(ISBLANK(V262), ISBLANK(W262)),"",CONCATENATE(" ",VLOOKUP(W262,Literatuur!$A:$B,2,FALSE)," "))</f>
        <v/>
      </c>
      <c r="Z262" s="44" t="str">
        <f t="shared" si="190"/>
        <v xml:space="preserve"> </v>
      </c>
      <c r="AA262" s="33" t="str">
        <f>IF(OR(ISBLANK(Y262), ISBLANK(Z262)),"",CONCATENATE(" ",VLOOKUP(Z262,Literatuur!$A:$B,2,FALSE)," "))</f>
        <v/>
      </c>
      <c r="AC262" s="36" t="str">
        <f t="shared" si="191"/>
        <v xml:space="preserve"> </v>
      </c>
      <c r="AD262" s="33" t="str">
        <f>IF(OR(ISBLANK(AB262), ISBLANK(AC262)),"",CONCATENATE(" ",VLOOKUP(AC262,Literatuur!$A:$B,2,FALSE)," "))</f>
        <v/>
      </c>
      <c r="AG262" s="33" t="str">
        <f>IF(OR(ISBLANK(AE262), ISBLANK(AF262)),"",CONCATENATE(" ",VLOOKUP(AF262,Literatuur!$A:$B,2,FALSE)," "))</f>
        <v/>
      </c>
      <c r="AJ262" s="44" t="str">
        <f t="shared" si="192"/>
        <v xml:space="preserve"> </v>
      </c>
      <c r="AK262" s="33" t="str">
        <f>IF(OR(ISBLANK(AI262), ISBLANK(AJ262)),"",CONCATENATE(" ",VLOOKUP(AJ262,Literatuur!$A:$B,2,FALSE)," "))</f>
        <v/>
      </c>
      <c r="AL262" s="33">
        <v>100.16</v>
      </c>
      <c r="AM262" s="44" t="str">
        <f t="shared" si="193"/>
        <v>Gestis</v>
      </c>
      <c r="AN262" s="33" t="str">
        <f>IF(OR(ISBLANK(AL262), ISBLANK(AM262)),"",CONCATENATE(" ",VLOOKUP(AM262,Literatuur!$A:$B,2,FALSE)," "))</f>
        <v xml:space="preserve"> A </v>
      </c>
      <c r="AP262" s="44" t="str">
        <f t="shared" si="194"/>
        <v xml:space="preserve"> </v>
      </c>
      <c r="AQ262" s="33" t="str">
        <f>IF(OR(ISBLANK(AO262), ISBLANK(AP262)),"",CONCATENATE(" ",VLOOKUP(AP262,Literatuur!$A:$B,2,FALSE)," "))</f>
        <v/>
      </c>
      <c r="AT262" s="33" t="str">
        <f>IF(OR(ISBLANK(AR262), ISBLANK(AS262)),"",CONCATENATE(" ",VLOOKUP(AS262,Literatuur!$A:$B,2,FALSE)," "))</f>
        <v/>
      </c>
      <c r="AW262" s="33" t="str">
        <f>IF(OR(ISBLANK(AU262), ISBLANK(AV262)),"",CONCATENATE(" ",VLOOKUP(AV262,Literatuur!$A:$B,2,FALSE)," "))</f>
        <v/>
      </c>
      <c r="AZ262" s="44" t="str">
        <f t="shared" si="195"/>
        <v xml:space="preserve"> </v>
      </c>
      <c r="BA262" s="33" t="str">
        <f>IF(OR(ISBLANK(AY262), ISBLANK(AZ262)),"",CONCATENATE(" ",VLOOKUP(AZ262,Literatuur!$A:$B,2,FALSE)," "))</f>
        <v/>
      </c>
      <c r="BB262" s="33">
        <v>1.61</v>
      </c>
      <c r="BC262" s="44" t="str">
        <f t="shared" si="196"/>
        <v>Gestis</v>
      </c>
      <c r="BD262" s="33" t="str">
        <f>IF(OR(ISBLANK(BB262), ISBLANK(BC262)),"",CONCATENATE(" ",VLOOKUP(BC262,Literatuur!$A:$B,2,FALSE)," "))</f>
        <v xml:space="preserve"> A </v>
      </c>
      <c r="BF262" s="44" t="str">
        <f t="shared" si="197"/>
        <v xml:space="preserve"> </v>
      </c>
      <c r="BG262" s="33" t="str">
        <f>IF(OR(ISBLANK(BE262), ISBLANK(BF262)),"",CONCATENATE(" ",VLOOKUP(BF262,Literatuur!$A:$B,2,FALSE)," "))</f>
        <v/>
      </c>
      <c r="BI262" s="44" t="str">
        <f t="shared" si="198"/>
        <v xml:space="preserve"> </v>
      </c>
      <c r="BJ262" s="33" t="str">
        <f>IF(OR(ISBLANK(BH262), ISBLANK(BI262)),"",CONCATENATE(" ",VLOOKUP(BI262,Literatuur!$A:$B,2,FALSE)," "))</f>
        <v/>
      </c>
      <c r="BL262" s="44" t="str">
        <f t="shared" si="199"/>
        <v xml:space="preserve"> </v>
      </c>
      <c r="BM262" s="33" t="str">
        <f>IF(OR(ISBLANK(BK262), ISBLANK(BL262)),"",CONCATENATE(" ",VLOOKUP(BL262,Literatuur!$A:$B,2,FALSE)," "))</f>
        <v/>
      </c>
      <c r="BP262" s="33" t="str">
        <f>IF(OR(ISBLANK(BN262), ISBLANK(BO262)),"",CONCATENATE(" ",VLOOKUP(BO262,Literatuur!$A:$B,2,FALSE)," "))</f>
        <v/>
      </c>
      <c r="BS262" s="33" t="str">
        <f>IF(OR(ISBLANK(BQ262), ISBLANK(BR262)),"",CONCATENATE(" ",VLOOKUP(BR262,Literatuur!$A:$B,2,FALSE)," "))</f>
        <v/>
      </c>
      <c r="BV262" s="33" t="str">
        <f>IF(OR(ISBLANK(BT262), ISBLANK(BU262)),"",CONCATENATE(" ",VLOOKUP(BU262,Literatuur!$A:$B,2,FALSE)," "))</f>
        <v/>
      </c>
      <c r="CE262" s="37">
        <f t="shared" si="201"/>
        <v>100.16</v>
      </c>
      <c r="CG262" s="33">
        <f t="shared" si="202"/>
        <v>4.2855573090077739</v>
      </c>
      <c r="CH262" s="33">
        <f t="shared" si="203"/>
        <v>1.61</v>
      </c>
      <c r="CR262" s="33" t="str">
        <f t="shared" si="160"/>
        <v>cis-Hex-3-en-1-ol</v>
      </c>
      <c r="CS262" s="33" t="str">
        <f t="shared" si="161"/>
        <v>O2</v>
      </c>
      <c r="CT262" s="33">
        <f t="shared" si="184"/>
        <v>100.16</v>
      </c>
      <c r="CU262" s="33" t="str">
        <f t="shared" si="163"/>
        <v xml:space="preserve"> A </v>
      </c>
      <c r="CV262" s="33">
        <f t="shared" si="164"/>
        <v>19300</v>
      </c>
      <c r="CW262" s="33" t="str">
        <f t="shared" si="165"/>
        <v xml:space="preserve"> A </v>
      </c>
      <c r="CX262" s="33">
        <f t="shared" si="166"/>
        <v>1.61</v>
      </c>
      <c r="CY262" s="33" t="str">
        <f t="shared" si="167"/>
        <v xml:space="preserve"> A </v>
      </c>
    </row>
    <row r="263" spans="2:103" x14ac:dyDescent="0.2">
      <c r="B263" s="33">
        <v>-1415</v>
      </c>
      <c r="D263" s="33" t="s">
        <v>340</v>
      </c>
      <c r="E263" s="33" t="s">
        <v>1360</v>
      </c>
      <c r="H263" s="34" t="s">
        <v>1361</v>
      </c>
      <c r="I263" s="37">
        <f t="shared" si="204"/>
        <v>102.18</v>
      </c>
      <c r="J263" s="33">
        <f t="shared" si="168"/>
        <v>8900</v>
      </c>
      <c r="K263" s="44">
        <f t="shared" si="200"/>
        <v>1.52</v>
      </c>
      <c r="L263" s="33" t="e">
        <f t="shared" si="183"/>
        <v>#DIV/0!</v>
      </c>
      <c r="M263" s="33" t="s">
        <v>1893</v>
      </c>
      <c r="Q263" s="44" t="str">
        <f t="shared" si="187"/>
        <v xml:space="preserve"> </v>
      </c>
      <c r="R263" s="33" t="str">
        <f>IF(OR(ISBLANK(P263), ISBLANK(Q263)),"",CONCATENATE(" ",VLOOKUP(Q263,Literatuur!$A:$B,2,FALSE)," "))</f>
        <v/>
      </c>
      <c r="S263" s="37"/>
      <c r="T263" s="44" t="str">
        <f t="shared" si="188"/>
        <v xml:space="preserve"> </v>
      </c>
      <c r="U263" s="33" t="str">
        <f>IF(OR(ISBLANK(S263), ISBLANK(T263)),"",CONCATENATE(" ",VLOOKUP(T263,Literatuur!$A:$B,2,FALSE)," "))</f>
        <v/>
      </c>
      <c r="W263" s="44" t="str">
        <f t="shared" si="189"/>
        <v xml:space="preserve"> </v>
      </c>
      <c r="X263" s="33" t="str">
        <f>IF(OR(ISBLANK(V263), ISBLANK(W263)),"",CONCATENATE(" ",VLOOKUP(W263,Literatuur!$A:$B,2,FALSE)," "))</f>
        <v/>
      </c>
      <c r="Y263" s="33">
        <v>8800</v>
      </c>
      <c r="Z263" s="44" t="str">
        <f t="shared" si="190"/>
        <v>US EPA suite</v>
      </c>
      <c r="AA263" s="33" t="str">
        <f>IF(OR(ISBLANK(Y263), ISBLANK(Z263)),"",CONCATENATE(" ",VLOOKUP(Z263,Literatuur!$A:$B,2,FALSE)," "))</f>
        <v xml:space="preserve"> F </v>
      </c>
      <c r="AB263" s="33">
        <v>9000</v>
      </c>
      <c r="AC263" s="36" t="str">
        <f t="shared" si="191"/>
        <v>Vonk 1985</v>
      </c>
      <c r="AD263" s="33" t="str">
        <f>IF(OR(ISBLANK(AB263), ISBLANK(AC263)),"",CONCATENATE(" ",VLOOKUP(AC263,Literatuur!$A:$B,2,FALSE)," "))</f>
        <v xml:space="preserve"> 37 </v>
      </c>
      <c r="AG263" s="33" t="str">
        <f>IF(OR(ISBLANK(AE263), ISBLANK(AF263)),"",CONCATENATE(" ",VLOOKUP(AF263,Literatuur!$A:$B,2,FALSE)," "))</f>
        <v/>
      </c>
      <c r="AI263" s="37"/>
      <c r="AJ263" s="44" t="str">
        <f t="shared" si="192"/>
        <v xml:space="preserve"> </v>
      </c>
      <c r="AK263" s="33" t="str">
        <f>IF(OR(ISBLANK(AI263), ISBLANK(AJ263)),"",CONCATENATE(" ",VLOOKUP(AJ263,Literatuur!$A:$B,2,FALSE)," "))</f>
        <v/>
      </c>
      <c r="AM263" s="44" t="str">
        <f t="shared" si="193"/>
        <v xml:space="preserve"> </v>
      </c>
      <c r="AN263" s="33" t="str">
        <f>IF(OR(ISBLANK(AL263), ISBLANK(AM263)),"",CONCATENATE(" ",VLOOKUP(AM263,Literatuur!$A:$B,2,FALSE)," "))</f>
        <v/>
      </c>
      <c r="AO263" s="33">
        <v>102.18</v>
      </c>
      <c r="AP263" s="44" t="str">
        <f t="shared" si="194"/>
        <v>US EPA suite</v>
      </c>
      <c r="AQ263" s="33" t="str">
        <f>IF(OR(ISBLANK(AO263), ISBLANK(AP263)),"",CONCATENATE(" ",VLOOKUP(AP263,Literatuur!$A:$B,2,FALSE)," "))</f>
        <v xml:space="preserve"> F </v>
      </c>
      <c r="AT263" s="33" t="str">
        <f>IF(OR(ISBLANK(AR263), ISBLANK(AS263)),"",CONCATENATE(" ",VLOOKUP(AS263,Literatuur!$A:$B,2,FALSE)," "))</f>
        <v/>
      </c>
      <c r="AW263" s="33" t="str">
        <f>IF(OR(ISBLANK(AU263), ISBLANK(AV263)),"",CONCATENATE(" ",VLOOKUP(AV263,Literatuur!$A:$B,2,FALSE)," "))</f>
        <v/>
      </c>
      <c r="AY263" s="44"/>
      <c r="AZ263" s="44" t="str">
        <f t="shared" si="195"/>
        <v xml:space="preserve"> </v>
      </c>
      <c r="BA263" s="33" t="str">
        <f>IF(OR(ISBLANK(AY263), ISBLANK(AZ263)),"",CONCATENATE(" ",VLOOKUP(AZ263,Literatuur!$A:$B,2,FALSE)," "))</f>
        <v/>
      </c>
      <c r="BB263" s="44"/>
      <c r="BC263" s="44" t="str">
        <f t="shared" si="196"/>
        <v xml:space="preserve"> </v>
      </c>
      <c r="BD263" s="33" t="str">
        <f>IF(OR(ISBLANK(BB263), ISBLANK(BC263)),"",CONCATENATE(" ",VLOOKUP(BC263,Literatuur!$A:$B,2,FALSE)," "))</f>
        <v/>
      </c>
      <c r="BF263" s="44" t="str">
        <f t="shared" si="197"/>
        <v xml:space="preserve"> </v>
      </c>
      <c r="BG263" s="33" t="str">
        <f>IF(OR(ISBLANK(BE263), ISBLANK(BF263)),"",CONCATENATE(" ",VLOOKUP(BF263,Literatuur!$A:$B,2,FALSE)," "))</f>
        <v/>
      </c>
      <c r="BH263" s="33">
        <v>1.52</v>
      </c>
      <c r="BI263" s="44" t="str">
        <f t="shared" si="198"/>
        <v>US EPA suite</v>
      </c>
      <c r="BJ263" s="33" t="str">
        <f>IF(OR(ISBLANK(BH263), ISBLANK(BI263)),"",CONCATENATE(" ",VLOOKUP(BI263,Literatuur!$A:$B,2,FALSE)," "))</f>
        <v xml:space="preserve"> F </v>
      </c>
      <c r="BL263" s="44" t="str">
        <f t="shared" si="199"/>
        <v xml:space="preserve"> </v>
      </c>
      <c r="BM263" s="33" t="str">
        <f>IF(OR(ISBLANK(BK263), ISBLANK(BL263)),"",CONCATENATE(" ",VLOOKUP(BL263,Literatuur!$A:$B,2,FALSE)," "))</f>
        <v/>
      </c>
      <c r="BP263" s="33" t="str">
        <f>IF(OR(ISBLANK(BN263), ISBLANK(BO263)),"",CONCATENATE(" ",VLOOKUP(BO263,Literatuur!$A:$B,2,FALSE)," "))</f>
        <v/>
      </c>
      <c r="BS263" s="33" t="str">
        <f>IF(OR(ISBLANK(BQ263), ISBLANK(BR263)),"",CONCATENATE(" ",VLOOKUP(BR263,Literatuur!$A:$B,2,FALSE)," "))</f>
        <v/>
      </c>
      <c r="BV263" s="33" t="str">
        <f>IF(OR(ISBLANK(BT263), ISBLANK(BU263)),"",CONCATENATE(" ",VLOOKUP(BU263,Literatuur!$A:$B,2,FALSE)," "))</f>
        <v/>
      </c>
      <c r="CE263" s="37">
        <f t="shared" si="201"/>
        <v>102.18</v>
      </c>
      <c r="CG263" s="33">
        <f t="shared" si="202"/>
        <v>3.9493900066449128</v>
      </c>
      <c r="CH263" s="33">
        <f t="shared" si="203"/>
        <v>1.52</v>
      </c>
      <c r="CR263" s="33" t="str">
        <f t="shared" si="160"/>
        <v>Diisopropyl ether</v>
      </c>
      <c r="CS263" s="33" t="str">
        <f t="shared" si="161"/>
        <v>O2</v>
      </c>
      <c r="CT263" s="33">
        <f t="shared" si="184"/>
        <v>102.18</v>
      </c>
      <c r="CU263" s="33" t="str">
        <f t="shared" si="163"/>
        <v xml:space="preserve"> F </v>
      </c>
      <c r="CV263" s="33">
        <f t="shared" si="164"/>
        <v>8900</v>
      </c>
      <c r="CW263" s="33" t="str">
        <f t="shared" si="165"/>
        <v xml:space="preserve"> F  37 </v>
      </c>
      <c r="CX263" s="33">
        <f t="shared" si="166"/>
        <v>1.52</v>
      </c>
      <c r="CY263" s="33" t="str">
        <f t="shared" si="167"/>
        <v xml:space="preserve"> F </v>
      </c>
    </row>
    <row r="264" spans="2:103" x14ac:dyDescent="0.2">
      <c r="B264" s="33">
        <v>-1413</v>
      </c>
      <c r="D264" s="33" t="s">
        <v>338</v>
      </c>
      <c r="E264" s="33" t="s">
        <v>338</v>
      </c>
      <c r="H264" s="34" t="s">
        <v>1356</v>
      </c>
      <c r="I264" s="37">
        <f t="shared" si="204"/>
        <v>114.18</v>
      </c>
      <c r="J264" s="33">
        <f t="shared" si="168"/>
        <v>5700</v>
      </c>
      <c r="K264" s="44">
        <f t="shared" si="200"/>
        <v>1.86</v>
      </c>
      <c r="L264" s="33" t="e">
        <f t="shared" si="183"/>
        <v>#DIV/0!</v>
      </c>
      <c r="M264" s="33" t="s">
        <v>1893</v>
      </c>
      <c r="Q264" s="44" t="str">
        <f t="shared" si="187"/>
        <v xml:space="preserve"> </v>
      </c>
      <c r="R264" s="33" t="str">
        <f>IF(OR(ISBLANK(P264), ISBLANK(Q264)),"",CONCATENATE(" ",VLOOKUP(Q264,Literatuur!$A:$B,2,FALSE)," "))</f>
        <v/>
      </c>
      <c r="T264" s="44" t="str">
        <f t="shared" si="188"/>
        <v xml:space="preserve"> </v>
      </c>
      <c r="U264" s="33" t="str">
        <f>IF(OR(ISBLANK(S264), ISBLANK(T264)),"",CONCATENATE(" ",VLOOKUP(T264,Literatuur!$A:$B,2,FALSE)," "))</f>
        <v/>
      </c>
      <c r="W264" s="44" t="str">
        <f t="shared" si="189"/>
        <v xml:space="preserve"> </v>
      </c>
      <c r="X264" s="33" t="str">
        <f>IF(OR(ISBLANK(V264), ISBLANK(W264)),"",CONCATENATE(" ",VLOOKUP(W264,Literatuur!$A:$B,2,FALSE)," "))</f>
        <v/>
      </c>
      <c r="Y264" s="33">
        <v>5700</v>
      </c>
      <c r="Z264" s="44" t="str">
        <f t="shared" si="190"/>
        <v>US EPA suite</v>
      </c>
      <c r="AA264" s="33" t="str">
        <f>IF(OR(ISBLANK(Y264), ISBLANK(Z264)),"",CONCATENATE(" ",VLOOKUP(Z264,Literatuur!$A:$B,2,FALSE)," "))</f>
        <v xml:space="preserve"> F </v>
      </c>
      <c r="AC264" s="36" t="str">
        <f t="shared" si="191"/>
        <v xml:space="preserve"> </v>
      </c>
      <c r="AD264" s="33" t="str">
        <f>IF(OR(ISBLANK(AB264), ISBLANK(AC264)),"",CONCATENATE(" ",VLOOKUP(AC264,Literatuur!$A:$B,2,FALSE)," "))</f>
        <v/>
      </c>
      <c r="AG264" s="33" t="str">
        <f>IF(OR(ISBLANK(AE264), ISBLANK(AF264)),"",CONCATENATE(" ",VLOOKUP(AF264,Literatuur!$A:$B,2,FALSE)," "))</f>
        <v/>
      </c>
      <c r="AI264" s="37"/>
      <c r="AJ264" s="44" t="str">
        <f t="shared" si="192"/>
        <v xml:space="preserve"> </v>
      </c>
      <c r="AK264" s="33" t="str">
        <f>IF(OR(ISBLANK(AI264), ISBLANK(AJ264)),"",CONCATENATE(" ",VLOOKUP(AJ264,Literatuur!$A:$B,2,FALSE)," "))</f>
        <v/>
      </c>
      <c r="AM264" s="44" t="str">
        <f t="shared" si="193"/>
        <v xml:space="preserve"> </v>
      </c>
      <c r="AN264" s="33" t="str">
        <f>IF(OR(ISBLANK(AL264), ISBLANK(AM264)),"",CONCATENATE(" ",VLOOKUP(AM264,Literatuur!$A:$B,2,FALSE)," "))</f>
        <v/>
      </c>
      <c r="AO264" s="33">
        <v>114.18</v>
      </c>
      <c r="AP264" s="44" t="str">
        <f t="shared" si="194"/>
        <v>US EPA suite</v>
      </c>
      <c r="AQ264" s="33" t="str">
        <f>IF(OR(ISBLANK(AO264), ISBLANK(AP264)),"",CONCATENATE(" ",VLOOKUP(AP264,Literatuur!$A:$B,2,FALSE)," "))</f>
        <v xml:space="preserve"> F </v>
      </c>
      <c r="AT264" s="33" t="str">
        <f>IF(OR(ISBLANK(AR264), ISBLANK(AS264)),"",CONCATENATE(" ",VLOOKUP(AS264,Literatuur!$A:$B,2,FALSE)," "))</f>
        <v/>
      </c>
      <c r="AW264" s="33" t="str">
        <f>IF(OR(ISBLANK(AU264), ISBLANK(AV264)),"",CONCATENATE(" ",VLOOKUP(AV264,Literatuur!$A:$B,2,FALSE)," "))</f>
        <v/>
      </c>
      <c r="AZ264" s="44" t="str">
        <f t="shared" si="195"/>
        <v xml:space="preserve"> </v>
      </c>
      <c r="BA264" s="33" t="str">
        <f>IF(OR(ISBLANK(AY264), ISBLANK(AZ264)),"",CONCATENATE(" ",VLOOKUP(AZ264,Literatuur!$A:$B,2,FALSE)," "))</f>
        <v/>
      </c>
      <c r="BC264" s="44" t="str">
        <f t="shared" si="196"/>
        <v xml:space="preserve"> </v>
      </c>
      <c r="BD264" s="33" t="str">
        <f>IF(OR(ISBLANK(BB264), ISBLANK(BC264)),"",CONCATENATE(" ",VLOOKUP(BC264,Literatuur!$A:$B,2,FALSE)," "))</f>
        <v/>
      </c>
      <c r="BF264" s="44" t="str">
        <f t="shared" si="197"/>
        <v xml:space="preserve"> </v>
      </c>
      <c r="BG264" s="33" t="str">
        <f>IF(OR(ISBLANK(BE264), ISBLANK(BF264)),"",CONCATENATE(" ",VLOOKUP(BF264,Literatuur!$A:$B,2,FALSE)," "))</f>
        <v/>
      </c>
      <c r="BH264" s="33">
        <v>1.86</v>
      </c>
      <c r="BI264" s="44" t="str">
        <f t="shared" si="198"/>
        <v>US EPA suite</v>
      </c>
      <c r="BJ264" s="33" t="str">
        <f>IF(OR(ISBLANK(BH264), ISBLANK(BI264)),"",CONCATENATE(" ",VLOOKUP(BI264,Literatuur!$A:$B,2,FALSE)," "))</f>
        <v xml:space="preserve"> F </v>
      </c>
      <c r="BL264" s="44" t="str">
        <f t="shared" si="199"/>
        <v xml:space="preserve"> </v>
      </c>
      <c r="BM264" s="33" t="str">
        <f>IF(OR(ISBLANK(BK264), ISBLANK(BL264)),"",CONCATENATE(" ",VLOOKUP(BL264,Literatuur!$A:$B,2,FALSE)," "))</f>
        <v/>
      </c>
      <c r="BP264" s="33" t="str">
        <f>IF(OR(ISBLANK(BN264), ISBLANK(BO264)),"",CONCATENATE(" ",VLOOKUP(BO264,Literatuur!$A:$B,2,FALSE)," "))</f>
        <v/>
      </c>
      <c r="BS264" s="33" t="str">
        <f>IF(OR(ISBLANK(BQ264), ISBLANK(BR264)),"",CONCATENATE(" ",VLOOKUP(BR264,Literatuur!$A:$B,2,FALSE)," "))</f>
        <v/>
      </c>
      <c r="BV264" s="33" t="str">
        <f>IF(OR(ISBLANK(BT264), ISBLANK(BU264)),"",CONCATENATE(" ",VLOOKUP(BU264,Literatuur!$A:$B,2,FALSE)," "))</f>
        <v/>
      </c>
      <c r="CE264" s="37">
        <f t="shared" si="201"/>
        <v>114.18</v>
      </c>
      <c r="CG264" s="33">
        <f t="shared" si="202"/>
        <v>3.7558748556724915</v>
      </c>
      <c r="CH264" s="33">
        <f t="shared" si="203"/>
        <v>1.86</v>
      </c>
      <c r="CR264" s="33" t="str">
        <f t="shared" si="160"/>
        <v>Di-isopropylketon</v>
      </c>
      <c r="CS264" s="33" t="str">
        <f t="shared" si="161"/>
        <v>O2</v>
      </c>
      <c r="CT264" s="33">
        <f t="shared" si="184"/>
        <v>114.18</v>
      </c>
      <c r="CU264" s="33" t="str">
        <f t="shared" si="163"/>
        <v xml:space="preserve"> F </v>
      </c>
      <c r="CV264" s="33">
        <f t="shared" si="164"/>
        <v>5700</v>
      </c>
      <c r="CW264" s="33" t="str">
        <f t="shared" si="165"/>
        <v xml:space="preserve"> F </v>
      </c>
      <c r="CX264" s="33">
        <f t="shared" si="166"/>
        <v>1.86</v>
      </c>
      <c r="CY264" s="33" t="str">
        <f t="shared" si="167"/>
        <v xml:space="preserve"> F </v>
      </c>
    </row>
    <row r="265" spans="2:103" x14ac:dyDescent="0.2">
      <c r="B265" s="33">
        <v>-1677</v>
      </c>
      <c r="D265" s="21" t="s">
        <v>821</v>
      </c>
      <c r="E265" s="21" t="s">
        <v>821</v>
      </c>
      <c r="F265" s="4"/>
      <c r="G265" s="4"/>
      <c r="I265" s="33">
        <f t="shared" si="204"/>
        <v>194</v>
      </c>
      <c r="J265" s="33" t="e">
        <f t="shared" si="168"/>
        <v>#DIV/0!</v>
      </c>
      <c r="K265" s="44" t="e">
        <f t="shared" si="200"/>
        <v>#DIV/0!</v>
      </c>
      <c r="L265" s="33" t="e">
        <f t="shared" si="183"/>
        <v>#DIV/0!</v>
      </c>
      <c r="M265" s="33" t="s">
        <v>1893</v>
      </c>
      <c r="Q265" s="44" t="str">
        <f t="shared" si="187"/>
        <v xml:space="preserve"> </v>
      </c>
      <c r="R265" s="33" t="str">
        <f>IF(OR(ISBLANK(P265), ISBLANK(Q265)),"",CONCATENATE(" ",VLOOKUP(Q265,Literatuur!$A:$B,2,FALSE)," "))</f>
        <v/>
      </c>
      <c r="T265" s="44" t="str">
        <f t="shared" si="188"/>
        <v xml:space="preserve"> </v>
      </c>
      <c r="U265" s="33" t="str">
        <f>IF(OR(ISBLANK(S265), ISBLANK(T265)),"",CONCATENATE(" ",VLOOKUP(T265,Literatuur!$A:$B,2,FALSE)," "))</f>
        <v/>
      </c>
      <c r="W265" s="44" t="str">
        <f t="shared" si="189"/>
        <v xml:space="preserve"> </v>
      </c>
      <c r="X265" s="33" t="str">
        <f>IF(OR(ISBLANK(V265), ISBLANK(W265)),"",CONCATENATE(" ",VLOOKUP(W265,Literatuur!$A:$B,2,FALSE)," "))</f>
        <v/>
      </c>
      <c r="Z265" s="44" t="str">
        <f t="shared" si="190"/>
        <v xml:space="preserve"> </v>
      </c>
      <c r="AA265" s="33" t="str">
        <f>IF(OR(ISBLANK(Y265), ISBLANK(Z265)),"",CONCATENATE(" ",VLOOKUP(Z265,Literatuur!$A:$B,2,FALSE)," "))</f>
        <v/>
      </c>
      <c r="AC265" s="36" t="str">
        <f t="shared" si="191"/>
        <v xml:space="preserve"> </v>
      </c>
      <c r="AD265" s="33" t="str">
        <f>IF(OR(ISBLANK(AB265), ISBLANK(AC265)),"",CONCATENATE(" ",VLOOKUP(AC265,Literatuur!$A:$B,2,FALSE)," "))</f>
        <v/>
      </c>
      <c r="AG265" s="33" t="str">
        <f>IF(OR(ISBLANK(AE265), ISBLANK(AF265)),"",CONCATENATE(" ",VLOOKUP(AF265,Literatuur!$A:$B,2,FALSE)," "))</f>
        <v/>
      </c>
      <c r="AJ265" s="44" t="str">
        <f t="shared" si="192"/>
        <v xml:space="preserve"> </v>
      </c>
      <c r="AK265" s="33" t="str">
        <f>IF(OR(ISBLANK(AI265), ISBLANK(AJ265)),"",CONCATENATE(" ",VLOOKUP(AJ265,Literatuur!$A:$B,2,FALSE)," "))</f>
        <v/>
      </c>
      <c r="AM265" s="44" t="str">
        <f t="shared" si="193"/>
        <v xml:space="preserve"> </v>
      </c>
      <c r="AN265" s="33" t="str">
        <f>IF(OR(ISBLANK(AL265), ISBLANK(AM265)),"",CONCATENATE(" ",VLOOKUP(AM265,Literatuur!$A:$B,2,FALSE)," "))</f>
        <v/>
      </c>
      <c r="AP265" s="44" t="str">
        <f t="shared" si="194"/>
        <v xml:space="preserve"> </v>
      </c>
      <c r="AQ265" s="33" t="str">
        <f>IF(OR(ISBLANK(AO265), ISBLANK(AP265)),"",CONCATENATE(" ",VLOOKUP(AP265,Literatuur!$A:$B,2,FALSE)," "))</f>
        <v/>
      </c>
      <c r="AS265"/>
      <c r="AT265" s="33" t="str">
        <f>IF(OR(ISBLANK(AR265), ISBLANK(AS265)),"",CONCATENATE(" ",VLOOKUP(AS265,Literatuur!$A:$B,2,FALSE)," "))</f>
        <v/>
      </c>
      <c r="AU265">
        <v>194</v>
      </c>
      <c r="AV265" s="33" t="s">
        <v>1235</v>
      </c>
      <c r="AW265" s="33" t="str">
        <f>IF(OR(ISBLANK(AU265), ISBLANK(AV265)),"",CONCATENATE(" ",VLOOKUP(AV265,Literatuur!$A:$B,2,FALSE)," "))</f>
        <v xml:space="preserve"> 21 </v>
      </c>
      <c r="AZ265" s="44" t="str">
        <f t="shared" si="195"/>
        <v xml:space="preserve"> </v>
      </c>
      <c r="BA265" s="33" t="str">
        <f>IF(OR(ISBLANK(AY265), ISBLANK(AZ265)),"",CONCATENATE(" ",VLOOKUP(AZ265,Literatuur!$A:$B,2,FALSE)," "))</f>
        <v/>
      </c>
      <c r="BC265" s="44" t="str">
        <f t="shared" si="196"/>
        <v xml:space="preserve"> </v>
      </c>
      <c r="BD265" s="33" t="str">
        <f>IF(OR(ISBLANK(BB265), ISBLANK(BC265)),"",CONCATENATE(" ",VLOOKUP(BC265,Literatuur!$A:$B,2,FALSE)," "))</f>
        <v/>
      </c>
      <c r="BF265" s="44" t="str">
        <f t="shared" si="197"/>
        <v xml:space="preserve"> </v>
      </c>
      <c r="BG265" s="33" t="str">
        <f>IF(OR(ISBLANK(BE265), ISBLANK(BF265)),"",CONCATENATE(" ",VLOOKUP(BF265,Literatuur!$A:$B,2,FALSE)," "))</f>
        <v/>
      </c>
      <c r="BI265" s="44" t="str">
        <f t="shared" si="198"/>
        <v xml:space="preserve"> </v>
      </c>
      <c r="BJ265" s="33" t="str">
        <f>IF(OR(ISBLANK(BH265), ISBLANK(BI265)),"",CONCATENATE(" ",VLOOKUP(BI265,Literatuur!$A:$B,2,FALSE)," "))</f>
        <v/>
      </c>
      <c r="BL265" s="44" t="str">
        <f t="shared" si="199"/>
        <v xml:space="preserve"> </v>
      </c>
      <c r="BM265" s="33" t="str">
        <f>IF(OR(ISBLANK(BK265), ISBLANK(BL265)),"",CONCATENATE(" ",VLOOKUP(BL265,Literatuur!$A:$B,2,FALSE)," "))</f>
        <v/>
      </c>
      <c r="BP265" s="33" t="str">
        <f>IF(OR(ISBLANK(BN265), ISBLANK(BO265)),"",CONCATENATE(" ",VLOOKUP(BO265,Literatuur!$A:$B,2,FALSE)," "))</f>
        <v/>
      </c>
      <c r="BS265" s="33" t="str">
        <f>IF(OR(ISBLANK(BQ265), ISBLANK(BR265)),"",CONCATENATE(" ",VLOOKUP(BR265,Literatuur!$A:$B,2,FALSE)," "))</f>
        <v/>
      </c>
      <c r="BV265" s="33" t="str">
        <f>IF(OR(ISBLANK(BT265), ISBLANK(BU265)),"",CONCATENATE(" ",VLOOKUP(BU265,Literatuur!$A:$B,2,FALSE)," "))</f>
        <v/>
      </c>
      <c r="CR265" s="33" t="str">
        <f t="shared" si="160"/>
        <v>Dimehtyl-phthalate</v>
      </c>
      <c r="CS265" s="33" t="str">
        <f t="shared" si="161"/>
        <v>O2</v>
      </c>
      <c r="CT265" s="33">
        <f t="shared" si="184"/>
        <v>194</v>
      </c>
      <c r="CU265" s="33" t="str">
        <f t="shared" si="163"/>
        <v xml:space="preserve"> 21 </v>
      </c>
      <c r="CV265" s="33" t="str">
        <f t="shared" si="164"/>
        <v/>
      </c>
      <c r="CW265" s="33" t="str">
        <f t="shared" si="165"/>
        <v/>
      </c>
      <c r="CX265" s="33" t="str">
        <f t="shared" si="166"/>
        <v/>
      </c>
      <c r="CY265" s="33" t="str">
        <f t="shared" si="167"/>
        <v/>
      </c>
    </row>
    <row r="266" spans="2:103" ht="12.75" customHeight="1" x14ac:dyDescent="0.25">
      <c r="B266" s="33">
        <v>-1809</v>
      </c>
      <c r="D266" t="s">
        <v>1746</v>
      </c>
      <c r="E266" s="480" t="s">
        <v>202</v>
      </c>
      <c r="I266" s="33">
        <f t="shared" si="204"/>
        <v>194.19</v>
      </c>
      <c r="J266" s="33">
        <f t="shared" si="168"/>
        <v>2014</v>
      </c>
      <c r="K266" s="44">
        <f t="shared" si="200"/>
        <v>1.56</v>
      </c>
      <c r="M266" s="33" t="s">
        <v>1893</v>
      </c>
      <c r="P266" s="33">
        <v>2014</v>
      </c>
      <c r="Q266" s="44" t="str">
        <f t="shared" si="187"/>
        <v>Sanscrit</v>
      </c>
      <c r="R266" s="33" t="str">
        <f>IF(OR(ISBLANK(P266), ISBLANK(Q266)),"",CONCATENATE(" ",VLOOKUP(Q266,Literatuur!$A:$B,2,FALSE)," "))</f>
        <v xml:space="preserve"> D </v>
      </c>
      <c r="T266" s="44" t="str">
        <f t="shared" si="188"/>
        <v xml:space="preserve"> </v>
      </c>
      <c r="U266" s="33" t="str">
        <f>IF(OR(ISBLANK(S266), ISBLANK(T266)),"",CONCATENATE(" ",VLOOKUP(T266,Literatuur!$A:$B,2,FALSE)," "))</f>
        <v/>
      </c>
      <c r="W266" s="44" t="str">
        <f t="shared" si="189"/>
        <v xml:space="preserve"> </v>
      </c>
      <c r="X266" s="33" t="str">
        <f>IF(OR(ISBLANK(V266), ISBLANK(W266)),"",CONCATENATE(" ",VLOOKUP(W266,Literatuur!$A:$B,2,FALSE)," "))</f>
        <v/>
      </c>
      <c r="Z266" s="44" t="str">
        <f t="shared" si="190"/>
        <v xml:space="preserve"> </v>
      </c>
      <c r="AA266" s="33" t="str">
        <f>IF(OR(ISBLANK(Y266), ISBLANK(Z266)),"",CONCATENATE(" ",VLOOKUP(Z266,Literatuur!$A:$B,2,FALSE)," "))</f>
        <v/>
      </c>
      <c r="AC266" s="36" t="str">
        <f t="shared" si="191"/>
        <v xml:space="preserve"> </v>
      </c>
      <c r="AD266" s="33" t="str">
        <f>IF(OR(ISBLANK(AB266), ISBLANK(AC266)),"",CONCATENATE(" ",VLOOKUP(AC266,Literatuur!$A:$B,2,FALSE)," "))</f>
        <v/>
      </c>
      <c r="AG266" s="33" t="str">
        <f>IF(OR(ISBLANK(AE266), ISBLANK(AF266)),"",CONCATENATE(" ",VLOOKUP(AF266,Literatuur!$A:$B,2,FALSE)," "))</f>
        <v/>
      </c>
      <c r="AJ266" s="44" t="str">
        <f t="shared" si="192"/>
        <v xml:space="preserve"> </v>
      </c>
      <c r="AK266" s="33" t="str">
        <f>IF(OR(ISBLANK(AI266), ISBLANK(AJ266)),"",CONCATENATE(" ",VLOOKUP(AJ266,Literatuur!$A:$B,2,FALSE)," "))</f>
        <v/>
      </c>
      <c r="AM266" s="44" t="str">
        <f t="shared" si="193"/>
        <v xml:space="preserve"> </v>
      </c>
      <c r="AN266" s="33" t="str">
        <f>IF(OR(ISBLANK(AL266), ISBLANK(AM266)),"",CONCATENATE(" ",VLOOKUP(AM266,Literatuur!$A:$B,2,FALSE)," "))</f>
        <v/>
      </c>
      <c r="AP266" s="44" t="str">
        <f t="shared" si="194"/>
        <v xml:space="preserve"> </v>
      </c>
      <c r="AQ266" s="33" t="str">
        <f>IF(OR(ISBLANK(AO266), ISBLANK(AP266)),"",CONCATENATE(" ",VLOOKUP(AP266,Literatuur!$A:$B,2,FALSE)," "))</f>
        <v/>
      </c>
      <c r="AT266" s="33" t="str">
        <f>IF(OR(ISBLANK(AR266), ISBLANK(AS266)),"",CONCATENATE(" ",VLOOKUP(AS266,Literatuur!$A:$B,2,FALSE)," "))</f>
        <v/>
      </c>
      <c r="AU266" s="26">
        <v>194.19</v>
      </c>
      <c r="AW266" s="33" t="str">
        <f>IF(OR(ISBLANK(AU266), ISBLANK(AV266)),"",CONCATENATE(" ",VLOOKUP(AV266,Literatuur!$A:$B,2,FALSE)," "))</f>
        <v/>
      </c>
      <c r="AY266" s="33">
        <v>1.56</v>
      </c>
      <c r="AZ266" s="44" t="str">
        <f t="shared" si="195"/>
        <v>Sanscrit</v>
      </c>
      <c r="BA266" s="33" t="str">
        <f>IF(OR(ISBLANK(AY266), ISBLANK(AZ266)),"",CONCATENATE(" ",VLOOKUP(AZ266,Literatuur!$A:$B,2,FALSE)," "))</f>
        <v xml:space="preserve"> D </v>
      </c>
      <c r="BC266" s="44" t="str">
        <f t="shared" si="196"/>
        <v xml:space="preserve"> </v>
      </c>
      <c r="BD266" s="33" t="str">
        <f>IF(OR(ISBLANK(BB266), ISBLANK(BC266)),"",CONCATENATE(" ",VLOOKUP(BC266,Literatuur!$A:$B,2,FALSE)," "))</f>
        <v/>
      </c>
      <c r="BF266" s="44" t="str">
        <f t="shared" si="197"/>
        <v xml:space="preserve"> </v>
      </c>
      <c r="BG266" s="33" t="str">
        <f>IF(OR(ISBLANK(BE266), ISBLANK(BF266)),"",CONCATENATE(" ",VLOOKUP(BF266,Literatuur!$A:$B,2,FALSE)," "))</f>
        <v/>
      </c>
      <c r="BI266" s="44" t="str">
        <f t="shared" si="198"/>
        <v xml:space="preserve"> </v>
      </c>
      <c r="BJ266" s="33" t="str">
        <f>IF(OR(ISBLANK(BH266), ISBLANK(BI266)),"",CONCATENATE(" ",VLOOKUP(BI266,Literatuur!$A:$B,2,FALSE)," "))</f>
        <v/>
      </c>
      <c r="BL266" s="44" t="str">
        <f t="shared" si="199"/>
        <v xml:space="preserve"> </v>
      </c>
      <c r="BM266" s="33" t="str">
        <f>IF(OR(ISBLANK(BK266), ISBLANK(BL266)),"",CONCATENATE(" ",VLOOKUP(BL266,Literatuur!$A:$B,2,FALSE)," "))</f>
        <v/>
      </c>
      <c r="BP266" s="33" t="str">
        <f>IF(OR(ISBLANK(BN266), ISBLANK(BO266)),"",CONCATENATE(" ",VLOOKUP(BO266,Literatuur!$A:$B,2,FALSE)," "))</f>
        <v/>
      </c>
      <c r="BS266" s="33" t="str">
        <f>IF(OR(ISBLANK(BQ266), ISBLANK(BR266)),"",CONCATENATE(" ",VLOOKUP(BR266,Literatuur!$A:$B,2,FALSE)," "))</f>
        <v/>
      </c>
      <c r="BV266" s="33" t="str">
        <f>IF(OR(ISBLANK(BT266), ISBLANK(BU266)),"",CONCATENATE(" ",VLOOKUP(BU266,Literatuur!$A:$B,2,FALSE)," "))</f>
        <v/>
      </c>
      <c r="CH266" s="33">
        <f t="shared" ref="CH266:CH279" si="205">K266</f>
        <v>1.56</v>
      </c>
      <c r="CI266" s="33">
        <v>17</v>
      </c>
      <c r="CR266" s="33" t="str">
        <f t="shared" si="160"/>
        <v>dimethylftalaat(DMP)</v>
      </c>
      <c r="CS266" s="33" t="str">
        <f t="shared" si="161"/>
        <v>O2</v>
      </c>
      <c r="CT266" s="33">
        <f>IF(OR(ISBLANK(AU266),ISERROR(AU266)),"",AU266)</f>
        <v>194.19</v>
      </c>
      <c r="CU266" s="33" t="str">
        <f t="shared" si="163"/>
        <v/>
      </c>
      <c r="CV266" s="33">
        <f t="shared" si="164"/>
        <v>2014</v>
      </c>
      <c r="CW266" s="33" t="str">
        <f t="shared" si="165"/>
        <v xml:space="preserve"> D </v>
      </c>
      <c r="CX266" s="33">
        <f t="shared" si="166"/>
        <v>1.56</v>
      </c>
      <c r="CY266" s="33" t="str">
        <f t="shared" si="167"/>
        <v xml:space="preserve"> D </v>
      </c>
    </row>
    <row r="267" spans="2:103" x14ac:dyDescent="0.2">
      <c r="B267" s="33">
        <v>-1810</v>
      </c>
      <c r="D267" s="364" t="s">
        <v>1769</v>
      </c>
      <c r="E267" s="33" t="s">
        <v>1770</v>
      </c>
      <c r="F267" s="33" t="s">
        <v>1771</v>
      </c>
      <c r="I267" s="33">
        <f t="shared" si="204"/>
        <v>102.17476000000001</v>
      </c>
      <c r="J267" s="33">
        <f t="shared" si="168"/>
        <v>5030.8681370000004</v>
      </c>
      <c r="K267" s="44">
        <f t="shared" si="200"/>
        <v>1.88</v>
      </c>
      <c r="M267" s="33" t="s">
        <v>1893</v>
      </c>
      <c r="Q267" s="44" t="str">
        <f t="shared" si="187"/>
        <v xml:space="preserve"> </v>
      </c>
      <c r="R267" s="33" t="str">
        <f>IF(OR(ISBLANK(P267), ISBLANK(Q267)),"",CONCATENATE(" ",VLOOKUP(Q267,Literatuur!$A:$B,2,FALSE)," "))</f>
        <v/>
      </c>
      <c r="T267" s="44" t="str">
        <f t="shared" si="188"/>
        <v xml:space="preserve"> </v>
      </c>
      <c r="U267" s="33" t="str">
        <f>IF(OR(ISBLANK(S267), ISBLANK(T267)),"",CONCATENATE(" ",VLOOKUP(T267,Literatuur!$A:$B,2,FALSE)," "))</f>
        <v/>
      </c>
      <c r="W267" s="44" t="str">
        <f t="shared" si="189"/>
        <v xml:space="preserve"> </v>
      </c>
      <c r="X267" s="33" t="str">
        <f>IF(OR(ISBLANK(V267), ISBLANK(W267)),"",CONCATENATE(" ",VLOOKUP(W267,Literatuur!$A:$B,2,FALSE)," "))</f>
        <v/>
      </c>
      <c r="Z267" s="44" t="str">
        <f t="shared" si="190"/>
        <v xml:space="preserve"> </v>
      </c>
      <c r="AA267" s="33" t="str">
        <f>IF(OR(ISBLANK(Y267), ISBLANK(Z267)),"",CONCATENATE(" ",VLOOKUP(Z267,Literatuur!$A:$B,2,FALSE)," "))</f>
        <v/>
      </c>
      <c r="AC267" s="36" t="str">
        <f t="shared" si="191"/>
        <v xml:space="preserve"> </v>
      </c>
      <c r="AD267" s="33" t="str">
        <f>IF(OR(ISBLANK(AB267), ISBLANK(AC267)),"",CONCATENATE(" ",VLOOKUP(AC267,Literatuur!$A:$B,2,FALSE)," "))</f>
        <v/>
      </c>
      <c r="AE267" s="33">
        <v>5030.8681370000004</v>
      </c>
      <c r="AF267" s="4" t="s">
        <v>1902</v>
      </c>
      <c r="AG267" s="33" t="str">
        <f>IF(OR(ISBLANK(AE267), ISBLANK(AF267)),"",CONCATENATE(" ",VLOOKUP(AF267,Literatuur!$A:$B,2,FALSE)," "))</f>
        <v xml:space="preserve"> B </v>
      </c>
      <c r="AJ267" s="44" t="str">
        <f t="shared" si="192"/>
        <v xml:space="preserve"> </v>
      </c>
      <c r="AK267" s="33" t="str">
        <f>IF(OR(ISBLANK(AI267), ISBLANK(AJ267)),"",CONCATENATE(" ",VLOOKUP(AJ267,Literatuur!$A:$B,2,FALSE)," "))</f>
        <v/>
      </c>
      <c r="AM267" s="44" t="str">
        <f t="shared" si="193"/>
        <v xml:space="preserve"> </v>
      </c>
      <c r="AN267" s="33" t="str">
        <f>IF(OR(ISBLANK(AL267), ISBLANK(AM267)),"",CONCATENATE(" ",VLOOKUP(AM267,Literatuur!$A:$B,2,FALSE)," "))</f>
        <v/>
      </c>
      <c r="AP267" s="44" t="str">
        <f t="shared" si="194"/>
        <v xml:space="preserve"> </v>
      </c>
      <c r="AQ267" s="33" t="str">
        <f>IF(OR(ISBLANK(AO267), ISBLANK(AP267)),"",CONCATENATE(" ",VLOOKUP(AP267,Literatuur!$A:$B,2,FALSE)," "))</f>
        <v/>
      </c>
      <c r="AT267" s="33" t="str">
        <f>IF(OR(ISBLANK(AR267), ISBLANK(AS267)),"",CONCATENATE(" ",VLOOKUP(AS267,Literatuur!$A:$B,2,FALSE)," "))</f>
        <v/>
      </c>
      <c r="AU267" s="33">
        <v>102.17476000000001</v>
      </c>
      <c r="AW267" s="33" t="str">
        <f>IF(OR(ISBLANK(AU267), ISBLANK(AV267)),"",CONCATENATE(" ",VLOOKUP(AV267,Literatuur!$A:$B,2,FALSE)," "))</f>
        <v/>
      </c>
      <c r="AZ267" s="44" t="str">
        <f t="shared" si="195"/>
        <v xml:space="preserve"> </v>
      </c>
      <c r="BA267" s="33" t="str">
        <f>IF(OR(ISBLANK(AY267), ISBLANK(AZ267)),"",CONCATENATE(" ",VLOOKUP(AZ267,Literatuur!$A:$B,2,FALSE)," "))</f>
        <v/>
      </c>
      <c r="BC267" s="44" t="str">
        <f t="shared" si="196"/>
        <v xml:space="preserve"> </v>
      </c>
      <c r="BD267" s="33" t="str">
        <f>IF(OR(ISBLANK(BB267), ISBLANK(BC267)),"",CONCATENATE(" ",VLOOKUP(BC267,Literatuur!$A:$B,2,FALSE)," "))</f>
        <v/>
      </c>
      <c r="BF267" s="44" t="str">
        <f t="shared" si="197"/>
        <v xml:space="preserve"> </v>
      </c>
      <c r="BG267" s="33" t="str">
        <f>IF(OR(ISBLANK(BE267), ISBLANK(BF267)),"",CONCATENATE(" ",VLOOKUP(BF267,Literatuur!$A:$B,2,FALSE)," "))</f>
        <v/>
      </c>
      <c r="BI267" s="44" t="str">
        <f t="shared" si="198"/>
        <v xml:space="preserve"> </v>
      </c>
      <c r="BJ267" s="33" t="str">
        <f>IF(OR(ISBLANK(BH267), ISBLANK(BI267)),"",CONCATENATE(" ",VLOOKUP(BI267,Literatuur!$A:$B,2,FALSE)," "))</f>
        <v/>
      </c>
      <c r="BL267" s="44" t="str">
        <f t="shared" si="199"/>
        <v xml:space="preserve"> </v>
      </c>
      <c r="BM267" s="33" t="str">
        <f>IF(OR(ISBLANK(BK267), ISBLANK(BL267)),"",CONCATENATE(" ",VLOOKUP(BL267,Literatuur!$A:$B,2,FALSE)," "))</f>
        <v/>
      </c>
      <c r="BN267" s="33">
        <v>1.88</v>
      </c>
      <c r="BO267" s="4" t="s">
        <v>1902</v>
      </c>
      <c r="BP267" s="33" t="str">
        <f>IF(OR(ISBLANK(BN267), ISBLANK(BO267)),"",CONCATENATE(" ",VLOOKUP(BO267,Literatuur!$A:$B,2,FALSE)," "))</f>
        <v xml:space="preserve"> B </v>
      </c>
      <c r="BS267" s="33" t="str">
        <f>IF(OR(ISBLANK(BQ267), ISBLANK(BR267)),"",CONCATENATE(" ",VLOOKUP(BR267,Literatuur!$A:$B,2,FALSE)," "))</f>
        <v/>
      </c>
      <c r="BV267" s="33" t="str">
        <f>IF(OR(ISBLANK(BT267), ISBLANK(BU267)),"",CONCATENATE(" ",VLOOKUP(BU267,Literatuur!$A:$B,2,FALSE)," "))</f>
        <v/>
      </c>
      <c r="CH267" s="33">
        <f t="shared" si="205"/>
        <v>1.88</v>
      </c>
      <c r="CI267" s="33">
        <v>16</v>
      </c>
      <c r="CR267" s="33" t="str">
        <f t="shared" si="160"/>
        <v>Ethyl tert-butyl ether</v>
      </c>
      <c r="CS267" s="33" t="str">
        <f t="shared" si="161"/>
        <v>O2</v>
      </c>
      <c r="CT267" s="33">
        <f>IF(OR(ISBLANK(AU267),ISERROR(AU267)),"",AU267)</f>
        <v>102.17476000000001</v>
      </c>
      <c r="CU267" s="33" t="str">
        <f t="shared" si="163"/>
        <v/>
      </c>
      <c r="CV267" s="33">
        <f t="shared" si="164"/>
        <v>5030.8681370000004</v>
      </c>
      <c r="CW267" s="33" t="str">
        <f t="shared" si="165"/>
        <v xml:space="preserve"> B </v>
      </c>
      <c r="CX267" s="33">
        <f t="shared" si="166"/>
        <v>1.88</v>
      </c>
      <c r="CY267" s="33" t="str">
        <f t="shared" si="167"/>
        <v xml:space="preserve"> B </v>
      </c>
    </row>
    <row r="268" spans="2:103" x14ac:dyDescent="0.2">
      <c r="B268" s="33">
        <v>-1410</v>
      </c>
      <c r="D268" s="33" t="s">
        <v>334</v>
      </c>
      <c r="E268" s="33" t="s">
        <v>334</v>
      </c>
      <c r="H268" s="34" t="s">
        <v>1353</v>
      </c>
      <c r="I268" s="37">
        <f t="shared" si="204"/>
        <v>46.07</v>
      </c>
      <c r="J268" s="33">
        <f t="shared" si="168"/>
        <v>1000000</v>
      </c>
      <c r="K268" s="44">
        <f t="shared" si="200"/>
        <v>-0.30499999999999999</v>
      </c>
      <c r="L268" s="33" t="e">
        <f t="shared" ref="L268:L284" si="206">AVERAGE(BX268:BY268)</f>
        <v>#DIV/0!</v>
      </c>
      <c r="M268" s="33" t="s">
        <v>1893</v>
      </c>
      <c r="Q268" s="44" t="str">
        <f t="shared" si="187"/>
        <v xml:space="preserve"> </v>
      </c>
      <c r="R268" s="33" t="str">
        <f>IF(OR(ISBLANK(P268), ISBLANK(Q268)),"",CONCATENATE(" ",VLOOKUP(Q268,Literatuur!$A:$B,2,FALSE)," "))</f>
        <v/>
      </c>
      <c r="T268" s="44" t="str">
        <f t="shared" si="188"/>
        <v xml:space="preserve"> </v>
      </c>
      <c r="U268" s="33" t="str">
        <f>IF(OR(ISBLANK(S268), ISBLANK(T268)),"",CONCATENATE(" ",VLOOKUP(T268,Literatuur!$A:$B,2,FALSE)," "))</f>
        <v/>
      </c>
      <c r="W268" s="44" t="str">
        <f t="shared" si="189"/>
        <v xml:space="preserve"> </v>
      </c>
      <c r="X268" s="33" t="str">
        <f>IF(OR(ISBLANK(V268), ISBLANK(W268)),"",CONCATENATE(" ",VLOOKUP(W268,Literatuur!$A:$B,2,FALSE)," "))</f>
        <v/>
      </c>
      <c r="Z268" s="44" t="str">
        <f t="shared" si="190"/>
        <v xml:space="preserve"> </v>
      </c>
      <c r="AA268" s="33" t="str">
        <f>IF(OR(ISBLANK(Y268), ISBLANK(Z268)),"",CONCATENATE(" ",VLOOKUP(Z268,Literatuur!$A:$B,2,FALSE)," "))</f>
        <v/>
      </c>
      <c r="AB268" s="33" t="s">
        <v>335</v>
      </c>
      <c r="AC268" s="36" t="str">
        <f t="shared" si="191"/>
        <v>Vonk 1985</v>
      </c>
      <c r="AD268" s="33" t="str">
        <f>IF(OR(ISBLANK(AB268), ISBLANK(AC268)),"",CONCATENATE(" ",VLOOKUP(AC268,Literatuur!$A:$B,2,FALSE)," "))</f>
        <v xml:space="preserve"> 37 </v>
      </c>
      <c r="AE268" s="33">
        <v>1000000</v>
      </c>
      <c r="AG268" s="33" t="str">
        <f>IF(OR(ISBLANK(AE268), ISBLANK(AF268)),"",CONCATENATE(" ",VLOOKUP(AF268,Literatuur!$A:$B,2,FALSE)," "))</f>
        <v/>
      </c>
      <c r="AH268" s="94"/>
      <c r="AI268" s="37"/>
      <c r="AJ268" s="44" t="str">
        <f t="shared" si="192"/>
        <v xml:space="preserve"> </v>
      </c>
      <c r="AK268" s="33" t="str">
        <f>IF(OR(ISBLANK(AI268), ISBLANK(AJ268)),"",CONCATENATE(" ",VLOOKUP(AJ268,Literatuur!$A:$B,2,FALSE)," "))</f>
        <v/>
      </c>
      <c r="AM268" s="44" t="str">
        <f t="shared" si="193"/>
        <v xml:space="preserve"> </v>
      </c>
      <c r="AN268" s="33" t="str">
        <f>IF(OR(ISBLANK(AL268), ISBLANK(AM268)),"",CONCATENATE(" ",VLOOKUP(AM268,Literatuur!$A:$B,2,FALSE)," "))</f>
        <v/>
      </c>
      <c r="AO268" s="33">
        <v>46.07</v>
      </c>
      <c r="AP268" s="44" t="str">
        <f t="shared" si="194"/>
        <v>US EPA suite</v>
      </c>
      <c r="AQ268" s="33" t="str">
        <f>IF(OR(ISBLANK(AO268), ISBLANK(AP268)),"",CONCATENATE(" ",VLOOKUP(AP268,Literatuur!$A:$B,2,FALSE)," "))</f>
        <v xml:space="preserve"> F </v>
      </c>
      <c r="AT268" s="33" t="str">
        <f>IF(OR(ISBLANK(AR268), ISBLANK(AS268)),"",CONCATENATE(" ",VLOOKUP(AS268,Literatuur!$A:$B,2,FALSE)," "))</f>
        <v/>
      </c>
      <c r="AW268" s="33" t="str">
        <f>IF(OR(ISBLANK(AU268), ISBLANK(AV268)),"",CONCATENATE(" ",VLOOKUP(AV268,Literatuur!$A:$B,2,FALSE)," "))</f>
        <v/>
      </c>
      <c r="AY268" s="45"/>
      <c r="AZ268" s="44" t="str">
        <f t="shared" si="195"/>
        <v xml:space="preserve"> </v>
      </c>
      <c r="BA268" s="33" t="str">
        <f>IF(OR(ISBLANK(AY268), ISBLANK(AZ268)),"",CONCATENATE(" ",VLOOKUP(AZ268,Literatuur!$A:$B,2,FALSE)," "))</f>
        <v/>
      </c>
      <c r="BB268" s="45"/>
      <c r="BC268" s="44" t="str">
        <f t="shared" si="196"/>
        <v xml:space="preserve"> </v>
      </c>
      <c r="BD268" s="33" t="str">
        <f>IF(OR(ISBLANK(BB268), ISBLANK(BC268)),"",CONCATENATE(" ",VLOOKUP(BC268,Literatuur!$A:$B,2,FALSE)," "))</f>
        <v/>
      </c>
      <c r="BF268" s="44" t="str">
        <f t="shared" si="197"/>
        <v xml:space="preserve"> </v>
      </c>
      <c r="BG268" s="33" t="str">
        <f>IF(OR(ISBLANK(BE268), ISBLANK(BF268)),"",CONCATENATE(" ",VLOOKUP(BF268,Literatuur!$A:$B,2,FALSE)," "))</f>
        <v/>
      </c>
      <c r="BH268" s="33">
        <v>-0.31</v>
      </c>
      <c r="BI268" s="44" t="str">
        <f t="shared" si="198"/>
        <v>US EPA suite</v>
      </c>
      <c r="BJ268" s="33" t="str">
        <f>IF(OR(ISBLANK(BH268), ISBLANK(BI268)),"",CONCATENATE(" ",VLOOKUP(BI268,Literatuur!$A:$B,2,FALSE)," "))</f>
        <v xml:space="preserve"> F </v>
      </c>
      <c r="BK268" s="33">
        <v>-0.3</v>
      </c>
      <c r="BL268" s="44" t="str">
        <f t="shared" si="199"/>
        <v>Sangster 1989</v>
      </c>
      <c r="BM268" s="33" t="str">
        <f>IF(OR(ISBLANK(BK268), ISBLANK(BL268)),"",CONCATENATE(" ",VLOOKUP(BL268,Literatuur!$A:$B,2,FALSE)," "))</f>
        <v xml:space="preserve"> 27 </v>
      </c>
      <c r="BP268" s="33" t="str">
        <f>IF(OR(ISBLANK(BN268), ISBLANK(BO268)),"",CONCATENATE(" ",VLOOKUP(BO268,Literatuur!$A:$B,2,FALSE)," "))</f>
        <v/>
      </c>
      <c r="BS268" s="33" t="str">
        <f>IF(OR(ISBLANK(BQ268), ISBLANK(BR268)),"",CONCATENATE(" ",VLOOKUP(BR268,Literatuur!$A:$B,2,FALSE)," "))</f>
        <v/>
      </c>
      <c r="BV268" s="33" t="str">
        <f>IF(OR(ISBLANK(BT268), ISBLANK(BU268)),"",CONCATENATE(" ",VLOOKUP(BU268,Literatuur!$A:$B,2,FALSE)," "))</f>
        <v/>
      </c>
      <c r="CE268" s="37">
        <f>I268</f>
        <v>46.07</v>
      </c>
      <c r="CG268" s="33">
        <f t="shared" ref="CG268:CG279" si="207">LOG(J268)</f>
        <v>6</v>
      </c>
      <c r="CH268" s="33">
        <f t="shared" si="205"/>
        <v>-0.30499999999999999</v>
      </c>
      <c r="CR268" s="33" t="str">
        <f t="shared" si="160"/>
        <v>Ethanol</v>
      </c>
      <c r="CS268" s="33" t="str">
        <f t="shared" si="161"/>
        <v>O2</v>
      </c>
      <c r="CT268" s="33">
        <f t="shared" ref="CT268:CT284" si="208">IF(OR(ISBLANK(I268),ISERROR(I268)),"",I268)</f>
        <v>46.07</v>
      </c>
      <c r="CU268" s="33" t="str">
        <f t="shared" si="163"/>
        <v xml:space="preserve"> F </v>
      </c>
      <c r="CV268" s="33">
        <f t="shared" si="164"/>
        <v>1000000</v>
      </c>
      <c r="CW268" s="33" t="str">
        <f t="shared" si="165"/>
        <v xml:space="preserve"> 37 </v>
      </c>
      <c r="CX268" s="33">
        <f t="shared" si="166"/>
        <v>-0.30499999999999999</v>
      </c>
      <c r="CY268" s="33" t="str">
        <f t="shared" si="167"/>
        <v xml:space="preserve"> F  27 </v>
      </c>
    </row>
    <row r="269" spans="2:103" x14ac:dyDescent="0.2">
      <c r="B269" s="33">
        <v>11143</v>
      </c>
      <c r="D269" s="33" t="s">
        <v>463</v>
      </c>
      <c r="E269" s="33" t="s">
        <v>463</v>
      </c>
      <c r="H269" s="34" t="s">
        <v>464</v>
      </c>
      <c r="I269" s="37">
        <f t="shared" si="204"/>
        <v>88.100000000000009</v>
      </c>
      <c r="J269" s="33">
        <f t="shared" si="168"/>
        <v>62100</v>
      </c>
      <c r="K269" s="44">
        <f t="shared" si="200"/>
        <v>0.73</v>
      </c>
      <c r="L269" s="33" t="e">
        <f t="shared" si="206"/>
        <v>#DIV/0!</v>
      </c>
      <c r="M269" s="33" t="s">
        <v>1893</v>
      </c>
      <c r="P269" s="33">
        <v>62100</v>
      </c>
      <c r="Q269" s="44" t="str">
        <f t="shared" si="187"/>
        <v>Sanscrit</v>
      </c>
      <c r="R269" s="33" t="str">
        <f>IF(OR(ISBLANK(P269), ISBLANK(Q269)),"",CONCATENATE(" ",VLOOKUP(Q269,Literatuur!$A:$B,2,FALSE)," "))</f>
        <v xml:space="preserve"> D </v>
      </c>
      <c r="S269" s="33">
        <v>86000</v>
      </c>
      <c r="T269" s="44" t="str">
        <f t="shared" si="188"/>
        <v>Gestis</v>
      </c>
      <c r="U269" s="33" t="str">
        <f>IF(OR(ISBLANK(S269), ISBLANK(T269)),"",CONCATENATE(" ",VLOOKUP(T269,Literatuur!$A:$B,2,FALSE)," "))</f>
        <v xml:space="preserve"> A </v>
      </c>
      <c r="W269" s="44" t="str">
        <f t="shared" si="189"/>
        <v xml:space="preserve"> </v>
      </c>
      <c r="X269" s="33" t="str">
        <f>IF(OR(ISBLANK(V269), ISBLANK(W269)),"",CONCATENATE(" ",VLOOKUP(W269,Literatuur!$A:$B,2,FALSE)," "))</f>
        <v/>
      </c>
      <c r="Z269" s="44" t="str">
        <f t="shared" si="190"/>
        <v xml:space="preserve"> </v>
      </c>
      <c r="AA269" s="33" t="str">
        <f>IF(OR(ISBLANK(Y269), ISBLANK(Z269)),"",CONCATENATE(" ",VLOOKUP(Z269,Literatuur!$A:$B,2,FALSE)," "))</f>
        <v/>
      </c>
      <c r="AC269" s="36" t="str">
        <f t="shared" si="191"/>
        <v xml:space="preserve"> </v>
      </c>
      <c r="AD269" s="33" t="str">
        <f>IF(OR(ISBLANK(AB269), ISBLANK(AC269)),"",CONCATENATE(" ",VLOOKUP(AC269,Literatuur!$A:$B,2,FALSE)," "))</f>
        <v/>
      </c>
      <c r="AE269" s="43"/>
      <c r="AF269" s="43"/>
      <c r="AG269" s="33" t="str">
        <f>IF(OR(ISBLANK(AE269), ISBLANK(AF269)),"",CONCATENATE(" ",VLOOKUP(AF269,Literatuur!$A:$B,2,FALSE)," "))</f>
        <v/>
      </c>
      <c r="AI269" s="33">
        <v>88.100000000000009</v>
      </c>
      <c r="AJ269" s="44" t="str">
        <f t="shared" si="192"/>
        <v>Sanscrit</v>
      </c>
      <c r="AK269" s="33" t="str">
        <f>IF(OR(ISBLANK(AI269), ISBLANK(AJ269)),"",CONCATENATE(" ",VLOOKUP(AJ269,Literatuur!$A:$B,2,FALSE)," "))</f>
        <v xml:space="preserve"> D </v>
      </c>
      <c r="AL269" s="33">
        <v>88.11</v>
      </c>
      <c r="AM269" s="44" t="str">
        <f t="shared" si="193"/>
        <v>Gestis</v>
      </c>
      <c r="AN269" s="33" t="str">
        <f>IF(OR(ISBLANK(AL269), ISBLANK(AM269)),"",CONCATENATE(" ",VLOOKUP(AM269,Literatuur!$A:$B,2,FALSE)," "))</f>
        <v xml:space="preserve"> A </v>
      </c>
      <c r="AP269" s="44" t="str">
        <f t="shared" si="194"/>
        <v xml:space="preserve"> </v>
      </c>
      <c r="AQ269" s="33" t="str">
        <f>IF(OR(ISBLANK(AO269), ISBLANK(AP269)),"",CONCATENATE(" ",VLOOKUP(AP269,Literatuur!$A:$B,2,FALSE)," "))</f>
        <v/>
      </c>
      <c r="AT269" s="33" t="str">
        <f>IF(OR(ISBLANK(AR269), ISBLANK(AS269)),"",CONCATENATE(" ",VLOOKUP(AS269,Literatuur!$A:$B,2,FALSE)," "))</f>
        <v/>
      </c>
      <c r="AW269" s="33" t="str">
        <f>IF(OR(ISBLANK(AU269), ISBLANK(AV269)),"",CONCATENATE(" ",VLOOKUP(AV269,Literatuur!$A:$B,2,FALSE)," "))</f>
        <v/>
      </c>
      <c r="AY269" s="33">
        <v>0.73</v>
      </c>
      <c r="AZ269" s="44" t="str">
        <f t="shared" si="195"/>
        <v>Sanscrit</v>
      </c>
      <c r="BA269" s="33" t="str">
        <f>IF(OR(ISBLANK(AY269), ISBLANK(AZ269)),"",CONCATENATE(" ",VLOOKUP(AZ269,Literatuur!$A:$B,2,FALSE)," "))</f>
        <v xml:space="preserve"> D </v>
      </c>
      <c r="BB269" s="33">
        <v>0.73</v>
      </c>
      <c r="BC269" s="44" t="str">
        <f t="shared" si="196"/>
        <v>Gestis</v>
      </c>
      <c r="BD269" s="33" t="str">
        <f>IF(OR(ISBLANK(BB269), ISBLANK(BC269)),"",CONCATENATE(" ",VLOOKUP(BC269,Literatuur!$A:$B,2,FALSE)," "))</f>
        <v xml:space="preserve"> A </v>
      </c>
      <c r="BF269" s="44" t="str">
        <f t="shared" si="197"/>
        <v xml:space="preserve"> </v>
      </c>
      <c r="BG269" s="33" t="str">
        <f>IF(OR(ISBLANK(BE269), ISBLANK(BF269)),"",CONCATENATE(" ",VLOOKUP(BF269,Literatuur!$A:$B,2,FALSE)," "))</f>
        <v/>
      </c>
      <c r="BI269" s="44" t="str">
        <f t="shared" si="198"/>
        <v xml:space="preserve"> </v>
      </c>
      <c r="BJ269" s="33" t="str">
        <f>IF(OR(ISBLANK(BH269), ISBLANK(BI269)),"",CONCATENATE(" ",VLOOKUP(BI269,Literatuur!$A:$B,2,FALSE)," "))</f>
        <v/>
      </c>
      <c r="BL269" s="44" t="str">
        <f t="shared" si="199"/>
        <v xml:space="preserve"> </v>
      </c>
      <c r="BM269" s="33" t="str">
        <f>IF(OR(ISBLANK(BK269), ISBLANK(BL269)),"",CONCATENATE(" ",VLOOKUP(BL269,Literatuur!$A:$B,2,FALSE)," "))</f>
        <v/>
      </c>
      <c r="BP269" s="33" t="str">
        <f>IF(OR(ISBLANK(BN269), ISBLANK(BO269)),"",CONCATENATE(" ",VLOOKUP(BO269,Literatuur!$A:$B,2,FALSE)," "))</f>
        <v/>
      </c>
      <c r="BS269" s="33" t="str">
        <f>IF(OR(ISBLANK(BQ269), ISBLANK(BR269)),"",CONCATENATE(" ",VLOOKUP(BR269,Literatuur!$A:$B,2,FALSE)," "))</f>
        <v/>
      </c>
      <c r="BV269" s="33" t="str">
        <f>IF(OR(ISBLANK(BT269), ISBLANK(BU269)),"",CONCATENATE(" ",VLOOKUP(BU269,Literatuur!$A:$B,2,FALSE)," "))</f>
        <v/>
      </c>
      <c r="CE269" s="37">
        <f>I269</f>
        <v>88.100000000000009</v>
      </c>
      <c r="CG269" s="33">
        <f t="shared" si="207"/>
        <v>4.79309160017658</v>
      </c>
      <c r="CH269" s="33">
        <f t="shared" si="205"/>
        <v>0.73</v>
      </c>
      <c r="CR269" s="33" t="str">
        <f t="shared" si="160"/>
        <v>Ethylacetaat</v>
      </c>
      <c r="CS269" s="33" t="str">
        <f t="shared" si="161"/>
        <v>O2</v>
      </c>
      <c r="CT269" s="33">
        <f t="shared" si="208"/>
        <v>88.100000000000009</v>
      </c>
      <c r="CU269" s="33" t="str">
        <f t="shared" si="163"/>
        <v xml:space="preserve"> D </v>
      </c>
      <c r="CV269" s="33">
        <f t="shared" si="164"/>
        <v>62100</v>
      </c>
      <c r="CW269" s="33" t="str">
        <f t="shared" si="165"/>
        <v xml:space="preserve"> D </v>
      </c>
      <c r="CX269" s="33">
        <f t="shared" si="166"/>
        <v>0.73</v>
      </c>
      <c r="CY269" s="33" t="str">
        <f t="shared" si="167"/>
        <v xml:space="preserve"> D </v>
      </c>
    </row>
    <row r="270" spans="2:103" x14ac:dyDescent="0.2">
      <c r="B270" s="33">
        <v>-1523</v>
      </c>
      <c r="D270" s="33" t="s">
        <v>473</v>
      </c>
      <c r="E270" s="33" t="s">
        <v>473</v>
      </c>
      <c r="H270" s="34" t="s">
        <v>474</v>
      </c>
      <c r="I270" s="37">
        <f t="shared" si="204"/>
        <v>102.13</v>
      </c>
      <c r="J270" s="33">
        <f t="shared" si="168"/>
        <v>17000</v>
      </c>
      <c r="K270" s="44">
        <f t="shared" si="200"/>
        <v>1.21</v>
      </c>
      <c r="L270" s="33" t="e">
        <f t="shared" si="206"/>
        <v>#DIV/0!</v>
      </c>
      <c r="M270" s="33" t="s">
        <v>1893</v>
      </c>
      <c r="Q270" s="44" t="str">
        <f t="shared" si="187"/>
        <v xml:space="preserve"> </v>
      </c>
      <c r="R270" s="33" t="str">
        <f>IF(OR(ISBLANK(P270), ISBLANK(Q270)),"",CONCATENATE(" ",VLOOKUP(Q270,Literatuur!$A:$B,2,FALSE)," "))</f>
        <v/>
      </c>
      <c r="S270" s="33">
        <v>17000</v>
      </c>
      <c r="T270" s="44" t="str">
        <f t="shared" si="188"/>
        <v>Gestis</v>
      </c>
      <c r="U270" s="33" t="str">
        <f>IF(OR(ISBLANK(S270), ISBLANK(T270)),"",CONCATENATE(" ",VLOOKUP(T270,Literatuur!$A:$B,2,FALSE)," "))</f>
        <v xml:space="preserve"> A </v>
      </c>
      <c r="W270" s="44" t="str">
        <f t="shared" si="189"/>
        <v xml:space="preserve"> </v>
      </c>
      <c r="X270" s="33" t="str">
        <f>IF(OR(ISBLANK(V270), ISBLANK(W270)),"",CONCATENATE(" ",VLOOKUP(W270,Literatuur!$A:$B,2,FALSE)," "))</f>
        <v/>
      </c>
      <c r="Z270" s="44" t="str">
        <f t="shared" si="190"/>
        <v xml:space="preserve"> </v>
      </c>
      <c r="AA270" s="33" t="str">
        <f>IF(OR(ISBLANK(Y270), ISBLANK(Z270)),"",CONCATENATE(" ",VLOOKUP(Z270,Literatuur!$A:$B,2,FALSE)," "))</f>
        <v/>
      </c>
      <c r="AC270" s="36" t="str">
        <f t="shared" si="191"/>
        <v xml:space="preserve"> </v>
      </c>
      <c r="AD270" s="33" t="str">
        <f>IF(OR(ISBLANK(AB270), ISBLANK(AC270)),"",CONCATENATE(" ",VLOOKUP(AC270,Literatuur!$A:$B,2,FALSE)," "))</f>
        <v/>
      </c>
      <c r="AG270" s="33" t="str">
        <f>IF(OR(ISBLANK(AE270), ISBLANK(AF270)),"",CONCATENATE(" ",VLOOKUP(AF270,Literatuur!$A:$B,2,FALSE)," "))</f>
        <v/>
      </c>
      <c r="AJ270" s="44" t="str">
        <f t="shared" si="192"/>
        <v xml:space="preserve"> </v>
      </c>
      <c r="AK270" s="33" t="str">
        <f>IF(OR(ISBLANK(AI270), ISBLANK(AJ270)),"",CONCATENATE(" ",VLOOKUP(AJ270,Literatuur!$A:$B,2,FALSE)," "))</f>
        <v/>
      </c>
      <c r="AL270" s="33">
        <v>102.13</v>
      </c>
      <c r="AM270" s="44" t="str">
        <f t="shared" si="193"/>
        <v>Gestis</v>
      </c>
      <c r="AN270" s="33" t="str">
        <f>IF(OR(ISBLANK(AL270), ISBLANK(AM270)),"",CONCATENATE(" ",VLOOKUP(AM270,Literatuur!$A:$B,2,FALSE)," "))</f>
        <v xml:space="preserve"> A </v>
      </c>
      <c r="AP270" s="44" t="str">
        <f t="shared" si="194"/>
        <v xml:space="preserve"> </v>
      </c>
      <c r="AQ270" s="33" t="str">
        <f>IF(OR(ISBLANK(AO270), ISBLANK(AP270)),"",CONCATENATE(" ",VLOOKUP(AP270,Literatuur!$A:$B,2,FALSE)," "))</f>
        <v/>
      </c>
      <c r="AT270" s="33" t="str">
        <f>IF(OR(ISBLANK(AR270), ISBLANK(AS270)),"",CONCATENATE(" ",VLOOKUP(AS270,Literatuur!$A:$B,2,FALSE)," "))</f>
        <v/>
      </c>
      <c r="AW270" s="33" t="str">
        <f>IF(OR(ISBLANK(AU270), ISBLANK(AV270)),"",CONCATENATE(" ",VLOOKUP(AV270,Literatuur!$A:$B,2,FALSE)," "))</f>
        <v/>
      </c>
      <c r="AZ270" s="44" t="str">
        <f t="shared" si="195"/>
        <v xml:space="preserve"> </v>
      </c>
      <c r="BA270" s="33" t="str">
        <f>IF(OR(ISBLANK(AY270), ISBLANK(AZ270)),"",CONCATENATE(" ",VLOOKUP(AZ270,Literatuur!$A:$B,2,FALSE)," "))</f>
        <v/>
      </c>
      <c r="BB270" s="33">
        <v>1.21</v>
      </c>
      <c r="BC270" s="44" t="str">
        <f t="shared" si="196"/>
        <v>Gestis</v>
      </c>
      <c r="BD270" s="33" t="str">
        <f>IF(OR(ISBLANK(BB270), ISBLANK(BC270)),"",CONCATENATE(" ",VLOOKUP(BC270,Literatuur!$A:$B,2,FALSE)," "))</f>
        <v xml:space="preserve"> A </v>
      </c>
      <c r="BF270" s="44" t="str">
        <f t="shared" si="197"/>
        <v xml:space="preserve"> </v>
      </c>
      <c r="BG270" s="33" t="str">
        <f>IF(OR(ISBLANK(BE270), ISBLANK(BF270)),"",CONCATENATE(" ",VLOOKUP(BF270,Literatuur!$A:$B,2,FALSE)," "))</f>
        <v/>
      </c>
      <c r="BI270" s="44" t="str">
        <f t="shared" si="198"/>
        <v xml:space="preserve"> </v>
      </c>
      <c r="BJ270" s="33" t="str">
        <f>IF(OR(ISBLANK(BH270), ISBLANK(BI270)),"",CONCATENATE(" ",VLOOKUP(BI270,Literatuur!$A:$B,2,FALSE)," "))</f>
        <v/>
      </c>
      <c r="BL270" s="44" t="str">
        <f t="shared" si="199"/>
        <v xml:space="preserve"> </v>
      </c>
      <c r="BM270" s="33" t="str">
        <f>IF(OR(ISBLANK(BK270), ISBLANK(BL270)),"",CONCATENATE(" ",VLOOKUP(BL270,Literatuur!$A:$B,2,FALSE)," "))</f>
        <v/>
      </c>
      <c r="BP270" s="33" t="str">
        <f>IF(OR(ISBLANK(BN270), ISBLANK(BO270)),"",CONCATENATE(" ",VLOOKUP(BO270,Literatuur!$A:$B,2,FALSE)," "))</f>
        <v/>
      </c>
      <c r="BS270" s="33" t="str">
        <f>IF(OR(ISBLANK(BQ270), ISBLANK(BR270)),"",CONCATENATE(" ",VLOOKUP(BR270,Literatuur!$A:$B,2,FALSE)," "))</f>
        <v/>
      </c>
      <c r="BV270" s="33" t="str">
        <f>IF(OR(ISBLANK(BT270), ISBLANK(BU270)),"",CONCATENATE(" ",VLOOKUP(BU270,Literatuur!$A:$B,2,FALSE)," "))</f>
        <v/>
      </c>
      <c r="CE270" s="37">
        <f>I270</f>
        <v>102.13</v>
      </c>
      <c r="CG270" s="33">
        <f t="shared" si="207"/>
        <v>4.2304489213782741</v>
      </c>
      <c r="CH270" s="33">
        <f t="shared" si="205"/>
        <v>1.21</v>
      </c>
      <c r="CR270" s="33" t="str">
        <f t="shared" ref="CR270:CR333" si="209">IF(ISBLANK(E270),"",E270)</f>
        <v>Ethylpropionate</v>
      </c>
      <c r="CS270" s="33" t="str">
        <f t="shared" ref="CS270:CS333" si="210">IF(ISBLANK(M270),"",M270)</f>
        <v>O2</v>
      </c>
      <c r="CT270" s="33">
        <f t="shared" si="208"/>
        <v>102.13</v>
      </c>
      <c r="CU270" s="33" t="str">
        <f t="shared" ref="CU270:CU333" si="211">IF(ISBLANK(AI270),CONCATENATE(AN270,AQ270,AT270,AW270,AX270),AK270)</f>
        <v xml:space="preserve"> A </v>
      </c>
      <c r="CV270" s="33">
        <f t="shared" ref="CV270:CV333" si="212">IF(OR(ISBLANK(J270),ISERROR(J270)),"",J270)</f>
        <v>17000</v>
      </c>
      <c r="CW270" s="33" t="str">
        <f t="shared" ref="CW270:CW333" si="213">IF(ISBLANK(P270),CONCATENATE(U270,X270,AA270,AD270,AG270),R270)</f>
        <v xml:space="preserve"> A </v>
      </c>
      <c r="CX270" s="33">
        <f t="shared" ref="CX270:CX333" si="214">IF(OR(ISBLANK(K270),ISERROR(K270)),"",K270)</f>
        <v>1.21</v>
      </c>
      <c r="CY270" s="33" t="str">
        <f t="shared" ref="CY270:CY333" si="215">IF(ISBLANK(AY270),CONCATENATE(BD270,BG270,BJ270,BM270,BP270,BS270,BV270,BW270),BA270)</f>
        <v xml:space="preserve"> A </v>
      </c>
    </row>
    <row r="271" spans="2:103" x14ac:dyDescent="0.2">
      <c r="B271" s="33">
        <v>202</v>
      </c>
      <c r="D271" s="33" t="s">
        <v>89</v>
      </c>
      <c r="E271" s="33" t="s">
        <v>865</v>
      </c>
      <c r="H271" s="34" t="s">
        <v>384</v>
      </c>
      <c r="I271" s="37">
        <f t="shared" si="204"/>
        <v>94.104999867169639</v>
      </c>
      <c r="J271" s="33">
        <f t="shared" ref="J271:J334" si="216">IF(ISNUMBER(P271),P271,AVERAGE(S271:AE271))</f>
        <v>65559.556704569273</v>
      </c>
      <c r="K271" s="44">
        <f t="shared" si="200"/>
        <v>1.48</v>
      </c>
      <c r="L271" s="33" t="e">
        <f t="shared" si="206"/>
        <v>#DIV/0!</v>
      </c>
      <c r="M271" s="33" t="s">
        <v>1893</v>
      </c>
      <c r="P271" s="33">
        <v>65559.556704569273</v>
      </c>
      <c r="Q271" s="44" t="str">
        <f t="shared" si="187"/>
        <v>Sanscrit</v>
      </c>
      <c r="R271" s="33" t="str">
        <f>IF(OR(ISBLANK(P271), ISBLANK(Q271)),"",CONCATENATE(" ",VLOOKUP(Q271,Literatuur!$A:$B,2,FALSE)," "))</f>
        <v xml:space="preserve"> D </v>
      </c>
      <c r="S271" s="37"/>
      <c r="T271" s="44" t="str">
        <f t="shared" si="188"/>
        <v xml:space="preserve"> </v>
      </c>
      <c r="U271" s="33" t="str">
        <f>IF(OR(ISBLANK(S271), ISBLANK(T271)),"",CONCATENATE(" ",VLOOKUP(T271,Literatuur!$A:$B,2,FALSE)," "))</f>
        <v/>
      </c>
      <c r="W271" s="44" t="str">
        <f t="shared" si="189"/>
        <v xml:space="preserve"> </v>
      </c>
      <c r="X271" s="33" t="str">
        <f>IF(OR(ISBLANK(V271), ISBLANK(W271)),"",CONCATENATE(" ",VLOOKUP(W271,Literatuur!$A:$B,2,FALSE)," "))</f>
        <v/>
      </c>
      <c r="Y271" s="33">
        <v>82800</v>
      </c>
      <c r="Z271" s="44" t="str">
        <f t="shared" si="190"/>
        <v>US EPA suite</v>
      </c>
      <c r="AA271" s="33" t="str">
        <f>IF(OR(ISBLANK(Y271), ISBLANK(Z271)),"",CONCATENATE(" ",VLOOKUP(Z271,Literatuur!$A:$B,2,FALSE)," "))</f>
        <v xml:space="preserve"> F </v>
      </c>
      <c r="AB271" s="33">
        <v>82000</v>
      </c>
      <c r="AC271" s="36" t="str">
        <f t="shared" si="191"/>
        <v>Vonk 1985</v>
      </c>
      <c r="AD271" s="33" t="str">
        <f>IF(OR(ISBLANK(AB271), ISBLANK(AC271)),"",CONCATENATE(" ",VLOOKUP(AC271,Literatuur!$A:$B,2,FALSE)," "))</f>
        <v xml:space="preserve"> 37 </v>
      </c>
      <c r="AG271" s="33" t="str">
        <f>IF(OR(ISBLANK(AE271), ISBLANK(AF271)),"",CONCATENATE(" ",VLOOKUP(AF271,Literatuur!$A:$B,2,FALSE)," "))</f>
        <v/>
      </c>
      <c r="AI271" s="37">
        <v>94.104999867169639</v>
      </c>
      <c r="AJ271" s="44" t="str">
        <f t="shared" si="192"/>
        <v>Sanscrit</v>
      </c>
      <c r="AK271" s="33" t="str">
        <f>IF(OR(ISBLANK(AI271), ISBLANK(AJ271)),"",CONCATENATE(" ",VLOOKUP(AJ271,Literatuur!$A:$B,2,FALSE)," "))</f>
        <v xml:space="preserve"> D </v>
      </c>
      <c r="AM271" s="44" t="str">
        <f t="shared" si="193"/>
        <v xml:space="preserve"> </v>
      </c>
      <c r="AN271" s="33" t="str">
        <f>IF(OR(ISBLANK(AL271), ISBLANK(AM271)),"",CONCATENATE(" ",VLOOKUP(AM271,Literatuur!$A:$B,2,FALSE)," "))</f>
        <v/>
      </c>
      <c r="AO271" s="33">
        <v>94.11</v>
      </c>
      <c r="AP271" s="44" t="str">
        <f t="shared" si="194"/>
        <v>US EPA suite</v>
      </c>
      <c r="AQ271" s="33" t="str">
        <f>IF(OR(ISBLANK(AO271), ISBLANK(AP271)),"",CONCATENATE(" ",VLOOKUP(AP271,Literatuur!$A:$B,2,FALSE)," "))</f>
        <v xml:space="preserve"> F </v>
      </c>
      <c r="AT271" s="33" t="str">
        <f>IF(OR(ISBLANK(AR271), ISBLANK(AS271)),"",CONCATENATE(" ",VLOOKUP(AS271,Literatuur!$A:$B,2,FALSE)," "))</f>
        <v/>
      </c>
      <c r="AW271" s="33" t="str">
        <f>IF(OR(ISBLANK(AU271), ISBLANK(AV271)),"",CONCATENATE(" ",VLOOKUP(AV271,Literatuur!$A:$B,2,FALSE)," "))</f>
        <v/>
      </c>
      <c r="AY271" s="44"/>
      <c r="AZ271" s="44" t="str">
        <f t="shared" si="195"/>
        <v xml:space="preserve"> </v>
      </c>
      <c r="BA271" s="33" t="str">
        <f>IF(OR(ISBLANK(AY271), ISBLANK(AZ271)),"",CONCATENATE(" ",VLOOKUP(AZ271,Literatuur!$A:$B,2,FALSE)," "))</f>
        <v/>
      </c>
      <c r="BB271" s="44"/>
      <c r="BC271" s="44" t="str">
        <f t="shared" si="196"/>
        <v xml:space="preserve"> </v>
      </c>
      <c r="BD271" s="33" t="str">
        <f>IF(OR(ISBLANK(BB271), ISBLANK(BC271)),"",CONCATENATE(" ",VLOOKUP(BC271,Literatuur!$A:$B,2,FALSE)," "))</f>
        <v/>
      </c>
      <c r="BF271" s="44" t="str">
        <f t="shared" si="197"/>
        <v xml:space="preserve"> </v>
      </c>
      <c r="BG271" s="33" t="str">
        <f>IF(OR(ISBLANK(BE271), ISBLANK(BF271)),"",CONCATENATE(" ",VLOOKUP(BF271,Literatuur!$A:$B,2,FALSE)," "))</f>
        <v/>
      </c>
      <c r="BH271" s="33">
        <v>1.46</v>
      </c>
      <c r="BI271" s="44" t="str">
        <f t="shared" si="198"/>
        <v>US EPA suite</v>
      </c>
      <c r="BJ271" s="33" t="str">
        <f>IF(OR(ISBLANK(BH271), ISBLANK(BI271)),"",CONCATENATE(" ",VLOOKUP(BI271,Literatuur!$A:$B,2,FALSE)," "))</f>
        <v xml:space="preserve"> F </v>
      </c>
      <c r="BK271" s="33">
        <v>1.5</v>
      </c>
      <c r="BL271" s="44" t="str">
        <f t="shared" si="199"/>
        <v>Sangster 1989</v>
      </c>
      <c r="BM271" s="33" t="str">
        <f>IF(OR(ISBLANK(BK271), ISBLANK(BL271)),"",CONCATENATE(" ",VLOOKUP(BL271,Literatuur!$A:$B,2,FALSE)," "))</f>
        <v xml:space="preserve"> 27 </v>
      </c>
      <c r="BP271" s="33" t="str">
        <f>IF(OR(ISBLANK(BN271), ISBLANK(BO271)),"",CONCATENATE(" ",VLOOKUP(BO271,Literatuur!$A:$B,2,FALSE)," "))</f>
        <v/>
      </c>
      <c r="BS271" s="33" t="str">
        <f>IF(OR(ISBLANK(BQ271), ISBLANK(BR271)),"",CONCATENATE(" ",VLOOKUP(BR271,Literatuur!$A:$B,2,FALSE)," "))</f>
        <v/>
      </c>
      <c r="BV271" s="33" t="str">
        <f>IF(OR(ISBLANK(BT271), ISBLANK(BU271)),"",CONCATENATE(" ",VLOOKUP(BU271,Literatuur!$A:$B,2,FALSE)," "))</f>
        <v/>
      </c>
      <c r="CE271" s="37">
        <f>I271</f>
        <v>94.104999867169639</v>
      </c>
      <c r="CG271" s="33">
        <f t="shared" si="207"/>
        <v>4.8166360083302751</v>
      </c>
      <c r="CH271" s="33">
        <f t="shared" si="205"/>
        <v>1.48</v>
      </c>
      <c r="CR271" s="33" t="str">
        <f t="shared" si="209"/>
        <v>Phenol</v>
      </c>
      <c r="CS271" s="33" t="str">
        <f t="shared" si="210"/>
        <v>O2</v>
      </c>
      <c r="CT271" s="33">
        <f t="shared" si="208"/>
        <v>94.104999867169639</v>
      </c>
      <c r="CU271" s="33" t="str">
        <f t="shared" si="211"/>
        <v xml:space="preserve"> D </v>
      </c>
      <c r="CV271" s="33">
        <f t="shared" si="212"/>
        <v>65559.556704569273</v>
      </c>
      <c r="CW271" s="33" t="str">
        <f t="shared" si="213"/>
        <v xml:space="preserve"> D </v>
      </c>
      <c r="CX271" s="33">
        <f t="shared" si="214"/>
        <v>1.48</v>
      </c>
      <c r="CY271" s="33" t="str">
        <f t="shared" si="215"/>
        <v xml:space="preserve"> F  27 </v>
      </c>
    </row>
    <row r="272" spans="2:103" x14ac:dyDescent="0.2">
      <c r="B272" s="33">
        <v>-1659</v>
      </c>
      <c r="D272" s="105" t="s">
        <v>804</v>
      </c>
      <c r="E272" s="105" t="s">
        <v>804</v>
      </c>
      <c r="H272" s="34" t="s">
        <v>1234</v>
      </c>
      <c r="I272" s="33">
        <f t="shared" si="204"/>
        <v>116.21</v>
      </c>
      <c r="J272" s="33">
        <f t="shared" si="216"/>
        <v>1940</v>
      </c>
      <c r="K272" s="44">
        <f t="shared" si="200"/>
        <v>2.62</v>
      </c>
      <c r="L272" s="33" t="e">
        <f t="shared" si="206"/>
        <v>#DIV/0!</v>
      </c>
      <c r="M272" s="33" t="s">
        <v>1893</v>
      </c>
      <c r="Q272" s="44" t="str">
        <f t="shared" si="187"/>
        <v xml:space="preserve"> </v>
      </c>
      <c r="R272" s="33" t="str">
        <f>IF(OR(ISBLANK(P272), ISBLANK(Q272)),"",CONCATENATE(" ",VLOOKUP(Q272,Literatuur!$A:$B,2,FALSE)," "))</f>
        <v/>
      </c>
      <c r="T272" s="44" t="str">
        <f t="shared" si="188"/>
        <v xml:space="preserve"> </v>
      </c>
      <c r="U272" s="33" t="str">
        <f>IF(OR(ISBLANK(S272), ISBLANK(T272)),"",CONCATENATE(" ",VLOOKUP(T272,Literatuur!$A:$B,2,FALSE)," "))</f>
        <v/>
      </c>
      <c r="W272" s="44" t="str">
        <f t="shared" si="189"/>
        <v xml:space="preserve"> </v>
      </c>
      <c r="X272" s="33" t="str">
        <f>IF(OR(ISBLANK(V272), ISBLANK(W272)),"",CONCATENATE(" ",VLOOKUP(W272,Literatuur!$A:$B,2,FALSE)," "))</f>
        <v/>
      </c>
      <c r="Y272" s="33">
        <v>1940</v>
      </c>
      <c r="Z272" s="44" t="str">
        <f t="shared" si="190"/>
        <v>US EPA suite</v>
      </c>
      <c r="AA272" s="33" t="str">
        <f>IF(OR(ISBLANK(Y272), ISBLANK(Z272)),"",CONCATENATE(" ",VLOOKUP(Z272,Literatuur!$A:$B,2,FALSE)," "))</f>
        <v xml:space="preserve"> F </v>
      </c>
      <c r="AC272" s="36" t="str">
        <f t="shared" si="191"/>
        <v xml:space="preserve"> </v>
      </c>
      <c r="AD272" s="33" t="str">
        <f>IF(OR(ISBLANK(AB272), ISBLANK(AC272)),"",CONCATENATE(" ",VLOOKUP(AC272,Literatuur!$A:$B,2,FALSE)," "))</f>
        <v/>
      </c>
      <c r="AG272" s="33" t="str">
        <f>IF(OR(ISBLANK(AE272), ISBLANK(AF272)),"",CONCATENATE(" ",VLOOKUP(AF272,Literatuur!$A:$B,2,FALSE)," "))</f>
        <v/>
      </c>
      <c r="AJ272" s="44" t="str">
        <f t="shared" si="192"/>
        <v xml:space="preserve"> </v>
      </c>
      <c r="AK272" s="33" t="str">
        <f>IF(OR(ISBLANK(AI272), ISBLANK(AJ272)),"",CONCATENATE(" ",VLOOKUP(AJ272,Literatuur!$A:$B,2,FALSE)," "))</f>
        <v/>
      </c>
      <c r="AM272" s="44" t="str">
        <f t="shared" si="193"/>
        <v xml:space="preserve"> </v>
      </c>
      <c r="AN272" s="33" t="str">
        <f>IF(OR(ISBLANK(AL272), ISBLANK(AM272)),"",CONCATENATE(" ",VLOOKUP(AM272,Literatuur!$A:$B,2,FALSE)," "))</f>
        <v/>
      </c>
      <c r="AO272" s="33">
        <v>116.21</v>
      </c>
      <c r="AP272" s="44" t="str">
        <f t="shared" si="194"/>
        <v>US EPA suite</v>
      </c>
      <c r="AQ272" s="33" t="str">
        <f>IF(OR(ISBLANK(AO272), ISBLANK(AP272)),"",CONCATENATE(" ",VLOOKUP(AP272,Literatuur!$A:$B,2,FALSE)," "))</f>
        <v xml:space="preserve"> F </v>
      </c>
      <c r="AT272" s="33" t="str">
        <f>IF(OR(ISBLANK(AR272), ISBLANK(AS272)),"",CONCATENATE(" ",VLOOKUP(AS272,Literatuur!$A:$B,2,FALSE)," "))</f>
        <v/>
      </c>
      <c r="AW272" s="33" t="str">
        <f>IF(OR(ISBLANK(AU272), ISBLANK(AV272)),"",CONCATENATE(" ",VLOOKUP(AV272,Literatuur!$A:$B,2,FALSE)," "))</f>
        <v/>
      </c>
      <c r="AZ272" s="44" t="str">
        <f t="shared" si="195"/>
        <v xml:space="preserve"> </v>
      </c>
      <c r="BA272" s="33" t="str">
        <f>IF(OR(ISBLANK(AY272), ISBLANK(AZ272)),"",CONCATENATE(" ",VLOOKUP(AZ272,Literatuur!$A:$B,2,FALSE)," "))</f>
        <v/>
      </c>
      <c r="BC272" s="44" t="str">
        <f t="shared" si="196"/>
        <v xml:space="preserve"> </v>
      </c>
      <c r="BD272" s="33" t="str">
        <f>IF(OR(ISBLANK(BB272), ISBLANK(BC272)),"",CONCATENATE(" ",VLOOKUP(BC272,Literatuur!$A:$B,2,FALSE)," "))</f>
        <v/>
      </c>
      <c r="BF272" s="44" t="str">
        <f t="shared" si="197"/>
        <v xml:space="preserve"> </v>
      </c>
      <c r="BG272" s="33" t="str">
        <f>IF(OR(ISBLANK(BE272), ISBLANK(BF272)),"",CONCATENATE(" ",VLOOKUP(BF272,Literatuur!$A:$B,2,FALSE)," "))</f>
        <v/>
      </c>
      <c r="BH272" s="33">
        <v>2.62</v>
      </c>
      <c r="BI272" s="44" t="str">
        <f t="shared" si="198"/>
        <v>US EPA suite</v>
      </c>
      <c r="BJ272" s="33" t="str">
        <f>IF(OR(ISBLANK(BH272), ISBLANK(BI272)),"",CONCATENATE(" ",VLOOKUP(BI272,Literatuur!$A:$B,2,FALSE)," "))</f>
        <v xml:space="preserve"> F </v>
      </c>
      <c r="BL272" s="44" t="str">
        <f t="shared" si="199"/>
        <v xml:space="preserve"> </v>
      </c>
      <c r="BM272" s="33" t="str">
        <f>IF(OR(ISBLANK(BK272), ISBLANK(BL272)),"",CONCATENATE(" ",VLOOKUP(BL272,Literatuur!$A:$B,2,FALSE)," "))</f>
        <v/>
      </c>
      <c r="BP272" s="33" t="str">
        <f>IF(OR(ISBLANK(BN272), ISBLANK(BO272)),"",CONCATENATE(" ",VLOOKUP(BO272,Literatuur!$A:$B,2,FALSE)," "))</f>
        <v/>
      </c>
      <c r="BS272" s="33" t="str">
        <f>IF(OR(ISBLANK(BQ272), ISBLANK(BR272)),"",CONCATENATE(" ",VLOOKUP(BR272,Literatuur!$A:$B,2,FALSE)," "))</f>
        <v/>
      </c>
      <c r="BV272" s="33" t="str">
        <f>IF(OR(ISBLANK(BT272), ISBLANK(BU272)),"",CONCATENATE(" ",VLOOKUP(BU272,Literatuur!$A:$B,2,FALSE)," "))</f>
        <v/>
      </c>
      <c r="CG272" s="33">
        <f t="shared" si="207"/>
        <v>3.287801729930226</v>
      </c>
      <c r="CH272" s="33">
        <f t="shared" si="205"/>
        <v>2.62</v>
      </c>
      <c r="CR272" s="33" t="str">
        <f t="shared" si="209"/>
        <v>Heptanol</v>
      </c>
      <c r="CS272" s="33" t="str">
        <f t="shared" si="210"/>
        <v>O2</v>
      </c>
      <c r="CT272" s="33">
        <f t="shared" si="208"/>
        <v>116.21</v>
      </c>
      <c r="CU272" s="33" t="str">
        <f t="shared" si="211"/>
        <v xml:space="preserve"> F </v>
      </c>
      <c r="CV272" s="33">
        <f t="shared" si="212"/>
        <v>1940</v>
      </c>
      <c r="CW272" s="33" t="str">
        <f t="shared" si="213"/>
        <v xml:space="preserve"> F </v>
      </c>
      <c r="CX272" s="33">
        <f t="shared" si="214"/>
        <v>2.62</v>
      </c>
      <c r="CY272" s="33" t="str">
        <f t="shared" si="215"/>
        <v xml:space="preserve"> F </v>
      </c>
    </row>
    <row r="273" spans="2:103" x14ac:dyDescent="0.2">
      <c r="B273" s="33">
        <v>-1522</v>
      </c>
      <c r="D273" s="33" t="s">
        <v>1378</v>
      </c>
      <c r="E273" s="33" t="s">
        <v>1378</v>
      </c>
      <c r="F273" s="33" t="s">
        <v>869</v>
      </c>
      <c r="H273" s="34" t="s">
        <v>472</v>
      </c>
      <c r="I273" s="37">
        <f t="shared" si="204"/>
        <v>100.16</v>
      </c>
      <c r="J273" s="33">
        <f t="shared" si="216"/>
        <v>6000</v>
      </c>
      <c r="K273" s="44">
        <f t="shared" si="200"/>
        <v>1.78</v>
      </c>
      <c r="L273" s="33" t="e">
        <f t="shared" si="206"/>
        <v>#DIV/0!</v>
      </c>
      <c r="M273" s="33" t="s">
        <v>1893</v>
      </c>
      <c r="Q273" s="44" t="str">
        <f t="shared" si="187"/>
        <v xml:space="preserve"> </v>
      </c>
      <c r="R273" s="33" t="str">
        <f>IF(OR(ISBLANK(P273), ISBLANK(Q273)),"",CONCATENATE(" ",VLOOKUP(Q273,Literatuur!$A:$B,2,FALSE)," "))</f>
        <v/>
      </c>
      <c r="S273" s="33">
        <v>6000</v>
      </c>
      <c r="T273" s="44" t="str">
        <f t="shared" si="188"/>
        <v>Gestis</v>
      </c>
      <c r="U273" s="33" t="str">
        <f>IF(OR(ISBLANK(S273), ISBLANK(T273)),"",CONCATENATE(" ",VLOOKUP(T273,Literatuur!$A:$B,2,FALSE)," "))</f>
        <v xml:space="preserve"> A </v>
      </c>
      <c r="W273" s="44" t="str">
        <f t="shared" si="189"/>
        <v xml:space="preserve"> </v>
      </c>
      <c r="X273" s="33" t="str">
        <f>IF(OR(ISBLANK(V273), ISBLANK(W273)),"",CONCATENATE(" ",VLOOKUP(W273,Literatuur!$A:$B,2,FALSE)," "))</f>
        <v/>
      </c>
      <c r="Z273" s="44" t="str">
        <f t="shared" si="190"/>
        <v xml:space="preserve"> </v>
      </c>
      <c r="AA273" s="33" t="str">
        <f>IF(OR(ISBLANK(Y273), ISBLANK(Z273)),"",CONCATENATE(" ",VLOOKUP(Z273,Literatuur!$A:$B,2,FALSE)," "))</f>
        <v/>
      </c>
      <c r="AC273" s="36" t="str">
        <f t="shared" si="191"/>
        <v xml:space="preserve"> </v>
      </c>
      <c r="AD273" s="33" t="str">
        <f>IF(OR(ISBLANK(AB273), ISBLANK(AC273)),"",CONCATENATE(" ",VLOOKUP(AC273,Literatuur!$A:$B,2,FALSE)," "))</f>
        <v/>
      </c>
      <c r="AG273" s="33" t="str">
        <f>IF(OR(ISBLANK(AE273), ISBLANK(AF273)),"",CONCATENATE(" ",VLOOKUP(AF273,Literatuur!$A:$B,2,FALSE)," "))</f>
        <v/>
      </c>
      <c r="AJ273" s="44" t="str">
        <f t="shared" si="192"/>
        <v xml:space="preserve"> </v>
      </c>
      <c r="AK273" s="33" t="str">
        <f>IF(OR(ISBLANK(AI273), ISBLANK(AJ273)),"",CONCATENATE(" ",VLOOKUP(AJ273,Literatuur!$A:$B,2,FALSE)," "))</f>
        <v/>
      </c>
      <c r="AL273" s="33">
        <v>100.16</v>
      </c>
      <c r="AM273" s="44" t="str">
        <f t="shared" si="193"/>
        <v>Gestis</v>
      </c>
      <c r="AN273" s="33" t="str">
        <f>IF(OR(ISBLANK(AL273), ISBLANK(AM273)),"",CONCATENATE(" ",VLOOKUP(AM273,Literatuur!$A:$B,2,FALSE)," "))</f>
        <v xml:space="preserve"> A </v>
      </c>
      <c r="AP273" s="44" t="str">
        <f t="shared" si="194"/>
        <v xml:space="preserve"> </v>
      </c>
      <c r="AQ273" s="33" t="str">
        <f>IF(OR(ISBLANK(AO273), ISBLANK(AP273)),"",CONCATENATE(" ",VLOOKUP(AP273,Literatuur!$A:$B,2,FALSE)," "))</f>
        <v/>
      </c>
      <c r="AT273" s="33" t="str">
        <f>IF(OR(ISBLANK(AR273), ISBLANK(AS273)),"",CONCATENATE(" ",VLOOKUP(AS273,Literatuur!$A:$B,2,FALSE)," "))</f>
        <v/>
      </c>
      <c r="AW273" s="33" t="str">
        <f>IF(OR(ISBLANK(AU273), ISBLANK(AV273)),"",CONCATENATE(" ",VLOOKUP(AV273,Literatuur!$A:$B,2,FALSE)," "))</f>
        <v/>
      </c>
      <c r="AZ273" s="44" t="str">
        <f t="shared" si="195"/>
        <v xml:space="preserve"> </v>
      </c>
      <c r="BA273" s="33" t="str">
        <f>IF(OR(ISBLANK(AY273), ISBLANK(AZ273)),"",CONCATENATE(" ",VLOOKUP(AZ273,Literatuur!$A:$B,2,FALSE)," "))</f>
        <v/>
      </c>
      <c r="BB273" s="33">
        <v>1.78</v>
      </c>
      <c r="BC273" s="44" t="str">
        <f t="shared" si="196"/>
        <v>Gestis</v>
      </c>
      <c r="BD273" s="33" t="str">
        <f>IF(OR(ISBLANK(BB273), ISBLANK(BC273)),"",CONCATENATE(" ",VLOOKUP(BC273,Literatuur!$A:$B,2,FALSE)," "))</f>
        <v xml:space="preserve"> A </v>
      </c>
      <c r="BF273" s="44" t="str">
        <f t="shared" si="197"/>
        <v xml:space="preserve"> </v>
      </c>
      <c r="BG273" s="33" t="str">
        <f>IF(OR(ISBLANK(BE273), ISBLANK(BF273)),"",CONCATENATE(" ",VLOOKUP(BF273,Literatuur!$A:$B,2,FALSE)," "))</f>
        <v/>
      </c>
      <c r="BI273" s="44" t="str">
        <f t="shared" si="198"/>
        <v xml:space="preserve"> </v>
      </c>
      <c r="BJ273" s="33" t="str">
        <f>IF(OR(ISBLANK(BH273), ISBLANK(BI273)),"",CONCATENATE(" ",VLOOKUP(BI273,Literatuur!$A:$B,2,FALSE)," "))</f>
        <v/>
      </c>
      <c r="BL273" s="44" t="str">
        <f t="shared" si="199"/>
        <v xml:space="preserve"> </v>
      </c>
      <c r="BM273" s="33" t="str">
        <f>IF(OR(ISBLANK(BK273), ISBLANK(BL273)),"",CONCATENATE(" ",VLOOKUP(BL273,Literatuur!$A:$B,2,FALSE)," "))</f>
        <v/>
      </c>
      <c r="BP273" s="33" t="str">
        <f>IF(OR(ISBLANK(BN273), ISBLANK(BO273)),"",CONCATENATE(" ",VLOOKUP(BO273,Literatuur!$A:$B,2,FALSE)," "))</f>
        <v/>
      </c>
      <c r="BS273" s="33" t="str">
        <f>IF(OR(ISBLANK(BQ273), ISBLANK(BR273)),"",CONCATENATE(" ",VLOOKUP(BR273,Literatuur!$A:$B,2,FALSE)," "))</f>
        <v/>
      </c>
      <c r="BV273" s="33" t="str">
        <f>IF(OR(ISBLANK(BT273), ISBLANK(BU273)),"",CONCATENATE(" ",VLOOKUP(BU273,Literatuur!$A:$B,2,FALSE)," "))</f>
        <v/>
      </c>
      <c r="CE273" s="37">
        <f>I273</f>
        <v>100.16</v>
      </c>
      <c r="CG273" s="33">
        <f t="shared" si="207"/>
        <v>3.7781512503836434</v>
      </c>
      <c r="CH273" s="33">
        <f t="shared" si="205"/>
        <v>1.78</v>
      </c>
      <c r="CR273" s="33" t="str">
        <f t="shared" si="209"/>
        <v>Hexaldehyde</v>
      </c>
      <c r="CS273" s="33" t="str">
        <f t="shared" si="210"/>
        <v>O2</v>
      </c>
      <c r="CT273" s="33">
        <f t="shared" si="208"/>
        <v>100.16</v>
      </c>
      <c r="CU273" s="33" t="str">
        <f t="shared" si="211"/>
        <v xml:space="preserve"> A </v>
      </c>
      <c r="CV273" s="33">
        <f t="shared" si="212"/>
        <v>6000</v>
      </c>
      <c r="CW273" s="33" t="str">
        <f t="shared" si="213"/>
        <v xml:space="preserve"> A </v>
      </c>
      <c r="CX273" s="33">
        <f t="shared" si="214"/>
        <v>1.78</v>
      </c>
      <c r="CY273" s="33" t="str">
        <f t="shared" si="215"/>
        <v xml:space="preserve"> A </v>
      </c>
    </row>
    <row r="274" spans="2:103" x14ac:dyDescent="0.2">
      <c r="B274" s="33">
        <v>1107</v>
      </c>
      <c r="D274" s="33" t="s">
        <v>435</v>
      </c>
      <c r="E274" s="33" t="s">
        <v>435</v>
      </c>
      <c r="H274" s="34" t="s">
        <v>436</v>
      </c>
      <c r="I274" s="37">
        <f t="shared" si="204"/>
        <v>32</v>
      </c>
      <c r="J274" s="33">
        <f t="shared" si="216"/>
        <v>1056000</v>
      </c>
      <c r="K274" s="44">
        <f t="shared" si="200"/>
        <v>-0.70000000000000007</v>
      </c>
      <c r="L274" s="33" t="e">
        <f t="shared" si="206"/>
        <v>#DIV/0!</v>
      </c>
      <c r="M274" s="33" t="s">
        <v>1893</v>
      </c>
      <c r="P274" s="33">
        <v>1056000</v>
      </c>
      <c r="Q274" s="44" t="str">
        <f t="shared" si="187"/>
        <v>Sanscrit</v>
      </c>
      <c r="R274" s="33" t="str">
        <f>IF(OR(ISBLANK(P274), ISBLANK(Q274)),"",CONCATENATE(" ",VLOOKUP(Q274,Literatuur!$A:$B,2,FALSE)," "))</f>
        <v xml:space="preserve"> D </v>
      </c>
      <c r="T274" s="44" t="str">
        <f t="shared" si="188"/>
        <v xml:space="preserve"> </v>
      </c>
      <c r="U274" s="33" t="str">
        <f>IF(OR(ISBLANK(S274), ISBLANK(T274)),"",CONCATENATE(" ",VLOOKUP(T274,Literatuur!$A:$B,2,FALSE)," "))</f>
        <v/>
      </c>
      <c r="W274" s="44" t="str">
        <f t="shared" si="189"/>
        <v xml:space="preserve"> </v>
      </c>
      <c r="X274" s="33" t="str">
        <f>IF(OR(ISBLANK(V274), ISBLANK(W274)),"",CONCATENATE(" ",VLOOKUP(W274,Literatuur!$A:$B,2,FALSE)," "))</f>
        <v/>
      </c>
      <c r="Z274" s="44" t="str">
        <f t="shared" si="190"/>
        <v xml:space="preserve"> </v>
      </c>
      <c r="AA274" s="33" t="str">
        <f>IF(OR(ISBLANK(Y274), ISBLANK(Z274)),"",CONCATENATE(" ",VLOOKUP(Z274,Literatuur!$A:$B,2,FALSE)," "))</f>
        <v/>
      </c>
      <c r="AC274" s="36" t="str">
        <f t="shared" si="191"/>
        <v xml:space="preserve"> </v>
      </c>
      <c r="AD274" s="33" t="str">
        <f>IF(OR(ISBLANK(AB274), ISBLANK(AC274)),"",CONCATENATE(" ",VLOOKUP(AC274,Literatuur!$A:$B,2,FALSE)," "))</f>
        <v/>
      </c>
      <c r="AE274" s="43"/>
      <c r="AF274" s="43"/>
      <c r="AG274" s="33" t="str">
        <f>IF(OR(ISBLANK(AE274), ISBLANK(AF274)),"",CONCATENATE(" ",VLOOKUP(AF274,Literatuur!$A:$B,2,FALSE)," "))</f>
        <v/>
      </c>
      <c r="AI274" s="33">
        <v>32</v>
      </c>
      <c r="AJ274" s="44" t="str">
        <f t="shared" si="192"/>
        <v>Sanscrit</v>
      </c>
      <c r="AK274" s="33" t="str">
        <f>IF(OR(ISBLANK(AI274), ISBLANK(AJ274)),"",CONCATENATE(" ",VLOOKUP(AJ274,Literatuur!$A:$B,2,FALSE)," "))</f>
        <v xml:space="preserve"> D </v>
      </c>
      <c r="AL274" s="33">
        <v>32.04</v>
      </c>
      <c r="AM274" s="44" t="str">
        <f t="shared" si="193"/>
        <v>Gestis</v>
      </c>
      <c r="AN274" s="33" t="str">
        <f>IF(OR(ISBLANK(AL274), ISBLANK(AM274)),"",CONCATENATE(" ",VLOOKUP(AM274,Literatuur!$A:$B,2,FALSE)," "))</f>
        <v xml:space="preserve"> A </v>
      </c>
      <c r="AP274" s="44" t="str">
        <f t="shared" si="194"/>
        <v xml:space="preserve"> </v>
      </c>
      <c r="AQ274" s="33" t="str">
        <f>IF(OR(ISBLANK(AO274), ISBLANK(AP274)),"",CONCATENATE(" ",VLOOKUP(AP274,Literatuur!$A:$B,2,FALSE)," "))</f>
        <v/>
      </c>
      <c r="AT274" s="33" t="str">
        <f>IF(OR(ISBLANK(AR274), ISBLANK(AS274)),"",CONCATENATE(" ",VLOOKUP(AS274,Literatuur!$A:$B,2,FALSE)," "))</f>
        <v/>
      </c>
      <c r="AW274" s="33" t="str">
        <f>IF(OR(ISBLANK(AU274), ISBLANK(AV274)),"",CONCATENATE(" ",VLOOKUP(AV274,Literatuur!$A:$B,2,FALSE)," "))</f>
        <v/>
      </c>
      <c r="AY274" s="33">
        <v>-0.70000000000000007</v>
      </c>
      <c r="AZ274" s="44" t="str">
        <f t="shared" si="195"/>
        <v>Sanscrit</v>
      </c>
      <c r="BA274" s="33" t="str">
        <f>IF(OR(ISBLANK(AY274), ISBLANK(AZ274)),"",CONCATENATE(" ",VLOOKUP(AZ274,Literatuur!$A:$B,2,FALSE)," "))</f>
        <v xml:space="preserve"> D </v>
      </c>
      <c r="BB274" s="33">
        <v>-0.7</v>
      </c>
      <c r="BC274" s="44" t="str">
        <f t="shared" si="196"/>
        <v>Gestis</v>
      </c>
      <c r="BD274" s="33" t="str">
        <f>IF(OR(ISBLANK(BB274), ISBLANK(BC274)),"",CONCATENATE(" ",VLOOKUP(BC274,Literatuur!$A:$B,2,FALSE)," "))</f>
        <v xml:space="preserve"> A </v>
      </c>
      <c r="BF274" s="44" t="str">
        <f t="shared" si="197"/>
        <v xml:space="preserve"> </v>
      </c>
      <c r="BG274" s="33" t="str">
        <f>IF(OR(ISBLANK(BE274), ISBLANK(BF274)),"",CONCATENATE(" ",VLOOKUP(BF274,Literatuur!$A:$B,2,FALSE)," "))</f>
        <v/>
      </c>
      <c r="BI274" s="44" t="str">
        <f t="shared" si="198"/>
        <v xml:space="preserve"> </v>
      </c>
      <c r="BJ274" s="33" t="str">
        <f>IF(OR(ISBLANK(BH274), ISBLANK(BI274)),"",CONCATENATE(" ",VLOOKUP(BI274,Literatuur!$A:$B,2,FALSE)," "))</f>
        <v/>
      </c>
      <c r="BL274" s="44" t="str">
        <f t="shared" si="199"/>
        <v xml:space="preserve"> </v>
      </c>
      <c r="BM274" s="33" t="str">
        <f>IF(OR(ISBLANK(BK274), ISBLANK(BL274)),"",CONCATENATE(" ",VLOOKUP(BL274,Literatuur!$A:$B,2,FALSE)," "))</f>
        <v/>
      </c>
      <c r="BP274" s="33" t="str">
        <f>IF(OR(ISBLANK(BN274), ISBLANK(BO274)),"",CONCATENATE(" ",VLOOKUP(BO274,Literatuur!$A:$B,2,FALSE)," "))</f>
        <v/>
      </c>
      <c r="BS274" s="33" t="str">
        <f>IF(OR(ISBLANK(BQ274), ISBLANK(BR274)),"",CONCATENATE(" ",VLOOKUP(BR274,Literatuur!$A:$B,2,FALSE)," "))</f>
        <v/>
      </c>
      <c r="BV274" s="33" t="str">
        <f>IF(OR(ISBLANK(BT274), ISBLANK(BU274)),"",CONCATENATE(" ",VLOOKUP(BU274,Literatuur!$A:$B,2,FALSE)," "))</f>
        <v/>
      </c>
      <c r="CE274" s="37">
        <f>I274</f>
        <v>32</v>
      </c>
      <c r="CG274" s="33">
        <f t="shared" si="207"/>
        <v>6.0236639181977933</v>
      </c>
      <c r="CH274" s="33">
        <f t="shared" si="205"/>
        <v>-0.70000000000000007</v>
      </c>
      <c r="CR274" s="33" t="str">
        <f t="shared" si="209"/>
        <v>Methanol</v>
      </c>
      <c r="CS274" s="33" t="str">
        <f t="shared" si="210"/>
        <v>O2</v>
      </c>
      <c r="CT274" s="33">
        <f t="shared" si="208"/>
        <v>32</v>
      </c>
      <c r="CU274" s="33" t="str">
        <f t="shared" si="211"/>
        <v xml:space="preserve"> D </v>
      </c>
      <c r="CV274" s="33">
        <f t="shared" si="212"/>
        <v>1056000</v>
      </c>
      <c r="CW274" s="33" t="str">
        <f t="shared" si="213"/>
        <v xml:space="preserve"> D </v>
      </c>
      <c r="CX274" s="33">
        <f t="shared" si="214"/>
        <v>-0.70000000000000007</v>
      </c>
      <c r="CY274" s="33" t="str">
        <f t="shared" si="215"/>
        <v xml:space="preserve"> D </v>
      </c>
    </row>
    <row r="275" spans="2:103" x14ac:dyDescent="0.2">
      <c r="B275" s="33">
        <v>-1414</v>
      </c>
      <c r="D275" s="33" t="s">
        <v>339</v>
      </c>
      <c r="E275" s="33" t="s">
        <v>1359</v>
      </c>
      <c r="F275" s="33" t="s">
        <v>1357</v>
      </c>
      <c r="H275" s="34" t="s">
        <v>1358</v>
      </c>
      <c r="I275" s="37">
        <f t="shared" si="204"/>
        <v>108.14</v>
      </c>
      <c r="J275" s="33">
        <f t="shared" si="216"/>
        <v>1040</v>
      </c>
      <c r="K275" s="44">
        <f t="shared" si="200"/>
        <v>2.11</v>
      </c>
      <c r="L275" s="33" t="e">
        <f t="shared" si="206"/>
        <v>#DIV/0!</v>
      </c>
      <c r="M275" s="33" t="s">
        <v>1893</v>
      </c>
      <c r="Q275" s="44" t="str">
        <f t="shared" si="187"/>
        <v xml:space="preserve"> </v>
      </c>
      <c r="R275" s="33" t="str">
        <f>IF(OR(ISBLANK(P275), ISBLANK(Q275)),"",CONCATENATE(" ",VLOOKUP(Q275,Literatuur!$A:$B,2,FALSE)," "))</f>
        <v/>
      </c>
      <c r="S275" s="37"/>
      <c r="T275" s="44" t="str">
        <f t="shared" si="188"/>
        <v xml:space="preserve"> </v>
      </c>
      <c r="U275" s="33" t="str">
        <f>IF(OR(ISBLANK(S275), ISBLANK(T275)),"",CONCATENATE(" ",VLOOKUP(T275,Literatuur!$A:$B,2,FALSE)," "))</f>
        <v/>
      </c>
      <c r="W275" s="44" t="str">
        <f t="shared" si="189"/>
        <v xml:space="preserve"> </v>
      </c>
      <c r="X275" s="33" t="str">
        <f>IF(OR(ISBLANK(V275), ISBLANK(W275)),"",CONCATENATE(" ",VLOOKUP(W275,Literatuur!$A:$B,2,FALSE)," "))</f>
        <v/>
      </c>
      <c r="Y275" s="33">
        <v>1040</v>
      </c>
      <c r="Z275" s="44" t="str">
        <f t="shared" si="190"/>
        <v>US EPA suite</v>
      </c>
      <c r="AA275" s="33" t="str">
        <f>IF(OR(ISBLANK(Y275), ISBLANK(Z275)),"",CONCATENATE(" ",VLOOKUP(Z275,Literatuur!$A:$B,2,FALSE)," "))</f>
        <v xml:space="preserve"> F </v>
      </c>
      <c r="AB275" s="40"/>
      <c r="AC275" s="36" t="str">
        <f t="shared" si="191"/>
        <v xml:space="preserve"> </v>
      </c>
      <c r="AD275" s="33" t="str">
        <f>IF(OR(ISBLANK(AB275), ISBLANK(AC275)),"",CONCATENATE(" ",VLOOKUP(AC275,Literatuur!$A:$B,2,FALSE)," "))</f>
        <v/>
      </c>
      <c r="AE275" s="40"/>
      <c r="AF275" s="40"/>
      <c r="AG275" s="33" t="str">
        <f>IF(OR(ISBLANK(AE275), ISBLANK(AF275)),"",CONCATENATE(" ",VLOOKUP(AF275,Literatuur!$A:$B,2,FALSE)," "))</f>
        <v/>
      </c>
      <c r="AI275" s="37"/>
      <c r="AJ275" s="44" t="str">
        <f t="shared" si="192"/>
        <v xml:space="preserve"> </v>
      </c>
      <c r="AK275" s="33" t="str">
        <f>IF(OR(ISBLANK(AI275), ISBLANK(AJ275)),"",CONCATENATE(" ",VLOOKUP(AJ275,Literatuur!$A:$B,2,FALSE)," "))</f>
        <v/>
      </c>
      <c r="AL275" s="40"/>
      <c r="AM275" s="44" t="str">
        <f t="shared" si="193"/>
        <v xml:space="preserve"> </v>
      </c>
      <c r="AN275" s="33" t="str">
        <f>IF(OR(ISBLANK(AL275), ISBLANK(AM275)),"",CONCATENATE(" ",VLOOKUP(AM275,Literatuur!$A:$B,2,FALSE)," "))</f>
        <v/>
      </c>
      <c r="AO275" s="40">
        <v>108.14</v>
      </c>
      <c r="AP275" s="44" t="str">
        <f t="shared" si="194"/>
        <v>US EPA suite</v>
      </c>
      <c r="AQ275" s="33" t="str">
        <f>IF(OR(ISBLANK(AO275), ISBLANK(AP275)),"",CONCATENATE(" ",VLOOKUP(AP275,Literatuur!$A:$B,2,FALSE)," "))</f>
        <v xml:space="preserve"> F </v>
      </c>
      <c r="AR275" s="40"/>
      <c r="AT275" s="33" t="str">
        <f>IF(OR(ISBLANK(AR275), ISBLANK(AS275)),"",CONCATENATE(" ",VLOOKUP(AS275,Literatuur!$A:$B,2,FALSE)," "))</f>
        <v/>
      </c>
      <c r="AV275" s="40"/>
      <c r="AW275" s="33" t="str">
        <f>IF(OR(ISBLANK(AU275), ISBLANK(AV275)),"",CONCATENATE(" ",VLOOKUP(AV275,Literatuur!$A:$B,2,FALSE)," "))</f>
        <v/>
      </c>
      <c r="AZ275" s="44" t="str">
        <f t="shared" si="195"/>
        <v xml:space="preserve"> </v>
      </c>
      <c r="BA275" s="33" t="str">
        <f>IF(OR(ISBLANK(AY275), ISBLANK(AZ275)),"",CONCATENATE(" ",VLOOKUP(AZ275,Literatuur!$A:$B,2,FALSE)," "))</f>
        <v/>
      </c>
      <c r="BC275" s="44" t="str">
        <f t="shared" si="196"/>
        <v xml:space="preserve"> </v>
      </c>
      <c r="BD275" s="33" t="str">
        <f>IF(OR(ISBLANK(BB275), ISBLANK(BC275)),"",CONCATENATE(" ",VLOOKUP(BC275,Literatuur!$A:$B,2,FALSE)," "))</f>
        <v/>
      </c>
      <c r="BF275" s="44" t="str">
        <f t="shared" si="197"/>
        <v xml:space="preserve"> </v>
      </c>
      <c r="BG275" s="33" t="str">
        <f>IF(OR(ISBLANK(BE275), ISBLANK(BF275)),"",CONCATENATE(" ",VLOOKUP(BF275,Literatuur!$A:$B,2,FALSE)," "))</f>
        <v/>
      </c>
      <c r="BH275" s="33">
        <v>2.11</v>
      </c>
      <c r="BI275" s="44" t="str">
        <f t="shared" si="198"/>
        <v>US EPA suite</v>
      </c>
      <c r="BJ275" s="33" t="str">
        <f>IF(OR(ISBLANK(BH275), ISBLANK(BI275)),"",CONCATENATE(" ",VLOOKUP(BI275,Literatuur!$A:$B,2,FALSE)," "))</f>
        <v xml:space="preserve"> F </v>
      </c>
      <c r="BL275" s="44" t="str">
        <f t="shared" si="199"/>
        <v xml:space="preserve"> </v>
      </c>
      <c r="BM275" s="33" t="str">
        <f>IF(OR(ISBLANK(BK275), ISBLANK(BL275)),"",CONCATENATE(" ",VLOOKUP(BL275,Literatuur!$A:$B,2,FALSE)," "))</f>
        <v/>
      </c>
      <c r="BP275" s="33" t="str">
        <f>IF(OR(ISBLANK(BN275), ISBLANK(BO275)),"",CONCATENATE(" ",VLOOKUP(BO275,Literatuur!$A:$B,2,FALSE)," "))</f>
        <v/>
      </c>
      <c r="BS275" s="33" t="str">
        <f>IF(OR(ISBLANK(BQ275), ISBLANK(BR275)),"",CONCATENATE(" ",VLOOKUP(BR275,Literatuur!$A:$B,2,FALSE)," "))</f>
        <v/>
      </c>
      <c r="BV275" s="33" t="str">
        <f>IF(OR(ISBLANK(BT275), ISBLANK(BU275)),"",CONCATENATE(" ",VLOOKUP(BU275,Literatuur!$A:$B,2,FALSE)," "))</f>
        <v/>
      </c>
      <c r="CE275" s="37">
        <f>I275</f>
        <v>108.14</v>
      </c>
      <c r="CG275" s="33">
        <f t="shared" si="207"/>
        <v>3.0170333392987803</v>
      </c>
      <c r="CH275" s="33">
        <f t="shared" si="205"/>
        <v>2.11</v>
      </c>
      <c r="CR275" s="33" t="str">
        <f t="shared" si="209"/>
        <v>methoxybenzene</v>
      </c>
      <c r="CS275" s="33" t="str">
        <f t="shared" si="210"/>
        <v>O2</v>
      </c>
      <c r="CT275" s="33">
        <f t="shared" si="208"/>
        <v>108.14</v>
      </c>
      <c r="CU275" s="33" t="str">
        <f t="shared" si="211"/>
        <v xml:space="preserve"> F </v>
      </c>
      <c r="CV275" s="33">
        <f t="shared" si="212"/>
        <v>1040</v>
      </c>
      <c r="CW275" s="33" t="str">
        <f t="shared" si="213"/>
        <v xml:space="preserve"> F </v>
      </c>
      <c r="CX275" s="33">
        <f t="shared" si="214"/>
        <v>2.11</v>
      </c>
      <c r="CY275" s="33" t="str">
        <f t="shared" si="215"/>
        <v xml:space="preserve"> F </v>
      </c>
    </row>
    <row r="276" spans="2:103" x14ac:dyDescent="0.2">
      <c r="B276" s="33">
        <v>-1529</v>
      </c>
      <c r="D276" s="4" t="s">
        <v>502</v>
      </c>
      <c r="E276" s="4" t="s">
        <v>502</v>
      </c>
      <c r="F276" s="4"/>
      <c r="G276" s="4"/>
      <c r="I276" s="33">
        <f t="shared" si="204"/>
        <v>108.14</v>
      </c>
      <c r="J276" s="33">
        <f t="shared" si="216"/>
        <v>1741</v>
      </c>
      <c r="K276" s="44">
        <f t="shared" si="200"/>
        <v>2.11</v>
      </c>
      <c r="L276" s="33">
        <f t="shared" si="206"/>
        <v>109.3</v>
      </c>
      <c r="M276" s="33" t="s">
        <v>1893</v>
      </c>
      <c r="Q276" s="44" t="str">
        <f t="shared" si="187"/>
        <v xml:space="preserve"> </v>
      </c>
      <c r="R276" s="33" t="str">
        <f>IF(OR(ISBLANK(P276), ISBLANK(Q276)),"",CONCATENATE(" ",VLOOKUP(Q276,Literatuur!$A:$B,2,FALSE)," "))</f>
        <v/>
      </c>
      <c r="T276" s="44" t="str">
        <f t="shared" si="188"/>
        <v xml:space="preserve"> </v>
      </c>
      <c r="U276" s="33" t="str">
        <f>IF(OR(ISBLANK(S276), ISBLANK(T276)),"",CONCATENATE(" ",VLOOKUP(T276,Literatuur!$A:$B,2,FALSE)," "))</f>
        <v/>
      </c>
      <c r="W276" s="44" t="str">
        <f t="shared" si="189"/>
        <v xml:space="preserve"> </v>
      </c>
      <c r="X276" s="33" t="str">
        <f>IF(OR(ISBLANK(V276), ISBLANK(W276)),"",CONCATENATE(" ",VLOOKUP(W276,Literatuur!$A:$B,2,FALSE)," "))</f>
        <v/>
      </c>
      <c r="Y276" s="33">
        <v>1741</v>
      </c>
      <c r="Z276" s="44" t="str">
        <f t="shared" si="190"/>
        <v>US EPA suite</v>
      </c>
      <c r="AA276" s="33" t="str">
        <f>IF(OR(ISBLANK(Y276), ISBLANK(Z276)),"",CONCATENATE(" ",VLOOKUP(Z276,Literatuur!$A:$B,2,FALSE)," "))</f>
        <v xml:space="preserve"> F </v>
      </c>
      <c r="AC276" s="36" t="str">
        <f t="shared" si="191"/>
        <v xml:space="preserve"> </v>
      </c>
      <c r="AD276" s="33" t="str">
        <f>IF(OR(ISBLANK(AB276), ISBLANK(AC276)),"",CONCATENATE(" ",VLOOKUP(AC276,Literatuur!$A:$B,2,FALSE)," "))</f>
        <v/>
      </c>
      <c r="AG276" s="33" t="str">
        <f>IF(OR(ISBLANK(AE276), ISBLANK(AF276)),"",CONCATENATE(" ",VLOOKUP(AF276,Literatuur!$A:$B,2,FALSE)," "))</f>
        <v/>
      </c>
      <c r="AJ276" s="44" t="str">
        <f t="shared" si="192"/>
        <v xml:space="preserve"> </v>
      </c>
      <c r="AK276" s="33" t="str">
        <f>IF(OR(ISBLANK(AI276), ISBLANK(AJ276)),"",CONCATENATE(" ",VLOOKUP(AJ276,Literatuur!$A:$B,2,FALSE)," "))</f>
        <v/>
      </c>
      <c r="AM276" s="44" t="str">
        <f t="shared" si="193"/>
        <v xml:space="preserve"> </v>
      </c>
      <c r="AN276" s="33" t="str">
        <f>IF(OR(ISBLANK(AL276), ISBLANK(AM276)),"",CONCATENATE(" ",VLOOKUP(AM276,Literatuur!$A:$B,2,FALSE)," "))</f>
        <v/>
      </c>
      <c r="AO276" s="33">
        <v>108.14</v>
      </c>
      <c r="AP276" s="44" t="str">
        <f t="shared" si="194"/>
        <v>US EPA suite</v>
      </c>
      <c r="AQ276" s="33" t="str">
        <f>IF(OR(ISBLANK(AO276), ISBLANK(AP276)),"",CONCATENATE(" ",VLOOKUP(AP276,Literatuur!$A:$B,2,FALSE)," "))</f>
        <v xml:space="preserve"> F </v>
      </c>
      <c r="AT276" s="33" t="str">
        <f>IF(OR(ISBLANK(AR276), ISBLANK(AS276)),"",CONCATENATE(" ",VLOOKUP(AS276,Literatuur!$A:$B,2,FALSE)," "))</f>
        <v/>
      </c>
      <c r="AW276" s="33" t="str">
        <f>IF(OR(ISBLANK(AU276), ISBLANK(AV276)),"",CONCATENATE(" ",VLOOKUP(AV276,Literatuur!$A:$B,2,FALSE)," "))</f>
        <v/>
      </c>
      <c r="AZ276" s="44" t="str">
        <f t="shared" si="195"/>
        <v xml:space="preserve"> </v>
      </c>
      <c r="BA276" s="33" t="str">
        <f>IF(OR(ISBLANK(AY276), ISBLANK(AZ276)),"",CONCATENATE(" ",VLOOKUP(AZ276,Literatuur!$A:$B,2,FALSE)," "))</f>
        <v/>
      </c>
      <c r="BC276" s="44" t="str">
        <f t="shared" si="196"/>
        <v xml:space="preserve"> </v>
      </c>
      <c r="BD276" s="33" t="str">
        <f>IF(OR(ISBLANK(BB276), ISBLANK(BC276)),"",CONCATENATE(" ",VLOOKUP(BC276,Literatuur!$A:$B,2,FALSE)," "))</f>
        <v/>
      </c>
      <c r="BE276" s="33">
        <v>2.11</v>
      </c>
      <c r="BF276" s="44" t="str">
        <f t="shared" si="197"/>
        <v>US EPA 1995</v>
      </c>
      <c r="BG276" s="33" t="str">
        <f>IF(OR(ISBLANK(BE276), ISBLANK(BF276)),"",CONCATENATE(" ",VLOOKUP(BF276,Literatuur!$A:$B,2,FALSE)," "))</f>
        <v xml:space="preserve"> 30 </v>
      </c>
      <c r="BI276" s="44" t="str">
        <f t="shared" si="198"/>
        <v xml:space="preserve"> </v>
      </c>
      <c r="BJ276" s="33" t="str">
        <f>IF(OR(ISBLANK(BH276), ISBLANK(BI276)),"",CONCATENATE(" ",VLOOKUP(BI276,Literatuur!$A:$B,2,FALSE)," "))</f>
        <v/>
      </c>
      <c r="BL276" s="44" t="str">
        <f t="shared" si="199"/>
        <v xml:space="preserve"> </v>
      </c>
      <c r="BM276" s="33" t="str">
        <f>IF(OR(ISBLANK(BK276), ISBLANK(BL276)),"",CONCATENATE(" ",VLOOKUP(BL276,Literatuur!$A:$B,2,FALSE)," "))</f>
        <v/>
      </c>
      <c r="BP276" s="33" t="str">
        <f>IF(OR(ISBLANK(BN276), ISBLANK(BO276)),"",CONCATENATE(" ",VLOOKUP(BO276,Literatuur!$A:$B,2,FALSE)," "))</f>
        <v/>
      </c>
      <c r="BS276" s="33" t="str">
        <f>IF(OR(ISBLANK(BQ276), ISBLANK(BR276)),"",CONCATENATE(" ",VLOOKUP(BR276,Literatuur!$A:$B,2,FALSE)," "))</f>
        <v/>
      </c>
      <c r="BV276" s="33" t="str">
        <f>IF(OR(ISBLANK(BT276), ISBLANK(BU276)),"",CONCATENATE(" ",VLOOKUP(BU276,Literatuur!$A:$B,2,FALSE)," "))</f>
        <v/>
      </c>
      <c r="BY276" s="33">
        <v>109.3</v>
      </c>
      <c r="CB276" s="33" t="s">
        <v>1070</v>
      </c>
      <c r="CD276" s="33">
        <f>L276</f>
        <v>109.3</v>
      </c>
      <c r="CE276" s="37">
        <f>I276</f>
        <v>108.14</v>
      </c>
      <c r="CG276" s="33">
        <f t="shared" si="207"/>
        <v>3.2407987711173312</v>
      </c>
      <c r="CH276" s="33">
        <f t="shared" si="205"/>
        <v>2.11</v>
      </c>
      <c r="CR276" s="33" t="str">
        <f t="shared" si="209"/>
        <v>Methoxybenzene</v>
      </c>
      <c r="CS276" s="33" t="str">
        <f t="shared" si="210"/>
        <v>O2</v>
      </c>
      <c r="CT276" s="33">
        <f t="shared" si="208"/>
        <v>108.14</v>
      </c>
      <c r="CU276" s="33" t="str">
        <f t="shared" si="211"/>
        <v xml:space="preserve"> F </v>
      </c>
      <c r="CV276" s="33">
        <f t="shared" si="212"/>
        <v>1741</v>
      </c>
      <c r="CW276" s="33" t="str">
        <f t="shared" si="213"/>
        <v xml:space="preserve"> F </v>
      </c>
      <c r="CX276" s="33">
        <f t="shared" si="214"/>
        <v>2.11</v>
      </c>
      <c r="CY276" s="33" t="str">
        <f t="shared" si="215"/>
        <v xml:space="preserve"> 30 </v>
      </c>
    </row>
    <row r="277" spans="2:103" x14ac:dyDescent="0.2">
      <c r="B277" s="33">
        <v>-1532</v>
      </c>
      <c r="D277" s="4" t="s">
        <v>508</v>
      </c>
      <c r="E277" s="4" t="s">
        <v>1372</v>
      </c>
      <c r="F277" s="4" t="s">
        <v>1373</v>
      </c>
      <c r="G277" s="4"/>
      <c r="H277" s="34" t="s">
        <v>1074</v>
      </c>
      <c r="I277" s="33">
        <f t="shared" si="204"/>
        <v>100.16</v>
      </c>
      <c r="J277" s="33">
        <f t="shared" si="216"/>
        <v>19000</v>
      </c>
      <c r="K277" s="44">
        <f t="shared" si="200"/>
        <v>1.31</v>
      </c>
      <c r="L277" s="33">
        <f t="shared" si="206"/>
        <v>125.8</v>
      </c>
      <c r="M277" s="33" t="s">
        <v>1893</v>
      </c>
      <c r="Q277" s="44" t="str">
        <f t="shared" si="187"/>
        <v xml:space="preserve"> </v>
      </c>
      <c r="R277" s="33" t="str">
        <f>IF(OR(ISBLANK(P277), ISBLANK(Q277)),"",CONCATENATE(" ",VLOOKUP(Q277,Literatuur!$A:$B,2,FALSE)," "))</f>
        <v/>
      </c>
      <c r="T277" s="44" t="str">
        <f t="shared" si="188"/>
        <v xml:space="preserve"> </v>
      </c>
      <c r="U277" s="33" t="str">
        <f>IF(OR(ISBLANK(S277), ISBLANK(T277)),"",CONCATENATE(" ",VLOOKUP(T277,Literatuur!$A:$B,2,FALSE)," "))</f>
        <v/>
      </c>
      <c r="W277" s="44" t="str">
        <f t="shared" si="189"/>
        <v xml:space="preserve"> </v>
      </c>
      <c r="X277" s="33" t="str">
        <f>IF(OR(ISBLANK(V277), ISBLANK(W277)),"",CONCATENATE(" ",VLOOKUP(W277,Literatuur!$A:$B,2,FALSE)," "))</f>
        <v/>
      </c>
      <c r="Y277" s="33">
        <v>19000</v>
      </c>
      <c r="Z277" s="44" t="str">
        <f t="shared" si="190"/>
        <v>US EPA suite</v>
      </c>
      <c r="AA277" s="33" t="str">
        <f>IF(OR(ISBLANK(Y277), ISBLANK(Z277)),"",CONCATENATE(" ",VLOOKUP(Z277,Literatuur!$A:$B,2,FALSE)," "))</f>
        <v xml:space="preserve"> F </v>
      </c>
      <c r="AC277" s="36" t="str">
        <f t="shared" si="191"/>
        <v xml:space="preserve"> </v>
      </c>
      <c r="AD277" s="33" t="str">
        <f>IF(OR(ISBLANK(AB277), ISBLANK(AC277)),"",CONCATENATE(" ",VLOOKUP(AC277,Literatuur!$A:$B,2,FALSE)," "))</f>
        <v/>
      </c>
      <c r="AG277" s="33" t="str">
        <f>IF(OR(ISBLANK(AE277), ISBLANK(AF277)),"",CONCATENATE(" ",VLOOKUP(AF277,Literatuur!$A:$B,2,FALSE)," "))</f>
        <v/>
      </c>
      <c r="AJ277" s="44" t="str">
        <f t="shared" si="192"/>
        <v xml:space="preserve"> </v>
      </c>
      <c r="AK277" s="33" t="str">
        <f>IF(OR(ISBLANK(AI277), ISBLANK(AJ277)),"",CONCATENATE(" ",VLOOKUP(AJ277,Literatuur!$A:$B,2,FALSE)," "))</f>
        <v/>
      </c>
      <c r="AM277" s="44" t="str">
        <f t="shared" si="193"/>
        <v xml:space="preserve"> </v>
      </c>
      <c r="AN277" s="33" t="str">
        <f>IF(OR(ISBLANK(AL277), ISBLANK(AM277)),"",CONCATENATE(" ",VLOOKUP(AM277,Literatuur!$A:$B,2,FALSE)," "))</f>
        <v/>
      </c>
      <c r="AO277" s="33">
        <v>100.16</v>
      </c>
      <c r="AP277" s="44" t="str">
        <f t="shared" si="194"/>
        <v>US EPA suite</v>
      </c>
      <c r="AQ277" s="33" t="str">
        <f>IF(OR(ISBLANK(AO277), ISBLANK(AP277)),"",CONCATENATE(" ",VLOOKUP(AP277,Literatuur!$A:$B,2,FALSE)," "))</f>
        <v xml:space="preserve"> F </v>
      </c>
      <c r="AT277" s="33" t="str">
        <f>IF(OR(ISBLANK(AR277), ISBLANK(AS277)),"",CONCATENATE(" ",VLOOKUP(AS277,Literatuur!$A:$B,2,FALSE)," "))</f>
        <v/>
      </c>
      <c r="AW277" s="33" t="str">
        <f>IF(OR(ISBLANK(AU277), ISBLANK(AV277)),"",CONCATENATE(" ",VLOOKUP(AV277,Literatuur!$A:$B,2,FALSE)," "))</f>
        <v/>
      </c>
      <c r="AZ277" s="44" t="str">
        <f t="shared" si="195"/>
        <v xml:space="preserve"> </v>
      </c>
      <c r="BA277" s="33" t="str">
        <f>IF(OR(ISBLANK(AY277), ISBLANK(AZ277)),"",CONCATENATE(" ",VLOOKUP(AZ277,Literatuur!$A:$B,2,FALSE)," "))</f>
        <v/>
      </c>
      <c r="BC277" s="44" t="str">
        <f t="shared" si="196"/>
        <v xml:space="preserve"> </v>
      </c>
      <c r="BD277" s="33" t="str">
        <f>IF(OR(ISBLANK(BB277), ISBLANK(BC277)),"",CONCATENATE(" ",VLOOKUP(BC277,Literatuur!$A:$B,2,FALSE)," "))</f>
        <v/>
      </c>
      <c r="BF277" s="44" t="str">
        <f t="shared" si="197"/>
        <v xml:space="preserve"> </v>
      </c>
      <c r="BG277" s="33" t="str">
        <f>IF(OR(ISBLANK(BE277), ISBLANK(BF277)),"",CONCATENATE(" ",VLOOKUP(BF277,Literatuur!$A:$B,2,FALSE)," "))</f>
        <v/>
      </c>
      <c r="BH277" s="33">
        <v>1.31</v>
      </c>
      <c r="BI277" s="44" t="str">
        <f t="shared" si="198"/>
        <v>US EPA suite</v>
      </c>
      <c r="BJ277" s="33" t="str">
        <f>IF(OR(ISBLANK(BH277), ISBLANK(BI277)),"",CONCATENATE(" ",VLOOKUP(BI277,Literatuur!$A:$B,2,FALSE)," "))</f>
        <v xml:space="preserve"> F </v>
      </c>
      <c r="BL277" s="44" t="str">
        <f t="shared" si="199"/>
        <v xml:space="preserve"> </v>
      </c>
      <c r="BM277" s="33" t="str">
        <f>IF(OR(ISBLANK(BK277), ISBLANK(BL277)),"",CONCATENATE(" ",VLOOKUP(BL277,Literatuur!$A:$B,2,FALSE)," "))</f>
        <v/>
      </c>
      <c r="BP277" s="33" t="str">
        <f>IF(OR(ISBLANK(BN277), ISBLANK(BO277)),"",CONCATENATE(" ",VLOOKUP(BO277,Literatuur!$A:$B,2,FALSE)," "))</f>
        <v/>
      </c>
      <c r="BS277" s="33" t="str">
        <f>IF(OR(ISBLANK(BQ277), ISBLANK(BR277)),"",CONCATENATE(" ",VLOOKUP(BR277,Literatuur!$A:$B,2,FALSE)," "))</f>
        <v/>
      </c>
      <c r="BV277" s="33" t="str">
        <f>IF(OR(ISBLANK(BT277), ISBLANK(BU277)),"",CONCATENATE(" ",VLOOKUP(BU277,Literatuur!$A:$B,2,FALSE)," "))</f>
        <v/>
      </c>
      <c r="BY277" s="33">
        <v>125.8</v>
      </c>
      <c r="CB277" s="33" t="s">
        <v>1070</v>
      </c>
      <c r="CD277" s="33">
        <f>L277</f>
        <v>125.8</v>
      </c>
      <c r="CE277" s="37">
        <f>I277</f>
        <v>100.16</v>
      </c>
      <c r="CG277" s="33">
        <f t="shared" si="207"/>
        <v>4.2787536009528289</v>
      </c>
      <c r="CH277" s="33">
        <f t="shared" si="205"/>
        <v>1.31</v>
      </c>
      <c r="CR277" s="33" t="str">
        <f t="shared" si="209"/>
        <v>Methyl isobutyl ketone (MIBK)</v>
      </c>
      <c r="CS277" s="33" t="str">
        <f t="shared" si="210"/>
        <v>O2</v>
      </c>
      <c r="CT277" s="33">
        <f t="shared" si="208"/>
        <v>100.16</v>
      </c>
      <c r="CU277" s="33" t="str">
        <f t="shared" si="211"/>
        <v xml:space="preserve"> F </v>
      </c>
      <c r="CV277" s="33">
        <f t="shared" si="212"/>
        <v>19000</v>
      </c>
      <c r="CW277" s="33" t="str">
        <f t="shared" si="213"/>
        <v xml:space="preserve"> F </v>
      </c>
      <c r="CX277" s="33">
        <f t="shared" si="214"/>
        <v>1.31</v>
      </c>
      <c r="CY277" s="33" t="str">
        <f t="shared" si="215"/>
        <v xml:space="preserve"> F </v>
      </c>
    </row>
    <row r="278" spans="2:103" x14ac:dyDescent="0.2">
      <c r="B278" s="33">
        <v>-1695</v>
      </c>
      <c r="D278" s="105" t="s">
        <v>1249</v>
      </c>
      <c r="E278" s="105" t="s">
        <v>1392</v>
      </c>
      <c r="F278" s="33" t="s">
        <v>931</v>
      </c>
      <c r="H278" s="34" t="s">
        <v>1248</v>
      </c>
      <c r="I278" s="33">
        <f t="shared" si="204"/>
        <v>88.15</v>
      </c>
      <c r="J278" s="33">
        <f t="shared" si="216"/>
        <v>51000</v>
      </c>
      <c r="K278" s="44">
        <f t="shared" si="200"/>
        <v>0.94</v>
      </c>
      <c r="L278" s="33" t="e">
        <f t="shared" si="206"/>
        <v>#DIV/0!</v>
      </c>
      <c r="M278" s="33" t="s">
        <v>1893</v>
      </c>
      <c r="Q278" s="44" t="str">
        <f t="shared" ref="Q278:Q309" si="217">IF(ISBLANK(P278)," ","Sanscrit")</f>
        <v xml:space="preserve"> </v>
      </c>
      <c r="R278" s="33" t="str">
        <f>IF(OR(ISBLANK(P278), ISBLANK(Q278)),"",CONCATENATE(" ",VLOOKUP(Q278,Literatuur!$A:$B,2,FALSE)," "))</f>
        <v/>
      </c>
      <c r="T278" s="44" t="str">
        <f t="shared" ref="T278:T309" si="218">IF(ISBLANK(S278)," ","Gestis")</f>
        <v xml:space="preserve"> </v>
      </c>
      <c r="U278" s="33" t="str">
        <f>IF(OR(ISBLANK(S278), ISBLANK(T278)),"",CONCATENATE(" ",VLOOKUP(T278,Literatuur!$A:$B,2,FALSE)," "))</f>
        <v/>
      </c>
      <c r="W278" s="44" t="str">
        <f t="shared" ref="W278:W309" si="219">IF(ISBLANK(V278)," ","US EPA 1995")</f>
        <v xml:space="preserve"> </v>
      </c>
      <c r="X278" s="33" t="str">
        <f>IF(OR(ISBLANK(V278), ISBLANK(W278)),"",CONCATENATE(" ",VLOOKUP(W278,Literatuur!$A:$B,2,FALSE)," "))</f>
        <v/>
      </c>
      <c r="Y278" s="33">
        <v>51000</v>
      </c>
      <c r="Z278" s="44" t="str">
        <f t="shared" ref="Z278:Z309" si="220">IF(ISBLANK(Y278)," ","US EPA suite")</f>
        <v>US EPA suite</v>
      </c>
      <c r="AA278" s="33" t="str">
        <f>IF(OR(ISBLANK(Y278), ISBLANK(Z278)),"",CONCATENATE(" ",VLOOKUP(Z278,Literatuur!$A:$B,2,FALSE)," "))</f>
        <v xml:space="preserve"> F </v>
      </c>
      <c r="AC278" s="36" t="str">
        <f t="shared" ref="AC278:AC309" si="221">IF(ISBLANK(AB278)," ","Vonk 1985")</f>
        <v xml:space="preserve"> </v>
      </c>
      <c r="AD278" s="33" t="str">
        <f>IF(OR(ISBLANK(AB278), ISBLANK(AC278)),"",CONCATENATE(" ",VLOOKUP(AC278,Literatuur!$A:$B,2,FALSE)," "))</f>
        <v/>
      </c>
      <c r="AG278" s="33" t="str">
        <f>IF(OR(ISBLANK(AE278), ISBLANK(AF278)),"",CONCATENATE(" ",VLOOKUP(AF278,Literatuur!$A:$B,2,FALSE)," "))</f>
        <v/>
      </c>
      <c r="AJ278" s="44" t="str">
        <f t="shared" ref="AJ278:AJ309" si="222">IF(ISBLANK(AI278)," ","Sanscrit")</f>
        <v xml:space="preserve"> </v>
      </c>
      <c r="AK278" s="33" t="str">
        <f>IF(OR(ISBLANK(AI278), ISBLANK(AJ278)),"",CONCATENATE(" ",VLOOKUP(AJ278,Literatuur!$A:$B,2,FALSE)," "))</f>
        <v/>
      </c>
      <c r="AM278" s="44" t="str">
        <f t="shared" ref="AM278:AM309" si="223">IF(ISBLANK(AL278)," ","Gestis")</f>
        <v xml:space="preserve"> </v>
      </c>
      <c r="AN278" s="33" t="str">
        <f>IF(OR(ISBLANK(AL278), ISBLANK(AM278)),"",CONCATENATE(" ",VLOOKUP(AM278,Literatuur!$A:$B,2,FALSE)," "))</f>
        <v/>
      </c>
      <c r="AO278" s="33">
        <v>88.15</v>
      </c>
      <c r="AP278" s="44" t="str">
        <f t="shared" ref="AP278:AP309" si="224">IF(ISBLANK(AO278)," ","US EPA suite")</f>
        <v>US EPA suite</v>
      </c>
      <c r="AQ278" s="33" t="str">
        <f>IF(OR(ISBLANK(AO278), ISBLANK(AP278)),"",CONCATENATE(" ",VLOOKUP(AP278,Literatuur!$A:$B,2,FALSE)," "))</f>
        <v xml:space="preserve"> F </v>
      </c>
      <c r="AT278" s="33" t="str">
        <f>IF(OR(ISBLANK(AR278), ISBLANK(AS278)),"",CONCATENATE(" ",VLOOKUP(AS278,Literatuur!$A:$B,2,FALSE)," "))</f>
        <v/>
      </c>
      <c r="AW278" s="33" t="str">
        <f>IF(OR(ISBLANK(AU278), ISBLANK(AV278)),"",CONCATENATE(" ",VLOOKUP(AV278,Literatuur!$A:$B,2,FALSE)," "))</f>
        <v/>
      </c>
      <c r="AZ278" s="44" t="str">
        <f t="shared" ref="AZ278:AZ309" si="225">IF(ISBLANK(AY278)," ","Sanscrit")</f>
        <v xml:space="preserve"> </v>
      </c>
      <c r="BA278" s="33" t="str">
        <f>IF(OR(ISBLANK(AY278), ISBLANK(AZ278)),"",CONCATENATE(" ",VLOOKUP(AZ278,Literatuur!$A:$B,2,FALSE)," "))</f>
        <v/>
      </c>
      <c r="BC278" s="44" t="str">
        <f t="shared" ref="BC278:BC309" si="226">IF(ISBLANK(BB278)," ","Gestis")</f>
        <v xml:space="preserve"> </v>
      </c>
      <c r="BD278" s="33" t="str">
        <f>IF(OR(ISBLANK(BB278), ISBLANK(BC278)),"",CONCATENATE(" ",VLOOKUP(BC278,Literatuur!$A:$B,2,FALSE)," "))</f>
        <v/>
      </c>
      <c r="BF278" s="44" t="str">
        <f t="shared" ref="BF278:BF309" si="227">IF(ISBLANK(BE278)," ","US EPA 1995")</f>
        <v xml:space="preserve"> </v>
      </c>
      <c r="BG278" s="33" t="str">
        <f>IF(OR(ISBLANK(BE278), ISBLANK(BF278)),"",CONCATENATE(" ",VLOOKUP(BF278,Literatuur!$A:$B,2,FALSE)," "))</f>
        <v/>
      </c>
      <c r="BH278" s="33">
        <v>0.94</v>
      </c>
      <c r="BI278" s="44" t="str">
        <f t="shared" ref="BI278:BI309" si="228">IF(ISBLANK(BH278)," ","US EPA suite")</f>
        <v>US EPA suite</v>
      </c>
      <c r="BJ278" s="33" t="str">
        <f>IF(OR(ISBLANK(BH278), ISBLANK(BI278)),"",CONCATENATE(" ",VLOOKUP(BI278,Literatuur!$A:$B,2,FALSE)," "))</f>
        <v xml:space="preserve"> F </v>
      </c>
      <c r="BL278" s="44" t="str">
        <f t="shared" ref="BL278:BL309" si="229">IF(ISBLANK(BK278)," ","Sangster 1989")</f>
        <v xml:space="preserve"> </v>
      </c>
      <c r="BM278" s="33" t="str">
        <f>IF(OR(ISBLANK(BK278), ISBLANK(BL278)),"",CONCATENATE(" ",VLOOKUP(BL278,Literatuur!$A:$B,2,FALSE)," "))</f>
        <v/>
      </c>
      <c r="BP278" s="33" t="str">
        <f>IF(OR(ISBLANK(BN278), ISBLANK(BO278)),"",CONCATENATE(" ",VLOOKUP(BO278,Literatuur!$A:$B,2,FALSE)," "))</f>
        <v/>
      </c>
      <c r="BS278" s="33" t="str">
        <f>IF(OR(ISBLANK(BQ278), ISBLANK(BR278)),"",CONCATENATE(" ",VLOOKUP(BR278,Literatuur!$A:$B,2,FALSE)," "))</f>
        <v/>
      </c>
      <c r="BV278" s="33" t="str">
        <f>IF(OR(ISBLANK(BT278), ISBLANK(BU278)),"",CONCATENATE(" ",VLOOKUP(BU278,Literatuur!$A:$B,2,FALSE)," "))</f>
        <v/>
      </c>
      <c r="CG278" s="33">
        <f t="shared" si="207"/>
        <v>4.7075701760979367</v>
      </c>
      <c r="CH278" s="33">
        <f t="shared" si="205"/>
        <v>0.94</v>
      </c>
      <c r="CI278" s="33">
        <v>15</v>
      </c>
      <c r="CR278" s="33" t="str">
        <f t="shared" si="209"/>
        <v>Methyl tert-butyl ether</v>
      </c>
      <c r="CS278" s="33" t="str">
        <f t="shared" si="210"/>
        <v>O2</v>
      </c>
      <c r="CT278" s="33">
        <f t="shared" si="208"/>
        <v>88.15</v>
      </c>
      <c r="CU278" s="33" t="str">
        <f t="shared" si="211"/>
        <v xml:space="preserve"> F </v>
      </c>
      <c r="CV278" s="33">
        <f t="shared" si="212"/>
        <v>51000</v>
      </c>
      <c r="CW278" s="33" t="str">
        <f t="shared" si="213"/>
        <v xml:space="preserve"> F </v>
      </c>
      <c r="CX278" s="33">
        <f t="shared" si="214"/>
        <v>0.94</v>
      </c>
      <c r="CY278" s="33" t="str">
        <f t="shared" si="215"/>
        <v xml:space="preserve"> F </v>
      </c>
    </row>
    <row r="279" spans="2:103" x14ac:dyDescent="0.2">
      <c r="B279" s="33">
        <v>1093</v>
      </c>
      <c r="D279" s="33" t="s">
        <v>1243</v>
      </c>
      <c r="E279" s="33" t="s">
        <v>1354</v>
      </c>
      <c r="F279" s="33" t="s">
        <v>1355</v>
      </c>
      <c r="H279" s="34" t="s">
        <v>385</v>
      </c>
      <c r="I279" s="37">
        <f t="shared" si="204"/>
        <v>72</v>
      </c>
      <c r="J279" s="33">
        <f t="shared" si="216"/>
        <v>352800</v>
      </c>
      <c r="K279" s="44">
        <f t="shared" si="200"/>
        <v>0.27549999999999997</v>
      </c>
      <c r="L279" s="33">
        <f t="shared" si="206"/>
        <v>90.2</v>
      </c>
      <c r="M279" s="33" t="s">
        <v>1893</v>
      </c>
      <c r="P279" s="33">
        <v>352800</v>
      </c>
      <c r="Q279" s="44" t="str">
        <f t="shared" si="217"/>
        <v>Sanscrit</v>
      </c>
      <c r="R279" s="33" t="str">
        <f>IF(OR(ISBLANK(P279), ISBLANK(Q279)),"",CONCATENATE(" ",VLOOKUP(Q279,Literatuur!$A:$B,2,FALSE)," "))</f>
        <v xml:space="preserve"> D </v>
      </c>
      <c r="S279" s="37"/>
      <c r="T279" s="44" t="str">
        <f t="shared" si="218"/>
        <v xml:space="preserve"> </v>
      </c>
      <c r="U279" s="33" t="str">
        <f>IF(OR(ISBLANK(S279), ISBLANK(T279)),"",CONCATENATE(" ",VLOOKUP(T279,Literatuur!$A:$B,2,FALSE)," "))</f>
        <v/>
      </c>
      <c r="W279" s="44" t="str">
        <f t="shared" si="219"/>
        <v xml:space="preserve"> </v>
      </c>
      <c r="X279" s="33" t="str">
        <f>IF(OR(ISBLANK(V279), ISBLANK(W279)),"",CONCATENATE(" ",VLOOKUP(W279,Literatuur!$A:$B,2,FALSE)," "))</f>
        <v/>
      </c>
      <c r="Y279" s="33">
        <v>223000</v>
      </c>
      <c r="Z279" s="44" t="str">
        <f t="shared" si="220"/>
        <v>US EPA suite</v>
      </c>
      <c r="AA279" s="33" t="str">
        <f>IF(OR(ISBLANK(Y279), ISBLANK(Z279)),"",CONCATENATE(" ",VLOOKUP(Z279,Literatuur!$A:$B,2,FALSE)," "))</f>
        <v xml:space="preserve"> F </v>
      </c>
      <c r="AB279" s="33">
        <v>267000</v>
      </c>
      <c r="AC279" s="36" t="str">
        <f t="shared" si="221"/>
        <v>Vonk 1985</v>
      </c>
      <c r="AD279" s="33" t="str">
        <f>IF(OR(ISBLANK(AB279), ISBLANK(AC279)),"",CONCATENATE(" ",VLOOKUP(AC279,Literatuur!$A:$B,2,FALSE)," "))</f>
        <v xml:space="preserve"> 37 </v>
      </c>
      <c r="AG279" s="33" t="str">
        <f>IF(OR(ISBLANK(AE279), ISBLANK(AF279)),"",CONCATENATE(" ",VLOOKUP(AF279,Literatuur!$A:$B,2,FALSE)," "))</f>
        <v/>
      </c>
      <c r="AI279" s="37">
        <v>72</v>
      </c>
      <c r="AJ279" s="44" t="str">
        <f t="shared" si="222"/>
        <v>Sanscrit</v>
      </c>
      <c r="AK279" s="33" t="str">
        <f>IF(OR(ISBLANK(AI279), ISBLANK(AJ279)),"",CONCATENATE(" ",VLOOKUP(AJ279,Literatuur!$A:$B,2,FALSE)," "))</f>
        <v xml:space="preserve"> D </v>
      </c>
      <c r="AM279" s="44" t="str">
        <f t="shared" si="223"/>
        <v xml:space="preserve"> </v>
      </c>
      <c r="AN279" s="33" t="str">
        <f>IF(OR(ISBLANK(AL279), ISBLANK(AM279)),"",CONCATENATE(" ",VLOOKUP(AM279,Literatuur!$A:$B,2,FALSE)," "))</f>
        <v/>
      </c>
      <c r="AO279" s="33">
        <v>72.11</v>
      </c>
      <c r="AP279" s="44" t="str">
        <f t="shared" si="224"/>
        <v>US EPA suite</v>
      </c>
      <c r="AQ279" s="33" t="str">
        <f>IF(OR(ISBLANK(AO279), ISBLANK(AP279)),"",CONCATENATE(" ",VLOOKUP(AP279,Literatuur!$A:$B,2,FALSE)," "))</f>
        <v xml:space="preserve"> F </v>
      </c>
      <c r="AT279" s="33" t="str">
        <f>IF(OR(ISBLANK(AR279), ISBLANK(AS279)),"",CONCATENATE(" ",VLOOKUP(AS279,Literatuur!$A:$B,2,FALSE)," "))</f>
        <v/>
      </c>
      <c r="AW279" s="33" t="str">
        <f>IF(OR(ISBLANK(AU279), ISBLANK(AV279)),"",CONCATENATE(" ",VLOOKUP(AV279,Literatuur!$A:$B,2,FALSE)," "))</f>
        <v/>
      </c>
      <c r="AZ279" s="44" t="str">
        <f t="shared" si="225"/>
        <v xml:space="preserve"> </v>
      </c>
      <c r="BA279" s="33" t="str">
        <f>IF(OR(ISBLANK(AY279), ISBLANK(AZ279)),"",CONCATENATE(" ",VLOOKUP(AZ279,Literatuur!$A:$B,2,FALSE)," "))</f>
        <v/>
      </c>
      <c r="BC279" s="44" t="str">
        <f t="shared" si="226"/>
        <v xml:space="preserve"> </v>
      </c>
      <c r="BD279" s="33" t="str">
        <f>IF(OR(ISBLANK(BB279), ISBLANK(BC279)),"",CONCATENATE(" ",VLOOKUP(BC279,Literatuur!$A:$B,2,FALSE)," "))</f>
        <v/>
      </c>
      <c r="BF279" s="44" t="str">
        <f t="shared" si="227"/>
        <v xml:space="preserve"> </v>
      </c>
      <c r="BG279" s="33" t="str">
        <f>IF(OR(ISBLANK(BE279), ISBLANK(BF279)),"",CONCATENATE(" ",VLOOKUP(BF279,Literatuur!$A:$B,2,FALSE)," "))</f>
        <v/>
      </c>
      <c r="BH279" s="33">
        <v>0.28999999999999998</v>
      </c>
      <c r="BI279" s="44" t="str">
        <f t="shared" si="228"/>
        <v>US EPA suite</v>
      </c>
      <c r="BJ279" s="33" t="str">
        <f>IF(OR(ISBLANK(BH279), ISBLANK(BI279)),"",CONCATENATE(" ",VLOOKUP(BI279,Literatuur!$A:$B,2,FALSE)," "))</f>
        <v xml:space="preserve"> F </v>
      </c>
      <c r="BL279" s="44" t="str">
        <f t="shared" si="229"/>
        <v xml:space="preserve"> </v>
      </c>
      <c r="BM279" s="33" t="str">
        <f>IF(OR(ISBLANK(BK279), ISBLANK(BL279)),"",CONCATENATE(" ",VLOOKUP(BL279,Literatuur!$A:$B,2,FALSE)," "))</f>
        <v/>
      </c>
      <c r="BP279" s="33" t="str">
        <f>IF(OR(ISBLANK(BN279), ISBLANK(BO279)),"",CONCATENATE(" ",VLOOKUP(BO279,Literatuur!$A:$B,2,FALSE)," "))</f>
        <v/>
      </c>
      <c r="BS279" s="33" t="str">
        <f>IF(OR(ISBLANK(BQ279), ISBLANK(BR279)),"",CONCATENATE(" ",VLOOKUP(BR279,Literatuur!$A:$B,2,FALSE)," "))</f>
        <v/>
      </c>
      <c r="BT279" s="33">
        <v>0.26100000000000001</v>
      </c>
      <c r="BU279" s="33" t="s">
        <v>1908</v>
      </c>
      <c r="BV279" s="33" t="str">
        <f>IF(OR(ISBLANK(BT279), ISBLANK(BU279)),"",CONCATENATE(" ",VLOOKUP(BU279,Literatuur!$A:$B,2,FALSE)," "))</f>
        <v xml:space="preserve"> 32 </v>
      </c>
      <c r="BY279" s="33">
        <v>90.2</v>
      </c>
      <c r="CB279" s="33" t="s">
        <v>1070</v>
      </c>
      <c r="CD279" s="33">
        <f>L279</f>
        <v>90.2</v>
      </c>
      <c r="CE279" s="37">
        <f>I279</f>
        <v>72</v>
      </c>
      <c r="CG279" s="33">
        <f t="shared" si="207"/>
        <v>5.5475285764597819</v>
      </c>
      <c r="CH279" s="33">
        <f t="shared" si="205"/>
        <v>0.27549999999999997</v>
      </c>
      <c r="CR279" s="33" t="str">
        <f t="shared" si="209"/>
        <v>2-Butanone</v>
      </c>
      <c r="CS279" s="33" t="str">
        <f t="shared" si="210"/>
        <v>O2</v>
      </c>
      <c r="CT279" s="33">
        <f t="shared" si="208"/>
        <v>72</v>
      </c>
      <c r="CU279" s="33" t="str">
        <f t="shared" si="211"/>
        <v xml:space="preserve"> D </v>
      </c>
      <c r="CV279" s="33">
        <f t="shared" si="212"/>
        <v>352800</v>
      </c>
      <c r="CW279" s="33" t="str">
        <f t="shared" si="213"/>
        <v xml:space="preserve"> D </v>
      </c>
      <c r="CX279" s="33">
        <f t="shared" si="214"/>
        <v>0.27549999999999997</v>
      </c>
      <c r="CY279" s="33" t="str">
        <f t="shared" si="215"/>
        <v xml:space="preserve"> F  32 </v>
      </c>
    </row>
    <row r="280" spans="2:103" x14ac:dyDescent="0.2">
      <c r="B280" s="33">
        <v>-1672</v>
      </c>
      <c r="D280" s="21" t="s">
        <v>816</v>
      </c>
      <c r="E280" s="21" t="s">
        <v>816</v>
      </c>
      <c r="F280" s="4"/>
      <c r="G280" s="4"/>
      <c r="I280" s="33">
        <f t="shared" si="204"/>
        <v>156</v>
      </c>
      <c r="J280" s="33" t="e">
        <f t="shared" si="216"/>
        <v>#DIV/0!</v>
      </c>
      <c r="K280" s="44" t="e">
        <f t="shared" si="200"/>
        <v>#DIV/0!</v>
      </c>
      <c r="L280" s="33" t="e">
        <f t="shared" si="206"/>
        <v>#DIV/0!</v>
      </c>
      <c r="M280" s="33" t="s">
        <v>1893</v>
      </c>
      <c r="Q280" s="44" t="str">
        <f t="shared" si="217"/>
        <v xml:space="preserve"> </v>
      </c>
      <c r="R280" s="33" t="str">
        <f>IF(OR(ISBLANK(P280), ISBLANK(Q280)),"",CONCATENATE(" ",VLOOKUP(Q280,Literatuur!$A:$B,2,FALSE)," "))</f>
        <v/>
      </c>
      <c r="T280" s="44" t="str">
        <f t="shared" si="218"/>
        <v xml:space="preserve"> </v>
      </c>
      <c r="U280" s="33" t="str">
        <f>IF(OR(ISBLANK(S280), ISBLANK(T280)),"",CONCATENATE(" ",VLOOKUP(T280,Literatuur!$A:$B,2,FALSE)," "))</f>
        <v/>
      </c>
      <c r="W280" s="44" t="str">
        <f t="shared" si="219"/>
        <v xml:space="preserve"> </v>
      </c>
      <c r="X280" s="33" t="str">
        <f>IF(OR(ISBLANK(V280), ISBLANK(W280)),"",CONCATENATE(" ",VLOOKUP(W280,Literatuur!$A:$B,2,FALSE)," "))</f>
        <v/>
      </c>
      <c r="Z280" s="44" t="str">
        <f t="shared" si="220"/>
        <v xml:space="preserve"> </v>
      </c>
      <c r="AA280" s="33" t="str">
        <f>IF(OR(ISBLANK(Y280), ISBLANK(Z280)),"",CONCATENATE(" ",VLOOKUP(Z280,Literatuur!$A:$B,2,FALSE)," "))</f>
        <v/>
      </c>
      <c r="AC280" s="36" t="str">
        <f t="shared" si="221"/>
        <v xml:space="preserve"> </v>
      </c>
      <c r="AD280" s="33" t="str">
        <f>IF(OR(ISBLANK(AB280), ISBLANK(AC280)),"",CONCATENATE(" ",VLOOKUP(AC280,Literatuur!$A:$B,2,FALSE)," "))</f>
        <v/>
      </c>
      <c r="AG280" s="33" t="str">
        <f>IF(OR(ISBLANK(AE280), ISBLANK(AF280)),"",CONCATENATE(" ",VLOOKUP(AF280,Literatuur!$A:$B,2,FALSE)," "))</f>
        <v/>
      </c>
      <c r="AJ280" s="44" t="str">
        <f t="shared" si="222"/>
        <v xml:space="preserve"> </v>
      </c>
      <c r="AK280" s="33" t="str">
        <f>IF(OR(ISBLANK(AI280), ISBLANK(AJ280)),"",CONCATENATE(" ",VLOOKUP(AJ280,Literatuur!$A:$B,2,FALSE)," "))</f>
        <v/>
      </c>
      <c r="AM280" s="44" t="str">
        <f t="shared" si="223"/>
        <v xml:space="preserve"> </v>
      </c>
      <c r="AN280" s="33" t="str">
        <f>IF(OR(ISBLANK(AL280), ISBLANK(AM280)),"",CONCATENATE(" ",VLOOKUP(AM280,Literatuur!$A:$B,2,FALSE)," "))</f>
        <v/>
      </c>
      <c r="AP280" s="44" t="str">
        <f t="shared" si="224"/>
        <v xml:space="preserve"> </v>
      </c>
      <c r="AQ280" s="33" t="str">
        <f>IF(OR(ISBLANK(AO280), ISBLANK(AP280)),"",CONCATENATE(" ",VLOOKUP(AP280,Literatuur!$A:$B,2,FALSE)," "))</f>
        <v/>
      </c>
      <c r="AS280"/>
      <c r="AT280" s="33" t="str">
        <f>IF(OR(ISBLANK(AR280), ISBLANK(AS280)),"",CONCATENATE(" ",VLOOKUP(AS280,Literatuur!$A:$B,2,FALSE)," "))</f>
        <v/>
      </c>
      <c r="AU280">
        <v>156</v>
      </c>
      <c r="AV280" s="33" t="s">
        <v>1235</v>
      </c>
      <c r="AW280" s="33" t="str">
        <f>IF(OR(ISBLANK(AU280), ISBLANK(AV280)),"",CONCATENATE(" ",VLOOKUP(AV280,Literatuur!$A:$B,2,FALSE)," "))</f>
        <v xml:space="preserve"> 21 </v>
      </c>
      <c r="AZ280" s="44" t="str">
        <f t="shared" si="225"/>
        <v xml:space="preserve"> </v>
      </c>
      <c r="BA280" s="33" t="str">
        <f>IF(OR(ISBLANK(AY280), ISBLANK(AZ280)),"",CONCATENATE(" ",VLOOKUP(AZ280,Literatuur!$A:$B,2,FALSE)," "))</f>
        <v/>
      </c>
      <c r="BC280" s="44" t="str">
        <f t="shared" si="226"/>
        <v xml:space="preserve"> </v>
      </c>
      <c r="BD280" s="33" t="str">
        <f>IF(OR(ISBLANK(BB280), ISBLANK(BC280)),"",CONCATENATE(" ",VLOOKUP(BC280,Literatuur!$A:$B,2,FALSE)," "))</f>
        <v/>
      </c>
      <c r="BF280" s="44" t="str">
        <f t="shared" si="227"/>
        <v xml:space="preserve"> </v>
      </c>
      <c r="BG280" s="33" t="str">
        <f>IF(OR(ISBLANK(BE280), ISBLANK(BF280)),"",CONCATENATE(" ",VLOOKUP(BF280,Literatuur!$A:$B,2,FALSE)," "))</f>
        <v/>
      </c>
      <c r="BI280" s="44" t="str">
        <f t="shared" si="228"/>
        <v xml:space="preserve"> </v>
      </c>
      <c r="BJ280" s="33" t="str">
        <f>IF(OR(ISBLANK(BH280), ISBLANK(BI280)),"",CONCATENATE(" ",VLOOKUP(BI280,Literatuur!$A:$B,2,FALSE)," "))</f>
        <v/>
      </c>
      <c r="BL280" s="44" t="str">
        <f t="shared" si="229"/>
        <v xml:space="preserve"> </v>
      </c>
      <c r="BM280" s="33" t="str">
        <f>IF(OR(ISBLANK(BK280), ISBLANK(BL280)),"",CONCATENATE(" ",VLOOKUP(BL280,Literatuur!$A:$B,2,FALSE)," "))</f>
        <v/>
      </c>
      <c r="BP280" s="33" t="str">
        <f>IF(OR(ISBLANK(BN280), ISBLANK(BO280)),"",CONCATENATE(" ",VLOOKUP(BO280,Literatuur!$A:$B,2,FALSE)," "))</f>
        <v/>
      </c>
      <c r="BS280" s="33" t="str">
        <f>IF(OR(ISBLANK(BQ280), ISBLANK(BR280)),"",CONCATENATE(" ",VLOOKUP(BR280,Literatuur!$A:$B,2,FALSE)," "))</f>
        <v/>
      </c>
      <c r="BV280" s="33" t="str">
        <f>IF(OR(ISBLANK(BT280), ISBLANK(BU280)),"",CONCATENATE(" ",VLOOKUP(BU280,Literatuur!$A:$B,2,FALSE)," "))</f>
        <v/>
      </c>
      <c r="CR280" s="33" t="str">
        <f t="shared" si="209"/>
        <v>n-Decanal</v>
      </c>
      <c r="CS280" s="33" t="str">
        <f t="shared" si="210"/>
        <v>O2</v>
      </c>
      <c r="CT280" s="33">
        <f t="shared" si="208"/>
        <v>156</v>
      </c>
      <c r="CU280" s="33" t="str">
        <f t="shared" si="211"/>
        <v xml:space="preserve"> 21 </v>
      </c>
      <c r="CV280" s="33" t="str">
        <f t="shared" si="212"/>
        <v/>
      </c>
      <c r="CW280" s="33" t="str">
        <f t="shared" si="213"/>
        <v/>
      </c>
      <c r="CX280" s="33" t="str">
        <f t="shared" si="214"/>
        <v/>
      </c>
      <c r="CY280" s="33" t="str">
        <f t="shared" si="215"/>
        <v/>
      </c>
    </row>
    <row r="281" spans="2:103" x14ac:dyDescent="0.2">
      <c r="B281" s="33">
        <v>-1667</v>
      </c>
      <c r="D281" s="21" t="s">
        <v>811</v>
      </c>
      <c r="E281" s="21" t="s">
        <v>811</v>
      </c>
      <c r="F281" s="4"/>
      <c r="G281" s="4"/>
      <c r="I281" s="33">
        <f t="shared" si="204"/>
        <v>142</v>
      </c>
      <c r="J281" s="33" t="e">
        <f t="shared" si="216"/>
        <v>#DIV/0!</v>
      </c>
      <c r="K281" s="44" t="e">
        <f t="shared" si="200"/>
        <v>#DIV/0!</v>
      </c>
      <c r="L281" s="33" t="e">
        <f t="shared" si="206"/>
        <v>#DIV/0!</v>
      </c>
      <c r="M281" s="33" t="s">
        <v>1893</v>
      </c>
      <c r="Q281" s="44" t="str">
        <f t="shared" si="217"/>
        <v xml:space="preserve"> </v>
      </c>
      <c r="R281" s="33" t="str">
        <f>IF(OR(ISBLANK(P281), ISBLANK(Q281)),"",CONCATENATE(" ",VLOOKUP(Q281,Literatuur!$A:$B,2,FALSE)," "))</f>
        <v/>
      </c>
      <c r="T281" s="44" t="str">
        <f t="shared" si="218"/>
        <v xml:space="preserve"> </v>
      </c>
      <c r="U281" s="33" t="str">
        <f>IF(OR(ISBLANK(S281), ISBLANK(T281)),"",CONCATENATE(" ",VLOOKUP(T281,Literatuur!$A:$B,2,FALSE)," "))</f>
        <v/>
      </c>
      <c r="W281" s="44" t="str">
        <f t="shared" si="219"/>
        <v xml:space="preserve"> </v>
      </c>
      <c r="X281" s="33" t="str">
        <f>IF(OR(ISBLANK(V281), ISBLANK(W281)),"",CONCATENATE(" ",VLOOKUP(W281,Literatuur!$A:$B,2,FALSE)," "))</f>
        <v/>
      </c>
      <c r="Z281" s="44" t="str">
        <f t="shared" si="220"/>
        <v xml:space="preserve"> </v>
      </c>
      <c r="AA281" s="33" t="str">
        <f>IF(OR(ISBLANK(Y281), ISBLANK(Z281)),"",CONCATENATE(" ",VLOOKUP(Z281,Literatuur!$A:$B,2,FALSE)," "))</f>
        <v/>
      </c>
      <c r="AC281" s="36" t="str">
        <f t="shared" si="221"/>
        <v xml:space="preserve"> </v>
      </c>
      <c r="AD281" s="33" t="str">
        <f>IF(OR(ISBLANK(AB281), ISBLANK(AC281)),"",CONCATENATE(" ",VLOOKUP(AC281,Literatuur!$A:$B,2,FALSE)," "))</f>
        <v/>
      </c>
      <c r="AG281" s="33" t="str">
        <f>IF(OR(ISBLANK(AE281), ISBLANK(AF281)),"",CONCATENATE(" ",VLOOKUP(AF281,Literatuur!$A:$B,2,FALSE)," "))</f>
        <v/>
      </c>
      <c r="AJ281" s="44" t="str">
        <f t="shared" si="222"/>
        <v xml:space="preserve"> </v>
      </c>
      <c r="AK281" s="33" t="str">
        <f>IF(OR(ISBLANK(AI281), ISBLANK(AJ281)),"",CONCATENATE(" ",VLOOKUP(AJ281,Literatuur!$A:$B,2,FALSE)," "))</f>
        <v/>
      </c>
      <c r="AM281" s="44" t="str">
        <f t="shared" si="223"/>
        <v xml:space="preserve"> </v>
      </c>
      <c r="AN281" s="33" t="str">
        <f>IF(OR(ISBLANK(AL281), ISBLANK(AM281)),"",CONCATENATE(" ",VLOOKUP(AM281,Literatuur!$A:$B,2,FALSE)," "))</f>
        <v/>
      </c>
      <c r="AP281" s="44" t="str">
        <f t="shared" si="224"/>
        <v xml:space="preserve"> </v>
      </c>
      <c r="AQ281" s="33" t="str">
        <f>IF(OR(ISBLANK(AO281), ISBLANK(AP281)),"",CONCATENATE(" ",VLOOKUP(AP281,Literatuur!$A:$B,2,FALSE)," "))</f>
        <v/>
      </c>
      <c r="AS281"/>
      <c r="AT281" s="33" t="str">
        <f>IF(OR(ISBLANK(AR281), ISBLANK(AS281)),"",CONCATENATE(" ",VLOOKUP(AS281,Literatuur!$A:$B,2,FALSE)," "))</f>
        <v/>
      </c>
      <c r="AU281">
        <v>142</v>
      </c>
      <c r="AV281" s="33" t="s">
        <v>1235</v>
      </c>
      <c r="AW281" s="33" t="str">
        <f>IF(OR(ISBLANK(AU281), ISBLANK(AV281)),"",CONCATENATE(" ",VLOOKUP(AV281,Literatuur!$A:$B,2,FALSE)," "))</f>
        <v xml:space="preserve"> 21 </v>
      </c>
      <c r="AZ281" s="44" t="str">
        <f t="shared" si="225"/>
        <v xml:space="preserve"> </v>
      </c>
      <c r="BA281" s="33" t="str">
        <f>IF(OR(ISBLANK(AY281), ISBLANK(AZ281)),"",CONCATENATE(" ",VLOOKUP(AZ281,Literatuur!$A:$B,2,FALSE)," "))</f>
        <v/>
      </c>
      <c r="BC281" s="44" t="str">
        <f t="shared" si="226"/>
        <v xml:space="preserve"> </v>
      </c>
      <c r="BD281" s="33" t="str">
        <f>IF(OR(ISBLANK(BB281), ISBLANK(BC281)),"",CONCATENATE(" ",VLOOKUP(BC281,Literatuur!$A:$B,2,FALSE)," "))</f>
        <v/>
      </c>
      <c r="BF281" s="44" t="str">
        <f t="shared" si="227"/>
        <v xml:space="preserve"> </v>
      </c>
      <c r="BG281" s="33" t="str">
        <f>IF(OR(ISBLANK(BE281), ISBLANK(BF281)),"",CONCATENATE(" ",VLOOKUP(BF281,Literatuur!$A:$B,2,FALSE)," "))</f>
        <v/>
      </c>
      <c r="BI281" s="44" t="str">
        <f t="shared" si="228"/>
        <v xml:space="preserve"> </v>
      </c>
      <c r="BJ281" s="33" t="str">
        <f>IF(OR(ISBLANK(BH281), ISBLANK(BI281)),"",CONCATENATE(" ",VLOOKUP(BI281,Literatuur!$A:$B,2,FALSE)," "))</f>
        <v/>
      </c>
      <c r="BL281" s="44" t="str">
        <f t="shared" si="229"/>
        <v xml:space="preserve"> </v>
      </c>
      <c r="BM281" s="33" t="str">
        <f>IF(OR(ISBLANK(BK281), ISBLANK(BL281)),"",CONCATENATE(" ",VLOOKUP(BL281,Literatuur!$A:$B,2,FALSE)," "))</f>
        <v/>
      </c>
      <c r="BP281" s="33" t="str">
        <f>IF(OR(ISBLANK(BN281), ISBLANK(BO281)),"",CONCATENATE(" ",VLOOKUP(BO281,Literatuur!$A:$B,2,FALSE)," "))</f>
        <v/>
      </c>
      <c r="BS281" s="33" t="str">
        <f>IF(OR(ISBLANK(BQ281), ISBLANK(BR281)),"",CONCATENATE(" ",VLOOKUP(BR281,Literatuur!$A:$B,2,FALSE)," "))</f>
        <v/>
      </c>
      <c r="BV281" s="33" t="str">
        <f>IF(OR(ISBLANK(BT281), ISBLANK(BU281)),"",CONCATENATE(" ",VLOOKUP(BU281,Literatuur!$A:$B,2,FALSE)," "))</f>
        <v/>
      </c>
      <c r="CR281" s="33" t="str">
        <f t="shared" si="209"/>
        <v>n-Nonanal</v>
      </c>
      <c r="CS281" s="33" t="str">
        <f t="shared" si="210"/>
        <v>O2</v>
      </c>
      <c r="CT281" s="33">
        <f t="shared" si="208"/>
        <v>142</v>
      </c>
      <c r="CU281" s="33" t="str">
        <f t="shared" si="211"/>
        <v xml:space="preserve"> 21 </v>
      </c>
      <c r="CV281" s="33" t="str">
        <f t="shared" si="212"/>
        <v/>
      </c>
      <c r="CW281" s="33" t="str">
        <f t="shared" si="213"/>
        <v/>
      </c>
      <c r="CX281" s="33" t="str">
        <f t="shared" si="214"/>
        <v/>
      </c>
      <c r="CY281" s="33" t="str">
        <f t="shared" si="215"/>
        <v/>
      </c>
    </row>
    <row r="282" spans="2:103" x14ac:dyDescent="0.2">
      <c r="B282" s="33">
        <v>-1663</v>
      </c>
      <c r="D282" s="21" t="s">
        <v>808</v>
      </c>
      <c r="E282" s="21" t="s">
        <v>808</v>
      </c>
      <c r="F282" s="4"/>
      <c r="G282" s="4"/>
      <c r="I282" s="33">
        <f t="shared" si="204"/>
        <v>128</v>
      </c>
      <c r="J282" s="33" t="e">
        <f t="shared" si="216"/>
        <v>#DIV/0!</v>
      </c>
      <c r="K282" s="44" t="e">
        <f t="shared" si="200"/>
        <v>#DIV/0!</v>
      </c>
      <c r="L282" s="33" t="e">
        <f t="shared" si="206"/>
        <v>#DIV/0!</v>
      </c>
      <c r="M282" s="33" t="s">
        <v>1893</v>
      </c>
      <c r="Q282" s="44" t="str">
        <f t="shared" si="217"/>
        <v xml:space="preserve"> </v>
      </c>
      <c r="R282" s="33" t="str">
        <f>IF(OR(ISBLANK(P282), ISBLANK(Q282)),"",CONCATENATE(" ",VLOOKUP(Q282,Literatuur!$A:$B,2,FALSE)," "))</f>
        <v/>
      </c>
      <c r="T282" s="44" t="str">
        <f t="shared" si="218"/>
        <v xml:space="preserve"> </v>
      </c>
      <c r="U282" s="33" t="str">
        <f>IF(OR(ISBLANK(S282), ISBLANK(T282)),"",CONCATENATE(" ",VLOOKUP(T282,Literatuur!$A:$B,2,FALSE)," "))</f>
        <v/>
      </c>
      <c r="W282" s="44" t="str">
        <f t="shared" si="219"/>
        <v xml:space="preserve"> </v>
      </c>
      <c r="X282" s="33" t="str">
        <f>IF(OR(ISBLANK(V282), ISBLANK(W282)),"",CONCATENATE(" ",VLOOKUP(W282,Literatuur!$A:$B,2,FALSE)," "))</f>
        <v/>
      </c>
      <c r="Z282" s="44" t="str">
        <f t="shared" si="220"/>
        <v xml:space="preserve"> </v>
      </c>
      <c r="AA282" s="33" t="str">
        <f>IF(OR(ISBLANK(Y282), ISBLANK(Z282)),"",CONCATENATE(" ",VLOOKUP(Z282,Literatuur!$A:$B,2,FALSE)," "))</f>
        <v/>
      </c>
      <c r="AC282" s="36" t="str">
        <f t="shared" si="221"/>
        <v xml:space="preserve"> </v>
      </c>
      <c r="AD282" s="33" t="str">
        <f>IF(OR(ISBLANK(AB282), ISBLANK(AC282)),"",CONCATENATE(" ",VLOOKUP(AC282,Literatuur!$A:$B,2,FALSE)," "))</f>
        <v/>
      </c>
      <c r="AG282" s="33" t="str">
        <f>IF(OR(ISBLANK(AE282), ISBLANK(AF282)),"",CONCATENATE(" ",VLOOKUP(AF282,Literatuur!$A:$B,2,FALSE)," "))</f>
        <v/>
      </c>
      <c r="AJ282" s="44" t="str">
        <f t="shared" si="222"/>
        <v xml:space="preserve"> </v>
      </c>
      <c r="AK282" s="33" t="str">
        <f>IF(OR(ISBLANK(AI282), ISBLANK(AJ282)),"",CONCATENATE(" ",VLOOKUP(AJ282,Literatuur!$A:$B,2,FALSE)," "))</f>
        <v/>
      </c>
      <c r="AM282" s="44" t="str">
        <f t="shared" si="223"/>
        <v xml:space="preserve"> </v>
      </c>
      <c r="AN282" s="33" t="str">
        <f>IF(OR(ISBLANK(AL282), ISBLANK(AM282)),"",CONCATENATE(" ",VLOOKUP(AM282,Literatuur!$A:$B,2,FALSE)," "))</f>
        <v/>
      </c>
      <c r="AP282" s="44" t="str">
        <f t="shared" si="224"/>
        <v xml:space="preserve"> </v>
      </c>
      <c r="AQ282" s="33" t="str">
        <f>IF(OR(ISBLANK(AO282), ISBLANK(AP282)),"",CONCATENATE(" ",VLOOKUP(AP282,Literatuur!$A:$B,2,FALSE)," "))</f>
        <v/>
      </c>
      <c r="AS282"/>
      <c r="AT282" s="33" t="str">
        <f>IF(OR(ISBLANK(AR282), ISBLANK(AS282)),"",CONCATENATE(" ",VLOOKUP(AS282,Literatuur!$A:$B,2,FALSE)," "))</f>
        <v/>
      </c>
      <c r="AU282">
        <v>128</v>
      </c>
      <c r="AV282" s="33" t="s">
        <v>1235</v>
      </c>
      <c r="AW282" s="33" t="str">
        <f>IF(OR(ISBLANK(AU282), ISBLANK(AV282)),"",CONCATENATE(" ",VLOOKUP(AV282,Literatuur!$A:$B,2,FALSE)," "))</f>
        <v xml:space="preserve"> 21 </v>
      </c>
      <c r="AZ282" s="44" t="str">
        <f t="shared" si="225"/>
        <v xml:space="preserve"> </v>
      </c>
      <c r="BA282" s="33" t="str">
        <f>IF(OR(ISBLANK(AY282), ISBLANK(AZ282)),"",CONCATENATE(" ",VLOOKUP(AZ282,Literatuur!$A:$B,2,FALSE)," "))</f>
        <v/>
      </c>
      <c r="BC282" s="44" t="str">
        <f t="shared" si="226"/>
        <v xml:space="preserve"> </v>
      </c>
      <c r="BD282" s="33" t="str">
        <f>IF(OR(ISBLANK(BB282), ISBLANK(BC282)),"",CONCATENATE(" ",VLOOKUP(BC282,Literatuur!$A:$B,2,FALSE)," "))</f>
        <v/>
      </c>
      <c r="BF282" s="44" t="str">
        <f t="shared" si="227"/>
        <v xml:space="preserve"> </v>
      </c>
      <c r="BG282" s="33" t="str">
        <f>IF(OR(ISBLANK(BE282), ISBLANK(BF282)),"",CONCATENATE(" ",VLOOKUP(BF282,Literatuur!$A:$B,2,FALSE)," "))</f>
        <v/>
      </c>
      <c r="BI282" s="44" t="str">
        <f t="shared" si="228"/>
        <v xml:space="preserve"> </v>
      </c>
      <c r="BJ282" s="33" t="str">
        <f>IF(OR(ISBLANK(BH282), ISBLANK(BI282)),"",CONCATENATE(" ",VLOOKUP(BI282,Literatuur!$A:$B,2,FALSE)," "))</f>
        <v/>
      </c>
      <c r="BL282" s="44" t="str">
        <f t="shared" si="229"/>
        <v xml:space="preserve"> </v>
      </c>
      <c r="BM282" s="33" t="str">
        <f>IF(OR(ISBLANK(BK282), ISBLANK(BL282)),"",CONCATENATE(" ",VLOOKUP(BL282,Literatuur!$A:$B,2,FALSE)," "))</f>
        <v/>
      </c>
      <c r="BP282" s="33" t="str">
        <f>IF(OR(ISBLANK(BN282), ISBLANK(BO282)),"",CONCATENATE(" ",VLOOKUP(BO282,Literatuur!$A:$B,2,FALSE)," "))</f>
        <v/>
      </c>
      <c r="BS282" s="33" t="str">
        <f>IF(OR(ISBLANK(BQ282), ISBLANK(BR282)),"",CONCATENATE(" ",VLOOKUP(BR282,Literatuur!$A:$B,2,FALSE)," "))</f>
        <v/>
      </c>
      <c r="BV282" s="33" t="str">
        <f>IF(OR(ISBLANK(BT282), ISBLANK(BU282)),"",CONCATENATE(" ",VLOOKUP(BU282,Literatuur!$A:$B,2,FALSE)," "))</f>
        <v/>
      </c>
      <c r="CR282" s="33" t="str">
        <f t="shared" si="209"/>
        <v>n-Octanal</v>
      </c>
      <c r="CS282" s="33" t="str">
        <f t="shared" si="210"/>
        <v>O2</v>
      </c>
      <c r="CT282" s="33">
        <f t="shared" si="208"/>
        <v>128</v>
      </c>
      <c r="CU282" s="33" t="str">
        <f t="shared" si="211"/>
        <v xml:space="preserve"> 21 </v>
      </c>
      <c r="CV282" s="33" t="str">
        <f t="shared" si="212"/>
        <v/>
      </c>
      <c r="CW282" s="33" t="str">
        <f t="shared" si="213"/>
        <v/>
      </c>
      <c r="CX282" s="33" t="str">
        <f t="shared" si="214"/>
        <v/>
      </c>
      <c r="CY282" s="33" t="str">
        <f t="shared" si="215"/>
        <v/>
      </c>
    </row>
    <row r="283" spans="2:103" x14ac:dyDescent="0.2">
      <c r="B283" s="33">
        <v>-1515</v>
      </c>
      <c r="D283" s="33" t="s">
        <v>456</v>
      </c>
      <c r="E283" s="33" t="s">
        <v>456</v>
      </c>
      <c r="H283" s="33" t="s">
        <v>457</v>
      </c>
      <c r="I283" s="37">
        <f t="shared" si="204"/>
        <v>86.13</v>
      </c>
      <c r="J283" s="33">
        <f t="shared" si="216"/>
        <v>14000</v>
      </c>
      <c r="K283" s="44">
        <f t="shared" si="200"/>
        <v>1.31</v>
      </c>
      <c r="L283" s="33" t="e">
        <f t="shared" si="206"/>
        <v>#DIV/0!</v>
      </c>
      <c r="M283" s="33" t="s">
        <v>1893</v>
      </c>
      <c r="Q283" s="44" t="str">
        <f t="shared" si="217"/>
        <v xml:space="preserve"> </v>
      </c>
      <c r="R283" s="33" t="str">
        <f>IF(OR(ISBLANK(P283), ISBLANK(Q283)),"",CONCATENATE(" ",VLOOKUP(Q283,Literatuur!$A:$B,2,FALSE)," "))</f>
        <v/>
      </c>
      <c r="S283" s="33">
        <v>14000</v>
      </c>
      <c r="T283" s="44" t="str">
        <f t="shared" si="218"/>
        <v>Gestis</v>
      </c>
      <c r="U283" s="33" t="str">
        <f>IF(OR(ISBLANK(S283), ISBLANK(T283)),"",CONCATENATE(" ",VLOOKUP(T283,Literatuur!$A:$B,2,FALSE)," "))</f>
        <v xml:space="preserve"> A </v>
      </c>
      <c r="W283" s="44" t="str">
        <f t="shared" si="219"/>
        <v xml:space="preserve"> </v>
      </c>
      <c r="X283" s="33" t="str">
        <f>IF(OR(ISBLANK(V283), ISBLANK(W283)),"",CONCATENATE(" ",VLOOKUP(W283,Literatuur!$A:$B,2,FALSE)," "))</f>
        <v/>
      </c>
      <c r="Z283" s="44" t="str">
        <f t="shared" si="220"/>
        <v xml:space="preserve"> </v>
      </c>
      <c r="AA283" s="33" t="str">
        <f>IF(OR(ISBLANK(Y283), ISBLANK(Z283)),"",CONCATENATE(" ",VLOOKUP(Z283,Literatuur!$A:$B,2,FALSE)," "))</f>
        <v/>
      </c>
      <c r="AC283" s="36" t="str">
        <f t="shared" si="221"/>
        <v xml:space="preserve"> </v>
      </c>
      <c r="AD283" s="33" t="str">
        <f>IF(OR(ISBLANK(AB283), ISBLANK(AC283)),"",CONCATENATE(" ",VLOOKUP(AC283,Literatuur!$A:$B,2,FALSE)," "))</f>
        <v/>
      </c>
      <c r="AG283" s="33" t="str">
        <f>IF(OR(ISBLANK(AE283), ISBLANK(AF283)),"",CONCATENATE(" ",VLOOKUP(AF283,Literatuur!$A:$B,2,FALSE)," "))</f>
        <v/>
      </c>
      <c r="AJ283" s="44" t="str">
        <f t="shared" si="222"/>
        <v xml:space="preserve"> </v>
      </c>
      <c r="AK283" s="33" t="str">
        <f>IF(OR(ISBLANK(AI283), ISBLANK(AJ283)),"",CONCATENATE(" ",VLOOKUP(AJ283,Literatuur!$A:$B,2,FALSE)," "))</f>
        <v/>
      </c>
      <c r="AL283" s="33">
        <v>86.13</v>
      </c>
      <c r="AM283" s="44" t="str">
        <f t="shared" si="223"/>
        <v>Gestis</v>
      </c>
      <c r="AN283" s="33" t="str">
        <f>IF(OR(ISBLANK(AL283), ISBLANK(AM283)),"",CONCATENATE(" ",VLOOKUP(AM283,Literatuur!$A:$B,2,FALSE)," "))</f>
        <v xml:space="preserve"> A </v>
      </c>
      <c r="AP283" s="44" t="str">
        <f t="shared" si="224"/>
        <v xml:space="preserve"> </v>
      </c>
      <c r="AQ283" s="33" t="str">
        <f>IF(OR(ISBLANK(AO283), ISBLANK(AP283)),"",CONCATENATE(" ",VLOOKUP(AP283,Literatuur!$A:$B,2,FALSE)," "))</f>
        <v/>
      </c>
      <c r="AT283" s="33" t="str">
        <f>IF(OR(ISBLANK(AR283), ISBLANK(AS283)),"",CONCATENATE(" ",VLOOKUP(AS283,Literatuur!$A:$B,2,FALSE)," "))</f>
        <v/>
      </c>
      <c r="AW283" s="33" t="str">
        <f>IF(OR(ISBLANK(AU283), ISBLANK(AV283)),"",CONCATENATE(" ",VLOOKUP(AV283,Literatuur!$A:$B,2,FALSE)," "))</f>
        <v/>
      </c>
      <c r="AZ283" s="44" t="str">
        <f t="shared" si="225"/>
        <v xml:space="preserve"> </v>
      </c>
      <c r="BA283" s="33" t="str">
        <f>IF(OR(ISBLANK(AY283), ISBLANK(AZ283)),"",CONCATENATE(" ",VLOOKUP(AZ283,Literatuur!$A:$B,2,FALSE)," "))</f>
        <v/>
      </c>
      <c r="BC283" s="44" t="str">
        <f t="shared" si="226"/>
        <v xml:space="preserve"> </v>
      </c>
      <c r="BD283" s="33" t="str">
        <f>IF(OR(ISBLANK(BB283), ISBLANK(BC283)),"",CONCATENATE(" ",VLOOKUP(BC283,Literatuur!$A:$B,2,FALSE)," "))</f>
        <v/>
      </c>
      <c r="BF283" s="44" t="str">
        <f t="shared" si="227"/>
        <v xml:space="preserve"> </v>
      </c>
      <c r="BG283" s="33" t="str">
        <f>IF(OR(ISBLANK(BE283), ISBLANK(BF283)),"",CONCATENATE(" ",VLOOKUP(BF283,Literatuur!$A:$B,2,FALSE)," "))</f>
        <v/>
      </c>
      <c r="BI283" s="44" t="str">
        <f t="shared" si="228"/>
        <v xml:space="preserve"> </v>
      </c>
      <c r="BJ283" s="33" t="str">
        <f>IF(OR(ISBLANK(BH283), ISBLANK(BI283)),"",CONCATENATE(" ",VLOOKUP(BI283,Literatuur!$A:$B,2,FALSE)," "))</f>
        <v/>
      </c>
      <c r="BL283" s="44" t="str">
        <f t="shared" si="229"/>
        <v xml:space="preserve"> </v>
      </c>
      <c r="BM283" s="33" t="str">
        <f>IF(OR(ISBLANK(BK283), ISBLANK(BL283)),"",CONCATENATE(" ",VLOOKUP(BL283,Literatuur!$A:$B,2,FALSE)," "))</f>
        <v/>
      </c>
      <c r="BP283" s="33" t="str">
        <f>IF(OR(ISBLANK(BN283), ISBLANK(BO283)),"",CONCATENATE(" ",VLOOKUP(BO283,Literatuur!$A:$B,2,FALSE)," "))</f>
        <v/>
      </c>
      <c r="BS283" s="33" t="str">
        <f>IF(OR(ISBLANK(BQ283), ISBLANK(BR283)),"",CONCATENATE(" ",VLOOKUP(BR283,Literatuur!$A:$B,2,FALSE)," "))</f>
        <v/>
      </c>
      <c r="BT283" s="33">
        <v>1.31</v>
      </c>
      <c r="BV283" s="33" t="str">
        <f>IF(OR(ISBLANK(BT283), ISBLANK(BU283)),"",CONCATENATE(" ",VLOOKUP(BU283,Literatuur!$A:$B,2,FALSE)," "))</f>
        <v/>
      </c>
      <c r="CE283" s="37">
        <f>I283</f>
        <v>86.13</v>
      </c>
      <c r="CG283" s="33">
        <f>LOG(J283)</f>
        <v>4.1461280356782382</v>
      </c>
      <c r="CH283" s="33">
        <f>K283</f>
        <v>1.31</v>
      </c>
      <c r="CR283" s="33" t="str">
        <f t="shared" si="209"/>
        <v>Pentanal</v>
      </c>
      <c r="CS283" s="33" t="str">
        <f t="shared" si="210"/>
        <v>O2</v>
      </c>
      <c r="CT283" s="33">
        <f t="shared" si="208"/>
        <v>86.13</v>
      </c>
      <c r="CU283" s="33" t="str">
        <f t="shared" si="211"/>
        <v xml:space="preserve"> A </v>
      </c>
      <c r="CV283" s="33">
        <f t="shared" si="212"/>
        <v>14000</v>
      </c>
      <c r="CW283" s="33" t="str">
        <f t="shared" si="213"/>
        <v xml:space="preserve"> A </v>
      </c>
      <c r="CX283" s="33">
        <f t="shared" si="214"/>
        <v>1.31</v>
      </c>
      <c r="CY283" s="33" t="str">
        <f t="shared" si="215"/>
        <v/>
      </c>
    </row>
    <row r="284" spans="2:103" x14ac:dyDescent="0.2">
      <c r="B284" s="33">
        <v>-1679</v>
      </c>
      <c r="D284" s="21" t="s">
        <v>823</v>
      </c>
      <c r="E284" s="21" t="s">
        <v>823</v>
      </c>
      <c r="F284" s="4"/>
      <c r="G284" s="4"/>
      <c r="I284" s="33">
        <f t="shared" si="204"/>
        <v>214</v>
      </c>
      <c r="J284" s="33" t="e">
        <f t="shared" si="216"/>
        <v>#DIV/0!</v>
      </c>
      <c r="K284" s="44" t="e">
        <f t="shared" si="200"/>
        <v>#DIV/0!</v>
      </c>
      <c r="L284" s="33" t="e">
        <f t="shared" si="206"/>
        <v>#DIV/0!</v>
      </c>
      <c r="M284" s="33" t="s">
        <v>1893</v>
      </c>
      <c r="Q284" s="44" t="str">
        <f t="shared" si="217"/>
        <v xml:space="preserve"> </v>
      </c>
      <c r="R284" s="33" t="str">
        <f>IF(OR(ISBLANK(P284), ISBLANK(Q284)),"",CONCATENATE(" ",VLOOKUP(Q284,Literatuur!$A:$B,2,FALSE)," "))</f>
        <v/>
      </c>
      <c r="T284" s="44" t="str">
        <f t="shared" si="218"/>
        <v xml:space="preserve"> </v>
      </c>
      <c r="U284" s="33" t="str">
        <f>IF(OR(ISBLANK(S284), ISBLANK(T284)),"",CONCATENATE(" ",VLOOKUP(T284,Literatuur!$A:$B,2,FALSE)," "))</f>
        <v/>
      </c>
      <c r="W284" s="44" t="str">
        <f t="shared" si="219"/>
        <v xml:space="preserve"> </v>
      </c>
      <c r="X284" s="33" t="str">
        <f>IF(OR(ISBLANK(V284), ISBLANK(W284)),"",CONCATENATE(" ",VLOOKUP(W284,Literatuur!$A:$B,2,FALSE)," "))</f>
        <v/>
      </c>
      <c r="Z284" s="44" t="str">
        <f t="shared" si="220"/>
        <v xml:space="preserve"> </v>
      </c>
      <c r="AA284" s="33" t="str">
        <f>IF(OR(ISBLANK(Y284), ISBLANK(Z284)),"",CONCATENATE(" ",VLOOKUP(Z284,Literatuur!$A:$B,2,FALSE)," "))</f>
        <v/>
      </c>
      <c r="AC284" s="36" t="str">
        <f t="shared" si="221"/>
        <v xml:space="preserve"> </v>
      </c>
      <c r="AD284" s="33" t="str">
        <f>IF(OR(ISBLANK(AB284), ISBLANK(AC284)),"",CONCATENATE(" ",VLOOKUP(AC284,Literatuur!$A:$B,2,FALSE)," "))</f>
        <v/>
      </c>
      <c r="AG284" s="33" t="str">
        <f>IF(OR(ISBLANK(AE284), ISBLANK(AF284)),"",CONCATENATE(" ",VLOOKUP(AF284,Literatuur!$A:$B,2,FALSE)," "))</f>
        <v/>
      </c>
      <c r="AJ284" s="44" t="str">
        <f t="shared" si="222"/>
        <v xml:space="preserve"> </v>
      </c>
      <c r="AK284" s="33" t="str">
        <f>IF(OR(ISBLANK(AI284), ISBLANK(AJ284)),"",CONCATENATE(" ",VLOOKUP(AJ284,Literatuur!$A:$B,2,FALSE)," "))</f>
        <v/>
      </c>
      <c r="AM284" s="44" t="str">
        <f t="shared" si="223"/>
        <v xml:space="preserve"> </v>
      </c>
      <c r="AN284" s="33" t="str">
        <f>IF(OR(ISBLANK(AL284), ISBLANK(AM284)),"",CONCATENATE(" ",VLOOKUP(AM284,Literatuur!$A:$B,2,FALSE)," "))</f>
        <v/>
      </c>
      <c r="AP284" s="44" t="str">
        <f t="shared" si="224"/>
        <v xml:space="preserve"> </v>
      </c>
      <c r="AQ284" s="33" t="str">
        <f>IF(OR(ISBLANK(AO284), ISBLANK(AP284)),"",CONCATENATE(" ",VLOOKUP(AP284,Literatuur!$A:$B,2,FALSE)," "))</f>
        <v/>
      </c>
      <c r="AS284"/>
      <c r="AT284" s="33" t="str">
        <f>IF(OR(ISBLANK(AR284), ISBLANK(AS284)),"",CONCATENATE(" ",VLOOKUP(AS284,Literatuur!$A:$B,2,FALSE)," "))</f>
        <v/>
      </c>
      <c r="AU284">
        <v>214</v>
      </c>
      <c r="AV284" s="33" t="s">
        <v>1235</v>
      </c>
      <c r="AW284" s="33" t="str">
        <f>IF(OR(ISBLANK(AU284), ISBLANK(AV284)),"",CONCATENATE(" ",VLOOKUP(AV284,Literatuur!$A:$B,2,FALSE)," "))</f>
        <v xml:space="preserve"> 21 </v>
      </c>
      <c r="AZ284" s="44" t="str">
        <f t="shared" si="225"/>
        <v xml:space="preserve"> </v>
      </c>
      <c r="BA284" s="33" t="str">
        <f>IF(OR(ISBLANK(AY284), ISBLANK(AZ284)),"",CONCATENATE(" ",VLOOKUP(AZ284,Literatuur!$A:$B,2,FALSE)," "))</f>
        <v/>
      </c>
      <c r="BC284" s="44" t="str">
        <f t="shared" si="226"/>
        <v xml:space="preserve"> </v>
      </c>
      <c r="BD284" s="33" t="str">
        <f>IF(OR(ISBLANK(BB284), ISBLANK(BC284)),"",CONCATENATE(" ",VLOOKUP(BC284,Literatuur!$A:$B,2,FALSE)," "))</f>
        <v/>
      </c>
      <c r="BF284" s="44" t="str">
        <f t="shared" si="227"/>
        <v xml:space="preserve"> </v>
      </c>
      <c r="BG284" s="33" t="str">
        <f>IF(OR(ISBLANK(BE284), ISBLANK(BF284)),"",CONCATENATE(" ",VLOOKUP(BF284,Literatuur!$A:$B,2,FALSE)," "))</f>
        <v/>
      </c>
      <c r="BI284" s="44" t="str">
        <f t="shared" si="228"/>
        <v xml:space="preserve"> </v>
      </c>
      <c r="BJ284" s="33" t="str">
        <f>IF(OR(ISBLANK(BH284), ISBLANK(BI284)),"",CONCATENATE(" ",VLOOKUP(BI284,Literatuur!$A:$B,2,FALSE)," "))</f>
        <v/>
      </c>
      <c r="BL284" s="44" t="str">
        <f t="shared" si="229"/>
        <v xml:space="preserve"> </v>
      </c>
      <c r="BM284" s="33" t="str">
        <f>IF(OR(ISBLANK(BK284), ISBLANK(BL284)),"",CONCATENATE(" ",VLOOKUP(BL284,Literatuur!$A:$B,2,FALSE)," "))</f>
        <v/>
      </c>
      <c r="BP284" s="33" t="str">
        <f>IF(OR(ISBLANK(BN284), ISBLANK(BO284)),"",CONCATENATE(" ",VLOOKUP(BO284,Literatuur!$A:$B,2,FALSE)," "))</f>
        <v/>
      </c>
      <c r="BS284" s="33" t="str">
        <f>IF(OR(ISBLANK(BQ284), ISBLANK(BR284)),"",CONCATENATE(" ",VLOOKUP(BR284,Literatuur!$A:$B,2,FALSE)," "))</f>
        <v/>
      </c>
      <c r="BV284" s="33" t="str">
        <f>IF(OR(ISBLANK(BT284), ISBLANK(BU284)),"",CONCATENATE(" ",VLOOKUP(BU284,Literatuur!$A:$B,2,FALSE)," "))</f>
        <v/>
      </c>
      <c r="CR284" s="33" t="str">
        <f t="shared" si="209"/>
        <v>Tetradecanol</v>
      </c>
      <c r="CS284" s="33" t="str">
        <f t="shared" si="210"/>
        <v>O2</v>
      </c>
      <c r="CT284" s="33">
        <f t="shared" si="208"/>
        <v>214</v>
      </c>
      <c r="CU284" s="33" t="str">
        <f t="shared" si="211"/>
        <v xml:space="preserve"> 21 </v>
      </c>
      <c r="CV284" s="33" t="str">
        <f t="shared" si="212"/>
        <v/>
      </c>
      <c r="CW284" s="33" t="str">
        <f t="shared" si="213"/>
        <v/>
      </c>
      <c r="CX284" s="33" t="str">
        <f t="shared" si="214"/>
        <v/>
      </c>
      <c r="CY284" s="33" t="str">
        <f t="shared" si="215"/>
        <v/>
      </c>
    </row>
    <row r="285" spans="2:103" ht="12.75" customHeight="1" x14ac:dyDescent="0.25">
      <c r="B285" s="33">
        <v>-1807</v>
      </c>
      <c r="D285" s="480" t="s">
        <v>199</v>
      </c>
      <c r="E285" s="480" t="s">
        <v>199</v>
      </c>
      <c r="I285" s="33">
        <f t="shared" si="204"/>
        <v>72.106666512569205</v>
      </c>
      <c r="J285" s="33">
        <f t="shared" si="216"/>
        <v>405634.1962123675</v>
      </c>
      <c r="K285" s="44">
        <f t="shared" ref="K285:K297" si="230">IF(ISNUMBER(AY285),AY285,AVERAGE(BB285,BE285,BH285,BK285,BN285,BQ285,BT285))</f>
        <v>0.47</v>
      </c>
      <c r="M285" s="33" t="s">
        <v>1893</v>
      </c>
      <c r="P285" s="26">
        <v>405634.1962123675</v>
      </c>
      <c r="Q285" s="44" t="str">
        <f t="shared" si="217"/>
        <v>Sanscrit</v>
      </c>
      <c r="R285" s="33" t="str">
        <f>IF(OR(ISBLANK(P285), ISBLANK(Q285)),"",CONCATENATE(" ",VLOOKUP(Q285,Literatuur!$A:$B,2,FALSE)," "))</f>
        <v xml:space="preserve"> D </v>
      </c>
      <c r="T285" s="44" t="str">
        <f t="shared" si="218"/>
        <v xml:space="preserve"> </v>
      </c>
      <c r="U285" s="33" t="str">
        <f>IF(OR(ISBLANK(S285), ISBLANK(T285)),"",CONCATENATE(" ",VLOOKUP(T285,Literatuur!$A:$B,2,FALSE)," "))</f>
        <v/>
      </c>
      <c r="W285" s="44" t="str">
        <f t="shared" si="219"/>
        <v xml:space="preserve"> </v>
      </c>
      <c r="X285" s="33" t="str">
        <f>IF(OR(ISBLANK(V285), ISBLANK(W285)),"",CONCATENATE(" ",VLOOKUP(W285,Literatuur!$A:$B,2,FALSE)," "))</f>
        <v/>
      </c>
      <c r="Z285" s="44" t="str">
        <f t="shared" si="220"/>
        <v xml:space="preserve"> </v>
      </c>
      <c r="AA285" s="33" t="str">
        <f>IF(OR(ISBLANK(Y285), ISBLANK(Z285)),"",CONCATENATE(" ",VLOOKUP(Z285,Literatuur!$A:$B,2,FALSE)," "))</f>
        <v/>
      </c>
      <c r="AC285" s="36" t="str">
        <f t="shared" si="221"/>
        <v xml:space="preserve"> </v>
      </c>
      <c r="AD285" s="33" t="str">
        <f>IF(OR(ISBLANK(AB285), ISBLANK(AC285)),"",CONCATENATE(" ",VLOOKUP(AC285,Literatuur!$A:$B,2,FALSE)," "))</f>
        <v/>
      </c>
      <c r="AG285" s="33" t="str">
        <f>IF(OR(ISBLANK(AE285), ISBLANK(AF285)),"",CONCATENATE(" ",VLOOKUP(AF285,Literatuur!$A:$B,2,FALSE)," "))</f>
        <v/>
      </c>
      <c r="AJ285" s="44" t="str">
        <f t="shared" si="222"/>
        <v xml:space="preserve"> </v>
      </c>
      <c r="AK285" s="33" t="str">
        <f>IF(OR(ISBLANK(AI285), ISBLANK(AJ285)),"",CONCATENATE(" ",VLOOKUP(AJ285,Literatuur!$A:$B,2,FALSE)," "))</f>
        <v/>
      </c>
      <c r="AM285" s="44" t="str">
        <f t="shared" si="223"/>
        <v xml:space="preserve"> </v>
      </c>
      <c r="AN285" s="33" t="str">
        <f>IF(OR(ISBLANK(AL285), ISBLANK(AM285)),"",CONCATENATE(" ",VLOOKUP(AM285,Literatuur!$A:$B,2,FALSE)," "))</f>
        <v/>
      </c>
      <c r="AP285" s="44" t="str">
        <f t="shared" si="224"/>
        <v xml:space="preserve"> </v>
      </c>
      <c r="AQ285" s="33" t="str">
        <f>IF(OR(ISBLANK(AO285), ISBLANK(AP285)),"",CONCATENATE(" ",VLOOKUP(AP285,Literatuur!$A:$B,2,FALSE)," "))</f>
        <v/>
      </c>
      <c r="AT285" s="33" t="str">
        <f>IF(OR(ISBLANK(AR285), ISBLANK(AS285)),"",CONCATENATE(" ",VLOOKUP(AS285,Literatuur!$A:$B,2,FALSE)," "))</f>
        <v/>
      </c>
      <c r="AU285" s="26">
        <v>72.106666512569205</v>
      </c>
      <c r="AW285" s="33" t="str">
        <f>IF(OR(ISBLANK(AU285), ISBLANK(AV285)),"",CONCATENATE(" ",VLOOKUP(AV285,Literatuur!$A:$B,2,FALSE)," "))</f>
        <v/>
      </c>
      <c r="AY285" s="33">
        <v>0.47</v>
      </c>
      <c r="AZ285" s="44" t="str">
        <f t="shared" si="225"/>
        <v>Sanscrit</v>
      </c>
      <c r="BA285" s="33" t="str">
        <f>IF(OR(ISBLANK(AY285), ISBLANK(AZ285)),"",CONCATENATE(" ",VLOOKUP(AZ285,Literatuur!$A:$B,2,FALSE)," "))</f>
        <v xml:space="preserve"> D </v>
      </c>
      <c r="BC285" s="44" t="str">
        <f t="shared" si="226"/>
        <v xml:space="preserve"> </v>
      </c>
      <c r="BD285" s="33" t="str">
        <f>IF(OR(ISBLANK(BB285), ISBLANK(BC285)),"",CONCATENATE(" ",VLOOKUP(BC285,Literatuur!$A:$B,2,FALSE)," "))</f>
        <v/>
      </c>
      <c r="BF285" s="44" t="str">
        <f t="shared" si="227"/>
        <v xml:space="preserve"> </v>
      </c>
      <c r="BG285" s="33" t="str">
        <f>IF(OR(ISBLANK(BE285), ISBLANK(BF285)),"",CONCATENATE(" ",VLOOKUP(BF285,Literatuur!$A:$B,2,FALSE)," "))</f>
        <v/>
      </c>
      <c r="BI285" s="44" t="str">
        <f t="shared" si="228"/>
        <v xml:space="preserve"> </v>
      </c>
      <c r="BJ285" s="33" t="str">
        <f>IF(OR(ISBLANK(BH285), ISBLANK(BI285)),"",CONCATENATE(" ",VLOOKUP(BI285,Literatuur!$A:$B,2,FALSE)," "))</f>
        <v/>
      </c>
      <c r="BL285" s="44" t="str">
        <f t="shared" si="229"/>
        <v xml:space="preserve"> </v>
      </c>
      <c r="BM285" s="33" t="str">
        <f>IF(OR(ISBLANK(BK285), ISBLANK(BL285)),"",CONCATENATE(" ",VLOOKUP(BL285,Literatuur!$A:$B,2,FALSE)," "))</f>
        <v/>
      </c>
      <c r="BP285" s="33" t="str">
        <f>IF(OR(ISBLANK(BN285), ISBLANK(BO285)),"",CONCATENATE(" ",VLOOKUP(BO285,Literatuur!$A:$B,2,FALSE)," "))</f>
        <v/>
      </c>
      <c r="BS285" s="33" t="str">
        <f>IF(OR(ISBLANK(BQ285), ISBLANK(BR285)),"",CONCATENATE(" ",VLOOKUP(BR285,Literatuur!$A:$B,2,FALSE)," "))</f>
        <v/>
      </c>
      <c r="BV285" s="33" t="str">
        <f>IF(OR(ISBLANK(BT285), ISBLANK(BU285)),"",CONCATENATE(" ",VLOOKUP(BU285,Literatuur!$A:$B,2,FALSE)," "))</f>
        <v/>
      </c>
      <c r="CH285" s="33">
        <f>K285</f>
        <v>0.47</v>
      </c>
      <c r="CI285" s="33">
        <v>14</v>
      </c>
      <c r="CR285" s="33" t="str">
        <f t="shared" si="209"/>
        <v>tetrahydrofuran</v>
      </c>
      <c r="CS285" s="33" t="str">
        <f t="shared" si="210"/>
        <v>O2</v>
      </c>
      <c r="CT285" s="33">
        <f>IF(OR(ISBLANK(AU285),ISERROR(AU285)),"",AU285)</f>
        <v>72.106666512569205</v>
      </c>
      <c r="CU285" s="33" t="str">
        <f t="shared" si="211"/>
        <v/>
      </c>
      <c r="CV285" s="33">
        <f t="shared" si="212"/>
        <v>405634.1962123675</v>
      </c>
      <c r="CW285" s="33" t="str">
        <f t="shared" si="213"/>
        <v xml:space="preserve"> D </v>
      </c>
      <c r="CX285" s="33">
        <f t="shared" si="214"/>
        <v>0.47</v>
      </c>
      <c r="CY285" s="33" t="str">
        <f t="shared" si="215"/>
        <v xml:space="preserve"> D </v>
      </c>
    </row>
    <row r="286" spans="2:103" x14ac:dyDescent="0.2">
      <c r="B286" s="33">
        <v>-1528</v>
      </c>
      <c r="D286" s="4" t="s">
        <v>1071</v>
      </c>
      <c r="E286" s="4" t="s">
        <v>1071</v>
      </c>
      <c r="F286" s="4"/>
      <c r="G286" s="4"/>
      <c r="I286" s="33">
        <f t="shared" si="204"/>
        <v>120.19</v>
      </c>
      <c r="J286" s="33">
        <f t="shared" si="216"/>
        <v>75</v>
      </c>
      <c r="K286" s="44">
        <f t="shared" si="230"/>
        <v>3.6</v>
      </c>
      <c r="L286" s="33">
        <f t="shared" ref="L286:L317" si="231">AVERAGE(BX286:BY286)</f>
        <v>139.6</v>
      </c>
      <c r="M286" s="33" t="s">
        <v>1549</v>
      </c>
      <c r="Q286" s="44" t="str">
        <f t="shared" si="217"/>
        <v xml:space="preserve"> </v>
      </c>
      <c r="R286" s="33" t="str">
        <f>IF(OR(ISBLANK(P286), ISBLANK(Q286)),"",CONCATENATE(" ",VLOOKUP(Q286,Literatuur!$A:$B,2,FALSE)," "))</f>
        <v/>
      </c>
      <c r="S286" s="33">
        <v>75</v>
      </c>
      <c r="T286" s="44" t="str">
        <f t="shared" si="218"/>
        <v>Gestis</v>
      </c>
      <c r="U286" s="33" t="str">
        <f>IF(OR(ISBLANK(S286), ISBLANK(T286)),"",CONCATENATE(" ",VLOOKUP(T286,Literatuur!$A:$B,2,FALSE)," "))</f>
        <v xml:space="preserve"> A </v>
      </c>
      <c r="W286" s="44" t="str">
        <f t="shared" si="219"/>
        <v xml:space="preserve"> </v>
      </c>
      <c r="X286" s="33" t="str">
        <f>IF(OR(ISBLANK(V286), ISBLANK(W286)),"",CONCATENATE(" ",VLOOKUP(W286,Literatuur!$A:$B,2,FALSE)," "))</f>
        <v/>
      </c>
      <c r="Z286" s="44" t="str">
        <f t="shared" si="220"/>
        <v xml:space="preserve"> </v>
      </c>
      <c r="AA286" s="33" t="str">
        <f>IF(OR(ISBLANK(Y286), ISBLANK(Z286)),"",CONCATENATE(" ",VLOOKUP(Z286,Literatuur!$A:$B,2,FALSE)," "))</f>
        <v/>
      </c>
      <c r="AC286" s="36" t="str">
        <f t="shared" si="221"/>
        <v xml:space="preserve"> </v>
      </c>
      <c r="AD286" s="33" t="str">
        <f>IF(OR(ISBLANK(AB286), ISBLANK(AC286)),"",CONCATENATE(" ",VLOOKUP(AC286,Literatuur!$A:$B,2,FALSE)," "))</f>
        <v/>
      </c>
      <c r="AG286" s="33" t="str">
        <f>IF(OR(ISBLANK(AE286), ISBLANK(AF286)),"",CONCATENATE(" ",VLOOKUP(AF286,Literatuur!$A:$B,2,FALSE)," "))</f>
        <v/>
      </c>
      <c r="AJ286" s="44" t="str">
        <f t="shared" si="222"/>
        <v xml:space="preserve"> </v>
      </c>
      <c r="AK286" s="33" t="str">
        <f>IF(OR(ISBLANK(AI286), ISBLANK(AJ286)),"",CONCATENATE(" ",VLOOKUP(AJ286,Literatuur!$A:$B,2,FALSE)," "))</f>
        <v/>
      </c>
      <c r="AL286" s="33">
        <v>120.19</v>
      </c>
      <c r="AM286" s="44" t="str">
        <f t="shared" si="223"/>
        <v>Gestis</v>
      </c>
      <c r="AN286" s="33" t="str">
        <f>IF(OR(ISBLANK(AL286), ISBLANK(AM286)),"",CONCATENATE(" ",VLOOKUP(AM286,Literatuur!$A:$B,2,FALSE)," "))</f>
        <v xml:space="preserve"> A </v>
      </c>
      <c r="AP286" s="44" t="str">
        <f t="shared" si="224"/>
        <v xml:space="preserve"> </v>
      </c>
      <c r="AQ286" s="33" t="str">
        <f>IF(OR(ISBLANK(AO286), ISBLANK(AP286)),"",CONCATENATE(" ",VLOOKUP(AP286,Literatuur!$A:$B,2,FALSE)," "))</f>
        <v/>
      </c>
      <c r="AT286" s="33" t="str">
        <f>IF(OR(ISBLANK(AR286), ISBLANK(AS286)),"",CONCATENATE(" ",VLOOKUP(AS286,Literatuur!$A:$B,2,FALSE)," "))</f>
        <v/>
      </c>
      <c r="AW286" s="33" t="str">
        <f>IF(OR(ISBLANK(AU286), ISBLANK(AV286)),"",CONCATENATE(" ",VLOOKUP(AV286,Literatuur!$A:$B,2,FALSE)," "))</f>
        <v/>
      </c>
      <c r="AZ286" s="44" t="str">
        <f t="shared" si="225"/>
        <v xml:space="preserve"> </v>
      </c>
      <c r="BA286" s="33" t="str">
        <f>IF(OR(ISBLANK(AY286), ISBLANK(AZ286)),"",CONCATENATE(" ",VLOOKUP(AZ286,Literatuur!$A:$B,2,FALSE)," "))</f>
        <v/>
      </c>
      <c r="BB286" s="33">
        <v>3.6</v>
      </c>
      <c r="BC286" s="44" t="str">
        <f t="shared" si="226"/>
        <v>Gestis</v>
      </c>
      <c r="BD286" s="33" t="str">
        <f>IF(OR(ISBLANK(BB286), ISBLANK(BC286)),"",CONCATENATE(" ",VLOOKUP(BC286,Literatuur!$A:$B,2,FALSE)," "))</f>
        <v xml:space="preserve"> A </v>
      </c>
      <c r="BF286" s="44" t="str">
        <f t="shared" si="227"/>
        <v xml:space="preserve"> </v>
      </c>
      <c r="BG286" s="33" t="str">
        <f>IF(OR(ISBLANK(BE286), ISBLANK(BF286)),"",CONCATENATE(" ",VLOOKUP(BF286,Literatuur!$A:$B,2,FALSE)," "))</f>
        <v/>
      </c>
      <c r="BI286" s="44" t="str">
        <f t="shared" si="228"/>
        <v xml:space="preserve"> </v>
      </c>
      <c r="BJ286" s="33" t="str">
        <f>IF(OR(ISBLANK(BH286), ISBLANK(BI286)),"",CONCATENATE(" ",VLOOKUP(BI286,Literatuur!$A:$B,2,FALSE)," "))</f>
        <v/>
      </c>
      <c r="BL286" s="44" t="str">
        <f t="shared" si="229"/>
        <v xml:space="preserve"> </v>
      </c>
      <c r="BM286" s="33" t="str">
        <f>IF(OR(ISBLANK(BK286), ISBLANK(BL286)),"",CONCATENATE(" ",VLOOKUP(BL286,Literatuur!$A:$B,2,FALSE)," "))</f>
        <v/>
      </c>
      <c r="BP286" s="33" t="str">
        <f>IF(OR(ISBLANK(BN286), ISBLANK(BO286)),"",CONCATENATE(" ",VLOOKUP(BO286,Literatuur!$A:$B,2,FALSE)," "))</f>
        <v/>
      </c>
      <c r="BS286" s="33" t="str">
        <f>IF(OR(ISBLANK(BQ286), ISBLANK(BR286)),"",CONCATENATE(" ",VLOOKUP(BR286,Literatuur!$A:$B,2,FALSE)," "))</f>
        <v/>
      </c>
      <c r="BV286" s="33" t="str">
        <f>IF(OR(ISBLANK(BT286), ISBLANK(BU286)),"",CONCATENATE(" ",VLOOKUP(BU286,Literatuur!$A:$B,2,FALSE)," "))</f>
        <v/>
      </c>
      <c r="BY286" s="33">
        <v>139.6</v>
      </c>
      <c r="CB286" s="33" t="s">
        <v>1070</v>
      </c>
      <c r="CD286" s="33">
        <f>L286</f>
        <v>139.6</v>
      </c>
      <c r="CE286" s="37">
        <f>I286</f>
        <v>120.19</v>
      </c>
      <c r="CG286" s="33">
        <f>LOG(J286)</f>
        <v>1.8750612633917001</v>
      </c>
      <c r="CH286" s="33">
        <f>K286</f>
        <v>3.6</v>
      </c>
      <c r="CR286" s="33" t="str">
        <f t="shared" si="209"/>
        <v>1,2,3-Trimethylbenzene</v>
      </c>
      <c r="CS286" s="33" t="str">
        <f t="shared" si="210"/>
        <v>MAK</v>
      </c>
      <c r="CT286" s="33">
        <f t="shared" ref="CT286:CT317" si="232">IF(OR(ISBLANK(I286),ISERROR(I286)),"",I286)</f>
        <v>120.19</v>
      </c>
      <c r="CU286" s="33" t="str">
        <f t="shared" si="211"/>
        <v xml:space="preserve"> A </v>
      </c>
      <c r="CV286" s="33">
        <f t="shared" si="212"/>
        <v>75</v>
      </c>
      <c r="CW286" s="33" t="str">
        <f t="shared" si="213"/>
        <v xml:space="preserve"> A </v>
      </c>
      <c r="CX286" s="33">
        <f t="shared" si="214"/>
        <v>3.6</v>
      </c>
      <c r="CY286" s="33" t="str">
        <f t="shared" si="215"/>
        <v xml:space="preserve"> A </v>
      </c>
    </row>
    <row r="287" spans="2:103" x14ac:dyDescent="0.2">
      <c r="B287" s="33">
        <v>-201</v>
      </c>
      <c r="D287" s="33" t="s">
        <v>268</v>
      </c>
      <c r="E287" s="33" t="s">
        <v>1250</v>
      </c>
      <c r="F287" s="33" t="s">
        <v>1255</v>
      </c>
      <c r="H287" s="34" t="s">
        <v>269</v>
      </c>
      <c r="I287" s="37">
        <f t="shared" si="204"/>
        <v>120.19</v>
      </c>
      <c r="J287" s="33">
        <f t="shared" si="216"/>
        <v>11.45</v>
      </c>
      <c r="K287" s="44">
        <f t="shared" si="230"/>
        <v>3.51</v>
      </c>
      <c r="L287" s="33" t="e">
        <f t="shared" si="231"/>
        <v>#DIV/0!</v>
      </c>
      <c r="M287" s="33" t="s">
        <v>1549</v>
      </c>
      <c r="O287" s="33" t="s">
        <v>1944</v>
      </c>
      <c r="Q287" s="44" t="str">
        <f t="shared" si="217"/>
        <v xml:space="preserve"> </v>
      </c>
      <c r="R287" s="33" t="str">
        <f>IF(OR(ISBLANK(P287), ISBLANK(Q287)),"",CONCATENATE(" ",VLOOKUP(Q287,Literatuur!$A:$B,2,FALSE)," "))</f>
        <v/>
      </c>
      <c r="S287" s="33">
        <v>2.9</v>
      </c>
      <c r="T287" s="44" t="str">
        <f t="shared" si="218"/>
        <v>Gestis</v>
      </c>
      <c r="U287" s="33" t="str">
        <f>IF(OR(ISBLANK(S287), ISBLANK(T287)),"",CONCATENATE(" ",VLOOKUP(T287,Literatuur!$A:$B,2,FALSE)," "))</f>
        <v xml:space="preserve"> A </v>
      </c>
      <c r="W287" s="44" t="str">
        <f t="shared" si="219"/>
        <v xml:space="preserve"> </v>
      </c>
      <c r="X287" s="33" t="str">
        <f>IF(OR(ISBLANK(V287), ISBLANK(W287)),"",CONCATENATE(" ",VLOOKUP(W287,Literatuur!$A:$B,2,FALSE)," "))</f>
        <v/>
      </c>
      <c r="Y287" s="36"/>
      <c r="Z287" s="44" t="str">
        <f t="shared" si="220"/>
        <v xml:space="preserve"> </v>
      </c>
      <c r="AA287" s="33" t="str">
        <f>IF(OR(ISBLANK(Y287), ISBLANK(Z287)),"",CONCATENATE(" ",VLOOKUP(Z287,Literatuur!$A:$B,2,FALSE)," "))</f>
        <v/>
      </c>
      <c r="AB287" s="36">
        <v>20</v>
      </c>
      <c r="AC287" s="36" t="str">
        <f t="shared" si="221"/>
        <v>Vonk 1985</v>
      </c>
      <c r="AD287" s="33" t="str">
        <f>IF(OR(ISBLANK(AB287), ISBLANK(AC287)),"",CONCATENATE(" ",VLOOKUP(AC287,Literatuur!$A:$B,2,FALSE)," "))</f>
        <v xml:space="preserve"> 37 </v>
      </c>
      <c r="AE287" s="36"/>
      <c r="AF287" s="36"/>
      <c r="AG287" s="33" t="str">
        <f>IF(OR(ISBLANK(AE287), ISBLANK(AF287)),"",CONCATENATE(" ",VLOOKUP(AF287,Literatuur!$A:$B,2,FALSE)," "))</f>
        <v/>
      </c>
      <c r="AI287" s="37"/>
      <c r="AJ287" s="44" t="str">
        <f t="shared" si="222"/>
        <v xml:space="preserve"> </v>
      </c>
      <c r="AK287" s="33" t="str">
        <f>IF(OR(ISBLANK(AI287), ISBLANK(AJ287)),"",CONCATENATE(" ",VLOOKUP(AJ287,Literatuur!$A:$B,2,FALSE)," "))</f>
        <v/>
      </c>
      <c r="AL287" s="36">
        <v>120.19</v>
      </c>
      <c r="AM287" s="44" t="str">
        <f t="shared" si="223"/>
        <v>Gestis</v>
      </c>
      <c r="AN287" s="33" t="str">
        <f>IF(OR(ISBLANK(AL287), ISBLANK(AM287)),"",CONCATENATE(" ",VLOOKUP(AM287,Literatuur!$A:$B,2,FALSE)," "))</f>
        <v xml:space="preserve"> A </v>
      </c>
      <c r="AO287" s="36"/>
      <c r="AP287" s="44" t="str">
        <f t="shared" si="224"/>
        <v xml:space="preserve"> </v>
      </c>
      <c r="AQ287" s="33" t="str">
        <f>IF(OR(ISBLANK(AO287), ISBLANK(AP287)),"",CONCATENATE(" ",VLOOKUP(AP287,Literatuur!$A:$B,2,FALSE)," "))</f>
        <v/>
      </c>
      <c r="AR287" s="36"/>
      <c r="AT287" s="33" t="str">
        <f>IF(OR(ISBLANK(AR287), ISBLANK(AS287)),"",CONCATENATE(" ",VLOOKUP(AS287,Literatuur!$A:$B,2,FALSE)," "))</f>
        <v/>
      </c>
      <c r="AV287" s="36"/>
      <c r="AW287" s="33" t="str">
        <f>IF(OR(ISBLANK(AU287), ISBLANK(AV287)),"",CONCATENATE(" ",VLOOKUP(AV287,Literatuur!$A:$B,2,FALSE)," "))</f>
        <v/>
      </c>
      <c r="AY287" s="44"/>
      <c r="AZ287" s="44" t="str">
        <f t="shared" si="225"/>
        <v xml:space="preserve"> </v>
      </c>
      <c r="BA287" s="33" t="str">
        <f>IF(OR(ISBLANK(AY287), ISBLANK(AZ287)),"",CONCATENATE(" ",VLOOKUP(AZ287,Literatuur!$A:$B,2,FALSE)," "))</f>
        <v/>
      </c>
      <c r="BB287" s="44">
        <v>3.42</v>
      </c>
      <c r="BC287" s="44" t="str">
        <f t="shared" si="226"/>
        <v>Gestis</v>
      </c>
      <c r="BD287" s="33" t="str">
        <f>IF(OR(ISBLANK(BB287), ISBLANK(BC287)),"",CONCATENATE(" ",VLOOKUP(BC287,Literatuur!$A:$B,2,FALSE)," "))</f>
        <v xml:space="preserve"> A </v>
      </c>
      <c r="BF287" s="44" t="str">
        <f t="shared" si="227"/>
        <v xml:space="preserve"> </v>
      </c>
      <c r="BG287" s="33" t="str">
        <f>IF(OR(ISBLANK(BE287), ISBLANK(BF287)),"",CONCATENATE(" ",VLOOKUP(BF287,Literatuur!$A:$B,2,FALSE)," "))</f>
        <v/>
      </c>
      <c r="BI287" s="44" t="str">
        <f t="shared" si="228"/>
        <v xml:space="preserve"> </v>
      </c>
      <c r="BJ287" s="33" t="str">
        <f>IF(OR(ISBLANK(BH287), ISBLANK(BI287)),"",CONCATENATE(" ",VLOOKUP(BI287,Literatuur!$A:$B,2,FALSE)," "))</f>
        <v/>
      </c>
      <c r="BK287" s="44">
        <v>3.6</v>
      </c>
      <c r="BL287" s="44" t="str">
        <f t="shared" si="229"/>
        <v>Sangster 1989</v>
      </c>
      <c r="BM287" s="33" t="str">
        <f>IF(OR(ISBLANK(BK287), ISBLANK(BL287)),"",CONCATENATE(" ",VLOOKUP(BL287,Literatuur!$A:$B,2,FALSE)," "))</f>
        <v xml:space="preserve"> 27 </v>
      </c>
      <c r="BN287" s="44"/>
      <c r="BP287" s="33" t="str">
        <f>IF(OR(ISBLANK(BN287), ISBLANK(BO287)),"",CONCATENATE(" ",VLOOKUP(BO287,Literatuur!$A:$B,2,FALSE)," "))</f>
        <v/>
      </c>
      <c r="BQ287" s="44"/>
      <c r="BS287" s="33" t="str">
        <f>IF(OR(ISBLANK(BQ287), ISBLANK(BR287)),"",CONCATENATE(" ",VLOOKUP(BR287,Literatuur!$A:$B,2,FALSE)," "))</f>
        <v/>
      </c>
      <c r="BV287" s="33" t="str">
        <f>IF(OR(ISBLANK(BT287), ISBLANK(BU287)),"",CONCATENATE(" ",VLOOKUP(BU287,Literatuur!$A:$B,2,FALSE)," "))</f>
        <v/>
      </c>
      <c r="CE287" s="37">
        <f>I287</f>
        <v>120.19</v>
      </c>
      <c r="CG287" s="33">
        <f>LOG(J287)</f>
        <v>1.0588054866759067</v>
      </c>
      <c r="CH287" s="33">
        <f>K287</f>
        <v>3.51</v>
      </c>
      <c r="CR287" s="33" t="str">
        <f t="shared" si="209"/>
        <v>1,3,5-Trimethylbenzene</v>
      </c>
      <c r="CS287" s="33" t="str">
        <f t="shared" si="210"/>
        <v>MAK</v>
      </c>
      <c r="CT287" s="33">
        <f t="shared" si="232"/>
        <v>120.19</v>
      </c>
      <c r="CU287" s="33" t="str">
        <f t="shared" si="211"/>
        <v xml:space="preserve"> A </v>
      </c>
      <c r="CV287" s="33">
        <f t="shared" si="212"/>
        <v>11.45</v>
      </c>
      <c r="CW287" s="33" t="str">
        <f t="shared" si="213"/>
        <v xml:space="preserve"> A  37 </v>
      </c>
      <c r="CX287" s="33">
        <f t="shared" si="214"/>
        <v>3.51</v>
      </c>
      <c r="CY287" s="33" t="str">
        <f t="shared" si="215"/>
        <v xml:space="preserve"> A  27 </v>
      </c>
    </row>
    <row r="288" spans="2:103" x14ac:dyDescent="0.2">
      <c r="B288" s="33">
        <v>-1664</v>
      </c>
      <c r="D288" s="21" t="s">
        <v>834</v>
      </c>
      <c r="E288" s="21" t="s">
        <v>834</v>
      </c>
      <c r="F288" s="4"/>
      <c r="G288" s="4"/>
      <c r="I288" s="33">
        <f t="shared" si="204"/>
        <v>134</v>
      </c>
      <c r="J288" s="33" t="e">
        <f t="shared" si="216"/>
        <v>#DIV/0!</v>
      </c>
      <c r="K288" s="44" t="e">
        <f t="shared" si="230"/>
        <v>#DIV/0!</v>
      </c>
      <c r="L288" s="33" t="e">
        <f t="shared" si="231"/>
        <v>#DIV/0!</v>
      </c>
      <c r="M288" s="33" t="s">
        <v>1549</v>
      </c>
      <c r="Q288" s="44" t="str">
        <f t="shared" si="217"/>
        <v xml:space="preserve"> </v>
      </c>
      <c r="R288" s="33" t="str">
        <f>IF(OR(ISBLANK(P288), ISBLANK(Q288)),"",CONCATENATE(" ",VLOOKUP(Q288,Literatuur!$A:$B,2,FALSE)," "))</f>
        <v/>
      </c>
      <c r="T288" s="44" t="str">
        <f t="shared" si="218"/>
        <v xml:space="preserve"> </v>
      </c>
      <c r="U288" s="33" t="str">
        <f>IF(OR(ISBLANK(S288), ISBLANK(T288)),"",CONCATENATE(" ",VLOOKUP(T288,Literatuur!$A:$B,2,FALSE)," "))</f>
        <v/>
      </c>
      <c r="W288" s="44" t="str">
        <f t="shared" si="219"/>
        <v xml:space="preserve"> </v>
      </c>
      <c r="X288" s="33" t="str">
        <f>IF(OR(ISBLANK(V288), ISBLANK(W288)),"",CONCATENATE(" ",VLOOKUP(W288,Literatuur!$A:$B,2,FALSE)," "))</f>
        <v/>
      </c>
      <c r="Z288" s="44" t="str">
        <f t="shared" si="220"/>
        <v xml:space="preserve"> </v>
      </c>
      <c r="AA288" s="33" t="str">
        <f>IF(OR(ISBLANK(Y288), ISBLANK(Z288)),"",CONCATENATE(" ",VLOOKUP(Z288,Literatuur!$A:$B,2,FALSE)," "))</f>
        <v/>
      </c>
      <c r="AC288" s="36" t="str">
        <f t="shared" si="221"/>
        <v xml:space="preserve"> </v>
      </c>
      <c r="AD288" s="33" t="str">
        <f>IF(OR(ISBLANK(AB288), ISBLANK(AC288)),"",CONCATENATE(" ",VLOOKUP(AC288,Literatuur!$A:$B,2,FALSE)," "))</f>
        <v/>
      </c>
      <c r="AG288" s="33" t="str">
        <f>IF(OR(ISBLANK(AE288), ISBLANK(AF288)),"",CONCATENATE(" ",VLOOKUP(AF288,Literatuur!$A:$B,2,FALSE)," "))</f>
        <v/>
      </c>
      <c r="AJ288" s="44" t="str">
        <f t="shared" si="222"/>
        <v xml:space="preserve"> </v>
      </c>
      <c r="AK288" s="33" t="str">
        <f>IF(OR(ISBLANK(AI288), ISBLANK(AJ288)),"",CONCATENATE(" ",VLOOKUP(AJ288,Literatuur!$A:$B,2,FALSE)," "))</f>
        <v/>
      </c>
      <c r="AM288" s="44" t="str">
        <f t="shared" si="223"/>
        <v xml:space="preserve"> </v>
      </c>
      <c r="AN288" s="33" t="str">
        <f>IF(OR(ISBLANK(AL288), ISBLANK(AM288)),"",CONCATENATE(" ",VLOOKUP(AM288,Literatuur!$A:$B,2,FALSE)," "))</f>
        <v/>
      </c>
      <c r="AP288" s="44" t="str">
        <f t="shared" si="224"/>
        <v xml:space="preserve"> </v>
      </c>
      <c r="AQ288" s="33" t="str">
        <f>IF(OR(ISBLANK(AO288), ISBLANK(AP288)),"",CONCATENATE(" ",VLOOKUP(AP288,Literatuur!$A:$B,2,FALSE)," "))</f>
        <v/>
      </c>
      <c r="AS288"/>
      <c r="AT288" s="33" t="str">
        <f>IF(OR(ISBLANK(AR288), ISBLANK(AS288)),"",CONCATENATE(" ",VLOOKUP(AS288,Literatuur!$A:$B,2,FALSE)," "))</f>
        <v/>
      </c>
      <c r="AU288">
        <v>134</v>
      </c>
      <c r="AV288" s="33" t="s">
        <v>1235</v>
      </c>
      <c r="AW288" s="33" t="str">
        <f>IF(OR(ISBLANK(AU288), ISBLANK(AV288)),"",CONCATENATE(" ",VLOOKUP(AV288,Literatuur!$A:$B,2,FALSE)," "))</f>
        <v xml:space="preserve"> 21 </v>
      </c>
      <c r="AZ288" s="44" t="str">
        <f t="shared" si="225"/>
        <v xml:space="preserve"> </v>
      </c>
      <c r="BA288" s="33" t="str">
        <f>IF(OR(ISBLANK(AY288), ISBLANK(AZ288)),"",CONCATENATE(" ",VLOOKUP(AZ288,Literatuur!$A:$B,2,FALSE)," "))</f>
        <v/>
      </c>
      <c r="BC288" s="44" t="str">
        <f t="shared" si="226"/>
        <v xml:space="preserve"> </v>
      </c>
      <c r="BD288" s="33" t="str">
        <f>IF(OR(ISBLANK(BB288), ISBLANK(BC288)),"",CONCATENATE(" ",VLOOKUP(BC288,Literatuur!$A:$B,2,FALSE)," "))</f>
        <v/>
      </c>
      <c r="BF288" s="44" t="str">
        <f t="shared" si="227"/>
        <v xml:space="preserve"> </v>
      </c>
      <c r="BG288" s="33" t="str">
        <f>IF(OR(ISBLANK(BE288), ISBLANK(BF288)),"",CONCATENATE(" ",VLOOKUP(BF288,Literatuur!$A:$B,2,FALSE)," "))</f>
        <v/>
      </c>
      <c r="BI288" s="44" t="str">
        <f t="shared" si="228"/>
        <v xml:space="preserve"> </v>
      </c>
      <c r="BJ288" s="33" t="str">
        <f>IF(OR(ISBLANK(BH288), ISBLANK(BI288)),"",CONCATENATE(" ",VLOOKUP(BI288,Literatuur!$A:$B,2,FALSE)," "))</f>
        <v/>
      </c>
      <c r="BL288" s="44" t="str">
        <f t="shared" si="229"/>
        <v xml:space="preserve"> </v>
      </c>
      <c r="BM288" s="33" t="str">
        <f>IF(OR(ISBLANK(BK288), ISBLANK(BL288)),"",CONCATENATE(" ",VLOOKUP(BL288,Literatuur!$A:$B,2,FALSE)," "))</f>
        <v/>
      </c>
      <c r="BP288" s="33" t="str">
        <f>IF(OR(ISBLANK(BN288), ISBLANK(BO288)),"",CONCATENATE(" ",VLOOKUP(BO288,Literatuur!$A:$B,2,FALSE)," "))</f>
        <v/>
      </c>
      <c r="BS288" s="33" t="str">
        <f>IF(OR(ISBLANK(BQ288), ISBLANK(BR288)),"",CONCATENATE(" ",VLOOKUP(BR288,Literatuur!$A:$B,2,FALSE)," "))</f>
        <v/>
      </c>
      <c r="BV288" s="33" t="str">
        <f>IF(OR(ISBLANK(BT288), ISBLANK(BU288)),"",CONCATENATE(" ",VLOOKUP(BU288,Literatuur!$A:$B,2,FALSE)," "))</f>
        <v/>
      </c>
      <c r="CR288" s="33" t="str">
        <f t="shared" si="209"/>
        <v>4-Isopropyl-tuluene</v>
      </c>
      <c r="CS288" s="33" t="str">
        <f t="shared" si="210"/>
        <v>MAK</v>
      </c>
      <c r="CT288" s="33">
        <f t="shared" si="232"/>
        <v>134</v>
      </c>
      <c r="CU288" s="33" t="str">
        <f t="shared" si="211"/>
        <v xml:space="preserve"> 21 </v>
      </c>
      <c r="CV288" s="33" t="str">
        <f t="shared" si="212"/>
        <v/>
      </c>
      <c r="CW288" s="33" t="str">
        <f t="shared" si="213"/>
        <v/>
      </c>
      <c r="CX288" s="33" t="str">
        <f t="shared" si="214"/>
        <v/>
      </c>
      <c r="CY288" s="33" t="str">
        <f t="shared" si="215"/>
        <v/>
      </c>
    </row>
    <row r="289" spans="1:103" x14ac:dyDescent="0.2">
      <c r="A289" s="31"/>
      <c r="B289" s="33">
        <v>200</v>
      </c>
      <c r="D289" s="33" t="s">
        <v>0</v>
      </c>
      <c r="E289" s="33" t="s">
        <v>548</v>
      </c>
      <c r="H289" s="34" t="s">
        <v>18</v>
      </c>
      <c r="I289" s="37">
        <f t="shared" si="204"/>
        <v>78.106666524406961</v>
      </c>
      <c r="J289" s="33">
        <f t="shared" si="216"/>
        <v>1988.89882593368</v>
      </c>
      <c r="K289" s="44">
        <f t="shared" si="230"/>
        <v>2.13</v>
      </c>
      <c r="L289" s="33">
        <f t="shared" si="231"/>
        <v>89.4</v>
      </c>
      <c r="M289" s="33" t="s">
        <v>1549</v>
      </c>
      <c r="P289" s="33">
        <v>1988.89882593368</v>
      </c>
      <c r="Q289" s="44" t="str">
        <f t="shared" si="217"/>
        <v>Sanscrit</v>
      </c>
      <c r="R289" s="33" t="str">
        <f>IF(OR(ISBLANK(P289), ISBLANK(Q289)),"",CONCATENATE(" ",VLOOKUP(Q289,Literatuur!$A:$B,2,FALSE)," "))</f>
        <v xml:space="preserve"> D </v>
      </c>
      <c r="S289" s="33">
        <v>1800</v>
      </c>
      <c r="T289" s="44" t="str">
        <f t="shared" si="218"/>
        <v>Gestis</v>
      </c>
      <c r="U289" s="33" t="str">
        <f>IF(OR(ISBLANK(S289), ISBLANK(T289)),"",CONCATENATE(" ",VLOOKUP(T289,Literatuur!$A:$B,2,FALSE)," "))</f>
        <v xml:space="preserve"> A </v>
      </c>
      <c r="V289" s="33">
        <v>1750</v>
      </c>
      <c r="W289" s="44" t="str">
        <f t="shared" si="219"/>
        <v>US EPA 1995</v>
      </c>
      <c r="X289" s="33" t="str">
        <f>IF(OR(ISBLANK(V289), ISBLANK(W289)),"",CONCATENATE(" ",VLOOKUP(W289,Literatuur!$A:$B,2,FALSE)," "))</f>
        <v xml:space="preserve"> 30 </v>
      </c>
      <c r="Y289" s="36"/>
      <c r="Z289" s="44" t="str">
        <f t="shared" si="220"/>
        <v xml:space="preserve"> </v>
      </c>
      <c r="AA289" s="33" t="str">
        <f>IF(OR(ISBLANK(Y289), ISBLANK(Z289)),"",CONCATENATE(" ",VLOOKUP(Z289,Literatuur!$A:$B,2,FALSE)," "))</f>
        <v/>
      </c>
      <c r="AB289" s="36">
        <v>1780</v>
      </c>
      <c r="AC289" s="36" t="str">
        <f t="shared" si="221"/>
        <v>Vonk 1985</v>
      </c>
      <c r="AD289" s="33" t="str">
        <f>IF(OR(ISBLANK(AB289), ISBLANK(AC289)),"",CONCATENATE(" ",VLOOKUP(AC289,Literatuur!$A:$B,2,FALSE)," "))</f>
        <v xml:space="preserve"> 37 </v>
      </c>
      <c r="AE289" s="36"/>
      <c r="AF289" s="36"/>
      <c r="AG289" s="33" t="str">
        <f>IF(OR(ISBLANK(AE289), ISBLANK(AF289)),"",CONCATENATE(" ",VLOOKUP(AF289,Literatuur!$A:$B,2,FALSE)," "))</f>
        <v/>
      </c>
      <c r="AI289" s="37">
        <v>78.106666524406961</v>
      </c>
      <c r="AJ289" s="44" t="str">
        <f t="shared" si="222"/>
        <v>Sanscrit</v>
      </c>
      <c r="AK289" s="33" t="str">
        <f>IF(OR(ISBLANK(AI289), ISBLANK(AJ289)),"",CONCATENATE(" ",VLOOKUP(AJ289,Literatuur!$A:$B,2,FALSE)," "))</f>
        <v xml:space="preserve"> D </v>
      </c>
      <c r="AL289" s="36"/>
      <c r="AM289" s="44" t="str">
        <f t="shared" si="223"/>
        <v xml:space="preserve"> </v>
      </c>
      <c r="AN289" s="33" t="str">
        <f>IF(OR(ISBLANK(AL289), ISBLANK(AM289)),"",CONCATENATE(" ",VLOOKUP(AM289,Literatuur!$A:$B,2,FALSE)," "))</f>
        <v/>
      </c>
      <c r="AO289" s="36"/>
      <c r="AP289" s="44" t="str">
        <f t="shared" si="224"/>
        <v xml:space="preserve"> </v>
      </c>
      <c r="AQ289" s="33" t="str">
        <f>IF(OR(ISBLANK(AO289), ISBLANK(AP289)),"",CONCATENATE(" ",VLOOKUP(AP289,Literatuur!$A:$B,2,FALSE)," "))</f>
        <v/>
      </c>
      <c r="AR289" s="36"/>
      <c r="AT289" s="33" t="str">
        <f>IF(OR(ISBLANK(AR289), ISBLANK(AS289)),"",CONCATENATE(" ",VLOOKUP(AS289,Literatuur!$A:$B,2,FALSE)," "))</f>
        <v/>
      </c>
      <c r="AV289" s="36"/>
      <c r="AW289" s="33" t="str">
        <f>IF(OR(ISBLANK(AU289), ISBLANK(AV289)),"",CONCATENATE(" ",VLOOKUP(AV289,Literatuur!$A:$B,2,FALSE)," "))</f>
        <v/>
      </c>
      <c r="AY289" s="44">
        <v>2.13</v>
      </c>
      <c r="AZ289" s="44" t="str">
        <f t="shared" si="225"/>
        <v>Sanscrit</v>
      </c>
      <c r="BA289" s="33" t="str">
        <f>IF(OR(ISBLANK(AY289), ISBLANK(AZ289)),"",CONCATENATE(" ",VLOOKUP(AZ289,Literatuur!$A:$B,2,FALSE)," "))</f>
        <v xml:space="preserve"> D </v>
      </c>
      <c r="BB289" s="44">
        <v>2.13</v>
      </c>
      <c r="BC289" s="44" t="str">
        <f t="shared" si="226"/>
        <v>Gestis</v>
      </c>
      <c r="BD289" s="33" t="str">
        <f>IF(OR(ISBLANK(BB289), ISBLANK(BC289)),"",CONCATENATE(" ",VLOOKUP(BC289,Literatuur!$A:$B,2,FALSE)," "))</f>
        <v xml:space="preserve"> A </v>
      </c>
      <c r="BE289" s="44">
        <v>2.13</v>
      </c>
      <c r="BF289" s="44" t="str">
        <f t="shared" si="227"/>
        <v>US EPA 1995</v>
      </c>
      <c r="BG289" s="33" t="str">
        <f>IF(OR(ISBLANK(BE289), ISBLANK(BF289)),"",CONCATENATE(" ",VLOOKUP(BF289,Literatuur!$A:$B,2,FALSE)," "))</f>
        <v xml:space="preserve"> 30 </v>
      </c>
      <c r="BH289" s="44"/>
      <c r="BI289" s="44" t="str">
        <f t="shared" si="228"/>
        <v xml:space="preserve"> </v>
      </c>
      <c r="BJ289" s="33" t="str">
        <f>IF(OR(ISBLANK(BH289), ISBLANK(BI289)),"",CONCATENATE(" ",VLOOKUP(BI289,Literatuur!$A:$B,2,FALSE)," "))</f>
        <v/>
      </c>
      <c r="BL289" s="44" t="str">
        <f t="shared" si="229"/>
        <v xml:space="preserve"> </v>
      </c>
      <c r="BM289" s="33" t="str">
        <f>IF(OR(ISBLANK(BK289), ISBLANK(BL289)),"",CONCATENATE(" ",VLOOKUP(BL289,Literatuur!$A:$B,2,FALSE)," "))</f>
        <v/>
      </c>
      <c r="BP289" s="33" t="str">
        <f>IF(OR(ISBLANK(BN289), ISBLANK(BO289)),"",CONCATENATE(" ",VLOOKUP(BO289,Literatuur!$A:$B,2,FALSE)," "))</f>
        <v/>
      </c>
      <c r="BS289" s="33" t="str">
        <f>IF(OR(ISBLANK(BQ289), ISBLANK(BR289)),"",CONCATENATE(" ",VLOOKUP(BR289,Literatuur!$A:$B,2,FALSE)," "))</f>
        <v/>
      </c>
      <c r="BV289" s="33" t="str">
        <f>IF(OR(ISBLANK(BT289), ISBLANK(BU289)),"",CONCATENATE(" ",VLOOKUP(BU289,Literatuur!$A:$B,2,FALSE)," "))</f>
        <v/>
      </c>
      <c r="BY289" s="33">
        <v>89.4</v>
      </c>
      <c r="CB289" s="33" t="s">
        <v>1070</v>
      </c>
      <c r="CD289" s="33">
        <f>L289</f>
        <v>89.4</v>
      </c>
      <c r="CE289" s="37">
        <f t="shared" ref="CE289:CE317" si="233">I289</f>
        <v>78.106666524406961</v>
      </c>
      <c r="CG289" s="33">
        <f t="shared" ref="CG289:CG317" si="234">LOG(J289)</f>
        <v>3.2986126913917664</v>
      </c>
      <c r="CH289" s="33">
        <f t="shared" ref="CH289:CH330" si="235">K289</f>
        <v>2.13</v>
      </c>
      <c r="CI289" s="33">
        <v>1</v>
      </c>
      <c r="CR289" s="33" t="str">
        <f t="shared" si="209"/>
        <v>Benzene</v>
      </c>
      <c r="CS289" s="33" t="str">
        <f t="shared" si="210"/>
        <v>MAK</v>
      </c>
      <c r="CT289" s="33">
        <f t="shared" si="232"/>
        <v>78.106666524406961</v>
      </c>
      <c r="CU289" s="33" t="str">
        <f t="shared" si="211"/>
        <v xml:space="preserve"> D </v>
      </c>
      <c r="CV289" s="33">
        <f t="shared" si="212"/>
        <v>1988.89882593368</v>
      </c>
      <c r="CW289" s="33" t="str">
        <f t="shared" si="213"/>
        <v xml:space="preserve"> D </v>
      </c>
      <c r="CX289" s="33">
        <f t="shared" si="214"/>
        <v>2.13</v>
      </c>
      <c r="CY289" s="33" t="str">
        <f t="shared" si="215"/>
        <v xml:space="preserve"> D </v>
      </c>
    </row>
    <row r="290" spans="1:103" x14ac:dyDescent="0.2">
      <c r="B290" s="33">
        <v>201</v>
      </c>
      <c r="D290" s="33" t="s">
        <v>3</v>
      </c>
      <c r="E290" s="33" t="s">
        <v>694</v>
      </c>
      <c r="H290" s="34" t="s">
        <v>19</v>
      </c>
      <c r="I290" s="37">
        <f t="shared" si="204"/>
        <v>106.18666499232586</v>
      </c>
      <c r="J290" s="33">
        <f t="shared" si="216"/>
        <v>159.4494296665228</v>
      </c>
      <c r="K290" s="44">
        <f t="shared" si="230"/>
        <v>3.15</v>
      </c>
      <c r="L290" s="33" t="e">
        <f t="shared" si="231"/>
        <v>#DIV/0!</v>
      </c>
      <c r="M290" s="33" t="s">
        <v>1549</v>
      </c>
      <c r="P290" s="33">
        <v>159.4494296665228</v>
      </c>
      <c r="Q290" s="44" t="str">
        <f t="shared" si="217"/>
        <v>Sanscrit</v>
      </c>
      <c r="R290" s="33" t="str">
        <f>IF(OR(ISBLANK(P290), ISBLANK(Q290)),"",CONCATENATE(" ",VLOOKUP(Q290,Literatuur!$A:$B,2,FALSE)," "))</f>
        <v xml:space="preserve"> D </v>
      </c>
      <c r="T290" s="44" t="str">
        <f t="shared" si="218"/>
        <v xml:space="preserve"> </v>
      </c>
      <c r="U290" s="33" t="str">
        <f>IF(OR(ISBLANK(S290), ISBLANK(T290)),"",CONCATENATE(" ",VLOOKUP(T290,Literatuur!$A:$B,2,FALSE)," "))</f>
        <v/>
      </c>
      <c r="V290" s="33">
        <v>169</v>
      </c>
      <c r="W290" s="44" t="str">
        <f t="shared" si="219"/>
        <v>US EPA 1995</v>
      </c>
      <c r="X290" s="33" t="str">
        <f>IF(OR(ISBLANK(V290), ISBLANK(W290)),"",CONCATENATE(" ",VLOOKUP(W290,Literatuur!$A:$B,2,FALSE)," "))</f>
        <v xml:space="preserve"> 30 </v>
      </c>
      <c r="Y290" s="36"/>
      <c r="Z290" s="44" t="str">
        <f t="shared" si="220"/>
        <v xml:space="preserve"> </v>
      </c>
      <c r="AA290" s="33" t="str">
        <f>IF(OR(ISBLANK(Y290), ISBLANK(Z290)),"",CONCATENATE(" ",VLOOKUP(Z290,Literatuur!$A:$B,2,FALSE)," "))</f>
        <v/>
      </c>
      <c r="AB290" s="36">
        <v>152</v>
      </c>
      <c r="AC290" s="36" t="str">
        <f t="shared" si="221"/>
        <v>Vonk 1985</v>
      </c>
      <c r="AD290" s="33" t="str">
        <f>IF(OR(ISBLANK(AB290), ISBLANK(AC290)),"",CONCATENATE(" ",VLOOKUP(AC290,Literatuur!$A:$B,2,FALSE)," "))</f>
        <v xml:space="preserve"> 37 </v>
      </c>
      <c r="AE290" s="36"/>
      <c r="AF290" s="36"/>
      <c r="AG290" s="33" t="str">
        <f>IF(OR(ISBLANK(AE290), ISBLANK(AF290)),"",CONCATENATE(" ",VLOOKUP(AF290,Literatuur!$A:$B,2,FALSE)," "))</f>
        <v/>
      </c>
      <c r="AI290" s="37">
        <v>106.18666499232586</v>
      </c>
      <c r="AJ290" s="44" t="str">
        <f t="shared" si="222"/>
        <v>Sanscrit</v>
      </c>
      <c r="AK290" s="33" t="str">
        <f>IF(OR(ISBLANK(AI290), ISBLANK(AJ290)),"",CONCATENATE(" ",VLOOKUP(AJ290,Literatuur!$A:$B,2,FALSE)," "))</f>
        <v xml:space="preserve"> D </v>
      </c>
      <c r="AL290" s="36"/>
      <c r="AM290" s="44" t="str">
        <f t="shared" si="223"/>
        <v xml:space="preserve"> </v>
      </c>
      <c r="AN290" s="33" t="str">
        <f>IF(OR(ISBLANK(AL290), ISBLANK(AM290)),"",CONCATENATE(" ",VLOOKUP(AM290,Literatuur!$A:$B,2,FALSE)," "))</f>
        <v/>
      </c>
      <c r="AO290" s="36"/>
      <c r="AP290" s="44" t="str">
        <f t="shared" si="224"/>
        <v xml:space="preserve"> </v>
      </c>
      <c r="AQ290" s="33" t="str">
        <f>IF(OR(ISBLANK(AO290), ISBLANK(AP290)),"",CONCATENATE(" ",VLOOKUP(AP290,Literatuur!$A:$B,2,FALSE)," "))</f>
        <v/>
      </c>
      <c r="AR290" s="36"/>
      <c r="AT290" s="33" t="str">
        <f>IF(OR(ISBLANK(AR290), ISBLANK(AS290)),"",CONCATENATE(" ",VLOOKUP(AS290,Literatuur!$A:$B,2,FALSE)," "))</f>
        <v/>
      </c>
      <c r="AV290" s="36"/>
      <c r="AW290" s="33" t="str">
        <f>IF(OR(ISBLANK(AU290), ISBLANK(AV290)),"",CONCATENATE(" ",VLOOKUP(AV290,Literatuur!$A:$B,2,FALSE)," "))</f>
        <v/>
      </c>
      <c r="AY290" s="44">
        <v>3.15</v>
      </c>
      <c r="AZ290" s="44" t="str">
        <f t="shared" si="225"/>
        <v>Sanscrit</v>
      </c>
      <c r="BA290" s="33" t="str">
        <f>IF(OR(ISBLANK(AY290), ISBLANK(AZ290)),"",CONCATENATE(" ",VLOOKUP(AZ290,Literatuur!$A:$B,2,FALSE)," "))</f>
        <v xml:space="preserve"> D </v>
      </c>
      <c r="BB290" s="44"/>
      <c r="BC290" s="44" t="str">
        <f t="shared" si="226"/>
        <v xml:space="preserve"> </v>
      </c>
      <c r="BD290" s="33" t="str">
        <f>IF(OR(ISBLANK(BB290), ISBLANK(BC290)),"",CONCATENATE(" ",VLOOKUP(BC290,Literatuur!$A:$B,2,FALSE)," "))</f>
        <v/>
      </c>
      <c r="BE290" s="44">
        <v>3.15</v>
      </c>
      <c r="BF290" s="44" t="str">
        <f t="shared" si="227"/>
        <v>US EPA 1995</v>
      </c>
      <c r="BG290" s="33" t="str">
        <f>IF(OR(ISBLANK(BE290), ISBLANK(BF290)),"",CONCATENATE(" ",VLOOKUP(BF290,Literatuur!$A:$B,2,FALSE)," "))</f>
        <v xml:space="preserve"> 30 </v>
      </c>
      <c r="BH290" s="44"/>
      <c r="BI290" s="44" t="str">
        <f t="shared" si="228"/>
        <v xml:space="preserve"> </v>
      </c>
      <c r="BJ290" s="33" t="str">
        <f>IF(OR(ISBLANK(BH290), ISBLANK(BI290)),"",CONCATENATE(" ",VLOOKUP(BI290,Literatuur!$A:$B,2,FALSE)," "))</f>
        <v/>
      </c>
      <c r="BL290" s="44" t="str">
        <f t="shared" si="229"/>
        <v xml:space="preserve"> </v>
      </c>
      <c r="BM290" s="33" t="str">
        <f>IF(OR(ISBLANK(BK290), ISBLANK(BL290)),"",CONCATENATE(" ",VLOOKUP(BL290,Literatuur!$A:$B,2,FALSE)," "))</f>
        <v/>
      </c>
      <c r="BP290" s="33" t="str">
        <f>IF(OR(ISBLANK(BN290), ISBLANK(BO290)),"",CONCATENATE(" ",VLOOKUP(BO290,Literatuur!$A:$B,2,FALSE)," "))</f>
        <v/>
      </c>
      <c r="BS290" s="33" t="str">
        <f>IF(OR(ISBLANK(BQ290), ISBLANK(BR290)),"",CONCATENATE(" ",VLOOKUP(BR290,Literatuur!$A:$B,2,FALSE)," "))</f>
        <v/>
      </c>
      <c r="BV290" s="33" t="str">
        <f>IF(OR(ISBLANK(BT290), ISBLANK(BU290)),"",CONCATENATE(" ",VLOOKUP(BU290,Literatuur!$A:$B,2,FALSE)," "))</f>
        <v/>
      </c>
      <c r="CE290" s="37">
        <f t="shared" si="233"/>
        <v>106.18666499232586</v>
      </c>
      <c r="CG290" s="33">
        <f t="shared" si="234"/>
        <v>2.202622970157059</v>
      </c>
      <c r="CH290" s="33">
        <f t="shared" si="235"/>
        <v>3.15</v>
      </c>
      <c r="CI290" s="33">
        <v>2</v>
      </c>
      <c r="CR290" s="33" t="str">
        <f t="shared" si="209"/>
        <v>Ethylbenzene</v>
      </c>
      <c r="CS290" s="33" t="str">
        <f t="shared" si="210"/>
        <v>MAK</v>
      </c>
      <c r="CT290" s="33">
        <f t="shared" si="232"/>
        <v>106.18666499232586</v>
      </c>
      <c r="CU290" s="33" t="str">
        <f t="shared" si="211"/>
        <v xml:space="preserve"> D </v>
      </c>
      <c r="CV290" s="33">
        <f t="shared" si="212"/>
        <v>159.4494296665228</v>
      </c>
      <c r="CW290" s="33" t="str">
        <f t="shared" si="213"/>
        <v xml:space="preserve"> D </v>
      </c>
      <c r="CX290" s="33">
        <f t="shared" si="214"/>
        <v>3.15</v>
      </c>
      <c r="CY290" s="33" t="str">
        <f t="shared" si="215"/>
        <v xml:space="preserve"> D </v>
      </c>
    </row>
    <row r="291" spans="1:103" x14ac:dyDescent="0.2">
      <c r="B291" s="33">
        <v>205</v>
      </c>
      <c r="D291" s="33" t="s">
        <v>91</v>
      </c>
      <c r="E291" s="33" t="s">
        <v>762</v>
      </c>
      <c r="H291" s="34" t="s">
        <v>478</v>
      </c>
      <c r="I291" s="37">
        <f t="shared" si="204"/>
        <v>106.18999905823263</v>
      </c>
      <c r="J291" s="33">
        <f t="shared" si="216"/>
        <v>197.40652052455141</v>
      </c>
      <c r="K291" s="44">
        <f t="shared" si="230"/>
        <v>3.2</v>
      </c>
      <c r="L291" s="33" t="e">
        <f t="shared" si="231"/>
        <v>#DIV/0!</v>
      </c>
      <c r="M291" s="33" t="s">
        <v>1549</v>
      </c>
      <c r="P291" s="33">
        <v>197.40652052455141</v>
      </c>
      <c r="Q291" s="44" t="str">
        <f t="shared" si="217"/>
        <v>Sanscrit</v>
      </c>
      <c r="R291" s="33" t="str">
        <f>IF(OR(ISBLANK(P291), ISBLANK(Q291)),"",CONCATENATE(" ",VLOOKUP(Q291,Literatuur!$A:$B,2,FALSE)," "))</f>
        <v xml:space="preserve"> D </v>
      </c>
      <c r="T291" s="44" t="str">
        <f t="shared" si="218"/>
        <v xml:space="preserve"> </v>
      </c>
      <c r="U291" s="33" t="str">
        <f>IF(OR(ISBLANK(S291), ISBLANK(T291)),"",CONCATENATE(" ",VLOOKUP(T291,Literatuur!$A:$B,2,FALSE)," "))</f>
        <v/>
      </c>
      <c r="V291" s="33">
        <v>161</v>
      </c>
      <c r="W291" s="44" t="str">
        <f t="shared" si="219"/>
        <v>US EPA 1995</v>
      </c>
      <c r="X291" s="33" t="str">
        <f>IF(OR(ISBLANK(V291), ISBLANK(W291)),"",CONCATENATE(" ",VLOOKUP(W291,Literatuur!$A:$B,2,FALSE)," "))</f>
        <v xml:space="preserve"> 30 </v>
      </c>
      <c r="Y291" s="36"/>
      <c r="Z291" s="44" t="str">
        <f t="shared" si="220"/>
        <v xml:space="preserve"> </v>
      </c>
      <c r="AA291" s="33" t="str">
        <f>IF(OR(ISBLANK(Y291), ISBLANK(Z291)),"",CONCATENATE(" ",VLOOKUP(Z291,Literatuur!$A:$B,2,FALSE)," "))</f>
        <v/>
      </c>
      <c r="AB291" s="36">
        <v>174</v>
      </c>
      <c r="AC291" s="36" t="str">
        <f t="shared" si="221"/>
        <v>Vonk 1985</v>
      </c>
      <c r="AD291" s="33" t="str">
        <f>IF(OR(ISBLANK(AB291), ISBLANK(AC291)),"",CONCATENATE(" ",VLOOKUP(AC291,Literatuur!$A:$B,2,FALSE)," "))</f>
        <v xml:space="preserve"> 37 </v>
      </c>
      <c r="AE291" s="36"/>
      <c r="AF291" s="36"/>
      <c r="AG291" s="33" t="str">
        <f>IF(OR(ISBLANK(AE291), ISBLANK(AF291)),"",CONCATENATE(" ",VLOOKUP(AF291,Literatuur!$A:$B,2,FALSE)," "))</f>
        <v/>
      </c>
      <c r="AI291" s="37">
        <v>106.18999905823263</v>
      </c>
      <c r="AJ291" s="44" t="str">
        <f t="shared" si="222"/>
        <v>Sanscrit</v>
      </c>
      <c r="AK291" s="33" t="str">
        <f>IF(OR(ISBLANK(AI291), ISBLANK(AJ291)),"",CONCATENATE(" ",VLOOKUP(AJ291,Literatuur!$A:$B,2,FALSE)," "))</f>
        <v xml:space="preserve"> D </v>
      </c>
      <c r="AL291" s="36">
        <v>106.17</v>
      </c>
      <c r="AM291" s="44" t="str">
        <f t="shared" si="223"/>
        <v>Gestis</v>
      </c>
      <c r="AN291" s="33" t="str">
        <f>IF(OR(ISBLANK(AL291), ISBLANK(AM291)),"",CONCATENATE(" ",VLOOKUP(AM291,Literatuur!$A:$B,2,FALSE)," "))</f>
        <v xml:space="preserve"> A </v>
      </c>
      <c r="AO291" s="36"/>
      <c r="AP291" s="44" t="str">
        <f t="shared" si="224"/>
        <v xml:space="preserve"> </v>
      </c>
      <c r="AQ291" s="33" t="str">
        <f>IF(OR(ISBLANK(AO291), ISBLANK(AP291)),"",CONCATENATE(" ",VLOOKUP(AP291,Literatuur!$A:$B,2,FALSE)," "))</f>
        <v/>
      </c>
      <c r="AR291" s="36"/>
      <c r="AT291" s="33" t="str">
        <f>IF(OR(ISBLANK(AR291), ISBLANK(AS291)),"",CONCATENATE(" ",VLOOKUP(AS291,Literatuur!$A:$B,2,FALSE)," "))</f>
        <v/>
      </c>
      <c r="AV291" s="36"/>
      <c r="AW291" s="33" t="str">
        <f>IF(OR(ISBLANK(AU291), ISBLANK(AV291)),"",CONCATENATE(" ",VLOOKUP(AV291,Literatuur!$A:$B,2,FALSE)," "))</f>
        <v/>
      </c>
      <c r="AY291" s="44">
        <v>3.2</v>
      </c>
      <c r="AZ291" s="44" t="str">
        <f t="shared" si="225"/>
        <v>Sanscrit</v>
      </c>
      <c r="BA291" s="33" t="str">
        <f>IF(OR(ISBLANK(AY291), ISBLANK(AZ291)),"",CONCATENATE(" ",VLOOKUP(AZ291,Literatuur!$A:$B,2,FALSE)," "))</f>
        <v xml:space="preserve"> D </v>
      </c>
      <c r="BB291" s="44">
        <v>3.2</v>
      </c>
      <c r="BC291" s="44" t="str">
        <f t="shared" si="226"/>
        <v>Gestis</v>
      </c>
      <c r="BD291" s="33" t="str">
        <f>IF(OR(ISBLANK(BB291), ISBLANK(BC291)),"",CONCATENATE(" ",VLOOKUP(BC291,Literatuur!$A:$B,2,FALSE)," "))</f>
        <v xml:space="preserve"> A </v>
      </c>
      <c r="BE291" s="44">
        <v>3.2</v>
      </c>
      <c r="BF291" s="44" t="str">
        <f t="shared" si="227"/>
        <v>US EPA 1995</v>
      </c>
      <c r="BG291" s="33" t="str">
        <f>IF(OR(ISBLANK(BE291), ISBLANK(BF291)),"",CONCATENATE(" ",VLOOKUP(BF291,Literatuur!$A:$B,2,FALSE)," "))</f>
        <v xml:space="preserve"> 30 </v>
      </c>
      <c r="BH291" s="44"/>
      <c r="BI291" s="44" t="str">
        <f t="shared" si="228"/>
        <v xml:space="preserve"> </v>
      </c>
      <c r="BJ291" s="33" t="str">
        <f>IF(OR(ISBLANK(BH291), ISBLANK(BI291)),"",CONCATENATE(" ",VLOOKUP(BI291,Literatuur!$A:$B,2,FALSE)," "))</f>
        <v/>
      </c>
      <c r="BL291" s="44" t="str">
        <f t="shared" si="229"/>
        <v xml:space="preserve"> </v>
      </c>
      <c r="BM291" s="33" t="str">
        <f>IF(OR(ISBLANK(BK291), ISBLANK(BL291)),"",CONCATENATE(" ",VLOOKUP(BL291,Literatuur!$A:$B,2,FALSE)," "))</f>
        <v/>
      </c>
      <c r="BP291" s="33" t="str">
        <f>IF(OR(ISBLANK(BN291), ISBLANK(BO291)),"",CONCATENATE(" ",VLOOKUP(BO291,Literatuur!$A:$B,2,FALSE)," "))</f>
        <v/>
      </c>
      <c r="BS291" s="33" t="str">
        <f>IF(OR(ISBLANK(BQ291), ISBLANK(BR291)),"",CONCATENATE(" ",VLOOKUP(BR291,Literatuur!$A:$B,2,FALSE)," "))</f>
        <v/>
      </c>
      <c r="BV291" s="33" t="str">
        <f>IF(OR(ISBLANK(BT291), ISBLANK(BU291)),"",CONCATENATE(" ",VLOOKUP(BU291,Literatuur!$A:$B,2,FALSE)," "))</f>
        <v/>
      </c>
      <c r="CE291" s="37">
        <f t="shared" si="233"/>
        <v>106.18999905823263</v>
      </c>
      <c r="CG291" s="33">
        <f t="shared" si="234"/>
        <v>2.2953614937290703</v>
      </c>
      <c r="CH291" s="33">
        <f t="shared" si="235"/>
        <v>3.2</v>
      </c>
      <c r="CR291" s="33" t="str">
        <f t="shared" si="209"/>
        <v>m-Xylene</v>
      </c>
      <c r="CS291" s="33" t="str">
        <f t="shared" si="210"/>
        <v>MAK</v>
      </c>
      <c r="CT291" s="33">
        <f t="shared" si="232"/>
        <v>106.18999905823263</v>
      </c>
      <c r="CU291" s="33" t="str">
        <f t="shared" si="211"/>
        <v xml:space="preserve"> D </v>
      </c>
      <c r="CV291" s="33">
        <f t="shared" si="212"/>
        <v>197.40652052455141</v>
      </c>
      <c r="CW291" s="33" t="str">
        <f t="shared" si="213"/>
        <v xml:space="preserve"> D </v>
      </c>
      <c r="CX291" s="33">
        <f t="shared" si="214"/>
        <v>3.2</v>
      </c>
      <c r="CY291" s="33" t="str">
        <f t="shared" si="215"/>
        <v xml:space="preserve"> D </v>
      </c>
    </row>
    <row r="292" spans="1:103" x14ac:dyDescent="0.2">
      <c r="B292" s="33">
        <v>218</v>
      </c>
      <c r="D292" s="33" t="s">
        <v>98</v>
      </c>
      <c r="E292" s="33" t="s">
        <v>872</v>
      </c>
      <c r="H292" s="34" t="s">
        <v>479</v>
      </c>
      <c r="I292" s="37">
        <f t="shared" si="204"/>
        <v>106.18666499232586</v>
      </c>
      <c r="J292" s="33">
        <f t="shared" si="216"/>
        <v>218.93359574593291</v>
      </c>
      <c r="K292" s="44">
        <f t="shared" si="230"/>
        <v>3.12</v>
      </c>
      <c r="L292" s="33" t="e">
        <f t="shared" si="231"/>
        <v>#DIV/0!</v>
      </c>
      <c r="M292" s="33" t="s">
        <v>1549</v>
      </c>
      <c r="P292" s="33">
        <v>218.93359574593291</v>
      </c>
      <c r="Q292" s="44" t="str">
        <f t="shared" si="217"/>
        <v>Sanscrit</v>
      </c>
      <c r="R292" s="33" t="str">
        <f>IF(OR(ISBLANK(P292), ISBLANK(Q292)),"",CONCATENATE(" ",VLOOKUP(Q292,Literatuur!$A:$B,2,FALSE)," "))</f>
        <v xml:space="preserve"> D </v>
      </c>
      <c r="S292" s="33">
        <v>180</v>
      </c>
      <c r="T292" s="44" t="str">
        <f t="shared" si="218"/>
        <v>Gestis</v>
      </c>
      <c r="U292" s="33" t="str">
        <f>IF(OR(ISBLANK(S292), ISBLANK(T292)),"",CONCATENATE(" ",VLOOKUP(T292,Literatuur!$A:$B,2,FALSE)," "))</f>
        <v xml:space="preserve"> A </v>
      </c>
      <c r="V292" s="33">
        <v>178</v>
      </c>
      <c r="W292" s="44" t="str">
        <f t="shared" si="219"/>
        <v>US EPA 1995</v>
      </c>
      <c r="X292" s="33" t="str">
        <f>IF(OR(ISBLANK(V292), ISBLANK(W292)),"",CONCATENATE(" ",VLOOKUP(W292,Literatuur!$A:$B,2,FALSE)," "))</f>
        <v xml:space="preserve"> 30 </v>
      </c>
      <c r="Y292" s="36"/>
      <c r="Z292" s="44" t="str">
        <f t="shared" si="220"/>
        <v xml:space="preserve"> </v>
      </c>
      <c r="AA292" s="33" t="str">
        <f>IF(OR(ISBLANK(Y292), ISBLANK(Z292)),"",CONCATENATE(" ",VLOOKUP(Z292,Literatuur!$A:$B,2,FALSE)," "))</f>
        <v/>
      </c>
      <c r="AB292" s="36">
        <v>175</v>
      </c>
      <c r="AC292" s="36" t="str">
        <f t="shared" si="221"/>
        <v>Vonk 1985</v>
      </c>
      <c r="AD292" s="33" t="str">
        <f>IF(OR(ISBLANK(AB292), ISBLANK(AC292)),"",CONCATENATE(" ",VLOOKUP(AC292,Literatuur!$A:$B,2,FALSE)," "))</f>
        <v xml:space="preserve"> 37 </v>
      </c>
      <c r="AE292" s="36"/>
      <c r="AF292" s="36"/>
      <c r="AG292" s="33" t="str">
        <f>IF(OR(ISBLANK(AE292), ISBLANK(AF292)),"",CONCATENATE(" ",VLOOKUP(AF292,Literatuur!$A:$B,2,FALSE)," "))</f>
        <v/>
      </c>
      <c r="AI292" s="37">
        <v>106.18666499232586</v>
      </c>
      <c r="AJ292" s="44" t="str">
        <f t="shared" si="222"/>
        <v>Sanscrit</v>
      </c>
      <c r="AK292" s="33" t="str">
        <f>IF(OR(ISBLANK(AI292), ISBLANK(AJ292)),"",CONCATENATE(" ",VLOOKUP(AJ292,Literatuur!$A:$B,2,FALSE)," "))</f>
        <v xml:space="preserve"> D </v>
      </c>
      <c r="AL292" s="36">
        <v>106.17</v>
      </c>
      <c r="AM292" s="44" t="str">
        <f t="shared" si="223"/>
        <v>Gestis</v>
      </c>
      <c r="AN292" s="33" t="str">
        <f>IF(OR(ISBLANK(AL292), ISBLANK(AM292)),"",CONCATENATE(" ",VLOOKUP(AM292,Literatuur!$A:$B,2,FALSE)," "))</f>
        <v xml:space="preserve"> A </v>
      </c>
      <c r="AO292" s="36"/>
      <c r="AP292" s="44" t="str">
        <f t="shared" si="224"/>
        <v xml:space="preserve"> </v>
      </c>
      <c r="AQ292" s="33" t="str">
        <f>IF(OR(ISBLANK(AO292), ISBLANK(AP292)),"",CONCATENATE(" ",VLOOKUP(AP292,Literatuur!$A:$B,2,FALSE)," "))</f>
        <v/>
      </c>
      <c r="AR292" s="36"/>
      <c r="AT292" s="33" t="str">
        <f>IF(OR(ISBLANK(AR292), ISBLANK(AS292)),"",CONCATENATE(" ",VLOOKUP(AS292,Literatuur!$A:$B,2,FALSE)," "))</f>
        <v/>
      </c>
      <c r="AV292" s="36"/>
      <c r="AW292" s="33" t="str">
        <f>IF(OR(ISBLANK(AU292), ISBLANK(AV292)),"",CONCATENATE(" ",VLOOKUP(AV292,Literatuur!$A:$B,2,FALSE)," "))</f>
        <v/>
      </c>
      <c r="AY292" s="44">
        <v>3.12</v>
      </c>
      <c r="AZ292" s="44" t="str">
        <f t="shared" si="225"/>
        <v>Sanscrit</v>
      </c>
      <c r="BA292" s="33" t="str">
        <f>IF(OR(ISBLANK(AY292), ISBLANK(AZ292)),"",CONCATENATE(" ",VLOOKUP(AZ292,Literatuur!$A:$B,2,FALSE)," "))</f>
        <v xml:space="preserve"> D </v>
      </c>
      <c r="BB292" s="44">
        <v>3.12</v>
      </c>
      <c r="BC292" s="44" t="str">
        <f t="shared" si="226"/>
        <v>Gestis</v>
      </c>
      <c r="BD292" s="33" t="str">
        <f>IF(OR(ISBLANK(BB292), ISBLANK(BC292)),"",CONCATENATE(" ",VLOOKUP(BC292,Literatuur!$A:$B,2,FALSE)," "))</f>
        <v xml:space="preserve"> A </v>
      </c>
      <c r="BE292" s="44">
        <v>3.13</v>
      </c>
      <c r="BF292" s="44" t="str">
        <f t="shared" si="227"/>
        <v>US EPA 1995</v>
      </c>
      <c r="BG292" s="33" t="str">
        <f>IF(OR(ISBLANK(BE292), ISBLANK(BF292)),"",CONCATENATE(" ",VLOOKUP(BF292,Literatuur!$A:$B,2,FALSE)," "))</f>
        <v xml:space="preserve"> 30 </v>
      </c>
      <c r="BH292" s="44"/>
      <c r="BI292" s="44" t="str">
        <f t="shared" si="228"/>
        <v xml:space="preserve"> </v>
      </c>
      <c r="BJ292" s="33" t="str">
        <f>IF(OR(ISBLANK(BH292), ISBLANK(BI292)),"",CONCATENATE(" ",VLOOKUP(BI292,Literatuur!$A:$B,2,FALSE)," "))</f>
        <v/>
      </c>
      <c r="BL292" s="44" t="str">
        <f t="shared" si="229"/>
        <v xml:space="preserve"> </v>
      </c>
      <c r="BM292" s="33" t="str">
        <f>IF(OR(ISBLANK(BK292), ISBLANK(BL292)),"",CONCATENATE(" ",VLOOKUP(BL292,Literatuur!$A:$B,2,FALSE)," "))</f>
        <v/>
      </c>
      <c r="BP292" s="33" t="str">
        <f>IF(OR(ISBLANK(BN292), ISBLANK(BO292)),"",CONCATENATE(" ",VLOOKUP(BO292,Literatuur!$A:$B,2,FALSE)," "))</f>
        <v/>
      </c>
      <c r="BS292" s="33" t="str">
        <f>IF(OR(ISBLANK(BQ292), ISBLANK(BR292)),"",CONCATENATE(" ",VLOOKUP(BR292,Literatuur!$A:$B,2,FALSE)," "))</f>
        <v/>
      </c>
      <c r="BV292" s="33" t="str">
        <f>IF(OR(ISBLANK(BT292), ISBLANK(BU292)),"",CONCATENATE(" ",VLOOKUP(BU292,Literatuur!$A:$B,2,FALSE)," "))</f>
        <v/>
      </c>
      <c r="CE292" s="37">
        <f t="shared" si="233"/>
        <v>106.18666499232586</v>
      </c>
      <c r="CG292" s="33">
        <f t="shared" si="234"/>
        <v>2.3403124099350032</v>
      </c>
      <c r="CH292" s="33">
        <f t="shared" si="235"/>
        <v>3.12</v>
      </c>
      <c r="CR292" s="33" t="str">
        <f t="shared" si="209"/>
        <v>o-Xylene</v>
      </c>
      <c r="CS292" s="33" t="str">
        <f t="shared" si="210"/>
        <v>MAK</v>
      </c>
      <c r="CT292" s="33">
        <f t="shared" si="232"/>
        <v>106.18666499232586</v>
      </c>
      <c r="CU292" s="33" t="str">
        <f t="shared" si="211"/>
        <v xml:space="preserve"> D </v>
      </c>
      <c r="CV292" s="33">
        <f t="shared" si="212"/>
        <v>218.93359574593291</v>
      </c>
      <c r="CW292" s="33" t="str">
        <f t="shared" si="213"/>
        <v xml:space="preserve"> D </v>
      </c>
      <c r="CX292" s="33">
        <f t="shared" si="214"/>
        <v>3.12</v>
      </c>
      <c r="CY292" s="33" t="str">
        <f t="shared" si="215"/>
        <v xml:space="preserve"> D </v>
      </c>
    </row>
    <row r="293" spans="1:103" x14ac:dyDescent="0.2">
      <c r="B293" s="33">
        <v>-203</v>
      </c>
      <c r="D293" s="33" t="s">
        <v>273</v>
      </c>
      <c r="E293" s="33" t="s">
        <v>1256</v>
      </c>
      <c r="I293" s="37">
        <f t="shared" si="204"/>
        <v>148.25</v>
      </c>
      <c r="J293" s="33">
        <f t="shared" si="216"/>
        <v>3.37</v>
      </c>
      <c r="K293" s="44">
        <f t="shared" si="230"/>
        <v>4.9000000000000004</v>
      </c>
      <c r="L293" s="33" t="e">
        <f t="shared" si="231"/>
        <v>#DIV/0!</v>
      </c>
      <c r="M293" s="33" t="s">
        <v>1549</v>
      </c>
      <c r="Q293" s="44" t="str">
        <f t="shared" si="217"/>
        <v xml:space="preserve"> </v>
      </c>
      <c r="R293" s="33" t="str">
        <f>IF(OR(ISBLANK(P293), ISBLANK(Q293)),"",CONCATENATE(" ",VLOOKUP(Q293,Literatuur!$A:$B,2,FALSE)," "))</f>
        <v/>
      </c>
      <c r="S293" s="33">
        <v>3.37</v>
      </c>
      <c r="T293" s="44" t="str">
        <f t="shared" si="218"/>
        <v>Gestis</v>
      </c>
      <c r="U293" s="33" t="str">
        <f>IF(OR(ISBLANK(S293), ISBLANK(T293)),"",CONCATENATE(" ",VLOOKUP(T293,Literatuur!$A:$B,2,FALSE)," "))</f>
        <v xml:space="preserve"> A </v>
      </c>
      <c r="W293" s="44" t="str">
        <f t="shared" si="219"/>
        <v xml:space="preserve"> </v>
      </c>
      <c r="X293" s="33" t="str">
        <f>IF(OR(ISBLANK(V293), ISBLANK(W293)),"",CONCATENATE(" ",VLOOKUP(W293,Literatuur!$A:$B,2,FALSE)," "))</f>
        <v/>
      </c>
      <c r="Y293" s="36"/>
      <c r="Z293" s="44" t="str">
        <f t="shared" si="220"/>
        <v xml:space="preserve"> </v>
      </c>
      <c r="AA293" s="33" t="str">
        <f>IF(OR(ISBLANK(Y293), ISBLANK(Z293)),"",CONCATENATE(" ",VLOOKUP(Z293,Literatuur!$A:$B,2,FALSE)," "))</f>
        <v/>
      </c>
      <c r="AB293" s="36"/>
      <c r="AC293" s="36" t="str">
        <f t="shared" si="221"/>
        <v xml:space="preserve"> </v>
      </c>
      <c r="AD293" s="33" t="str">
        <f>IF(OR(ISBLANK(AB293), ISBLANK(AC293)),"",CONCATENATE(" ",VLOOKUP(AC293,Literatuur!$A:$B,2,FALSE)," "))</f>
        <v/>
      </c>
      <c r="AE293" s="36"/>
      <c r="AF293" s="36"/>
      <c r="AG293" s="33" t="str">
        <f>IF(OR(ISBLANK(AE293), ISBLANK(AF293)),"",CONCATENATE(" ",VLOOKUP(AF293,Literatuur!$A:$B,2,FALSE)," "))</f>
        <v/>
      </c>
      <c r="AI293" s="37"/>
      <c r="AJ293" s="44" t="str">
        <f t="shared" si="222"/>
        <v xml:space="preserve"> </v>
      </c>
      <c r="AK293" s="33" t="str">
        <f>IF(OR(ISBLANK(AI293), ISBLANK(AJ293)),"",CONCATENATE(" ",VLOOKUP(AJ293,Literatuur!$A:$B,2,FALSE)," "))</f>
        <v/>
      </c>
      <c r="AL293" s="36">
        <v>148.25</v>
      </c>
      <c r="AM293" s="44" t="str">
        <f t="shared" si="223"/>
        <v>Gestis</v>
      </c>
      <c r="AN293" s="33" t="str">
        <f>IF(OR(ISBLANK(AL293), ISBLANK(AM293)),"",CONCATENATE(" ",VLOOKUP(AM293,Literatuur!$A:$B,2,FALSE)," "))</f>
        <v xml:space="preserve"> A </v>
      </c>
      <c r="AO293" s="36"/>
      <c r="AP293" s="44" t="str">
        <f t="shared" si="224"/>
        <v xml:space="preserve"> </v>
      </c>
      <c r="AQ293" s="33" t="str">
        <f>IF(OR(ISBLANK(AO293), ISBLANK(AP293)),"",CONCATENATE(" ",VLOOKUP(AP293,Literatuur!$A:$B,2,FALSE)," "))</f>
        <v/>
      </c>
      <c r="AR293" s="36"/>
      <c r="AT293" s="33" t="str">
        <f>IF(OR(ISBLANK(AR293), ISBLANK(AS293)),"",CONCATENATE(" ",VLOOKUP(AS293,Literatuur!$A:$B,2,FALSE)," "))</f>
        <v/>
      </c>
      <c r="AV293" s="36"/>
      <c r="AW293" s="33" t="str">
        <f>IF(OR(ISBLANK(AU293), ISBLANK(AV293)),"",CONCATENATE(" ",VLOOKUP(AV293,Literatuur!$A:$B,2,FALSE)," "))</f>
        <v/>
      </c>
      <c r="AY293" s="44"/>
      <c r="AZ293" s="44" t="str">
        <f t="shared" si="225"/>
        <v xml:space="preserve"> </v>
      </c>
      <c r="BA293" s="33" t="str">
        <f>IF(OR(ISBLANK(AY293), ISBLANK(AZ293)),"",CONCATENATE(" ",VLOOKUP(AZ293,Literatuur!$A:$B,2,FALSE)," "))</f>
        <v/>
      </c>
      <c r="BB293" s="44">
        <v>4.9000000000000004</v>
      </c>
      <c r="BC293" s="44" t="str">
        <f t="shared" si="226"/>
        <v>Gestis</v>
      </c>
      <c r="BD293" s="33" t="str">
        <f>IF(OR(ISBLANK(BB293), ISBLANK(BC293)),"",CONCATENATE(" ",VLOOKUP(BC293,Literatuur!$A:$B,2,FALSE)," "))</f>
        <v xml:space="preserve"> A </v>
      </c>
      <c r="BF293" s="44" t="str">
        <f t="shared" si="227"/>
        <v xml:space="preserve"> </v>
      </c>
      <c r="BG293" s="33" t="str">
        <f>IF(OR(ISBLANK(BE293), ISBLANK(BF293)),"",CONCATENATE(" ",VLOOKUP(BF293,Literatuur!$A:$B,2,FALSE)," "))</f>
        <v/>
      </c>
      <c r="BI293" s="44" t="str">
        <f t="shared" si="228"/>
        <v xml:space="preserve"> </v>
      </c>
      <c r="BJ293" s="33" t="str">
        <f>IF(OR(ISBLANK(BH293), ISBLANK(BI293)),"",CONCATENATE(" ",VLOOKUP(BI293,Literatuur!$A:$B,2,FALSE)," "))</f>
        <v/>
      </c>
      <c r="BL293" s="44" t="str">
        <f t="shared" si="229"/>
        <v xml:space="preserve"> </v>
      </c>
      <c r="BM293" s="33" t="str">
        <f>IF(OR(ISBLANK(BK293), ISBLANK(BL293)),"",CONCATENATE(" ",VLOOKUP(BL293,Literatuur!$A:$B,2,FALSE)," "))</f>
        <v/>
      </c>
      <c r="BP293" s="33" t="str">
        <f>IF(OR(ISBLANK(BN293), ISBLANK(BO293)),"",CONCATENATE(" ",VLOOKUP(BO293,Literatuur!$A:$B,2,FALSE)," "))</f>
        <v/>
      </c>
      <c r="BS293" s="33" t="str">
        <f>IF(OR(ISBLANK(BQ293), ISBLANK(BR293)),"",CONCATENATE(" ",VLOOKUP(BR293,Literatuur!$A:$B,2,FALSE)," "))</f>
        <v/>
      </c>
      <c r="BV293" s="33" t="str">
        <f>IF(OR(ISBLANK(BT293), ISBLANK(BU293)),"",CONCATENATE(" ",VLOOKUP(BU293,Literatuur!$A:$B,2,FALSE)," "))</f>
        <v/>
      </c>
      <c r="CE293" s="37">
        <f t="shared" si="233"/>
        <v>148.25</v>
      </c>
      <c r="CG293" s="33">
        <f t="shared" si="234"/>
        <v>0.52762990087133865</v>
      </c>
      <c r="CH293" s="33">
        <f t="shared" si="235"/>
        <v>4.9000000000000004</v>
      </c>
      <c r="CR293" s="33" t="str">
        <f t="shared" si="209"/>
        <v>Penthylbenzene</v>
      </c>
      <c r="CS293" s="33" t="str">
        <f t="shared" si="210"/>
        <v>MAK</v>
      </c>
      <c r="CT293" s="33">
        <f t="shared" si="232"/>
        <v>148.25</v>
      </c>
      <c r="CU293" s="33" t="str">
        <f t="shared" si="211"/>
        <v xml:space="preserve"> A </v>
      </c>
      <c r="CV293" s="33">
        <f t="shared" si="212"/>
        <v>3.37</v>
      </c>
      <c r="CW293" s="33" t="str">
        <f t="shared" si="213"/>
        <v xml:space="preserve"> A </v>
      </c>
      <c r="CX293" s="33">
        <f t="shared" si="214"/>
        <v>4.9000000000000004</v>
      </c>
      <c r="CY293" s="33" t="str">
        <f t="shared" si="215"/>
        <v xml:space="preserve"> A </v>
      </c>
    </row>
    <row r="294" spans="1:103" x14ac:dyDescent="0.2">
      <c r="B294" s="33">
        <v>-202</v>
      </c>
      <c r="D294" s="33" t="s">
        <v>271</v>
      </c>
      <c r="E294" s="33" t="s">
        <v>1252</v>
      </c>
      <c r="H294" s="34" t="s">
        <v>272</v>
      </c>
      <c r="I294" s="37">
        <f t="shared" si="204"/>
        <v>120.19</v>
      </c>
      <c r="J294" s="33">
        <f t="shared" si="216"/>
        <v>54.006333333333338</v>
      </c>
      <c r="K294" s="44">
        <f t="shared" si="230"/>
        <v>3.71</v>
      </c>
      <c r="L294" s="33" t="e">
        <f t="shared" si="231"/>
        <v>#DIV/0!</v>
      </c>
      <c r="M294" s="33" t="s">
        <v>1549</v>
      </c>
      <c r="Q294" s="44" t="str">
        <f t="shared" si="217"/>
        <v xml:space="preserve"> </v>
      </c>
      <c r="R294" s="33" t="str">
        <f>IF(OR(ISBLANK(P294), ISBLANK(Q294)),"",CONCATENATE(" ",VLOOKUP(Q294,Literatuur!$A:$B,2,FALSE)," "))</f>
        <v/>
      </c>
      <c r="S294" s="33">
        <v>60</v>
      </c>
      <c r="T294" s="44" t="str">
        <f t="shared" si="218"/>
        <v>Gestis</v>
      </c>
      <c r="U294" s="33" t="str">
        <f>IF(OR(ISBLANK(S294), ISBLANK(T294)),"",CONCATENATE(" ",VLOOKUP(T294,Literatuur!$A:$B,2,FALSE)," "))</f>
        <v xml:space="preserve"> A </v>
      </c>
      <c r="W294" s="44" t="str">
        <f t="shared" si="219"/>
        <v xml:space="preserve"> </v>
      </c>
      <c r="X294" s="33" t="str">
        <f>IF(OR(ISBLANK(V294), ISBLANK(W294)),"",CONCATENATE(" ",VLOOKUP(W294,Literatuur!$A:$B,2,FALSE)," "))</f>
        <v/>
      </c>
      <c r="Y294" s="36"/>
      <c r="Z294" s="44" t="str">
        <f t="shared" si="220"/>
        <v xml:space="preserve"> </v>
      </c>
      <c r="AA294" s="33" t="str">
        <f>IF(OR(ISBLANK(Y294), ISBLANK(Z294)),"",CONCATENATE(" ",VLOOKUP(Z294,Literatuur!$A:$B,2,FALSE)," "))</f>
        <v/>
      </c>
      <c r="AB294" s="36">
        <v>60</v>
      </c>
      <c r="AC294" s="36" t="str">
        <f t="shared" si="221"/>
        <v>Vonk 1985</v>
      </c>
      <c r="AD294" s="33" t="str">
        <f>IF(OR(ISBLANK(AB294), ISBLANK(AC294)),"",CONCATENATE(" ",VLOOKUP(AC294,Literatuur!$A:$B,2,FALSE)," "))</f>
        <v xml:space="preserve"> 37 </v>
      </c>
      <c r="AE294" s="36">
        <v>42.018999999999998</v>
      </c>
      <c r="AF294" s="33" t="s">
        <v>1902</v>
      </c>
      <c r="AG294" s="33" t="str">
        <f>IF(OR(ISBLANK(AE294), ISBLANK(AF294)),"",CONCATENATE(" ",VLOOKUP(AF294,Literatuur!$A:$B,2,FALSE)," "))</f>
        <v xml:space="preserve"> B </v>
      </c>
      <c r="AI294" s="37"/>
      <c r="AJ294" s="44" t="str">
        <f t="shared" si="222"/>
        <v xml:space="preserve"> </v>
      </c>
      <c r="AK294" s="33" t="str">
        <f>IF(OR(ISBLANK(AI294), ISBLANK(AJ294)),"",CONCATENATE(" ",VLOOKUP(AJ294,Literatuur!$A:$B,2,FALSE)," "))</f>
        <v/>
      </c>
      <c r="AL294" s="36">
        <v>120.19</v>
      </c>
      <c r="AM294" s="44" t="str">
        <f t="shared" si="223"/>
        <v>Gestis</v>
      </c>
      <c r="AN294" s="33" t="str">
        <f>IF(OR(ISBLANK(AL294), ISBLANK(AM294)),"",CONCATENATE(" ",VLOOKUP(AM294,Literatuur!$A:$B,2,FALSE)," "))</f>
        <v xml:space="preserve"> A </v>
      </c>
      <c r="AO294" s="36"/>
      <c r="AP294" s="44" t="str">
        <f t="shared" si="224"/>
        <v xml:space="preserve"> </v>
      </c>
      <c r="AQ294" s="33" t="str">
        <f>IF(OR(ISBLANK(AO294), ISBLANK(AP294)),"",CONCATENATE(" ",VLOOKUP(AP294,Literatuur!$A:$B,2,FALSE)," "))</f>
        <v/>
      </c>
      <c r="AR294" s="36"/>
      <c r="AT294" s="33" t="str">
        <f>IF(OR(ISBLANK(AR294), ISBLANK(AS294)),"",CONCATENATE(" ",VLOOKUP(AS294,Literatuur!$A:$B,2,FALSE)," "))</f>
        <v/>
      </c>
      <c r="AV294" s="36"/>
      <c r="AW294" s="33" t="str">
        <f>IF(OR(ISBLANK(AU294), ISBLANK(AV294)),"",CONCATENATE(" ",VLOOKUP(AV294,Literatuur!$A:$B,2,FALSE)," "))</f>
        <v/>
      </c>
      <c r="AY294" s="44"/>
      <c r="AZ294" s="44" t="str">
        <f t="shared" si="225"/>
        <v xml:space="preserve"> </v>
      </c>
      <c r="BA294" s="33" t="str">
        <f>IF(OR(ISBLANK(AY294), ISBLANK(AZ294)),"",CONCATENATE(" ",VLOOKUP(AZ294,Literatuur!$A:$B,2,FALSE)," "))</f>
        <v/>
      </c>
      <c r="BB294" s="44">
        <v>3.69</v>
      </c>
      <c r="BC294" s="44" t="str">
        <f t="shared" si="226"/>
        <v>Gestis</v>
      </c>
      <c r="BD294" s="33" t="str">
        <f>IF(OR(ISBLANK(BB294), ISBLANK(BC294)),"",CONCATENATE(" ",VLOOKUP(BC294,Literatuur!$A:$B,2,FALSE)," "))</f>
        <v xml:space="preserve"> A </v>
      </c>
      <c r="BF294" s="44" t="str">
        <f t="shared" si="227"/>
        <v xml:space="preserve"> </v>
      </c>
      <c r="BG294" s="33" t="str">
        <f>IF(OR(ISBLANK(BE294), ISBLANK(BF294)),"",CONCATENATE(" ",VLOOKUP(BF294,Literatuur!$A:$B,2,FALSE)," "))</f>
        <v/>
      </c>
      <c r="BI294" s="44" t="str">
        <f t="shared" si="228"/>
        <v xml:space="preserve"> </v>
      </c>
      <c r="BJ294" s="33" t="str">
        <f>IF(OR(ISBLANK(BH294), ISBLANK(BI294)),"",CONCATENATE(" ",VLOOKUP(BI294,Literatuur!$A:$B,2,FALSE)," "))</f>
        <v/>
      </c>
      <c r="BK294" s="44">
        <v>3.73</v>
      </c>
      <c r="BL294" s="44" t="str">
        <f t="shared" si="229"/>
        <v>Sangster 1989</v>
      </c>
      <c r="BM294" s="33" t="str">
        <f>IF(OR(ISBLANK(BK294), ISBLANK(BL294)),"",CONCATENATE(" ",VLOOKUP(BL294,Literatuur!$A:$B,2,FALSE)," "))</f>
        <v xml:space="preserve"> 27 </v>
      </c>
      <c r="BN294" s="44"/>
      <c r="BP294" s="33" t="str">
        <f>IF(OR(ISBLANK(BN294), ISBLANK(BO294)),"",CONCATENATE(" ",VLOOKUP(BO294,Literatuur!$A:$B,2,FALSE)," "))</f>
        <v/>
      </c>
      <c r="BQ294" s="44"/>
      <c r="BS294" s="33" t="str">
        <f>IF(OR(ISBLANK(BQ294), ISBLANK(BR294)),"",CONCATENATE(" ",VLOOKUP(BR294,Literatuur!$A:$B,2,FALSE)," "))</f>
        <v/>
      </c>
      <c r="BV294" s="33" t="str">
        <f>IF(OR(ISBLANK(BT294), ISBLANK(BU294)),"",CONCATENATE(" ",VLOOKUP(BU294,Literatuur!$A:$B,2,FALSE)," "))</f>
        <v/>
      </c>
      <c r="CE294" s="37">
        <f t="shared" si="233"/>
        <v>120.19</v>
      </c>
      <c r="CG294" s="33">
        <f t="shared" si="234"/>
        <v>1.7324446926087966</v>
      </c>
      <c r="CH294" s="33">
        <f t="shared" si="235"/>
        <v>3.71</v>
      </c>
      <c r="CR294" s="33" t="str">
        <f t="shared" si="209"/>
        <v>Propylbenzene</v>
      </c>
      <c r="CS294" s="33" t="str">
        <f t="shared" si="210"/>
        <v>MAK</v>
      </c>
      <c r="CT294" s="33">
        <f t="shared" si="232"/>
        <v>120.19</v>
      </c>
      <c r="CU294" s="33" t="str">
        <f t="shared" si="211"/>
        <v xml:space="preserve"> A </v>
      </c>
      <c r="CV294" s="33">
        <f t="shared" si="212"/>
        <v>54.006333333333338</v>
      </c>
      <c r="CW294" s="33" t="str">
        <f t="shared" si="213"/>
        <v xml:space="preserve"> A  37  B </v>
      </c>
      <c r="CX294" s="33">
        <f t="shared" si="214"/>
        <v>3.71</v>
      </c>
      <c r="CY294" s="33" t="str">
        <f t="shared" si="215"/>
        <v xml:space="preserve"> A  27 </v>
      </c>
    </row>
    <row r="295" spans="1:103" x14ac:dyDescent="0.2">
      <c r="B295" s="33">
        <v>219</v>
      </c>
      <c r="D295" s="33" t="s">
        <v>99</v>
      </c>
      <c r="E295" s="33" t="s">
        <v>493</v>
      </c>
      <c r="I295" s="37">
        <f t="shared" si="204"/>
        <v>106.18666499232586</v>
      </c>
      <c r="J295" s="33">
        <f t="shared" si="216"/>
        <v>210.93846155625408</v>
      </c>
      <c r="K295" s="44">
        <f t="shared" si="230"/>
        <v>3.15</v>
      </c>
      <c r="L295" s="33">
        <f t="shared" si="231"/>
        <v>123.9</v>
      </c>
      <c r="M295" s="33" t="s">
        <v>1549</v>
      </c>
      <c r="P295" s="33">
        <v>210.93846155625408</v>
      </c>
      <c r="Q295" s="44" t="str">
        <f t="shared" si="217"/>
        <v>Sanscrit</v>
      </c>
      <c r="R295" s="33" t="str">
        <f>IF(OR(ISBLANK(P295), ISBLANK(Q295)),"",CONCATENATE(" ",VLOOKUP(Q295,Literatuur!$A:$B,2,FALSE)," "))</f>
        <v xml:space="preserve"> D </v>
      </c>
      <c r="T295" s="44" t="str">
        <f t="shared" si="218"/>
        <v xml:space="preserve"> </v>
      </c>
      <c r="U295" s="33" t="str">
        <f>IF(OR(ISBLANK(S295), ISBLANK(T295)),"",CONCATENATE(" ",VLOOKUP(T295,Literatuur!$A:$B,2,FALSE)," "))</f>
        <v/>
      </c>
      <c r="V295" s="33">
        <v>185</v>
      </c>
      <c r="W295" s="44" t="str">
        <f t="shared" si="219"/>
        <v>US EPA 1995</v>
      </c>
      <c r="X295" s="33" t="str">
        <f>IF(OR(ISBLANK(V295), ISBLANK(W295)),"",CONCATENATE(" ",VLOOKUP(W295,Literatuur!$A:$B,2,FALSE)," "))</f>
        <v xml:space="preserve"> 30 </v>
      </c>
      <c r="Y295" s="36"/>
      <c r="Z295" s="44" t="str">
        <f t="shared" si="220"/>
        <v xml:space="preserve"> </v>
      </c>
      <c r="AA295" s="33" t="str">
        <f>IF(OR(ISBLANK(Y295), ISBLANK(Z295)),"",CONCATENATE(" ",VLOOKUP(Z295,Literatuur!$A:$B,2,FALSE)," "))</f>
        <v/>
      </c>
      <c r="AB295" s="36">
        <v>198</v>
      </c>
      <c r="AC295" s="36" t="str">
        <f t="shared" si="221"/>
        <v>Vonk 1985</v>
      </c>
      <c r="AD295" s="33" t="str">
        <f>IF(OR(ISBLANK(AB295), ISBLANK(AC295)),"",CONCATENATE(" ",VLOOKUP(AC295,Literatuur!$A:$B,2,FALSE)," "))</f>
        <v xml:space="preserve"> 37 </v>
      </c>
      <c r="AE295" s="36"/>
      <c r="AF295" s="36"/>
      <c r="AG295" s="33" t="str">
        <f>IF(OR(ISBLANK(AE295), ISBLANK(AF295)),"",CONCATENATE(" ",VLOOKUP(AF295,Literatuur!$A:$B,2,FALSE)," "))</f>
        <v/>
      </c>
      <c r="AI295" s="37">
        <v>106.18666499232586</v>
      </c>
      <c r="AJ295" s="44" t="str">
        <f t="shared" si="222"/>
        <v>Sanscrit</v>
      </c>
      <c r="AK295" s="33" t="str">
        <f>IF(OR(ISBLANK(AI295), ISBLANK(AJ295)),"",CONCATENATE(" ",VLOOKUP(AJ295,Literatuur!$A:$B,2,FALSE)," "))</f>
        <v xml:space="preserve"> D </v>
      </c>
      <c r="AL295" s="36"/>
      <c r="AM295" s="44" t="str">
        <f t="shared" si="223"/>
        <v xml:space="preserve"> </v>
      </c>
      <c r="AN295" s="33" t="str">
        <f>IF(OR(ISBLANK(AL295), ISBLANK(AM295)),"",CONCATENATE(" ",VLOOKUP(AM295,Literatuur!$A:$B,2,FALSE)," "))</f>
        <v/>
      </c>
      <c r="AO295" s="36"/>
      <c r="AP295" s="44" t="str">
        <f t="shared" si="224"/>
        <v xml:space="preserve"> </v>
      </c>
      <c r="AQ295" s="33" t="str">
        <f>IF(OR(ISBLANK(AO295), ISBLANK(AP295)),"",CONCATENATE(" ",VLOOKUP(AP295,Literatuur!$A:$B,2,FALSE)," "))</f>
        <v/>
      </c>
      <c r="AR295" s="36"/>
      <c r="AT295" s="33" t="str">
        <f>IF(OR(ISBLANK(AR295), ISBLANK(AS295)),"",CONCATENATE(" ",VLOOKUP(AS295,Literatuur!$A:$B,2,FALSE)," "))</f>
        <v/>
      </c>
      <c r="AV295" s="36"/>
      <c r="AW295" s="33" t="str">
        <f>IF(OR(ISBLANK(AU295), ISBLANK(AV295)),"",CONCATENATE(" ",VLOOKUP(AV295,Literatuur!$A:$B,2,FALSE)," "))</f>
        <v/>
      </c>
      <c r="AY295" s="44">
        <v>3.15</v>
      </c>
      <c r="AZ295" s="44" t="str">
        <f t="shared" si="225"/>
        <v>Sanscrit</v>
      </c>
      <c r="BA295" s="33" t="str">
        <f>IF(OR(ISBLANK(AY295), ISBLANK(AZ295)),"",CONCATENATE(" ",VLOOKUP(AZ295,Literatuur!$A:$B,2,FALSE)," "))</f>
        <v xml:space="preserve"> D </v>
      </c>
      <c r="BB295" s="44"/>
      <c r="BC295" s="44" t="str">
        <f t="shared" si="226"/>
        <v xml:space="preserve"> </v>
      </c>
      <c r="BD295" s="33" t="str">
        <f>IF(OR(ISBLANK(BB295), ISBLANK(BC295)),"",CONCATENATE(" ",VLOOKUP(BC295,Literatuur!$A:$B,2,FALSE)," "))</f>
        <v/>
      </c>
      <c r="BE295" s="44">
        <v>3.17</v>
      </c>
      <c r="BF295" s="44" t="str">
        <f t="shared" si="227"/>
        <v>US EPA 1995</v>
      </c>
      <c r="BG295" s="33" t="str">
        <f>IF(OR(ISBLANK(BE295), ISBLANK(BF295)),"",CONCATENATE(" ",VLOOKUP(BF295,Literatuur!$A:$B,2,FALSE)," "))</f>
        <v xml:space="preserve"> 30 </v>
      </c>
      <c r="BH295" s="44"/>
      <c r="BI295" s="44" t="str">
        <f t="shared" si="228"/>
        <v xml:space="preserve"> </v>
      </c>
      <c r="BJ295" s="33" t="str">
        <f>IF(OR(ISBLANK(BH295), ISBLANK(BI295)),"",CONCATENATE(" ",VLOOKUP(BI295,Literatuur!$A:$B,2,FALSE)," "))</f>
        <v/>
      </c>
      <c r="BL295" s="44" t="str">
        <f t="shared" si="229"/>
        <v xml:space="preserve"> </v>
      </c>
      <c r="BM295" s="33" t="str">
        <f>IF(OR(ISBLANK(BK295), ISBLANK(BL295)),"",CONCATENATE(" ",VLOOKUP(BL295,Literatuur!$A:$B,2,FALSE)," "))</f>
        <v/>
      </c>
      <c r="BP295" s="33" t="str">
        <f>IF(OR(ISBLANK(BN295), ISBLANK(BO295)),"",CONCATENATE(" ",VLOOKUP(BO295,Literatuur!$A:$B,2,FALSE)," "))</f>
        <v/>
      </c>
      <c r="BS295" s="33" t="str">
        <f>IF(OR(ISBLANK(BQ295), ISBLANK(BR295)),"",CONCATENATE(" ",VLOOKUP(BR295,Literatuur!$A:$B,2,FALSE)," "))</f>
        <v/>
      </c>
      <c r="BV295" s="33" t="str">
        <f>IF(OR(ISBLANK(BT295), ISBLANK(BU295)),"",CONCATENATE(" ",VLOOKUP(BU295,Literatuur!$A:$B,2,FALSE)," "))</f>
        <v/>
      </c>
      <c r="BY295" s="33">
        <v>123.9</v>
      </c>
      <c r="CB295" s="33" t="s">
        <v>1070</v>
      </c>
      <c r="CD295" s="33">
        <f>L295</f>
        <v>123.9</v>
      </c>
      <c r="CE295" s="37">
        <f t="shared" si="233"/>
        <v>106.18666499232586</v>
      </c>
      <c r="CG295" s="33">
        <f t="shared" si="234"/>
        <v>2.3241557742331853</v>
      </c>
      <c r="CH295" s="33">
        <f t="shared" si="235"/>
        <v>3.15</v>
      </c>
      <c r="CR295" s="33" t="str">
        <f t="shared" si="209"/>
        <v>p-Xylene</v>
      </c>
      <c r="CS295" s="33" t="str">
        <f t="shared" si="210"/>
        <v>MAK</v>
      </c>
      <c r="CT295" s="33">
        <f t="shared" si="232"/>
        <v>106.18666499232586</v>
      </c>
      <c r="CU295" s="33" t="str">
        <f t="shared" si="211"/>
        <v xml:space="preserve"> D </v>
      </c>
      <c r="CV295" s="33">
        <f t="shared" si="212"/>
        <v>210.93846155625408</v>
      </c>
      <c r="CW295" s="33" t="str">
        <f t="shared" si="213"/>
        <v xml:space="preserve"> D </v>
      </c>
      <c r="CX295" s="33">
        <f t="shared" si="214"/>
        <v>3.15</v>
      </c>
      <c r="CY295" s="33" t="str">
        <f t="shared" si="215"/>
        <v xml:space="preserve"> D </v>
      </c>
    </row>
    <row r="296" spans="1:103" x14ac:dyDescent="0.2">
      <c r="B296" s="33">
        <v>704</v>
      </c>
      <c r="D296" s="105" t="s">
        <v>541</v>
      </c>
      <c r="E296" s="105" t="s">
        <v>541</v>
      </c>
      <c r="H296" s="34" t="s">
        <v>1077</v>
      </c>
      <c r="I296" s="33">
        <f t="shared" si="204"/>
        <v>104.14856451163628</v>
      </c>
      <c r="J296" s="33">
        <f t="shared" si="216"/>
        <v>320.05735053194411</v>
      </c>
      <c r="K296" s="44">
        <f t="shared" si="230"/>
        <v>2.95</v>
      </c>
      <c r="L296" s="33" t="e">
        <f t="shared" si="231"/>
        <v>#DIV/0!</v>
      </c>
      <c r="M296" s="33" t="s">
        <v>1549</v>
      </c>
      <c r="P296" s="33">
        <v>320.05735053194411</v>
      </c>
      <c r="Q296" s="44" t="str">
        <f t="shared" si="217"/>
        <v>Sanscrit</v>
      </c>
      <c r="R296" s="33" t="str">
        <f>IF(OR(ISBLANK(P296), ISBLANK(Q296)),"",CONCATENATE(" ",VLOOKUP(Q296,Literatuur!$A:$B,2,FALSE)," "))</f>
        <v xml:space="preserve"> D </v>
      </c>
      <c r="T296" s="44" t="str">
        <f t="shared" si="218"/>
        <v xml:space="preserve"> </v>
      </c>
      <c r="U296" s="33" t="str">
        <f>IF(OR(ISBLANK(S296), ISBLANK(T296)),"",CONCATENATE(" ",VLOOKUP(T296,Literatuur!$A:$B,2,FALSE)," "))</f>
        <v/>
      </c>
      <c r="W296" s="44" t="str">
        <f t="shared" si="219"/>
        <v xml:space="preserve"> </v>
      </c>
      <c r="X296" s="33" t="str">
        <f>IF(OR(ISBLANK(V296), ISBLANK(W296)),"",CONCATENATE(" ",VLOOKUP(W296,Literatuur!$A:$B,2,FALSE)," "))</f>
        <v/>
      </c>
      <c r="Y296" s="33">
        <v>310</v>
      </c>
      <c r="Z296" s="44" t="str">
        <f t="shared" si="220"/>
        <v>US EPA suite</v>
      </c>
      <c r="AA296" s="33" t="str">
        <f>IF(OR(ISBLANK(Y296), ISBLANK(Z296)),"",CONCATENATE(" ",VLOOKUP(Z296,Literatuur!$A:$B,2,FALSE)," "))</f>
        <v xml:space="preserve"> F </v>
      </c>
      <c r="AC296" s="36" t="str">
        <f t="shared" si="221"/>
        <v xml:space="preserve"> </v>
      </c>
      <c r="AD296" s="33" t="str">
        <f>IF(OR(ISBLANK(AB296), ISBLANK(AC296)),"",CONCATENATE(" ",VLOOKUP(AC296,Literatuur!$A:$B,2,FALSE)," "))</f>
        <v/>
      </c>
      <c r="AG296" s="33" t="str">
        <f>IF(OR(ISBLANK(AE296), ISBLANK(AF296)),"",CONCATENATE(" ",VLOOKUP(AF296,Literatuur!$A:$B,2,FALSE)," "))</f>
        <v/>
      </c>
      <c r="AI296" s="33">
        <v>104.14856451163628</v>
      </c>
      <c r="AJ296" s="44" t="str">
        <f t="shared" si="222"/>
        <v>Sanscrit</v>
      </c>
      <c r="AK296" s="33" t="str">
        <f>IF(OR(ISBLANK(AI296), ISBLANK(AJ296)),"",CONCATENATE(" ",VLOOKUP(AJ296,Literatuur!$A:$B,2,FALSE)," "))</f>
        <v xml:space="preserve"> D </v>
      </c>
      <c r="AM296" s="44" t="str">
        <f t="shared" si="223"/>
        <v xml:space="preserve"> </v>
      </c>
      <c r="AN296" s="33" t="str">
        <f>IF(OR(ISBLANK(AL296), ISBLANK(AM296)),"",CONCATENATE(" ",VLOOKUP(AM296,Literatuur!$A:$B,2,FALSE)," "))</f>
        <v/>
      </c>
      <c r="AO296" s="33">
        <v>104.15</v>
      </c>
      <c r="AP296" s="44" t="str">
        <f t="shared" si="224"/>
        <v>US EPA suite</v>
      </c>
      <c r="AQ296" s="33" t="str">
        <f>IF(OR(ISBLANK(AO296), ISBLANK(AP296)),"",CONCATENATE(" ",VLOOKUP(AP296,Literatuur!$A:$B,2,FALSE)," "))</f>
        <v xml:space="preserve"> F </v>
      </c>
      <c r="AT296" s="33" t="str">
        <f>IF(OR(ISBLANK(AR296), ISBLANK(AS296)),"",CONCATENATE(" ",VLOOKUP(AS296,Literatuur!$A:$B,2,FALSE)," "))</f>
        <v/>
      </c>
      <c r="AW296" s="33" t="str">
        <f>IF(OR(ISBLANK(AU296), ISBLANK(AV296)),"",CONCATENATE(" ",VLOOKUP(AV296,Literatuur!$A:$B,2,FALSE)," "))</f>
        <v/>
      </c>
      <c r="AY296" s="33">
        <v>2.95</v>
      </c>
      <c r="AZ296" s="44" t="str">
        <f t="shared" si="225"/>
        <v>Sanscrit</v>
      </c>
      <c r="BA296" s="33" t="str">
        <f>IF(OR(ISBLANK(AY296), ISBLANK(AZ296)),"",CONCATENATE(" ",VLOOKUP(AZ296,Literatuur!$A:$B,2,FALSE)," "))</f>
        <v xml:space="preserve"> D </v>
      </c>
      <c r="BC296" s="44" t="str">
        <f t="shared" si="226"/>
        <v xml:space="preserve"> </v>
      </c>
      <c r="BD296" s="33" t="str">
        <f>IF(OR(ISBLANK(BB296), ISBLANK(BC296)),"",CONCATENATE(" ",VLOOKUP(BC296,Literatuur!$A:$B,2,FALSE)," "))</f>
        <v/>
      </c>
      <c r="BF296" s="44" t="str">
        <f t="shared" si="227"/>
        <v xml:space="preserve"> </v>
      </c>
      <c r="BG296" s="33" t="str">
        <f>IF(OR(ISBLANK(BE296), ISBLANK(BF296)),"",CONCATENATE(" ",VLOOKUP(BF296,Literatuur!$A:$B,2,FALSE)," "))</f>
        <v/>
      </c>
      <c r="BH296" s="33">
        <v>2.95</v>
      </c>
      <c r="BI296" s="44" t="str">
        <f t="shared" si="228"/>
        <v>US EPA suite</v>
      </c>
      <c r="BJ296" s="33" t="str">
        <f>IF(OR(ISBLANK(BH296), ISBLANK(BI296)),"",CONCATENATE(" ",VLOOKUP(BI296,Literatuur!$A:$B,2,FALSE)," "))</f>
        <v xml:space="preserve"> F </v>
      </c>
      <c r="BL296" s="44" t="str">
        <f t="shared" si="229"/>
        <v xml:space="preserve"> </v>
      </c>
      <c r="BM296" s="33" t="str">
        <f>IF(OR(ISBLANK(BK296), ISBLANK(BL296)),"",CONCATENATE(" ",VLOOKUP(BL296,Literatuur!$A:$B,2,FALSE)," "))</f>
        <v/>
      </c>
      <c r="BP296" s="33" t="str">
        <f>IF(OR(ISBLANK(BN296), ISBLANK(BO296)),"",CONCATENATE(" ",VLOOKUP(BO296,Literatuur!$A:$B,2,FALSE)," "))</f>
        <v/>
      </c>
      <c r="BS296" s="33" t="str">
        <f>IF(OR(ISBLANK(BQ296), ISBLANK(BR296)),"",CONCATENATE(" ",VLOOKUP(BR296,Literatuur!$A:$B,2,FALSE)," "))</f>
        <v/>
      </c>
      <c r="BV296" s="33" t="str">
        <f>IF(OR(ISBLANK(BT296), ISBLANK(BU296)),"",CONCATENATE(" ",VLOOKUP(BU296,Literatuur!$A:$B,2,FALSE)," "))</f>
        <v/>
      </c>
      <c r="CE296" s="37">
        <f t="shared" si="233"/>
        <v>104.14856451163628</v>
      </c>
      <c r="CG296" s="33">
        <f t="shared" si="234"/>
        <v>2.5052278057820967</v>
      </c>
      <c r="CH296" s="33">
        <f t="shared" si="235"/>
        <v>2.95</v>
      </c>
      <c r="CR296" s="33" t="str">
        <f t="shared" si="209"/>
        <v>Styrene</v>
      </c>
      <c r="CS296" s="33" t="str">
        <f t="shared" si="210"/>
        <v>MAK</v>
      </c>
      <c r="CT296" s="33">
        <f t="shared" si="232"/>
        <v>104.14856451163628</v>
      </c>
      <c r="CU296" s="33" t="str">
        <f t="shared" si="211"/>
        <v xml:space="preserve"> D </v>
      </c>
      <c r="CV296" s="33">
        <f t="shared" si="212"/>
        <v>320.05735053194411</v>
      </c>
      <c r="CW296" s="33" t="str">
        <f t="shared" si="213"/>
        <v xml:space="preserve"> D </v>
      </c>
      <c r="CX296" s="33">
        <f t="shared" si="214"/>
        <v>2.95</v>
      </c>
      <c r="CY296" s="33" t="str">
        <f t="shared" si="215"/>
        <v xml:space="preserve"> D </v>
      </c>
    </row>
    <row r="297" spans="1:103" x14ac:dyDescent="0.2">
      <c r="B297" s="33">
        <v>204</v>
      </c>
      <c r="D297" s="33" t="s">
        <v>20</v>
      </c>
      <c r="E297" s="33" t="s">
        <v>492</v>
      </c>
      <c r="H297" s="34" t="s">
        <v>21</v>
      </c>
      <c r="I297" s="37">
        <f t="shared" si="204"/>
        <v>92.14249284505685</v>
      </c>
      <c r="J297" s="33">
        <f t="shared" si="216"/>
        <v>610.59105234897152</v>
      </c>
      <c r="K297" s="44">
        <f t="shared" si="230"/>
        <v>2.73</v>
      </c>
      <c r="L297" s="33">
        <f t="shared" si="231"/>
        <v>106.9</v>
      </c>
      <c r="M297" s="33" t="s">
        <v>1549</v>
      </c>
      <c r="P297" s="33">
        <v>610.59105234897152</v>
      </c>
      <c r="Q297" s="44" t="str">
        <f t="shared" si="217"/>
        <v>Sanscrit</v>
      </c>
      <c r="R297" s="33" t="str">
        <f>IF(OR(ISBLANK(P297), ISBLANK(Q297)),"",CONCATENATE(" ",VLOOKUP(Q297,Literatuur!$A:$B,2,FALSE)," "))</f>
        <v xml:space="preserve"> D </v>
      </c>
      <c r="T297" s="44" t="str">
        <f t="shared" si="218"/>
        <v xml:space="preserve"> </v>
      </c>
      <c r="U297" s="33" t="str">
        <f>IF(OR(ISBLANK(S297), ISBLANK(T297)),"",CONCATENATE(" ",VLOOKUP(T297,Literatuur!$A:$B,2,FALSE)," "))</f>
        <v/>
      </c>
      <c r="V297" s="33">
        <v>526</v>
      </c>
      <c r="W297" s="44" t="str">
        <f t="shared" si="219"/>
        <v>US EPA 1995</v>
      </c>
      <c r="X297" s="33" t="str">
        <f>IF(OR(ISBLANK(V297), ISBLANK(W297)),"",CONCATENATE(" ",VLOOKUP(W297,Literatuur!$A:$B,2,FALSE)," "))</f>
        <v xml:space="preserve"> 30 </v>
      </c>
      <c r="Y297" s="36"/>
      <c r="Z297" s="44" t="str">
        <f t="shared" si="220"/>
        <v xml:space="preserve"> </v>
      </c>
      <c r="AA297" s="33" t="str">
        <f>IF(OR(ISBLANK(Y297), ISBLANK(Z297)),"",CONCATENATE(" ",VLOOKUP(Z297,Literatuur!$A:$B,2,FALSE)," "))</f>
        <v/>
      </c>
      <c r="AB297" s="36">
        <v>515</v>
      </c>
      <c r="AC297" s="36" t="str">
        <f t="shared" si="221"/>
        <v>Vonk 1985</v>
      </c>
      <c r="AD297" s="33" t="str">
        <f>IF(OR(ISBLANK(AB297), ISBLANK(AC297)),"",CONCATENATE(" ",VLOOKUP(AC297,Literatuur!$A:$B,2,FALSE)," "))</f>
        <v xml:space="preserve"> 37 </v>
      </c>
      <c r="AE297" s="36"/>
      <c r="AF297" s="36"/>
      <c r="AG297" s="33" t="str">
        <f>IF(OR(ISBLANK(AE297), ISBLANK(AF297)),"",CONCATENATE(" ",VLOOKUP(AF297,Literatuur!$A:$B,2,FALSE)," "))</f>
        <v/>
      </c>
      <c r="AI297" s="37">
        <v>92.14249284505685</v>
      </c>
      <c r="AJ297" s="44" t="str">
        <f t="shared" si="222"/>
        <v>Sanscrit</v>
      </c>
      <c r="AK297" s="33" t="str">
        <f>IF(OR(ISBLANK(AI297), ISBLANK(AJ297)),"",CONCATENATE(" ",VLOOKUP(AJ297,Literatuur!$A:$B,2,FALSE)," "))</f>
        <v xml:space="preserve"> D </v>
      </c>
      <c r="AL297" s="36"/>
      <c r="AM297" s="44" t="str">
        <f t="shared" si="223"/>
        <v xml:space="preserve"> </v>
      </c>
      <c r="AN297" s="33" t="str">
        <f>IF(OR(ISBLANK(AL297), ISBLANK(AM297)),"",CONCATENATE(" ",VLOOKUP(AM297,Literatuur!$A:$B,2,FALSE)," "))</f>
        <v/>
      </c>
      <c r="AO297" s="36"/>
      <c r="AP297" s="44" t="str">
        <f t="shared" si="224"/>
        <v xml:space="preserve"> </v>
      </c>
      <c r="AQ297" s="33" t="str">
        <f>IF(OR(ISBLANK(AO297), ISBLANK(AP297)),"",CONCATENATE(" ",VLOOKUP(AP297,Literatuur!$A:$B,2,FALSE)," "))</f>
        <v/>
      </c>
      <c r="AR297" s="36"/>
      <c r="AT297" s="33" t="str">
        <f>IF(OR(ISBLANK(AR297), ISBLANK(AS297)),"",CONCATENATE(" ",VLOOKUP(AS297,Literatuur!$A:$B,2,FALSE)," "))</f>
        <v/>
      </c>
      <c r="AV297" s="36"/>
      <c r="AW297" s="33" t="str">
        <f>IF(OR(ISBLANK(AU297), ISBLANK(AV297)),"",CONCATENATE(" ",VLOOKUP(AV297,Literatuur!$A:$B,2,FALSE)," "))</f>
        <v/>
      </c>
      <c r="AY297" s="44">
        <v>2.73</v>
      </c>
      <c r="AZ297" s="44" t="str">
        <f t="shared" si="225"/>
        <v>Sanscrit</v>
      </c>
      <c r="BA297" s="33" t="str">
        <f>IF(OR(ISBLANK(AY297), ISBLANK(AZ297)),"",CONCATENATE(" ",VLOOKUP(AZ297,Literatuur!$A:$B,2,FALSE)," "))</f>
        <v xml:space="preserve"> D </v>
      </c>
      <c r="BB297" s="44"/>
      <c r="BC297" s="44" t="str">
        <f t="shared" si="226"/>
        <v xml:space="preserve"> </v>
      </c>
      <c r="BD297" s="33" t="str">
        <f>IF(OR(ISBLANK(BB297), ISBLANK(BC297)),"",CONCATENATE(" ",VLOOKUP(BC297,Literatuur!$A:$B,2,FALSE)," "))</f>
        <v/>
      </c>
      <c r="BE297" s="44">
        <v>2.75</v>
      </c>
      <c r="BF297" s="44" t="str">
        <f t="shared" si="227"/>
        <v>US EPA 1995</v>
      </c>
      <c r="BG297" s="33" t="str">
        <f>IF(OR(ISBLANK(BE297), ISBLANK(BF297)),"",CONCATENATE(" ",VLOOKUP(BF297,Literatuur!$A:$B,2,FALSE)," "))</f>
        <v xml:space="preserve"> 30 </v>
      </c>
      <c r="BH297" s="44"/>
      <c r="BI297" s="44" t="str">
        <f t="shared" si="228"/>
        <v xml:space="preserve"> </v>
      </c>
      <c r="BJ297" s="33" t="str">
        <f>IF(OR(ISBLANK(BH297), ISBLANK(BI297)),"",CONCATENATE(" ",VLOOKUP(BI297,Literatuur!$A:$B,2,FALSE)," "))</f>
        <v/>
      </c>
      <c r="BL297" s="44" t="str">
        <f t="shared" si="229"/>
        <v xml:space="preserve"> </v>
      </c>
      <c r="BM297" s="33" t="str">
        <f>IF(OR(ISBLANK(BK297), ISBLANK(BL297)),"",CONCATENATE(" ",VLOOKUP(BL297,Literatuur!$A:$B,2,FALSE)," "))</f>
        <v/>
      </c>
      <c r="BP297" s="33" t="str">
        <f>IF(OR(ISBLANK(BN297), ISBLANK(BO297)),"",CONCATENATE(" ",VLOOKUP(BO297,Literatuur!$A:$B,2,FALSE)," "))</f>
        <v/>
      </c>
      <c r="BS297" s="33" t="str">
        <f>IF(OR(ISBLANK(BQ297), ISBLANK(BR297)),"",CONCATENATE(" ",VLOOKUP(BR297,Literatuur!$A:$B,2,FALSE)," "))</f>
        <v/>
      </c>
      <c r="BV297" s="33" t="str">
        <f>IF(OR(ISBLANK(BT297), ISBLANK(BU297)),"",CONCATENATE(" ",VLOOKUP(BU297,Literatuur!$A:$B,2,FALSE)," "))</f>
        <v/>
      </c>
      <c r="BY297" s="33">
        <v>106.9</v>
      </c>
      <c r="CB297" s="33" t="s">
        <v>1070</v>
      </c>
      <c r="CD297" s="33">
        <f>L297</f>
        <v>106.9</v>
      </c>
      <c r="CE297" s="37">
        <f t="shared" si="233"/>
        <v>92.14249284505685</v>
      </c>
      <c r="CG297" s="33">
        <f t="shared" si="234"/>
        <v>2.7857504358225516</v>
      </c>
      <c r="CH297" s="33">
        <f t="shared" si="235"/>
        <v>2.73</v>
      </c>
      <c r="CI297" s="33">
        <v>3</v>
      </c>
      <c r="CR297" s="33" t="str">
        <f t="shared" si="209"/>
        <v>Toluene</v>
      </c>
      <c r="CS297" s="33" t="str">
        <f t="shared" si="210"/>
        <v>MAK</v>
      </c>
      <c r="CT297" s="33">
        <f t="shared" si="232"/>
        <v>92.14249284505685</v>
      </c>
      <c r="CU297" s="33" t="str">
        <f t="shared" si="211"/>
        <v xml:space="preserve"> D </v>
      </c>
      <c r="CV297" s="33">
        <f t="shared" si="212"/>
        <v>610.59105234897152</v>
      </c>
      <c r="CW297" s="33" t="str">
        <f t="shared" si="213"/>
        <v xml:space="preserve"> D </v>
      </c>
      <c r="CX297" s="33">
        <f t="shared" si="214"/>
        <v>2.73</v>
      </c>
      <c r="CY297" s="33" t="str">
        <f t="shared" si="215"/>
        <v xml:space="preserve"> D </v>
      </c>
    </row>
    <row r="298" spans="1:103" x14ac:dyDescent="0.2">
      <c r="B298" s="33">
        <v>-200</v>
      </c>
      <c r="D298" s="33" t="s">
        <v>14</v>
      </c>
      <c r="E298" s="33" t="s">
        <v>1257</v>
      </c>
      <c r="H298" t="s">
        <v>16</v>
      </c>
      <c r="I298" s="94">
        <f>AVERAGE(I291:I293)</f>
        <v>120.20888801685282</v>
      </c>
      <c r="J298" s="33" t="e">
        <f t="shared" si="216"/>
        <v>#DIV/0!</v>
      </c>
      <c r="K298" s="94">
        <f>AVERAGE(K291:K293)</f>
        <v>3.74</v>
      </c>
      <c r="L298" s="33" t="e">
        <f t="shared" si="231"/>
        <v>#DIV/0!</v>
      </c>
      <c r="M298" s="33" t="s">
        <v>1549</v>
      </c>
      <c r="O298" s="33" t="s">
        <v>1945</v>
      </c>
      <c r="Q298" s="44" t="str">
        <f t="shared" si="217"/>
        <v xml:space="preserve"> </v>
      </c>
      <c r="R298" s="33" t="str">
        <f>IF(OR(ISBLANK(P298), ISBLANK(Q298)),"",CONCATENATE(" ",VLOOKUP(Q298,Literatuur!$A:$B,2,FALSE)," "))</f>
        <v/>
      </c>
      <c r="T298" s="44" t="str">
        <f t="shared" si="218"/>
        <v xml:space="preserve"> </v>
      </c>
      <c r="U298" s="33" t="str">
        <f>IF(OR(ISBLANK(S298), ISBLANK(T298)),"",CONCATENATE(" ",VLOOKUP(T298,Literatuur!$A:$B,2,FALSE)," "))</f>
        <v/>
      </c>
      <c r="W298" s="44" t="str">
        <f t="shared" si="219"/>
        <v xml:space="preserve"> </v>
      </c>
      <c r="X298" s="33" t="str">
        <f>IF(OR(ISBLANK(V298), ISBLANK(W298)),"",CONCATENATE(" ",VLOOKUP(W298,Literatuur!$A:$B,2,FALSE)," "))</f>
        <v/>
      </c>
      <c r="Y298" s="36"/>
      <c r="Z298" s="44" t="str">
        <f t="shared" si="220"/>
        <v xml:space="preserve"> </v>
      </c>
      <c r="AA298" s="33" t="str">
        <f>IF(OR(ISBLANK(Y298), ISBLANK(Z298)),"",CONCATENATE(" ",VLOOKUP(Z298,Literatuur!$A:$B,2,FALSE)," "))</f>
        <v/>
      </c>
      <c r="AB298" s="36"/>
      <c r="AC298" s="36" t="str">
        <f t="shared" si="221"/>
        <v xml:space="preserve"> </v>
      </c>
      <c r="AD298" s="33" t="str">
        <f>IF(OR(ISBLANK(AB298), ISBLANK(AC298)),"",CONCATENATE(" ",VLOOKUP(AC298,Literatuur!$A:$B,2,FALSE)," "))</f>
        <v/>
      </c>
      <c r="AE298" s="36"/>
      <c r="AF298" s="36"/>
      <c r="AG298" s="33" t="str">
        <f>IF(OR(ISBLANK(AE298), ISBLANK(AF298)),"",CONCATENATE(" ",VLOOKUP(AF298,Literatuur!$A:$B,2,FALSE)," "))</f>
        <v/>
      </c>
      <c r="AI298" s="37"/>
      <c r="AJ298" s="44" t="str">
        <f t="shared" si="222"/>
        <v xml:space="preserve"> </v>
      </c>
      <c r="AK298" s="33" t="str">
        <f>IF(OR(ISBLANK(AI298), ISBLANK(AJ298)),"",CONCATENATE(" ",VLOOKUP(AJ298,Literatuur!$A:$B,2,FALSE)," "))</f>
        <v/>
      </c>
      <c r="AL298" s="36"/>
      <c r="AM298" s="44" t="str">
        <f t="shared" si="223"/>
        <v xml:space="preserve"> </v>
      </c>
      <c r="AN298" s="33" t="str">
        <f>IF(OR(ISBLANK(AL298), ISBLANK(AM298)),"",CONCATENATE(" ",VLOOKUP(AM298,Literatuur!$A:$B,2,FALSE)," "))</f>
        <v/>
      </c>
      <c r="AO298" s="36"/>
      <c r="AP298" s="44" t="str">
        <f t="shared" si="224"/>
        <v xml:space="preserve"> </v>
      </c>
      <c r="AQ298" s="33" t="str">
        <f>IF(OR(ISBLANK(AO298), ISBLANK(AP298)),"",CONCATENATE(" ",VLOOKUP(AP298,Literatuur!$A:$B,2,FALSE)," "))</f>
        <v/>
      </c>
      <c r="AR298" s="36"/>
      <c r="AT298" s="33" t="str">
        <f>IF(OR(ISBLANK(AR298), ISBLANK(AS298)),"",CONCATENATE(" ",VLOOKUP(AS298,Literatuur!$A:$B,2,FALSE)," "))</f>
        <v/>
      </c>
      <c r="AV298" s="36"/>
      <c r="AW298" s="33" t="str">
        <f>IF(OR(ISBLANK(AU298), ISBLANK(AV298)),"",CONCATENATE(" ",VLOOKUP(AV298,Literatuur!$A:$B,2,FALSE)," "))</f>
        <v/>
      </c>
      <c r="AX298" s="33" t="s">
        <v>1915</v>
      </c>
      <c r="AY298" s="44"/>
      <c r="AZ298" s="44" t="str">
        <f t="shared" si="225"/>
        <v xml:space="preserve"> </v>
      </c>
      <c r="BA298" s="33" t="str">
        <f>IF(OR(ISBLANK(AY298), ISBLANK(AZ298)),"",CONCATENATE(" ",VLOOKUP(AZ298,Literatuur!$A:$B,2,FALSE)," "))</f>
        <v/>
      </c>
      <c r="BB298" s="44"/>
      <c r="BC298" s="44" t="str">
        <f t="shared" si="226"/>
        <v xml:space="preserve"> </v>
      </c>
      <c r="BD298" s="33" t="str">
        <f>IF(OR(ISBLANK(BB298), ISBLANK(BC298)),"",CONCATENATE(" ",VLOOKUP(BC298,Literatuur!$A:$B,2,FALSE)," "))</f>
        <v/>
      </c>
      <c r="BF298" s="44" t="str">
        <f t="shared" si="227"/>
        <v xml:space="preserve"> </v>
      </c>
      <c r="BG298" s="33" t="str">
        <f>IF(OR(ISBLANK(BE298), ISBLANK(BF298)),"",CONCATENATE(" ",VLOOKUP(BF298,Literatuur!$A:$B,2,FALSE)," "))</f>
        <v/>
      </c>
      <c r="BI298" s="44" t="str">
        <f t="shared" si="228"/>
        <v xml:space="preserve"> </v>
      </c>
      <c r="BJ298" s="33" t="str">
        <f>IF(OR(ISBLANK(BH298), ISBLANK(BI298)),"",CONCATENATE(" ",VLOOKUP(BI298,Literatuur!$A:$B,2,FALSE)," "))</f>
        <v/>
      </c>
      <c r="BL298" s="44" t="str">
        <f t="shared" si="229"/>
        <v xml:space="preserve"> </v>
      </c>
      <c r="BM298" s="33" t="str">
        <f>IF(OR(ISBLANK(BK298), ISBLANK(BL298)),"",CONCATENATE(" ",VLOOKUP(BL298,Literatuur!$A:$B,2,FALSE)," "))</f>
        <v/>
      </c>
      <c r="BP298" s="33" t="str">
        <f>IF(OR(ISBLANK(BN298), ISBLANK(BO298)),"",CONCATENATE(" ",VLOOKUP(BO298,Literatuur!$A:$B,2,FALSE)," "))</f>
        <v/>
      </c>
      <c r="BS298" s="33" t="str">
        <f>IF(OR(ISBLANK(BQ298), ISBLANK(BR298)),"",CONCATENATE(" ",VLOOKUP(BR298,Literatuur!$A:$B,2,FALSE)," "))</f>
        <v/>
      </c>
      <c r="BV298" s="33" t="str">
        <f>IF(OR(ISBLANK(BT298), ISBLANK(BU298)),"",CONCATENATE(" ",VLOOKUP(BU298,Literatuur!$A:$B,2,FALSE)," "))</f>
        <v/>
      </c>
      <c r="CE298" s="37">
        <f t="shared" si="233"/>
        <v>120.20888801685282</v>
      </c>
      <c r="CG298" s="33" t="e">
        <f t="shared" si="234"/>
        <v>#DIV/0!</v>
      </c>
      <c r="CH298" s="33">
        <f t="shared" si="235"/>
        <v>3.74</v>
      </c>
      <c r="CR298" s="33" t="str">
        <f t="shared" si="209"/>
        <v>Xylene</v>
      </c>
      <c r="CS298" s="33" t="str">
        <f t="shared" si="210"/>
        <v>MAK</v>
      </c>
      <c r="CT298" s="33">
        <f t="shared" si="232"/>
        <v>120.20888801685282</v>
      </c>
      <c r="CU298" s="33" t="str">
        <f t="shared" si="211"/>
        <v>average of o-, m- en p-xylene</v>
      </c>
      <c r="CV298" s="33" t="str">
        <f t="shared" si="212"/>
        <v/>
      </c>
      <c r="CW298" s="33" t="str">
        <f t="shared" si="213"/>
        <v/>
      </c>
      <c r="CX298" s="33">
        <f t="shared" si="214"/>
        <v>3.74</v>
      </c>
      <c r="CY298" s="33" t="str">
        <f t="shared" si="215"/>
        <v/>
      </c>
    </row>
    <row r="299" spans="1:103" x14ac:dyDescent="0.2">
      <c r="B299" s="33">
        <v>530</v>
      </c>
      <c r="D299" s="33" t="s">
        <v>300</v>
      </c>
      <c r="E299" s="33" t="s">
        <v>1286</v>
      </c>
      <c r="F299" s="33" t="s">
        <v>1289</v>
      </c>
      <c r="H299" s="34" t="s">
        <v>301</v>
      </c>
      <c r="I299" s="37">
        <f t="shared" ref="I299:I330" si="236">IF(ISNUMBER(AI299),AI299,AVERAGE(AL299:AU299))</f>
        <v>181.43999503992538</v>
      </c>
      <c r="J299" s="33">
        <f t="shared" si="216"/>
        <v>13.623987011866511</v>
      </c>
      <c r="K299" s="44">
        <f t="shared" ref="K299:K319" si="237">IF(ISNUMBER(AY299),AY299,AVERAGE(BB299,BE299,BH299,BK299,BN299,BQ299,BT299))</f>
        <v>4.1399999999999997</v>
      </c>
      <c r="L299" s="33" t="e">
        <f t="shared" si="231"/>
        <v>#DIV/0!</v>
      </c>
      <c r="M299" s="33" t="s">
        <v>1892</v>
      </c>
      <c r="P299" s="33">
        <v>13.623987011866511</v>
      </c>
      <c r="Q299" s="44" t="str">
        <f t="shared" si="217"/>
        <v>Sanscrit</v>
      </c>
      <c r="R299" s="33" t="str">
        <f>IF(OR(ISBLANK(P299), ISBLANK(Q299)),"",CONCATENATE(" ",VLOOKUP(Q299,Literatuur!$A:$B,2,FALSE)," "))</f>
        <v xml:space="preserve"> D </v>
      </c>
      <c r="S299" s="33">
        <v>16</v>
      </c>
      <c r="T299" s="44" t="str">
        <f t="shared" si="218"/>
        <v>Gestis</v>
      </c>
      <c r="U299" s="33" t="str">
        <f>IF(OR(ISBLANK(S299), ISBLANK(T299)),"",CONCATENATE(" ",VLOOKUP(T299,Literatuur!$A:$B,2,FALSE)," "))</f>
        <v xml:space="preserve"> A </v>
      </c>
      <c r="W299" s="44" t="str">
        <f t="shared" si="219"/>
        <v xml:space="preserve"> </v>
      </c>
      <c r="X299" s="33" t="str">
        <f>IF(OR(ISBLANK(V299), ISBLANK(W299)),"",CONCATENATE(" ",VLOOKUP(W299,Literatuur!$A:$B,2,FALSE)," "))</f>
        <v/>
      </c>
      <c r="Z299" s="44" t="str">
        <f t="shared" si="220"/>
        <v xml:space="preserve"> </v>
      </c>
      <c r="AA299" s="33" t="str">
        <f>IF(OR(ISBLANK(Y299), ISBLANK(Z299)),"",CONCATENATE(" ",VLOOKUP(Z299,Literatuur!$A:$B,2,FALSE)," "))</f>
        <v/>
      </c>
      <c r="AB299" s="33">
        <v>12</v>
      </c>
      <c r="AC299" s="36" t="str">
        <f t="shared" si="221"/>
        <v>Vonk 1985</v>
      </c>
      <c r="AD299" s="33" t="str">
        <f>IF(OR(ISBLANK(AB299), ISBLANK(AC299)),"",CONCATENATE(" ",VLOOKUP(AC299,Literatuur!$A:$B,2,FALSE)," "))</f>
        <v xml:space="preserve"> 37 </v>
      </c>
      <c r="AE299" s="41">
        <v>16.36</v>
      </c>
      <c r="AF299" s="33" t="s">
        <v>1902</v>
      </c>
      <c r="AG299" s="33" t="str">
        <f>IF(OR(ISBLANK(AE299), ISBLANK(AF299)),"",CONCATENATE(" ",VLOOKUP(AF299,Literatuur!$A:$B,2,FALSE)," "))</f>
        <v xml:space="preserve"> B </v>
      </c>
      <c r="AI299" s="37">
        <v>181.43999503992538</v>
      </c>
      <c r="AJ299" s="44" t="str">
        <f t="shared" si="222"/>
        <v>Sanscrit</v>
      </c>
      <c r="AK299" s="33" t="str">
        <f>IF(OR(ISBLANK(AI299), ISBLANK(AJ299)),"",CONCATENATE(" ",VLOOKUP(AJ299,Literatuur!$A:$B,2,FALSE)," "))</f>
        <v xml:space="preserve"> D </v>
      </c>
      <c r="AL299" s="41">
        <v>181.45</v>
      </c>
      <c r="AM299" s="44" t="str">
        <f t="shared" si="223"/>
        <v>Gestis</v>
      </c>
      <c r="AN299" s="33" t="str">
        <f>IF(OR(ISBLANK(AL299), ISBLANK(AM299)),"",CONCATENATE(" ",VLOOKUP(AM299,Literatuur!$A:$B,2,FALSE)," "))</f>
        <v xml:space="preserve"> A </v>
      </c>
      <c r="AO299" s="41"/>
      <c r="AP299" s="44" t="str">
        <f t="shared" si="224"/>
        <v xml:space="preserve"> </v>
      </c>
      <c r="AQ299" s="33" t="str">
        <f>IF(OR(ISBLANK(AO299), ISBLANK(AP299)),"",CONCATENATE(" ",VLOOKUP(AP299,Literatuur!$A:$B,2,FALSE)," "))</f>
        <v/>
      </c>
      <c r="AR299" s="41"/>
      <c r="AT299" s="33" t="str">
        <f>IF(OR(ISBLANK(AR299), ISBLANK(AS299)),"",CONCATENATE(" ",VLOOKUP(AS299,Literatuur!$A:$B,2,FALSE)," "))</f>
        <v/>
      </c>
      <c r="AV299" s="41"/>
      <c r="AW299" s="33" t="str">
        <f>IF(OR(ISBLANK(AU299), ISBLANK(AV299)),"",CONCATENATE(" ",VLOOKUP(AV299,Literatuur!$A:$B,2,FALSE)," "))</f>
        <v/>
      </c>
      <c r="AY299" s="44">
        <v>4.1399999999999997</v>
      </c>
      <c r="AZ299" s="44" t="str">
        <f t="shared" si="225"/>
        <v>Sanscrit</v>
      </c>
      <c r="BA299" s="33" t="str">
        <f>IF(OR(ISBLANK(AY299), ISBLANK(AZ299)),"",CONCATENATE(" ",VLOOKUP(AZ299,Literatuur!$A:$B,2,FALSE)," "))</f>
        <v xml:space="preserve"> D </v>
      </c>
      <c r="BB299" s="44">
        <v>4.05</v>
      </c>
      <c r="BC299" s="44" t="str">
        <f t="shared" si="226"/>
        <v>Gestis</v>
      </c>
      <c r="BD299" s="33" t="str">
        <f>IF(OR(ISBLANK(BB299), ISBLANK(BC299)),"",CONCATENATE(" ",VLOOKUP(BC299,Literatuur!$A:$B,2,FALSE)," "))</f>
        <v xml:space="preserve"> A </v>
      </c>
      <c r="BF299" s="44" t="str">
        <f t="shared" si="227"/>
        <v xml:space="preserve"> </v>
      </c>
      <c r="BG299" s="33" t="str">
        <f>IF(OR(ISBLANK(BE299), ISBLANK(BF299)),"",CONCATENATE(" ",VLOOKUP(BF299,Literatuur!$A:$B,2,FALSE)," "))</f>
        <v/>
      </c>
      <c r="BI299" s="44" t="str">
        <f t="shared" si="228"/>
        <v xml:space="preserve"> </v>
      </c>
      <c r="BJ299" s="33" t="str">
        <f>IF(OR(ISBLANK(BH299), ISBLANK(BI299)),"",CONCATENATE(" ",VLOOKUP(BI299,Literatuur!$A:$B,2,FALSE)," "))</f>
        <v/>
      </c>
      <c r="BL299" s="44" t="str">
        <f t="shared" si="229"/>
        <v xml:space="preserve"> </v>
      </c>
      <c r="BM299" s="33" t="str">
        <f>IF(OR(ISBLANK(BK299), ISBLANK(BL299)),"",CONCATENATE(" ",VLOOKUP(BL299,Literatuur!$A:$B,2,FALSE)," "))</f>
        <v/>
      </c>
      <c r="BP299" s="33" t="str">
        <f>IF(OR(ISBLANK(BN299), ISBLANK(BO299)),"",CONCATENATE(" ",VLOOKUP(BO299,Literatuur!$A:$B,2,FALSE)," "))</f>
        <v/>
      </c>
      <c r="BS299" s="33" t="str">
        <f>IF(OR(ISBLANK(BQ299), ISBLANK(BR299)),"",CONCATENATE(" ",VLOOKUP(BR299,Literatuur!$A:$B,2,FALSE)," "))</f>
        <v/>
      </c>
      <c r="BT299" s="33">
        <v>4.0199999999999996</v>
      </c>
      <c r="BU299" s="33" t="s">
        <v>1902</v>
      </c>
      <c r="BV299" s="33" t="str">
        <f>IF(OR(ISBLANK(BT299), ISBLANK(BU299)),"",CONCATENATE(" ",VLOOKUP(BU299,Literatuur!$A:$B,2,FALSE)," "))</f>
        <v xml:space="preserve"> B </v>
      </c>
      <c r="CE299" s="37">
        <f t="shared" si="233"/>
        <v>181.43999503992538</v>
      </c>
      <c r="CG299" s="33">
        <f t="shared" si="234"/>
        <v>1.1343042209294865</v>
      </c>
      <c r="CH299" s="33">
        <f t="shared" si="235"/>
        <v>4.1399999999999997</v>
      </c>
      <c r="CR299" s="33" t="str">
        <f t="shared" si="209"/>
        <v>1,2,3-Trichlorobenzene</v>
      </c>
      <c r="CS299" s="33" t="str">
        <f t="shared" si="210"/>
        <v>ClArom</v>
      </c>
      <c r="CT299" s="33">
        <f t="shared" si="232"/>
        <v>181.43999503992538</v>
      </c>
      <c r="CU299" s="33" t="str">
        <f t="shared" si="211"/>
        <v xml:space="preserve"> D </v>
      </c>
      <c r="CV299" s="33">
        <f t="shared" si="212"/>
        <v>13.623987011866511</v>
      </c>
      <c r="CW299" s="33" t="str">
        <f t="shared" si="213"/>
        <v xml:space="preserve"> D </v>
      </c>
      <c r="CX299" s="33">
        <f t="shared" si="214"/>
        <v>4.1399999999999997</v>
      </c>
      <c r="CY299" s="33" t="str">
        <f t="shared" si="215"/>
        <v xml:space="preserve"> D </v>
      </c>
    </row>
    <row r="300" spans="1:103" x14ac:dyDescent="0.2">
      <c r="B300" s="33">
        <v>502</v>
      </c>
      <c r="D300" s="33" t="s">
        <v>302</v>
      </c>
      <c r="E300" s="33" t="s">
        <v>1287</v>
      </c>
      <c r="F300" s="33" t="s">
        <v>1289</v>
      </c>
      <c r="H300" s="34" t="s">
        <v>303</v>
      </c>
      <c r="I300" s="37">
        <f t="shared" si="236"/>
        <v>181.43999503992538</v>
      </c>
      <c r="J300" s="33">
        <f t="shared" si="216"/>
        <v>28.808020153910686</v>
      </c>
      <c r="K300" s="44">
        <f t="shared" si="237"/>
        <v>4.05</v>
      </c>
      <c r="L300" s="33" t="e">
        <f t="shared" si="231"/>
        <v>#DIV/0!</v>
      </c>
      <c r="M300" s="33" t="s">
        <v>1892</v>
      </c>
      <c r="P300" s="33">
        <v>28.808020153910686</v>
      </c>
      <c r="Q300" s="44" t="str">
        <f t="shared" si="217"/>
        <v>Sanscrit</v>
      </c>
      <c r="R300" s="33" t="str">
        <f>IF(OR(ISBLANK(P300), ISBLANK(Q300)),"",CONCATENATE(" ",VLOOKUP(Q300,Literatuur!$A:$B,2,FALSE)," "))</f>
        <v xml:space="preserve"> D </v>
      </c>
      <c r="S300" s="33">
        <v>35</v>
      </c>
      <c r="T300" s="44" t="str">
        <f t="shared" si="218"/>
        <v>Gestis</v>
      </c>
      <c r="U300" s="33" t="str">
        <f>IF(OR(ISBLANK(S300), ISBLANK(T300)),"",CONCATENATE(" ",VLOOKUP(T300,Literatuur!$A:$B,2,FALSE)," "))</f>
        <v xml:space="preserve"> A </v>
      </c>
      <c r="W300" s="44" t="str">
        <f t="shared" si="219"/>
        <v xml:space="preserve"> </v>
      </c>
      <c r="X300" s="33" t="str">
        <f>IF(OR(ISBLANK(V300), ISBLANK(W300)),"",CONCATENATE(" ",VLOOKUP(W300,Literatuur!$A:$B,2,FALSE)," "))</f>
        <v/>
      </c>
      <c r="Y300" s="33">
        <v>49</v>
      </c>
      <c r="Z300" s="44" t="str">
        <f t="shared" si="220"/>
        <v>US EPA suite</v>
      </c>
      <c r="AA300" s="33" t="str">
        <f>IF(OR(ISBLANK(Y300), ISBLANK(Z300)),"",CONCATENATE(" ",VLOOKUP(Z300,Literatuur!$A:$B,2,FALSE)," "))</f>
        <v xml:space="preserve"> F </v>
      </c>
      <c r="AB300" s="38">
        <v>19</v>
      </c>
      <c r="AC300" s="36" t="str">
        <f t="shared" si="221"/>
        <v>Vonk 1985</v>
      </c>
      <c r="AD300" s="33" t="str">
        <f>IF(OR(ISBLANK(AB300), ISBLANK(AC300)),"",CONCATENATE(" ",VLOOKUP(AC300,Literatuur!$A:$B,2,FALSE)," "))</f>
        <v xml:space="preserve"> 37 </v>
      </c>
      <c r="AE300" s="38"/>
      <c r="AF300" s="38"/>
      <c r="AG300" s="33" t="str">
        <f>IF(OR(ISBLANK(AE300), ISBLANK(AF300)),"",CONCATENATE(" ",VLOOKUP(AF300,Literatuur!$A:$B,2,FALSE)," "))</f>
        <v/>
      </c>
      <c r="AI300" s="37">
        <v>181.43999503992538</v>
      </c>
      <c r="AJ300" s="44" t="str">
        <f t="shared" si="222"/>
        <v>Sanscrit</v>
      </c>
      <c r="AK300" s="33" t="str">
        <f>IF(OR(ISBLANK(AI300), ISBLANK(AJ300)),"",CONCATENATE(" ",VLOOKUP(AJ300,Literatuur!$A:$B,2,FALSE)," "))</f>
        <v xml:space="preserve"> D </v>
      </c>
      <c r="AL300" s="41">
        <v>181.45</v>
      </c>
      <c r="AM300" s="44" t="str">
        <f t="shared" si="223"/>
        <v>Gestis</v>
      </c>
      <c r="AN300" s="33" t="str">
        <f>IF(OR(ISBLANK(AL300), ISBLANK(AM300)),"",CONCATENATE(" ",VLOOKUP(AM300,Literatuur!$A:$B,2,FALSE)," "))</f>
        <v xml:space="preserve"> A </v>
      </c>
      <c r="AO300" s="41">
        <v>181.45</v>
      </c>
      <c r="AP300" s="44" t="str">
        <f t="shared" si="224"/>
        <v>US EPA suite</v>
      </c>
      <c r="AQ300" s="33" t="str">
        <f>IF(OR(ISBLANK(AO300), ISBLANK(AP300)),"",CONCATENATE(" ",VLOOKUP(AP300,Literatuur!$A:$B,2,FALSE)," "))</f>
        <v xml:space="preserve"> F </v>
      </c>
      <c r="AR300" s="41"/>
      <c r="AT300" s="33" t="str">
        <f>IF(OR(ISBLANK(AR300), ISBLANK(AS300)),"",CONCATENATE(" ",VLOOKUP(AS300,Literatuur!$A:$B,2,FALSE)," "))</f>
        <v/>
      </c>
      <c r="AV300" s="41"/>
      <c r="AW300" s="33" t="str">
        <f>IF(OR(ISBLANK(AU300), ISBLANK(AV300)),"",CONCATENATE(" ",VLOOKUP(AV300,Literatuur!$A:$B,2,FALSE)," "))</f>
        <v/>
      </c>
      <c r="AY300" s="44">
        <v>4.05</v>
      </c>
      <c r="AZ300" s="44" t="str">
        <f t="shared" si="225"/>
        <v>Sanscrit</v>
      </c>
      <c r="BA300" s="33" t="str">
        <f>IF(OR(ISBLANK(AY300), ISBLANK(AZ300)),"",CONCATENATE(" ",VLOOKUP(AZ300,Literatuur!$A:$B,2,FALSE)," "))</f>
        <v xml:space="preserve"> D </v>
      </c>
      <c r="BB300" s="44">
        <v>4.0199999999999996</v>
      </c>
      <c r="BC300" s="44" t="str">
        <f t="shared" si="226"/>
        <v>Gestis</v>
      </c>
      <c r="BD300" s="33" t="str">
        <f>IF(OR(ISBLANK(BB300), ISBLANK(BC300)),"",CONCATENATE(" ",VLOOKUP(BC300,Literatuur!$A:$B,2,FALSE)," "))</f>
        <v xml:space="preserve"> A </v>
      </c>
      <c r="BE300" s="33">
        <v>4.01</v>
      </c>
      <c r="BF300" s="44" t="str">
        <f t="shared" si="227"/>
        <v>US EPA 1995</v>
      </c>
      <c r="BG300" s="33" t="str">
        <f>IF(OR(ISBLANK(BE300), ISBLANK(BF300)),"",CONCATENATE(" ",VLOOKUP(BF300,Literatuur!$A:$B,2,FALSE)," "))</f>
        <v xml:space="preserve"> 30 </v>
      </c>
      <c r="BH300" s="33">
        <v>4.0199999999999996</v>
      </c>
      <c r="BI300" s="44" t="str">
        <f t="shared" si="228"/>
        <v>US EPA suite</v>
      </c>
      <c r="BJ300" s="33" t="str">
        <f>IF(OR(ISBLANK(BH300), ISBLANK(BI300)),"",CONCATENATE(" ",VLOOKUP(BI300,Literatuur!$A:$B,2,FALSE)," "))</f>
        <v xml:space="preserve"> F </v>
      </c>
      <c r="BL300" s="44" t="str">
        <f t="shared" si="229"/>
        <v xml:space="preserve"> </v>
      </c>
      <c r="BM300" s="33" t="str">
        <f>IF(OR(ISBLANK(BK300), ISBLANK(BL300)),"",CONCATENATE(" ",VLOOKUP(BL300,Literatuur!$A:$B,2,FALSE)," "))</f>
        <v/>
      </c>
      <c r="BP300" s="33" t="str">
        <f>IF(OR(ISBLANK(BN300), ISBLANK(BO300)),"",CONCATENATE(" ",VLOOKUP(BO300,Literatuur!$A:$B,2,FALSE)," "))</f>
        <v/>
      </c>
      <c r="BS300" s="33" t="str">
        <f>IF(OR(ISBLANK(BQ300), ISBLANK(BR300)),"",CONCATENATE(" ",VLOOKUP(BR300,Literatuur!$A:$B,2,FALSE)," "))</f>
        <v/>
      </c>
      <c r="BV300" s="33" t="str">
        <f>IF(OR(ISBLANK(BT300), ISBLANK(BU300)),"",CONCATENATE(" ",VLOOKUP(BU300,Literatuur!$A:$B,2,FALSE)," "))</f>
        <v/>
      </c>
      <c r="CE300" s="37">
        <f t="shared" si="233"/>
        <v>181.43999503992538</v>
      </c>
      <c r="CG300" s="33">
        <f t="shared" si="234"/>
        <v>1.459513412193038</v>
      </c>
      <c r="CH300" s="33">
        <f t="shared" si="235"/>
        <v>4.05</v>
      </c>
      <c r="CR300" s="33" t="str">
        <f t="shared" si="209"/>
        <v>1,2,4-Trichlorobenzene</v>
      </c>
      <c r="CS300" s="33" t="str">
        <f t="shared" si="210"/>
        <v>ClArom</v>
      </c>
      <c r="CT300" s="33">
        <f t="shared" si="232"/>
        <v>181.43999503992538</v>
      </c>
      <c r="CU300" s="33" t="str">
        <f t="shared" si="211"/>
        <v xml:space="preserve"> D </v>
      </c>
      <c r="CV300" s="33">
        <f t="shared" si="212"/>
        <v>28.808020153910686</v>
      </c>
      <c r="CW300" s="33" t="str">
        <f t="shared" si="213"/>
        <v xml:space="preserve"> D </v>
      </c>
      <c r="CX300" s="33">
        <f t="shared" si="214"/>
        <v>4.05</v>
      </c>
      <c r="CY300" s="33" t="str">
        <f t="shared" si="215"/>
        <v xml:space="preserve"> D </v>
      </c>
    </row>
    <row r="301" spans="1:103" x14ac:dyDescent="0.2">
      <c r="B301" s="33">
        <v>528</v>
      </c>
      <c r="D301" s="33" t="s">
        <v>294</v>
      </c>
      <c r="E301" s="33" t="s">
        <v>1280</v>
      </c>
      <c r="F301" s="33" t="s">
        <v>1281</v>
      </c>
      <c r="H301" s="34" t="s">
        <v>295</v>
      </c>
      <c r="I301" s="37">
        <f t="shared" si="236"/>
        <v>147.002499936227</v>
      </c>
      <c r="J301" s="33">
        <f t="shared" si="216"/>
        <v>140.21858602054385</v>
      </c>
      <c r="K301" s="44">
        <f t="shared" si="237"/>
        <v>3.43</v>
      </c>
      <c r="L301" s="33" t="e">
        <f t="shared" si="231"/>
        <v>#DIV/0!</v>
      </c>
      <c r="M301" s="33" t="s">
        <v>1892</v>
      </c>
      <c r="P301" s="33">
        <v>140.21858602054385</v>
      </c>
      <c r="Q301" s="44" t="str">
        <f t="shared" si="217"/>
        <v>Sanscrit</v>
      </c>
      <c r="R301" s="33" t="str">
        <f>IF(OR(ISBLANK(P301), ISBLANK(Q301)),"",CONCATENATE(" ",VLOOKUP(Q301,Literatuur!$A:$B,2,FALSE)," "))</f>
        <v xml:space="preserve"> D </v>
      </c>
      <c r="S301" s="33">
        <v>80</v>
      </c>
      <c r="T301" s="44" t="str">
        <f t="shared" si="218"/>
        <v>Gestis</v>
      </c>
      <c r="U301" s="33" t="str">
        <f>IF(OR(ISBLANK(S301), ISBLANK(T301)),"",CONCATENATE(" ",VLOOKUP(T301,Literatuur!$A:$B,2,FALSE)," "))</f>
        <v xml:space="preserve"> A </v>
      </c>
      <c r="V301" s="33">
        <v>156</v>
      </c>
      <c r="W301" s="44" t="str">
        <f t="shared" si="219"/>
        <v>US EPA 1995</v>
      </c>
      <c r="X301" s="33" t="str">
        <f>IF(OR(ISBLANK(V301), ISBLANK(W301)),"",CONCATENATE(" ",VLOOKUP(W301,Literatuur!$A:$B,2,FALSE)," "))</f>
        <v xml:space="preserve"> 30 </v>
      </c>
      <c r="Y301" s="36"/>
      <c r="Z301" s="44" t="str">
        <f t="shared" si="220"/>
        <v xml:space="preserve"> </v>
      </c>
      <c r="AA301" s="33" t="str">
        <f>IF(OR(ISBLANK(Y301), ISBLANK(Z301)),"",CONCATENATE(" ",VLOOKUP(Z301,Literatuur!$A:$B,2,FALSE)," "))</f>
        <v/>
      </c>
      <c r="AB301" s="38">
        <v>100</v>
      </c>
      <c r="AC301" s="36" t="str">
        <f t="shared" si="221"/>
        <v>Vonk 1985</v>
      </c>
      <c r="AD301" s="33" t="str">
        <f>IF(OR(ISBLANK(AB301), ISBLANK(AC301)),"",CONCATENATE(" ",VLOOKUP(AC301,Literatuur!$A:$B,2,FALSE)," "))</f>
        <v xml:space="preserve"> 37 </v>
      </c>
      <c r="AE301" s="38">
        <v>150</v>
      </c>
      <c r="AF301" s="33" t="s">
        <v>1902</v>
      </c>
      <c r="AG301" s="33" t="str">
        <f>IF(OR(ISBLANK(AE301), ISBLANK(AF301)),"",CONCATENATE(" ",VLOOKUP(AF301,Literatuur!$A:$B,2,FALSE)," "))</f>
        <v xml:space="preserve"> B </v>
      </c>
      <c r="AI301" s="37">
        <v>147.002499936227</v>
      </c>
      <c r="AJ301" s="44" t="str">
        <f t="shared" si="222"/>
        <v>Sanscrit</v>
      </c>
      <c r="AK301" s="33" t="str">
        <f>IF(OR(ISBLANK(AI301), ISBLANK(AJ301)),"",CONCATENATE(" ",VLOOKUP(AJ301,Literatuur!$A:$B,2,FALSE)," "))</f>
        <v xml:space="preserve"> D </v>
      </c>
      <c r="AL301" s="38">
        <v>147</v>
      </c>
      <c r="AM301" s="44" t="str">
        <f t="shared" si="223"/>
        <v>Gestis</v>
      </c>
      <c r="AN301" s="33" t="str">
        <f>IF(OR(ISBLANK(AL301), ISBLANK(AM301)),"",CONCATENATE(" ",VLOOKUP(AM301,Literatuur!$A:$B,2,FALSE)," "))</f>
        <v xml:space="preserve"> A </v>
      </c>
      <c r="AO301" s="38"/>
      <c r="AP301" s="44" t="str">
        <f t="shared" si="224"/>
        <v xml:space="preserve"> </v>
      </c>
      <c r="AQ301" s="33" t="str">
        <f>IF(OR(ISBLANK(AO301), ISBLANK(AP301)),"",CONCATENATE(" ",VLOOKUP(AP301,Literatuur!$A:$B,2,FALSE)," "))</f>
        <v/>
      </c>
      <c r="AR301" s="38"/>
      <c r="AT301" s="33" t="str">
        <f>IF(OR(ISBLANK(AR301), ISBLANK(AS301)),"",CONCATENATE(" ",VLOOKUP(AS301,Literatuur!$A:$B,2,FALSE)," "))</f>
        <v/>
      </c>
      <c r="AV301" s="38"/>
      <c r="AW301" s="33" t="str">
        <f>IF(OR(ISBLANK(AU301), ISBLANK(AV301)),"",CONCATENATE(" ",VLOOKUP(AV301,Literatuur!$A:$B,2,FALSE)," "))</f>
        <v/>
      </c>
      <c r="AY301" s="44">
        <v>3.43</v>
      </c>
      <c r="AZ301" s="44" t="str">
        <f t="shared" si="225"/>
        <v>Sanscrit</v>
      </c>
      <c r="BA301" s="33" t="str">
        <f>IF(OR(ISBLANK(AY301), ISBLANK(AZ301)),"",CONCATENATE(" ",VLOOKUP(AZ301,Literatuur!$A:$B,2,FALSE)," "))</f>
        <v xml:space="preserve"> D </v>
      </c>
      <c r="BB301" s="44">
        <v>3.38</v>
      </c>
      <c r="BC301" s="44" t="str">
        <f t="shared" si="226"/>
        <v>Gestis</v>
      </c>
      <c r="BD301" s="33" t="str">
        <f>IF(OR(ISBLANK(BB301), ISBLANK(BC301)),"",CONCATENATE(" ",VLOOKUP(BC301,Literatuur!$A:$B,2,FALSE)," "))</f>
        <v xml:space="preserve"> A </v>
      </c>
      <c r="BE301" s="33">
        <v>3.43</v>
      </c>
      <c r="BF301" s="44" t="str">
        <f t="shared" si="227"/>
        <v>US EPA 1995</v>
      </c>
      <c r="BG301" s="33" t="str">
        <f>IF(OR(ISBLANK(BE301), ISBLANK(BF301)),"",CONCATENATE(" ",VLOOKUP(BF301,Literatuur!$A:$B,2,FALSE)," "))</f>
        <v xml:space="preserve"> 30 </v>
      </c>
      <c r="BI301" s="44" t="str">
        <f t="shared" si="228"/>
        <v xml:space="preserve"> </v>
      </c>
      <c r="BJ301" s="33" t="str">
        <f>IF(OR(ISBLANK(BH301), ISBLANK(BI301)),"",CONCATENATE(" ",VLOOKUP(BI301,Literatuur!$A:$B,2,FALSE)," "))</f>
        <v/>
      </c>
      <c r="BL301" s="44" t="str">
        <f t="shared" si="229"/>
        <v xml:space="preserve"> </v>
      </c>
      <c r="BM301" s="33" t="str">
        <f>IF(OR(ISBLANK(BK301), ISBLANK(BL301)),"",CONCATENATE(" ",VLOOKUP(BL301,Literatuur!$A:$B,2,FALSE)," "))</f>
        <v/>
      </c>
      <c r="BP301" s="33" t="str">
        <f>IF(OR(ISBLANK(BN301), ISBLANK(BO301)),"",CONCATENATE(" ",VLOOKUP(BO301,Literatuur!$A:$B,2,FALSE)," "))</f>
        <v/>
      </c>
      <c r="BS301" s="33" t="str">
        <f>IF(OR(ISBLANK(BQ301), ISBLANK(BR301)),"",CONCATENATE(" ",VLOOKUP(BR301,Literatuur!$A:$B,2,FALSE)," "))</f>
        <v/>
      </c>
      <c r="BT301" s="33">
        <v>3.282</v>
      </c>
      <c r="BU301" s="33" t="s">
        <v>1902</v>
      </c>
      <c r="BV301" s="33" t="str">
        <f>IF(OR(ISBLANK(BT301), ISBLANK(BU301)),"",CONCATENATE(" ",VLOOKUP(BU301,Literatuur!$A:$B,2,FALSE)," "))</f>
        <v xml:space="preserve"> B </v>
      </c>
      <c r="CE301" s="37">
        <f t="shared" si="233"/>
        <v>147.002499936227</v>
      </c>
      <c r="CG301" s="33">
        <f t="shared" si="234"/>
        <v>2.1468055833252104</v>
      </c>
      <c r="CH301" s="33">
        <f t="shared" si="235"/>
        <v>3.43</v>
      </c>
      <c r="CR301" s="33" t="str">
        <f t="shared" si="209"/>
        <v>1,2-Dichlorobenzene</v>
      </c>
      <c r="CS301" s="33" t="str">
        <f t="shared" si="210"/>
        <v>ClArom</v>
      </c>
      <c r="CT301" s="33">
        <f t="shared" si="232"/>
        <v>147.002499936227</v>
      </c>
      <c r="CU301" s="33" t="str">
        <f t="shared" si="211"/>
        <v xml:space="preserve"> D </v>
      </c>
      <c r="CV301" s="33">
        <f t="shared" si="212"/>
        <v>140.21858602054385</v>
      </c>
      <c r="CW301" s="33" t="str">
        <f t="shared" si="213"/>
        <v xml:space="preserve"> D </v>
      </c>
      <c r="CX301" s="33">
        <f t="shared" si="214"/>
        <v>3.43</v>
      </c>
      <c r="CY301" s="33" t="str">
        <f t="shared" si="215"/>
        <v xml:space="preserve"> D </v>
      </c>
    </row>
    <row r="302" spans="1:103" x14ac:dyDescent="0.2">
      <c r="B302" s="33">
        <v>531</v>
      </c>
      <c r="D302" s="33" t="s">
        <v>304</v>
      </c>
      <c r="E302" s="33" t="s">
        <v>1288</v>
      </c>
      <c r="F302" s="33" t="s">
        <v>1289</v>
      </c>
      <c r="H302" s="34" t="s">
        <v>305</v>
      </c>
      <c r="I302" s="37">
        <f t="shared" si="236"/>
        <v>181.42499827752513</v>
      </c>
      <c r="J302" s="33">
        <f t="shared" si="216"/>
        <v>4.7119534067902347</v>
      </c>
      <c r="K302" s="44">
        <f t="shared" si="237"/>
        <v>4.1900000000000004</v>
      </c>
      <c r="L302" s="33" t="e">
        <f t="shared" si="231"/>
        <v>#DIV/0!</v>
      </c>
      <c r="M302" s="33" t="s">
        <v>1892</v>
      </c>
      <c r="P302" s="33">
        <v>4.7119534067902347</v>
      </c>
      <c r="Q302" s="44" t="str">
        <f t="shared" si="217"/>
        <v>Sanscrit</v>
      </c>
      <c r="R302" s="33" t="str">
        <f>IF(OR(ISBLANK(P302), ISBLANK(Q302)),"",CONCATENATE(" ",VLOOKUP(Q302,Literatuur!$A:$B,2,FALSE)," "))</f>
        <v xml:space="preserve"> D </v>
      </c>
      <c r="S302" s="33">
        <v>5</v>
      </c>
      <c r="T302" s="44" t="str">
        <f t="shared" si="218"/>
        <v>Gestis</v>
      </c>
      <c r="U302" s="33" t="str">
        <f>IF(OR(ISBLANK(S302), ISBLANK(T302)),"",CONCATENATE(" ",VLOOKUP(T302,Literatuur!$A:$B,2,FALSE)," "))</f>
        <v xml:space="preserve"> A </v>
      </c>
      <c r="W302" s="44" t="str">
        <f t="shared" si="219"/>
        <v xml:space="preserve"> </v>
      </c>
      <c r="X302" s="33" t="str">
        <f>IF(OR(ISBLANK(V302), ISBLANK(W302)),"",CONCATENATE(" ",VLOOKUP(W302,Literatuur!$A:$B,2,FALSE)," "))</f>
        <v/>
      </c>
      <c r="Z302" s="44" t="str">
        <f t="shared" si="220"/>
        <v xml:space="preserve"> </v>
      </c>
      <c r="AA302" s="33" t="str">
        <f>IF(OR(ISBLANK(Y302), ISBLANK(Z302)),"",CONCATENATE(" ",VLOOKUP(Z302,Literatuur!$A:$B,2,FALSE)," "))</f>
        <v/>
      </c>
      <c r="AB302" s="33">
        <v>5.8</v>
      </c>
      <c r="AC302" s="36" t="str">
        <f t="shared" si="221"/>
        <v>Vonk 1985</v>
      </c>
      <c r="AD302" s="33" t="str">
        <f>IF(OR(ISBLANK(AB302), ISBLANK(AC302)),"",CONCATENATE(" ",VLOOKUP(AC302,Literatuur!$A:$B,2,FALSE)," "))</f>
        <v xml:space="preserve"> 37 </v>
      </c>
      <c r="AE302" s="38">
        <v>18.2</v>
      </c>
      <c r="AF302" s="33" t="s">
        <v>1902</v>
      </c>
      <c r="AG302" s="33" t="str">
        <f>IF(OR(ISBLANK(AE302), ISBLANK(AF302)),"",CONCATENATE(" ",VLOOKUP(AF302,Literatuur!$A:$B,2,FALSE)," "))</f>
        <v xml:space="preserve"> B </v>
      </c>
      <c r="AI302" s="37">
        <v>181.42499827752513</v>
      </c>
      <c r="AJ302" s="44" t="str">
        <f t="shared" si="222"/>
        <v>Sanscrit</v>
      </c>
      <c r="AK302" s="33" t="str">
        <f>IF(OR(ISBLANK(AI302), ISBLANK(AJ302)),"",CONCATENATE(" ",VLOOKUP(AJ302,Literatuur!$A:$B,2,FALSE)," "))</f>
        <v xml:space="preserve"> D </v>
      </c>
      <c r="AL302" s="41">
        <v>181.45</v>
      </c>
      <c r="AM302" s="44" t="str">
        <f t="shared" si="223"/>
        <v>Gestis</v>
      </c>
      <c r="AN302" s="33" t="str">
        <f>IF(OR(ISBLANK(AL302), ISBLANK(AM302)),"",CONCATENATE(" ",VLOOKUP(AM302,Literatuur!$A:$B,2,FALSE)," "))</f>
        <v xml:space="preserve"> A </v>
      </c>
      <c r="AO302" s="41"/>
      <c r="AP302" s="44" t="str">
        <f t="shared" si="224"/>
        <v xml:space="preserve"> </v>
      </c>
      <c r="AQ302" s="33" t="str">
        <f>IF(OR(ISBLANK(AO302), ISBLANK(AP302)),"",CONCATENATE(" ",VLOOKUP(AP302,Literatuur!$A:$B,2,FALSE)," "))</f>
        <v/>
      </c>
      <c r="AR302" s="41"/>
      <c r="AT302" s="33" t="str">
        <f>IF(OR(ISBLANK(AR302), ISBLANK(AS302)),"",CONCATENATE(" ",VLOOKUP(AS302,Literatuur!$A:$B,2,FALSE)," "))</f>
        <v/>
      </c>
      <c r="AV302" s="41"/>
      <c r="AW302" s="33" t="str">
        <f>IF(OR(ISBLANK(AU302), ISBLANK(AV302)),"",CONCATENATE(" ",VLOOKUP(AV302,Literatuur!$A:$B,2,FALSE)," "))</f>
        <v/>
      </c>
      <c r="AY302" s="44">
        <v>4.1900000000000004</v>
      </c>
      <c r="AZ302" s="44" t="str">
        <f t="shared" si="225"/>
        <v>Sanscrit</v>
      </c>
      <c r="BA302" s="33" t="str">
        <f>IF(OR(ISBLANK(AY302), ISBLANK(AZ302)),"",CONCATENATE(" ",VLOOKUP(AZ302,Literatuur!$A:$B,2,FALSE)," "))</f>
        <v xml:space="preserve"> D </v>
      </c>
      <c r="BB302" s="44">
        <v>4.1500000000000004</v>
      </c>
      <c r="BC302" s="44" t="str">
        <f t="shared" si="226"/>
        <v>Gestis</v>
      </c>
      <c r="BD302" s="33" t="str">
        <f>IF(OR(ISBLANK(BB302), ISBLANK(BC302)),"",CONCATENATE(" ",VLOOKUP(BC302,Literatuur!$A:$B,2,FALSE)," "))</f>
        <v xml:space="preserve"> A </v>
      </c>
      <c r="BF302" s="44" t="str">
        <f t="shared" si="227"/>
        <v xml:space="preserve"> </v>
      </c>
      <c r="BG302" s="33" t="str">
        <f>IF(OR(ISBLANK(BE302), ISBLANK(BF302)),"",CONCATENATE(" ",VLOOKUP(BF302,Literatuur!$A:$B,2,FALSE)," "))</f>
        <v/>
      </c>
      <c r="BI302" s="44" t="str">
        <f t="shared" si="228"/>
        <v xml:space="preserve"> </v>
      </c>
      <c r="BJ302" s="33" t="str">
        <f>IF(OR(ISBLANK(BH302), ISBLANK(BI302)),"",CONCATENATE(" ",VLOOKUP(BI302,Literatuur!$A:$B,2,FALSE)," "))</f>
        <v/>
      </c>
      <c r="BL302" s="44" t="str">
        <f t="shared" si="229"/>
        <v xml:space="preserve"> </v>
      </c>
      <c r="BM302" s="33" t="str">
        <f>IF(OR(ISBLANK(BK302), ISBLANK(BL302)),"",CONCATENATE(" ",VLOOKUP(BL302,Literatuur!$A:$B,2,FALSE)," "))</f>
        <v/>
      </c>
      <c r="BP302" s="33" t="str">
        <f>IF(OR(ISBLANK(BN302), ISBLANK(BO302)),"",CONCATENATE(" ",VLOOKUP(BO302,Literatuur!$A:$B,2,FALSE)," "))</f>
        <v/>
      </c>
      <c r="BS302" s="33" t="str">
        <f>IF(OR(ISBLANK(BQ302), ISBLANK(BR302)),"",CONCATENATE(" ",VLOOKUP(BR302,Literatuur!$A:$B,2,FALSE)," "))</f>
        <v/>
      </c>
      <c r="BT302" s="33">
        <v>4.1900000000000004</v>
      </c>
      <c r="BU302" s="33" t="s">
        <v>1902</v>
      </c>
      <c r="BV302" s="33" t="str">
        <f>IF(OR(ISBLANK(BT302), ISBLANK(BU302)),"",CONCATENATE(" ",VLOOKUP(BU302,Literatuur!$A:$B,2,FALSE)," "))</f>
        <v xml:space="preserve"> B </v>
      </c>
      <c r="CE302" s="37">
        <f t="shared" si="233"/>
        <v>181.42499827752513</v>
      </c>
      <c r="CG302" s="33">
        <f t="shared" si="234"/>
        <v>0.6732009873660697</v>
      </c>
      <c r="CH302" s="33">
        <f t="shared" si="235"/>
        <v>4.1900000000000004</v>
      </c>
      <c r="CR302" s="33" t="str">
        <f t="shared" si="209"/>
        <v>1,3,5-Trichlorobenzene</v>
      </c>
      <c r="CS302" s="33" t="str">
        <f t="shared" si="210"/>
        <v>ClArom</v>
      </c>
      <c r="CT302" s="33">
        <f t="shared" si="232"/>
        <v>181.42499827752513</v>
      </c>
      <c r="CU302" s="33" t="str">
        <f t="shared" si="211"/>
        <v xml:space="preserve"> D </v>
      </c>
      <c r="CV302" s="33">
        <f t="shared" si="212"/>
        <v>4.7119534067902347</v>
      </c>
      <c r="CW302" s="33" t="str">
        <f t="shared" si="213"/>
        <v xml:space="preserve"> D </v>
      </c>
      <c r="CX302" s="33">
        <f t="shared" si="214"/>
        <v>4.1900000000000004</v>
      </c>
      <c r="CY302" s="33" t="str">
        <f t="shared" si="215"/>
        <v xml:space="preserve"> D </v>
      </c>
    </row>
    <row r="303" spans="1:103" x14ac:dyDescent="0.2">
      <c r="B303" s="33">
        <v>-505</v>
      </c>
      <c r="D303" s="33" t="s">
        <v>296</v>
      </c>
      <c r="E303" s="33" t="s">
        <v>1284</v>
      </c>
      <c r="F303" s="33" t="s">
        <v>1282</v>
      </c>
      <c r="H303" s="34" t="s">
        <v>297</v>
      </c>
      <c r="I303" s="37">
        <f t="shared" si="236"/>
        <v>147</v>
      </c>
      <c r="J303" s="33">
        <f t="shared" si="216"/>
        <v>114.33333333333333</v>
      </c>
      <c r="K303" s="44">
        <f t="shared" si="237"/>
        <v>3.4</v>
      </c>
      <c r="L303" s="33" t="e">
        <f t="shared" si="231"/>
        <v>#DIV/0!</v>
      </c>
      <c r="M303" s="33" t="s">
        <v>1892</v>
      </c>
      <c r="Q303" s="44" t="str">
        <f t="shared" si="217"/>
        <v xml:space="preserve"> </v>
      </c>
      <c r="R303" s="33" t="str">
        <f>IF(OR(ISBLANK(P303), ISBLANK(Q303)),"",CONCATENATE(" ",VLOOKUP(Q303,Literatuur!$A:$B,2,FALSE)," "))</f>
        <v/>
      </c>
      <c r="S303" s="33">
        <v>110</v>
      </c>
      <c r="T303" s="44" t="str">
        <f t="shared" si="218"/>
        <v>Gestis</v>
      </c>
      <c r="U303" s="33" t="str">
        <f>IF(OR(ISBLANK(S303), ISBLANK(T303)),"",CONCATENATE(" ",VLOOKUP(T303,Literatuur!$A:$B,2,FALSE)," "))</f>
        <v xml:space="preserve"> A </v>
      </c>
      <c r="W303" s="44" t="str">
        <f t="shared" si="219"/>
        <v xml:space="preserve"> </v>
      </c>
      <c r="X303" s="33" t="str">
        <f>IF(OR(ISBLANK(V303), ISBLANK(W303)),"",CONCATENATE(" ",VLOOKUP(W303,Literatuur!$A:$B,2,FALSE)," "))</f>
        <v/>
      </c>
      <c r="Z303" s="44" t="str">
        <f t="shared" si="220"/>
        <v xml:space="preserve"> </v>
      </c>
      <c r="AA303" s="33" t="str">
        <f>IF(OR(ISBLANK(Y303), ISBLANK(Z303)),"",CONCATENATE(" ",VLOOKUP(Z303,Literatuur!$A:$B,2,FALSE)," "))</f>
        <v/>
      </c>
      <c r="AB303" s="33">
        <v>123</v>
      </c>
      <c r="AC303" s="36" t="str">
        <f t="shared" si="221"/>
        <v>Vonk 1985</v>
      </c>
      <c r="AD303" s="33" t="str">
        <f>IF(OR(ISBLANK(AB303), ISBLANK(AC303)),"",CONCATENATE(" ",VLOOKUP(AC303,Literatuur!$A:$B,2,FALSE)," "))</f>
        <v xml:space="preserve"> 37 </v>
      </c>
      <c r="AE303" s="33">
        <v>110</v>
      </c>
      <c r="AF303" s="33" t="s">
        <v>1902</v>
      </c>
      <c r="AG303" s="33" t="str">
        <f>IF(OR(ISBLANK(AE303), ISBLANK(AF303)),"",CONCATENATE(" ",VLOOKUP(AF303,Literatuur!$A:$B,2,FALSE)," "))</f>
        <v xml:space="preserve"> B </v>
      </c>
      <c r="AI303" s="37"/>
      <c r="AJ303" s="44" t="str">
        <f t="shared" si="222"/>
        <v xml:space="preserve"> </v>
      </c>
      <c r="AK303" s="33" t="str">
        <f>IF(OR(ISBLANK(AI303), ISBLANK(AJ303)),"",CONCATENATE(" ",VLOOKUP(AJ303,Literatuur!$A:$B,2,FALSE)," "))</f>
        <v/>
      </c>
      <c r="AL303" s="38">
        <v>147</v>
      </c>
      <c r="AM303" s="44" t="str">
        <f t="shared" si="223"/>
        <v>Gestis</v>
      </c>
      <c r="AN303" s="33" t="str">
        <f>IF(OR(ISBLANK(AL303), ISBLANK(AM303)),"",CONCATENATE(" ",VLOOKUP(AM303,Literatuur!$A:$B,2,FALSE)," "))</f>
        <v xml:space="preserve"> A </v>
      </c>
      <c r="AO303" s="38"/>
      <c r="AP303" s="44" t="str">
        <f t="shared" si="224"/>
        <v xml:space="preserve"> </v>
      </c>
      <c r="AQ303" s="33" t="str">
        <f>IF(OR(ISBLANK(AO303), ISBLANK(AP303)),"",CONCATENATE(" ",VLOOKUP(AP303,Literatuur!$A:$B,2,FALSE)," "))</f>
        <v/>
      </c>
      <c r="AR303" s="38"/>
      <c r="AT303" s="33" t="str">
        <f>IF(OR(ISBLANK(AR303), ISBLANK(AS303)),"",CONCATENATE(" ",VLOOKUP(AS303,Literatuur!$A:$B,2,FALSE)," "))</f>
        <v/>
      </c>
      <c r="AV303" s="38"/>
      <c r="AW303" s="33" t="str">
        <f>IF(OR(ISBLANK(AU303), ISBLANK(AV303)),"",CONCATENATE(" ",VLOOKUP(AV303,Literatuur!$A:$B,2,FALSE)," "))</f>
        <v/>
      </c>
      <c r="AY303" s="44"/>
      <c r="AZ303" s="44" t="str">
        <f t="shared" si="225"/>
        <v xml:space="preserve"> </v>
      </c>
      <c r="BA303" s="33" t="str">
        <f>IF(OR(ISBLANK(AY303), ISBLANK(AZ303)),"",CONCATENATE(" ",VLOOKUP(AZ303,Literatuur!$A:$B,2,FALSE)," "))</f>
        <v/>
      </c>
      <c r="BB303" s="44">
        <v>3.52</v>
      </c>
      <c r="BC303" s="44" t="str">
        <f t="shared" si="226"/>
        <v>Gestis</v>
      </c>
      <c r="BD303" s="33" t="str">
        <f>IF(OR(ISBLANK(BB303), ISBLANK(BC303)),"",CONCATENATE(" ",VLOOKUP(BC303,Literatuur!$A:$B,2,FALSE)," "))</f>
        <v xml:space="preserve"> A </v>
      </c>
      <c r="BF303" s="44" t="str">
        <f t="shared" si="227"/>
        <v xml:space="preserve"> </v>
      </c>
      <c r="BG303" s="33" t="str">
        <f>IF(OR(ISBLANK(BE303), ISBLANK(BF303)),"",CONCATENATE(" ",VLOOKUP(BF303,Literatuur!$A:$B,2,FALSE)," "))</f>
        <v/>
      </c>
      <c r="BI303" s="44" t="str">
        <f t="shared" si="228"/>
        <v xml:space="preserve"> </v>
      </c>
      <c r="BJ303" s="33" t="str">
        <f>IF(OR(ISBLANK(BH303), ISBLANK(BI303)),"",CONCATENATE(" ",VLOOKUP(BI303,Literatuur!$A:$B,2,FALSE)," "))</f>
        <v/>
      </c>
      <c r="BL303" s="44" t="str">
        <f t="shared" si="229"/>
        <v xml:space="preserve"> </v>
      </c>
      <c r="BM303" s="33" t="str">
        <f>IF(OR(ISBLANK(BK303), ISBLANK(BL303)),"",CONCATENATE(" ",VLOOKUP(BL303,Literatuur!$A:$B,2,FALSE)," "))</f>
        <v/>
      </c>
      <c r="BP303" s="33" t="str">
        <f>IF(OR(ISBLANK(BN303), ISBLANK(BO303)),"",CONCATENATE(" ",VLOOKUP(BO303,Literatuur!$A:$B,2,FALSE)," "))</f>
        <v/>
      </c>
      <c r="BS303" s="33" t="str">
        <f>IF(OR(ISBLANK(BQ303), ISBLANK(BR303)),"",CONCATENATE(" ",VLOOKUP(BR303,Literatuur!$A:$B,2,FALSE)," "))</f>
        <v/>
      </c>
      <c r="BT303" s="33">
        <v>3.28</v>
      </c>
      <c r="BU303" s="33" t="s">
        <v>1902</v>
      </c>
      <c r="BV303" s="33" t="str">
        <f>IF(OR(ISBLANK(BT303), ISBLANK(BU303)),"",CONCATENATE(" ",VLOOKUP(BU303,Literatuur!$A:$B,2,FALSE)," "))</f>
        <v xml:space="preserve"> B </v>
      </c>
      <c r="CE303" s="37">
        <f t="shared" si="233"/>
        <v>147</v>
      </c>
      <c r="CG303" s="33">
        <f t="shared" si="234"/>
        <v>2.0581728653231082</v>
      </c>
      <c r="CH303" s="33">
        <f t="shared" si="235"/>
        <v>3.4</v>
      </c>
      <c r="CR303" s="33" t="str">
        <f t="shared" si="209"/>
        <v>1,3-Dichlorobenzene</v>
      </c>
      <c r="CS303" s="33" t="str">
        <f t="shared" si="210"/>
        <v>ClArom</v>
      </c>
      <c r="CT303" s="33">
        <f t="shared" si="232"/>
        <v>147</v>
      </c>
      <c r="CU303" s="33" t="str">
        <f t="shared" si="211"/>
        <v xml:space="preserve"> A </v>
      </c>
      <c r="CV303" s="33">
        <f t="shared" si="212"/>
        <v>114.33333333333333</v>
      </c>
      <c r="CW303" s="33" t="str">
        <f t="shared" si="213"/>
        <v xml:space="preserve"> A  37  B </v>
      </c>
      <c r="CX303" s="33">
        <f t="shared" si="214"/>
        <v>3.4</v>
      </c>
      <c r="CY303" s="33" t="str">
        <f t="shared" si="215"/>
        <v xml:space="preserve"> A  B </v>
      </c>
    </row>
    <row r="304" spans="1:103" x14ac:dyDescent="0.2">
      <c r="B304" s="33">
        <v>501</v>
      </c>
      <c r="D304" s="33" t="s">
        <v>298</v>
      </c>
      <c r="E304" s="33" t="s">
        <v>1285</v>
      </c>
      <c r="F304" s="33" t="s">
        <v>1283</v>
      </c>
      <c r="H304" s="34" t="s">
        <v>299</v>
      </c>
      <c r="I304" s="37">
        <f t="shared" si="236"/>
        <v>147.00199994558051</v>
      </c>
      <c r="J304" s="33">
        <f t="shared" si="216"/>
        <v>60.526307160070552</v>
      </c>
      <c r="K304" s="44">
        <f t="shared" si="237"/>
        <v>3.44</v>
      </c>
      <c r="L304" s="33" t="e">
        <f t="shared" si="231"/>
        <v>#DIV/0!</v>
      </c>
      <c r="M304" s="33" t="s">
        <v>1892</v>
      </c>
      <c r="P304" s="33">
        <v>60.526307160070552</v>
      </c>
      <c r="Q304" s="44" t="str">
        <f t="shared" si="217"/>
        <v>Sanscrit</v>
      </c>
      <c r="R304" s="33" t="str">
        <f>IF(OR(ISBLANK(P304), ISBLANK(Q304)),"",CONCATENATE(" ",VLOOKUP(Q304,Literatuur!$A:$B,2,FALSE)," "))</f>
        <v xml:space="preserve"> D </v>
      </c>
      <c r="S304" s="33">
        <v>49</v>
      </c>
      <c r="T304" s="44" t="str">
        <f t="shared" si="218"/>
        <v>Gestis</v>
      </c>
      <c r="U304" s="33" t="str">
        <f>IF(OR(ISBLANK(S304), ISBLANK(T304)),"",CONCATENATE(" ",VLOOKUP(T304,Literatuur!$A:$B,2,FALSE)," "))</f>
        <v xml:space="preserve"> A </v>
      </c>
      <c r="V304" s="33">
        <v>73.8</v>
      </c>
      <c r="W304" s="44" t="str">
        <f t="shared" si="219"/>
        <v>US EPA 1995</v>
      </c>
      <c r="X304" s="33" t="str">
        <f>IF(OR(ISBLANK(V304), ISBLANK(W304)),"",CONCATENATE(" ",VLOOKUP(W304,Literatuur!$A:$B,2,FALSE)," "))</f>
        <v xml:space="preserve"> 30 </v>
      </c>
      <c r="Y304" s="36"/>
      <c r="Z304" s="44" t="str">
        <f t="shared" si="220"/>
        <v xml:space="preserve"> </v>
      </c>
      <c r="AA304" s="33" t="str">
        <f>IF(OR(ISBLANK(Y304), ISBLANK(Z304)),"",CONCATENATE(" ",VLOOKUP(Z304,Literatuur!$A:$B,2,FALSE)," "))</f>
        <v/>
      </c>
      <c r="AB304" s="38">
        <v>49</v>
      </c>
      <c r="AC304" s="36" t="str">
        <f t="shared" si="221"/>
        <v>Vonk 1985</v>
      </c>
      <c r="AD304" s="33" t="str">
        <f>IF(OR(ISBLANK(AB304), ISBLANK(AC304)),"",CONCATENATE(" ",VLOOKUP(AC304,Literatuur!$A:$B,2,FALSE)," "))</f>
        <v xml:space="preserve"> 37 </v>
      </c>
      <c r="AE304" s="38"/>
      <c r="AF304" s="38"/>
      <c r="AG304" s="33" t="str">
        <f>IF(OR(ISBLANK(AE304), ISBLANK(AF304)),"",CONCATENATE(" ",VLOOKUP(AF304,Literatuur!$A:$B,2,FALSE)," "))</f>
        <v/>
      </c>
      <c r="AI304" s="37">
        <v>147.00199994558051</v>
      </c>
      <c r="AJ304" s="44" t="str">
        <f t="shared" si="222"/>
        <v>Sanscrit</v>
      </c>
      <c r="AK304" s="33" t="str">
        <f>IF(OR(ISBLANK(AI304), ISBLANK(AJ304)),"",CONCATENATE(" ",VLOOKUP(AJ304,Literatuur!$A:$B,2,FALSE)," "))</f>
        <v xml:space="preserve"> D </v>
      </c>
      <c r="AL304" s="38">
        <v>147</v>
      </c>
      <c r="AM304" s="44" t="str">
        <f t="shared" si="223"/>
        <v>Gestis</v>
      </c>
      <c r="AN304" s="33" t="str">
        <f>IF(OR(ISBLANK(AL304), ISBLANK(AM304)),"",CONCATENATE(" ",VLOOKUP(AM304,Literatuur!$A:$B,2,FALSE)," "))</f>
        <v xml:space="preserve"> A </v>
      </c>
      <c r="AO304" s="38"/>
      <c r="AP304" s="44" t="str">
        <f t="shared" si="224"/>
        <v xml:space="preserve"> </v>
      </c>
      <c r="AQ304" s="33" t="str">
        <f>IF(OR(ISBLANK(AO304), ISBLANK(AP304)),"",CONCATENATE(" ",VLOOKUP(AP304,Literatuur!$A:$B,2,FALSE)," "))</f>
        <v/>
      </c>
      <c r="AR304" s="38"/>
      <c r="AT304" s="33" t="str">
        <f>IF(OR(ISBLANK(AR304), ISBLANK(AS304)),"",CONCATENATE(" ",VLOOKUP(AS304,Literatuur!$A:$B,2,FALSE)," "))</f>
        <v/>
      </c>
      <c r="AV304" s="38"/>
      <c r="AW304" s="33" t="str">
        <f>IF(OR(ISBLANK(AU304), ISBLANK(AV304)),"",CONCATENATE(" ",VLOOKUP(AV304,Literatuur!$A:$B,2,FALSE)," "))</f>
        <v/>
      </c>
      <c r="AY304" s="44">
        <v>3.44</v>
      </c>
      <c r="AZ304" s="44" t="str">
        <f t="shared" si="225"/>
        <v>Sanscrit</v>
      </c>
      <c r="BA304" s="33" t="str">
        <f>IF(OR(ISBLANK(AY304), ISBLANK(AZ304)),"",CONCATENATE(" ",VLOOKUP(AZ304,Literatuur!$A:$B,2,FALSE)," "))</f>
        <v xml:space="preserve"> D </v>
      </c>
      <c r="BB304" s="44">
        <v>3.45</v>
      </c>
      <c r="BC304" s="44" t="str">
        <f t="shared" si="226"/>
        <v>Gestis</v>
      </c>
      <c r="BD304" s="33" t="str">
        <f>IF(OR(ISBLANK(BB304), ISBLANK(BC304)),"",CONCATENATE(" ",VLOOKUP(BC304,Literatuur!$A:$B,2,FALSE)," "))</f>
        <v xml:space="preserve"> A </v>
      </c>
      <c r="BE304" s="33">
        <v>3.42</v>
      </c>
      <c r="BF304" s="44" t="str">
        <f t="shared" si="227"/>
        <v>US EPA 1995</v>
      </c>
      <c r="BG304" s="33" t="str">
        <f>IF(OR(ISBLANK(BE304), ISBLANK(BF304)),"",CONCATENATE(" ",VLOOKUP(BF304,Literatuur!$A:$B,2,FALSE)," "))</f>
        <v xml:space="preserve"> 30 </v>
      </c>
      <c r="BI304" s="44" t="str">
        <f t="shared" si="228"/>
        <v xml:space="preserve"> </v>
      </c>
      <c r="BJ304" s="33" t="str">
        <f>IF(OR(ISBLANK(BH304), ISBLANK(BI304)),"",CONCATENATE(" ",VLOOKUP(BI304,Literatuur!$A:$B,2,FALSE)," "))</f>
        <v/>
      </c>
      <c r="BL304" s="44" t="str">
        <f t="shared" si="229"/>
        <v xml:space="preserve"> </v>
      </c>
      <c r="BM304" s="33" t="str">
        <f>IF(OR(ISBLANK(BK304), ISBLANK(BL304)),"",CONCATENATE(" ",VLOOKUP(BL304,Literatuur!$A:$B,2,FALSE)," "))</f>
        <v/>
      </c>
      <c r="BP304" s="33" t="str">
        <f>IF(OR(ISBLANK(BN304), ISBLANK(BO304)),"",CONCATENATE(" ",VLOOKUP(BO304,Literatuur!$A:$B,2,FALSE)," "))</f>
        <v/>
      </c>
      <c r="BS304" s="33" t="str">
        <f>IF(OR(ISBLANK(BQ304), ISBLANK(BR304)),"",CONCATENATE(" ",VLOOKUP(BR304,Literatuur!$A:$B,2,FALSE)," "))</f>
        <v/>
      </c>
      <c r="BV304" s="33" t="str">
        <f>IF(OR(ISBLANK(BT304), ISBLANK(BU304)),"",CONCATENATE(" ",VLOOKUP(BU304,Literatuur!$A:$B,2,FALSE)," "))</f>
        <v/>
      </c>
      <c r="CE304" s="37">
        <f t="shared" si="233"/>
        <v>147.00199994558051</v>
      </c>
      <c r="CG304" s="33">
        <f t="shared" si="234"/>
        <v>1.7819441774822209</v>
      </c>
      <c r="CH304" s="33">
        <f t="shared" si="235"/>
        <v>3.44</v>
      </c>
      <c r="CR304" s="33" t="str">
        <f t="shared" si="209"/>
        <v>1,4-Dichlorobenzene</v>
      </c>
      <c r="CS304" s="33" t="str">
        <f t="shared" si="210"/>
        <v>ClArom</v>
      </c>
      <c r="CT304" s="33">
        <f t="shared" si="232"/>
        <v>147.00199994558051</v>
      </c>
      <c r="CU304" s="33" t="str">
        <f t="shared" si="211"/>
        <v xml:space="preserve"> D </v>
      </c>
      <c r="CV304" s="33">
        <f t="shared" si="212"/>
        <v>60.526307160070552</v>
      </c>
      <c r="CW304" s="33" t="str">
        <f t="shared" si="213"/>
        <v xml:space="preserve"> D </v>
      </c>
      <c r="CX304" s="33">
        <f t="shared" si="214"/>
        <v>3.44</v>
      </c>
      <c r="CY304" s="33" t="str">
        <f t="shared" si="215"/>
        <v xml:space="preserve"> D </v>
      </c>
    </row>
    <row r="305" spans="1:103" x14ac:dyDescent="0.2">
      <c r="B305" s="33">
        <v>-1531</v>
      </c>
      <c r="D305" s="4" t="s">
        <v>1073</v>
      </c>
      <c r="E305" s="4" t="s">
        <v>1073</v>
      </c>
      <c r="F305" s="4"/>
      <c r="G305" s="4"/>
      <c r="I305" s="33">
        <f t="shared" si="236"/>
        <v>162.62</v>
      </c>
      <c r="J305" s="33">
        <f t="shared" si="216"/>
        <v>17.399999999999999</v>
      </c>
      <c r="K305" s="44">
        <f t="shared" si="237"/>
        <v>4</v>
      </c>
      <c r="L305" s="33">
        <f t="shared" si="231"/>
        <v>137.69999999999999</v>
      </c>
      <c r="M305" s="33" t="s">
        <v>1892</v>
      </c>
      <c r="Q305" s="44" t="str">
        <f t="shared" si="217"/>
        <v xml:space="preserve"> </v>
      </c>
      <c r="R305" s="33" t="str">
        <f>IF(OR(ISBLANK(P305), ISBLANK(Q305)),"",CONCATENATE(" ",VLOOKUP(Q305,Literatuur!$A:$B,2,FALSE)," "))</f>
        <v/>
      </c>
      <c r="T305" s="44" t="str">
        <f t="shared" si="218"/>
        <v xml:space="preserve"> </v>
      </c>
      <c r="U305" s="33" t="str">
        <f>IF(OR(ISBLANK(S305), ISBLANK(T305)),"",CONCATENATE(" ",VLOOKUP(T305,Literatuur!$A:$B,2,FALSE)," "))</f>
        <v/>
      </c>
      <c r="W305" s="44" t="str">
        <f t="shared" si="219"/>
        <v xml:space="preserve"> </v>
      </c>
      <c r="X305" s="33" t="str">
        <f>IF(OR(ISBLANK(V305), ISBLANK(W305)),"",CONCATENATE(" ",VLOOKUP(W305,Literatuur!$A:$B,2,FALSE)," "))</f>
        <v/>
      </c>
      <c r="Y305" s="33">
        <v>17.399999999999999</v>
      </c>
      <c r="Z305" s="44" t="str">
        <f t="shared" si="220"/>
        <v>US EPA suite</v>
      </c>
      <c r="AA305" s="33" t="str">
        <f>IF(OR(ISBLANK(Y305), ISBLANK(Z305)),"",CONCATENATE(" ",VLOOKUP(Z305,Literatuur!$A:$B,2,FALSE)," "))</f>
        <v xml:space="preserve"> F </v>
      </c>
      <c r="AC305" s="36" t="str">
        <f t="shared" si="221"/>
        <v xml:space="preserve"> </v>
      </c>
      <c r="AD305" s="33" t="str">
        <f>IF(OR(ISBLANK(AB305), ISBLANK(AC305)),"",CONCATENATE(" ",VLOOKUP(AC305,Literatuur!$A:$B,2,FALSE)," "))</f>
        <v/>
      </c>
      <c r="AG305" s="33" t="str">
        <f>IF(OR(ISBLANK(AE305), ISBLANK(AF305)),"",CONCATENATE(" ",VLOOKUP(AF305,Literatuur!$A:$B,2,FALSE)," "))</f>
        <v/>
      </c>
      <c r="AJ305" s="44" t="str">
        <f t="shared" si="222"/>
        <v xml:space="preserve"> </v>
      </c>
      <c r="AK305" s="33" t="str">
        <f>IF(OR(ISBLANK(AI305), ISBLANK(AJ305)),"",CONCATENATE(" ",VLOOKUP(AJ305,Literatuur!$A:$B,2,FALSE)," "))</f>
        <v/>
      </c>
      <c r="AM305" s="44" t="str">
        <f t="shared" si="223"/>
        <v xml:space="preserve"> </v>
      </c>
      <c r="AN305" s="33" t="str">
        <f>IF(OR(ISBLANK(AL305), ISBLANK(AM305)),"",CONCATENATE(" ",VLOOKUP(AM305,Literatuur!$A:$B,2,FALSE)," "))</f>
        <v/>
      </c>
      <c r="AO305" s="33">
        <v>162.62</v>
      </c>
      <c r="AP305" s="44" t="str">
        <f t="shared" si="224"/>
        <v>US EPA suite</v>
      </c>
      <c r="AQ305" s="33" t="str">
        <f>IF(OR(ISBLANK(AO305), ISBLANK(AP305)),"",CONCATENATE(" ",VLOOKUP(AP305,Literatuur!$A:$B,2,FALSE)," "))</f>
        <v xml:space="preserve"> F </v>
      </c>
      <c r="AT305" s="33" t="str">
        <f>IF(OR(ISBLANK(AR305), ISBLANK(AS305)),"",CONCATENATE(" ",VLOOKUP(AS305,Literatuur!$A:$B,2,FALSE)," "))</f>
        <v/>
      </c>
      <c r="AW305" s="33" t="str">
        <f>IF(OR(ISBLANK(AU305), ISBLANK(AV305)),"",CONCATENATE(" ",VLOOKUP(AV305,Literatuur!$A:$B,2,FALSE)," "))</f>
        <v/>
      </c>
      <c r="AZ305" s="44" t="str">
        <f t="shared" si="225"/>
        <v xml:space="preserve"> </v>
      </c>
      <c r="BA305" s="33" t="str">
        <f>IF(OR(ISBLANK(AY305), ISBLANK(AZ305)),"",CONCATENATE(" ",VLOOKUP(AZ305,Literatuur!$A:$B,2,FALSE)," "))</f>
        <v/>
      </c>
      <c r="BC305" s="44" t="str">
        <f t="shared" si="226"/>
        <v xml:space="preserve"> </v>
      </c>
      <c r="BD305" s="33" t="str">
        <f>IF(OR(ISBLANK(BB305), ISBLANK(BC305)),"",CONCATENATE(" ",VLOOKUP(BC305,Literatuur!$A:$B,2,FALSE)," "))</f>
        <v/>
      </c>
      <c r="BF305" s="44" t="str">
        <f t="shared" si="227"/>
        <v xml:space="preserve"> </v>
      </c>
      <c r="BG305" s="33" t="str">
        <f>IF(OR(ISBLANK(BE305), ISBLANK(BF305)),"",CONCATENATE(" ",VLOOKUP(BF305,Literatuur!$A:$B,2,FALSE)," "))</f>
        <v/>
      </c>
      <c r="BH305" s="33">
        <v>4</v>
      </c>
      <c r="BI305" s="44" t="str">
        <f t="shared" si="228"/>
        <v>US EPA suite</v>
      </c>
      <c r="BJ305" s="33" t="str">
        <f>IF(OR(ISBLANK(BH305), ISBLANK(BI305)),"",CONCATENATE(" ",VLOOKUP(BI305,Literatuur!$A:$B,2,FALSE)," "))</f>
        <v xml:space="preserve"> F </v>
      </c>
      <c r="BL305" s="44" t="str">
        <f t="shared" si="229"/>
        <v xml:space="preserve"> </v>
      </c>
      <c r="BM305" s="33" t="str">
        <f>IF(OR(ISBLANK(BK305), ISBLANK(BL305)),"",CONCATENATE(" ",VLOOKUP(BL305,Literatuur!$A:$B,2,FALSE)," "))</f>
        <v/>
      </c>
      <c r="BP305" s="33" t="str">
        <f>IF(OR(ISBLANK(BN305), ISBLANK(BO305)),"",CONCATENATE(" ",VLOOKUP(BO305,Literatuur!$A:$B,2,FALSE)," "))</f>
        <v/>
      </c>
      <c r="BS305" s="33" t="str">
        <f>IF(OR(ISBLANK(BQ305), ISBLANK(BR305)),"",CONCATENATE(" ",VLOOKUP(BR305,Literatuur!$A:$B,2,FALSE)," "))</f>
        <v/>
      </c>
      <c r="BV305" s="33" t="str">
        <f>IF(OR(ISBLANK(BT305), ISBLANK(BU305)),"",CONCATENATE(" ",VLOOKUP(BU305,Literatuur!$A:$B,2,FALSE)," "))</f>
        <v/>
      </c>
      <c r="BY305" s="33">
        <v>137.69999999999999</v>
      </c>
      <c r="CB305" s="33" t="s">
        <v>1070</v>
      </c>
      <c r="CD305" s="33">
        <f>L305</f>
        <v>137.69999999999999</v>
      </c>
      <c r="CE305" s="37">
        <f t="shared" si="233"/>
        <v>162.62</v>
      </c>
      <c r="CG305" s="33">
        <f t="shared" si="234"/>
        <v>1.2405492482825997</v>
      </c>
      <c r="CH305" s="33">
        <f t="shared" si="235"/>
        <v>4</v>
      </c>
      <c r="CR305" s="33" t="str">
        <f t="shared" si="209"/>
        <v>1-Chloronaphthalene</v>
      </c>
      <c r="CS305" s="33" t="str">
        <f t="shared" si="210"/>
        <v>ClArom</v>
      </c>
      <c r="CT305" s="33">
        <f t="shared" si="232"/>
        <v>162.62</v>
      </c>
      <c r="CU305" s="33" t="str">
        <f t="shared" si="211"/>
        <v xml:space="preserve"> F </v>
      </c>
      <c r="CV305" s="33">
        <f t="shared" si="212"/>
        <v>17.399999999999999</v>
      </c>
      <c r="CW305" s="33" t="str">
        <f t="shared" si="213"/>
        <v xml:space="preserve"> F </v>
      </c>
      <c r="CX305" s="33">
        <f t="shared" si="214"/>
        <v>4</v>
      </c>
      <c r="CY305" s="33" t="str">
        <f t="shared" si="215"/>
        <v xml:space="preserve"> F </v>
      </c>
    </row>
    <row r="306" spans="1:103" x14ac:dyDescent="0.2">
      <c r="B306" s="33">
        <v>-500</v>
      </c>
      <c r="D306" s="33" t="s">
        <v>285</v>
      </c>
      <c r="E306" s="33" t="s">
        <v>1273</v>
      </c>
      <c r="F306" s="33" t="s">
        <v>1274</v>
      </c>
      <c r="H306" s="34" t="s">
        <v>286</v>
      </c>
      <c r="I306" s="37">
        <f t="shared" si="236"/>
        <v>126.59</v>
      </c>
      <c r="J306" s="33">
        <f t="shared" si="216"/>
        <v>476.5</v>
      </c>
      <c r="K306" s="44">
        <f t="shared" si="237"/>
        <v>2.2999999999999998</v>
      </c>
      <c r="L306" s="33" t="e">
        <f t="shared" si="231"/>
        <v>#DIV/0!</v>
      </c>
      <c r="M306" s="33" t="s">
        <v>1892</v>
      </c>
      <c r="N306" s="33" t="s">
        <v>1554</v>
      </c>
      <c r="Q306" s="44" t="str">
        <f t="shared" si="217"/>
        <v xml:space="preserve"> </v>
      </c>
      <c r="R306" s="33" t="str">
        <f>IF(OR(ISBLANK(P306), ISBLANK(Q306)),"",CONCATENATE(" ",VLOOKUP(Q306,Literatuur!$A:$B,2,FALSE)," "))</f>
        <v/>
      </c>
      <c r="S306" s="33">
        <v>460</v>
      </c>
      <c r="T306" s="44" t="str">
        <f t="shared" si="218"/>
        <v>Gestis</v>
      </c>
      <c r="U306" s="33" t="str">
        <f>IF(OR(ISBLANK(S306), ISBLANK(T306)),"",CONCATENATE(" ",VLOOKUP(T306,Literatuur!$A:$B,2,FALSE)," "))</f>
        <v xml:space="preserve"> A </v>
      </c>
      <c r="W306" s="44" t="str">
        <f t="shared" si="219"/>
        <v xml:space="preserve"> </v>
      </c>
      <c r="X306" s="33" t="str">
        <f>IF(OR(ISBLANK(V306), ISBLANK(W306)),"",CONCATENATE(" ",VLOOKUP(W306,Literatuur!$A:$B,2,FALSE)," "))</f>
        <v/>
      </c>
      <c r="Z306" s="44" t="str">
        <f t="shared" si="220"/>
        <v xml:space="preserve"> </v>
      </c>
      <c r="AA306" s="33" t="str">
        <f>IF(OR(ISBLANK(Y306), ISBLANK(Z306)),"",CONCATENATE(" ",VLOOKUP(Z306,Literatuur!$A:$B,2,FALSE)," "))</f>
        <v/>
      </c>
      <c r="AC306" s="36" t="str">
        <f t="shared" si="221"/>
        <v xml:space="preserve"> </v>
      </c>
      <c r="AD306" s="33" t="str">
        <f>IF(OR(ISBLANK(AB306), ISBLANK(AC306)),"",CONCATENATE(" ",VLOOKUP(AC306,Literatuur!$A:$B,2,FALSE)," "))</f>
        <v/>
      </c>
      <c r="AE306" s="33">
        <v>493</v>
      </c>
      <c r="AF306" s="33" t="s">
        <v>1902</v>
      </c>
      <c r="AG306" s="33" t="str">
        <f>IF(OR(ISBLANK(AE306), ISBLANK(AF306)),"",CONCATENATE(" ",VLOOKUP(AF306,Literatuur!$A:$B,2,FALSE)," "))</f>
        <v xml:space="preserve"> B </v>
      </c>
      <c r="AI306" s="37"/>
      <c r="AJ306" s="44" t="str">
        <f t="shared" si="222"/>
        <v xml:space="preserve"> </v>
      </c>
      <c r="AK306" s="33" t="str">
        <f>IF(OR(ISBLANK(AI306), ISBLANK(AJ306)),"",CONCATENATE(" ",VLOOKUP(AJ306,Literatuur!$A:$B,2,FALSE)," "))</f>
        <v/>
      </c>
      <c r="AL306" s="39">
        <v>126.59</v>
      </c>
      <c r="AM306" s="44" t="str">
        <f t="shared" si="223"/>
        <v>Gestis</v>
      </c>
      <c r="AN306" s="33" t="str">
        <f>IF(OR(ISBLANK(AL306), ISBLANK(AM306)),"",CONCATENATE(" ",VLOOKUP(AM306,Literatuur!$A:$B,2,FALSE)," "))</f>
        <v xml:space="preserve"> A </v>
      </c>
      <c r="AO306" s="39"/>
      <c r="AP306" s="44" t="str">
        <f t="shared" si="224"/>
        <v xml:space="preserve"> </v>
      </c>
      <c r="AQ306" s="33" t="str">
        <f>IF(OR(ISBLANK(AO306), ISBLANK(AP306)),"",CONCATENATE(" ",VLOOKUP(AP306,Literatuur!$A:$B,2,FALSE)," "))</f>
        <v/>
      </c>
      <c r="AR306" s="39"/>
      <c r="AT306" s="33" t="str">
        <f>IF(OR(ISBLANK(AR306), ISBLANK(AS306)),"",CONCATENATE(" ",VLOOKUP(AS306,Literatuur!$A:$B,2,FALSE)," "))</f>
        <v/>
      </c>
      <c r="AV306" s="39"/>
      <c r="AW306" s="33" t="str">
        <f>IF(OR(ISBLANK(AU306), ISBLANK(AV306)),"",CONCATENATE(" ",VLOOKUP(AV306,Literatuur!$A:$B,2,FALSE)," "))</f>
        <v/>
      </c>
      <c r="AY306" s="44"/>
      <c r="AZ306" s="44" t="str">
        <f t="shared" si="225"/>
        <v xml:space="preserve"> </v>
      </c>
      <c r="BA306" s="33" t="str">
        <f>IF(OR(ISBLANK(AY306), ISBLANK(AZ306)),"",CONCATENATE(" ",VLOOKUP(AZ306,Literatuur!$A:$B,2,FALSE)," "))</f>
        <v/>
      </c>
      <c r="BB306" s="44">
        <v>2.2999999999999998</v>
      </c>
      <c r="BC306" s="44" t="str">
        <f t="shared" si="226"/>
        <v>Gestis</v>
      </c>
      <c r="BD306" s="33" t="str">
        <f>IF(OR(ISBLANK(BB306), ISBLANK(BC306)),"",CONCATENATE(" ",VLOOKUP(BC306,Literatuur!$A:$B,2,FALSE)," "))</f>
        <v xml:space="preserve"> A </v>
      </c>
      <c r="BF306" s="44" t="str">
        <f t="shared" si="227"/>
        <v xml:space="preserve"> </v>
      </c>
      <c r="BG306" s="33" t="str">
        <f>IF(OR(ISBLANK(BE306), ISBLANK(BF306)),"",CONCATENATE(" ",VLOOKUP(BF306,Literatuur!$A:$B,2,FALSE)," "))</f>
        <v/>
      </c>
      <c r="BI306" s="44" t="str">
        <f t="shared" si="228"/>
        <v xml:space="preserve"> </v>
      </c>
      <c r="BJ306" s="33" t="str">
        <f>IF(OR(ISBLANK(BH306), ISBLANK(BI306)),"",CONCATENATE(" ",VLOOKUP(BI306,Literatuur!$A:$B,2,FALSE)," "))</f>
        <v/>
      </c>
      <c r="BK306" s="33">
        <v>2.2999999999999998</v>
      </c>
      <c r="BL306" s="44" t="str">
        <f t="shared" si="229"/>
        <v>Sangster 1989</v>
      </c>
      <c r="BM306" s="33" t="str">
        <f>IF(OR(ISBLANK(BK306), ISBLANK(BL306)),"",CONCATENATE(" ",VLOOKUP(BL306,Literatuur!$A:$B,2,FALSE)," "))</f>
        <v xml:space="preserve"> 27 </v>
      </c>
      <c r="BP306" s="33" t="str">
        <f>IF(OR(ISBLANK(BN306), ISBLANK(BO306)),"",CONCATENATE(" ",VLOOKUP(BO306,Literatuur!$A:$B,2,FALSE)," "))</f>
        <v/>
      </c>
      <c r="BS306" s="33" t="str">
        <f>IF(OR(ISBLANK(BQ306), ISBLANK(BR306)),"",CONCATENATE(" ",VLOOKUP(BR306,Literatuur!$A:$B,2,FALSE)," "))</f>
        <v/>
      </c>
      <c r="BV306" s="33" t="str">
        <f>IF(OR(ISBLANK(BT306), ISBLANK(BU306)),"",CONCATENATE(" ",VLOOKUP(BU306,Literatuur!$A:$B,2,FALSE)," "))</f>
        <v/>
      </c>
      <c r="CE306" s="37">
        <f t="shared" si="233"/>
        <v>126.59</v>
      </c>
      <c r="CG306" s="33">
        <f t="shared" si="234"/>
        <v>2.6780629049743454</v>
      </c>
      <c r="CH306" s="33">
        <f t="shared" si="235"/>
        <v>2.2999999999999998</v>
      </c>
      <c r="CR306" s="33" t="str">
        <f t="shared" si="209"/>
        <v>Benzyl chloride</v>
      </c>
      <c r="CS306" s="33" t="str">
        <f t="shared" si="210"/>
        <v>ClArom</v>
      </c>
      <c r="CT306" s="33">
        <f t="shared" si="232"/>
        <v>126.59</v>
      </c>
      <c r="CU306" s="33" t="str">
        <f t="shared" si="211"/>
        <v xml:space="preserve"> A </v>
      </c>
      <c r="CV306" s="33">
        <f t="shared" si="212"/>
        <v>476.5</v>
      </c>
      <c r="CW306" s="33" t="str">
        <f t="shared" si="213"/>
        <v xml:space="preserve"> A  B </v>
      </c>
      <c r="CX306" s="33">
        <f t="shared" si="214"/>
        <v>2.2999999999999998</v>
      </c>
      <c r="CY306" s="33" t="str">
        <f t="shared" si="215"/>
        <v xml:space="preserve"> A  27 </v>
      </c>
    </row>
    <row r="307" spans="1:103" x14ac:dyDescent="0.2">
      <c r="B307" s="33">
        <v>-1530</v>
      </c>
      <c r="D307" s="4" t="s">
        <v>503</v>
      </c>
      <c r="E307" s="4" t="s">
        <v>503</v>
      </c>
      <c r="F307" s="4"/>
      <c r="G307" s="4"/>
      <c r="I307" s="33">
        <f t="shared" si="236"/>
        <v>112.56</v>
      </c>
      <c r="J307" s="33">
        <f t="shared" si="216"/>
        <v>498</v>
      </c>
      <c r="K307" s="44">
        <f t="shared" si="237"/>
        <v>2.84</v>
      </c>
      <c r="L307" s="33">
        <f t="shared" si="231"/>
        <v>102.2</v>
      </c>
      <c r="M307" s="33" t="s">
        <v>1892</v>
      </c>
      <c r="Q307" s="44" t="str">
        <f t="shared" si="217"/>
        <v xml:space="preserve"> </v>
      </c>
      <c r="R307" s="33" t="str">
        <f>IF(OR(ISBLANK(P307), ISBLANK(Q307)),"",CONCATENATE(" ",VLOOKUP(Q307,Literatuur!$A:$B,2,FALSE)," "))</f>
        <v/>
      </c>
      <c r="T307" s="44" t="str">
        <f t="shared" si="218"/>
        <v xml:space="preserve"> </v>
      </c>
      <c r="U307" s="33" t="str">
        <f>IF(OR(ISBLANK(S307), ISBLANK(T307)),"",CONCATENATE(" ",VLOOKUP(T307,Literatuur!$A:$B,2,FALSE)," "))</f>
        <v/>
      </c>
      <c r="W307" s="44" t="str">
        <f t="shared" si="219"/>
        <v xml:space="preserve"> </v>
      </c>
      <c r="X307" s="33" t="str">
        <f>IF(OR(ISBLANK(V307), ISBLANK(W307)),"",CONCATENATE(" ",VLOOKUP(W307,Literatuur!$A:$B,2,FALSE)," "))</f>
        <v/>
      </c>
      <c r="Y307" s="33">
        <v>498</v>
      </c>
      <c r="Z307" s="44" t="str">
        <f t="shared" si="220"/>
        <v>US EPA suite</v>
      </c>
      <c r="AA307" s="33" t="str">
        <f>IF(OR(ISBLANK(Y307), ISBLANK(Z307)),"",CONCATENATE(" ",VLOOKUP(Z307,Literatuur!$A:$B,2,FALSE)," "))</f>
        <v xml:space="preserve"> F </v>
      </c>
      <c r="AC307" s="36" t="str">
        <f t="shared" si="221"/>
        <v xml:space="preserve"> </v>
      </c>
      <c r="AD307" s="33" t="str">
        <f>IF(OR(ISBLANK(AB307), ISBLANK(AC307)),"",CONCATENATE(" ",VLOOKUP(AC307,Literatuur!$A:$B,2,FALSE)," "))</f>
        <v/>
      </c>
      <c r="AG307" s="33" t="str">
        <f>IF(OR(ISBLANK(AE307), ISBLANK(AF307)),"",CONCATENATE(" ",VLOOKUP(AF307,Literatuur!$A:$B,2,FALSE)," "))</f>
        <v/>
      </c>
      <c r="AJ307" s="44" t="str">
        <f t="shared" si="222"/>
        <v xml:space="preserve"> </v>
      </c>
      <c r="AK307" s="33" t="str">
        <f>IF(OR(ISBLANK(AI307), ISBLANK(AJ307)),"",CONCATENATE(" ",VLOOKUP(AJ307,Literatuur!$A:$B,2,FALSE)," "))</f>
        <v/>
      </c>
      <c r="AL307" s="33">
        <v>112.56</v>
      </c>
      <c r="AM307" s="44" t="str">
        <f t="shared" si="223"/>
        <v>Gestis</v>
      </c>
      <c r="AN307" s="33" t="str">
        <f>IF(OR(ISBLANK(AL307), ISBLANK(AM307)),"",CONCATENATE(" ",VLOOKUP(AM307,Literatuur!$A:$B,2,FALSE)," "))</f>
        <v xml:space="preserve"> A </v>
      </c>
      <c r="AP307" s="44" t="str">
        <f t="shared" si="224"/>
        <v xml:space="preserve"> </v>
      </c>
      <c r="AQ307" s="33" t="str">
        <f>IF(OR(ISBLANK(AO307), ISBLANK(AP307)),"",CONCATENATE(" ",VLOOKUP(AP307,Literatuur!$A:$B,2,FALSE)," "))</f>
        <v/>
      </c>
      <c r="AT307" s="33" t="str">
        <f>IF(OR(ISBLANK(AR307), ISBLANK(AS307)),"",CONCATENATE(" ",VLOOKUP(AS307,Literatuur!$A:$B,2,FALSE)," "))</f>
        <v/>
      </c>
      <c r="AW307" s="33" t="str">
        <f>IF(OR(ISBLANK(AU307), ISBLANK(AV307)),"",CONCATENATE(" ",VLOOKUP(AV307,Literatuur!$A:$B,2,FALSE)," "))</f>
        <v/>
      </c>
      <c r="AZ307" s="44" t="str">
        <f t="shared" si="225"/>
        <v xml:space="preserve"> </v>
      </c>
      <c r="BA307" s="33" t="str">
        <f>IF(OR(ISBLANK(AY307), ISBLANK(AZ307)),"",CONCATENATE(" ",VLOOKUP(AZ307,Literatuur!$A:$B,2,FALSE)," "))</f>
        <v/>
      </c>
      <c r="BC307" s="44" t="str">
        <f t="shared" si="226"/>
        <v xml:space="preserve"> </v>
      </c>
      <c r="BD307" s="33" t="str">
        <f>IF(OR(ISBLANK(BB307), ISBLANK(BC307)),"",CONCATENATE(" ",VLOOKUP(BC307,Literatuur!$A:$B,2,FALSE)," "))</f>
        <v/>
      </c>
      <c r="BF307" s="44" t="str">
        <f t="shared" si="227"/>
        <v xml:space="preserve"> </v>
      </c>
      <c r="BG307" s="33" t="str">
        <f>IF(OR(ISBLANK(BE307), ISBLANK(BF307)),"",CONCATENATE(" ",VLOOKUP(BF307,Literatuur!$A:$B,2,FALSE)," "))</f>
        <v/>
      </c>
      <c r="BH307" s="33">
        <v>2.84</v>
      </c>
      <c r="BI307" s="44" t="str">
        <f t="shared" si="228"/>
        <v>US EPA suite</v>
      </c>
      <c r="BJ307" s="33" t="str">
        <f>IF(OR(ISBLANK(BH307), ISBLANK(BI307)),"",CONCATENATE(" ",VLOOKUP(BI307,Literatuur!$A:$B,2,FALSE)," "))</f>
        <v xml:space="preserve"> F </v>
      </c>
      <c r="BL307" s="44" t="str">
        <f t="shared" si="229"/>
        <v xml:space="preserve"> </v>
      </c>
      <c r="BM307" s="33" t="str">
        <f>IF(OR(ISBLANK(BK307), ISBLANK(BL307)),"",CONCATENATE(" ",VLOOKUP(BL307,Literatuur!$A:$B,2,FALSE)," "))</f>
        <v/>
      </c>
      <c r="BP307" s="33" t="str">
        <f>IF(OR(ISBLANK(BN307), ISBLANK(BO307)),"",CONCATENATE(" ",VLOOKUP(BO307,Literatuur!$A:$B,2,FALSE)," "))</f>
        <v/>
      </c>
      <c r="BS307" s="33" t="str">
        <f>IF(OR(ISBLANK(BQ307), ISBLANK(BR307)),"",CONCATENATE(" ",VLOOKUP(BR307,Literatuur!$A:$B,2,FALSE)," "))</f>
        <v/>
      </c>
      <c r="BV307" s="33" t="str">
        <f>IF(OR(ISBLANK(BT307), ISBLANK(BU307)),"",CONCATENATE(" ",VLOOKUP(BU307,Literatuur!$A:$B,2,FALSE)," "))</f>
        <v/>
      </c>
      <c r="BY307" s="33">
        <v>102.2</v>
      </c>
      <c r="CB307" s="33" t="s">
        <v>1070</v>
      </c>
      <c r="CD307" s="33">
        <f>L307</f>
        <v>102.2</v>
      </c>
      <c r="CE307" s="37">
        <f t="shared" si="233"/>
        <v>112.56</v>
      </c>
      <c r="CG307" s="33">
        <f t="shared" si="234"/>
        <v>2.6972293427597176</v>
      </c>
      <c r="CH307" s="33">
        <f t="shared" si="235"/>
        <v>2.84</v>
      </c>
      <c r="CR307" s="33" t="str">
        <f t="shared" si="209"/>
        <v>Chlorobenzene</v>
      </c>
      <c r="CS307" s="33" t="str">
        <f t="shared" si="210"/>
        <v>ClArom</v>
      </c>
      <c r="CT307" s="33">
        <f t="shared" si="232"/>
        <v>112.56</v>
      </c>
      <c r="CU307" s="33" t="str">
        <f t="shared" si="211"/>
        <v xml:space="preserve"> A </v>
      </c>
      <c r="CV307" s="33">
        <f t="shared" si="212"/>
        <v>498</v>
      </c>
      <c r="CW307" s="33" t="str">
        <f t="shared" si="213"/>
        <v xml:space="preserve"> F </v>
      </c>
      <c r="CX307" s="33">
        <f t="shared" si="214"/>
        <v>2.84</v>
      </c>
      <c r="CY307" s="33" t="str">
        <f t="shared" si="215"/>
        <v xml:space="preserve"> F </v>
      </c>
    </row>
    <row r="308" spans="1:103" x14ac:dyDescent="0.2">
      <c r="B308" s="33">
        <v>-503</v>
      </c>
      <c r="D308" s="33" t="s">
        <v>290</v>
      </c>
      <c r="E308" s="33" t="s">
        <v>1278</v>
      </c>
      <c r="F308" s="33" t="s">
        <v>1277</v>
      </c>
      <c r="H308" s="34" t="s">
        <v>291</v>
      </c>
      <c r="I308" s="37">
        <f t="shared" si="236"/>
        <v>126.586</v>
      </c>
      <c r="J308" s="33">
        <f t="shared" si="216"/>
        <v>117</v>
      </c>
      <c r="K308" s="44">
        <f t="shared" si="237"/>
        <v>3.7639999999999998</v>
      </c>
      <c r="L308" s="33" t="e">
        <f t="shared" si="231"/>
        <v>#DIV/0!</v>
      </c>
      <c r="M308" s="33" t="s">
        <v>1892</v>
      </c>
      <c r="Q308" s="44" t="str">
        <f t="shared" si="217"/>
        <v xml:space="preserve"> </v>
      </c>
      <c r="R308" s="33" t="str">
        <f>IF(OR(ISBLANK(P308), ISBLANK(Q308)),"",CONCATENATE(" ",VLOOKUP(Q308,Literatuur!$A:$B,2,FALSE)," "))</f>
        <v/>
      </c>
      <c r="S308" s="37"/>
      <c r="T308" s="44" t="str">
        <f t="shared" si="218"/>
        <v xml:space="preserve"> </v>
      </c>
      <c r="U308" s="33" t="str">
        <f>IF(OR(ISBLANK(S308), ISBLANK(T308)),"",CONCATENATE(" ",VLOOKUP(T308,Literatuur!$A:$B,2,FALSE)," "))</f>
        <v/>
      </c>
      <c r="W308" s="44" t="str">
        <f t="shared" si="219"/>
        <v xml:space="preserve"> </v>
      </c>
      <c r="X308" s="33" t="str">
        <f>IF(OR(ISBLANK(V308), ISBLANK(W308)),"",CONCATENATE(" ",VLOOKUP(W308,Literatuur!$A:$B,2,FALSE)," "))</f>
        <v/>
      </c>
      <c r="Z308" s="44" t="str">
        <f t="shared" si="220"/>
        <v xml:space="preserve"> </v>
      </c>
      <c r="AA308" s="33" t="str">
        <f>IF(OR(ISBLANK(Y308), ISBLANK(Z308)),"",CONCATENATE(" ",VLOOKUP(Z308,Literatuur!$A:$B,2,FALSE)," "))</f>
        <v/>
      </c>
      <c r="AB308" s="40"/>
      <c r="AC308" s="36" t="str">
        <f t="shared" si="221"/>
        <v xml:space="preserve"> </v>
      </c>
      <c r="AD308" s="33" t="str">
        <f>IF(OR(ISBLANK(AB308), ISBLANK(AC308)),"",CONCATENATE(" ",VLOOKUP(AC308,Literatuur!$A:$B,2,FALSE)," "))</f>
        <v/>
      </c>
      <c r="AE308" s="33">
        <v>117</v>
      </c>
      <c r="AF308" t="s">
        <v>1903</v>
      </c>
      <c r="AG308" s="33" t="str">
        <f>IF(OR(ISBLANK(AE308), ISBLANK(AF308)),"",CONCATENATE(" ",VLOOKUP(AF308,Literatuur!$A:$B,2,FALSE)," "))</f>
        <v xml:space="preserve"> 34 </v>
      </c>
      <c r="AI308" s="37"/>
      <c r="AJ308" s="44" t="str">
        <f t="shared" si="222"/>
        <v xml:space="preserve"> </v>
      </c>
      <c r="AK308" s="33" t="str">
        <f>IF(OR(ISBLANK(AI308), ISBLANK(AJ308)),"",CONCATENATE(" ",VLOOKUP(AJ308,Literatuur!$A:$B,2,FALSE)," "))</f>
        <v/>
      </c>
      <c r="AL308" s="33">
        <v>126.586</v>
      </c>
      <c r="AM308" s="44" t="str">
        <f t="shared" si="223"/>
        <v>Gestis</v>
      </c>
      <c r="AN308" s="33" t="str">
        <f>IF(OR(ISBLANK(AL308), ISBLANK(AM308)),"",CONCATENATE(" ",VLOOKUP(AM308,Literatuur!$A:$B,2,FALSE)," "))</f>
        <v xml:space="preserve"> A </v>
      </c>
      <c r="AP308" s="44" t="str">
        <f t="shared" si="224"/>
        <v xml:space="preserve"> </v>
      </c>
      <c r="AQ308" s="33" t="str">
        <f>IF(OR(ISBLANK(AO308), ISBLANK(AP308)),"",CONCATENATE(" ",VLOOKUP(AP308,Literatuur!$A:$B,2,FALSE)," "))</f>
        <v/>
      </c>
      <c r="AT308" s="33" t="str">
        <f>IF(OR(ISBLANK(AR308), ISBLANK(AS308)),"",CONCATENATE(" ",VLOOKUP(AS308,Literatuur!$A:$B,2,FALSE)," "))</f>
        <v/>
      </c>
      <c r="AW308" s="33" t="str">
        <f>IF(OR(ISBLANK(AU308), ISBLANK(AV308)),"",CONCATENATE(" ",VLOOKUP(AV308,Literatuur!$A:$B,2,FALSE)," "))</f>
        <v/>
      </c>
      <c r="AZ308" s="44" t="str">
        <f t="shared" si="225"/>
        <v xml:space="preserve"> </v>
      </c>
      <c r="BA308" s="33" t="str">
        <f>IF(OR(ISBLANK(AY308), ISBLANK(AZ308)),"",CONCATENATE(" ",VLOOKUP(AZ308,Literatuur!$A:$B,2,FALSE)," "))</f>
        <v/>
      </c>
      <c r="BC308" s="44" t="str">
        <f t="shared" si="226"/>
        <v xml:space="preserve"> </v>
      </c>
      <c r="BD308" s="33" t="str">
        <f>IF(OR(ISBLANK(BB308), ISBLANK(BC308)),"",CONCATENATE(" ",VLOOKUP(BC308,Literatuur!$A:$B,2,FALSE)," "))</f>
        <v/>
      </c>
      <c r="BF308" s="44" t="str">
        <f t="shared" si="227"/>
        <v xml:space="preserve"> </v>
      </c>
      <c r="BG308" s="33" t="str">
        <f>IF(OR(ISBLANK(BE308), ISBLANK(BF308)),"",CONCATENATE(" ",VLOOKUP(BF308,Literatuur!$A:$B,2,FALSE)," "))</f>
        <v/>
      </c>
      <c r="BI308" s="44" t="str">
        <f t="shared" si="228"/>
        <v xml:space="preserve"> </v>
      </c>
      <c r="BJ308" s="33" t="str">
        <f>IF(OR(ISBLANK(BH308), ISBLANK(BI308)),"",CONCATENATE(" ",VLOOKUP(BI308,Literatuur!$A:$B,2,FALSE)," "))</f>
        <v/>
      </c>
      <c r="BL308" s="44" t="str">
        <f t="shared" si="229"/>
        <v xml:space="preserve"> </v>
      </c>
      <c r="BM308" s="33" t="str">
        <f>IF(OR(ISBLANK(BK308), ISBLANK(BL308)),"",CONCATENATE(" ",VLOOKUP(BL308,Literatuur!$A:$B,2,FALSE)," "))</f>
        <v/>
      </c>
      <c r="BP308" s="33" t="str">
        <f>IF(OR(ISBLANK(BN308), ISBLANK(BO308)),"",CONCATENATE(" ",VLOOKUP(BO308,Literatuur!$A:$B,2,FALSE)," "))</f>
        <v/>
      </c>
      <c r="BS308" s="33" t="str">
        <f>IF(OR(ISBLANK(BQ308), ISBLANK(BR308)),"",CONCATENATE(" ",VLOOKUP(BR308,Literatuur!$A:$B,2,FALSE)," "))</f>
        <v/>
      </c>
      <c r="BT308" s="33">
        <v>3.7639999999999998</v>
      </c>
      <c r="BU308" s="33" t="s">
        <v>1903</v>
      </c>
      <c r="BV308" s="33" t="str">
        <f>IF(OR(ISBLANK(BT308), ISBLANK(BU308)),"",CONCATENATE(" ",VLOOKUP(BU308,Literatuur!$A:$B,2,FALSE)," "))</f>
        <v xml:space="preserve"> 34 </v>
      </c>
      <c r="CE308" s="37">
        <f t="shared" si="233"/>
        <v>126.586</v>
      </c>
      <c r="CG308" s="33">
        <f t="shared" si="234"/>
        <v>2.0681858617461617</v>
      </c>
      <c r="CH308" s="33">
        <f t="shared" si="235"/>
        <v>3.7639999999999998</v>
      </c>
      <c r="CR308" s="33" t="str">
        <f t="shared" si="209"/>
        <v>mo-Chlorotoluene</v>
      </c>
      <c r="CS308" s="33" t="str">
        <f t="shared" si="210"/>
        <v>ClArom</v>
      </c>
      <c r="CT308" s="33">
        <f t="shared" si="232"/>
        <v>126.586</v>
      </c>
      <c r="CU308" s="33" t="str">
        <f t="shared" si="211"/>
        <v xml:space="preserve"> A </v>
      </c>
      <c r="CV308" s="33">
        <f t="shared" si="212"/>
        <v>117</v>
      </c>
      <c r="CW308" s="33" t="str">
        <f t="shared" si="213"/>
        <v xml:space="preserve"> 34 </v>
      </c>
      <c r="CX308" s="33">
        <f t="shared" si="214"/>
        <v>3.7639999999999998</v>
      </c>
      <c r="CY308" s="33" t="str">
        <f t="shared" si="215"/>
        <v xml:space="preserve"> 34 </v>
      </c>
    </row>
    <row r="309" spans="1:103" x14ac:dyDescent="0.2">
      <c r="A309" s="31"/>
      <c r="B309" s="33">
        <v>500</v>
      </c>
      <c r="D309" s="33" t="s">
        <v>127</v>
      </c>
      <c r="E309" s="33" t="s">
        <v>503</v>
      </c>
      <c r="F309" s="33" t="s">
        <v>1271</v>
      </c>
      <c r="H309" s="34" t="s">
        <v>284</v>
      </c>
      <c r="I309" s="37">
        <f t="shared" si="236"/>
        <v>112.58999866757466</v>
      </c>
      <c r="J309" s="33">
        <f t="shared" si="216"/>
        <v>507.42586202944472</v>
      </c>
      <c r="K309" s="44">
        <f t="shared" si="237"/>
        <v>2.89</v>
      </c>
      <c r="L309" s="33" t="e">
        <f t="shared" si="231"/>
        <v>#DIV/0!</v>
      </c>
      <c r="M309" s="33" t="s">
        <v>1892</v>
      </c>
      <c r="P309" s="33">
        <v>507.42586202944472</v>
      </c>
      <c r="Q309" s="44" t="str">
        <f t="shared" si="217"/>
        <v>Sanscrit</v>
      </c>
      <c r="R309" s="33" t="str">
        <f>IF(OR(ISBLANK(P309), ISBLANK(Q309)),"",CONCATENATE(" ",VLOOKUP(Q309,Literatuur!$A:$B,2,FALSE)," "))</f>
        <v xml:space="preserve"> D </v>
      </c>
      <c r="S309" s="33">
        <v>400</v>
      </c>
      <c r="T309" s="44" t="str">
        <f t="shared" si="218"/>
        <v>Gestis</v>
      </c>
      <c r="U309" s="33" t="str">
        <f>IF(OR(ISBLANK(S309), ISBLANK(T309)),"",CONCATENATE(" ",VLOOKUP(T309,Literatuur!$A:$B,2,FALSE)," "))</f>
        <v xml:space="preserve"> A </v>
      </c>
      <c r="V309" s="33">
        <v>472</v>
      </c>
      <c r="W309" s="44" t="str">
        <f t="shared" si="219"/>
        <v>US EPA 1995</v>
      </c>
      <c r="X309" s="33" t="str">
        <f>IF(OR(ISBLANK(V309), ISBLANK(W309)),"",CONCATENATE(" ",VLOOKUP(W309,Literatuur!$A:$B,2,FALSE)," "))</f>
        <v xml:space="preserve"> 30 </v>
      </c>
      <c r="Y309" s="36"/>
      <c r="Z309" s="44" t="str">
        <f t="shared" si="220"/>
        <v xml:space="preserve"> </v>
      </c>
      <c r="AA309" s="33" t="str">
        <f>IF(OR(ISBLANK(Y309), ISBLANK(Z309)),"",CONCATENATE(" ",VLOOKUP(Z309,Literatuur!$A:$B,2,FALSE)," "))</f>
        <v/>
      </c>
      <c r="AB309" s="38">
        <v>500</v>
      </c>
      <c r="AC309" s="36" t="str">
        <f t="shared" si="221"/>
        <v>Vonk 1985</v>
      </c>
      <c r="AD309" s="33" t="str">
        <f>IF(OR(ISBLANK(AB309), ISBLANK(AC309)),"",CONCATENATE(" ",VLOOKUP(AC309,Literatuur!$A:$B,2,FALSE)," "))</f>
        <v xml:space="preserve"> 37 </v>
      </c>
      <c r="AE309" s="38"/>
      <c r="AF309" s="38"/>
      <c r="AG309" s="33" t="str">
        <f>IF(OR(ISBLANK(AE309), ISBLANK(AF309)),"",CONCATENATE(" ",VLOOKUP(AF309,Literatuur!$A:$B,2,FALSE)," "))</f>
        <v/>
      </c>
      <c r="AI309" s="37">
        <v>112.58999866757466</v>
      </c>
      <c r="AJ309" s="44" t="str">
        <f t="shared" si="222"/>
        <v>Sanscrit</v>
      </c>
      <c r="AK309" s="33" t="str">
        <f>IF(OR(ISBLANK(AI309), ISBLANK(AJ309)),"",CONCATENATE(" ",VLOOKUP(AJ309,Literatuur!$A:$B,2,FALSE)," "))</f>
        <v xml:space="preserve"> D </v>
      </c>
      <c r="AL309" s="38">
        <v>112.56</v>
      </c>
      <c r="AM309" s="44" t="str">
        <f t="shared" si="223"/>
        <v>Gestis</v>
      </c>
      <c r="AN309" s="33" t="str">
        <f>IF(OR(ISBLANK(AL309), ISBLANK(AM309)),"",CONCATENATE(" ",VLOOKUP(AM309,Literatuur!$A:$B,2,FALSE)," "))</f>
        <v xml:space="preserve"> A </v>
      </c>
      <c r="AO309" s="38"/>
      <c r="AP309" s="44" t="str">
        <f t="shared" si="224"/>
        <v xml:space="preserve"> </v>
      </c>
      <c r="AQ309" s="33" t="str">
        <f>IF(OR(ISBLANK(AO309), ISBLANK(AP309)),"",CONCATENATE(" ",VLOOKUP(AP309,Literatuur!$A:$B,2,FALSE)," "))</f>
        <v/>
      </c>
      <c r="AR309" s="38"/>
      <c r="AT309" s="33" t="str">
        <f>IF(OR(ISBLANK(AR309), ISBLANK(AS309)),"",CONCATENATE(" ",VLOOKUP(AS309,Literatuur!$A:$B,2,FALSE)," "))</f>
        <v/>
      </c>
      <c r="AV309" s="38"/>
      <c r="AW309" s="33" t="str">
        <f>IF(OR(ISBLANK(AU309), ISBLANK(AV309)),"",CONCATENATE(" ",VLOOKUP(AV309,Literatuur!$A:$B,2,FALSE)," "))</f>
        <v/>
      </c>
      <c r="AY309" s="44">
        <v>2.89</v>
      </c>
      <c r="AZ309" s="44" t="str">
        <f t="shared" si="225"/>
        <v>Sanscrit</v>
      </c>
      <c r="BA309" s="33" t="str">
        <f>IF(OR(ISBLANK(AY309), ISBLANK(AZ309)),"",CONCATENATE(" ",VLOOKUP(AZ309,Literatuur!$A:$B,2,FALSE)," "))</f>
        <v xml:space="preserve"> D </v>
      </c>
      <c r="BB309" s="44">
        <v>2.84</v>
      </c>
      <c r="BC309" s="44" t="str">
        <f t="shared" si="226"/>
        <v>Gestis</v>
      </c>
      <c r="BD309" s="33" t="str">
        <f>IF(OR(ISBLANK(BB309), ISBLANK(BC309)),"",CONCATENATE(" ",VLOOKUP(BC309,Literatuur!$A:$B,2,FALSE)," "))</f>
        <v xml:space="preserve"> A </v>
      </c>
      <c r="BE309" s="33">
        <v>2.86</v>
      </c>
      <c r="BF309" s="44" t="str">
        <f t="shared" si="227"/>
        <v>US EPA 1995</v>
      </c>
      <c r="BG309" s="33" t="str">
        <f>IF(OR(ISBLANK(BE309), ISBLANK(BF309)),"",CONCATENATE(" ",VLOOKUP(BF309,Literatuur!$A:$B,2,FALSE)," "))</f>
        <v xml:space="preserve"> 30 </v>
      </c>
      <c r="BI309" s="44" t="str">
        <f t="shared" si="228"/>
        <v xml:space="preserve"> </v>
      </c>
      <c r="BJ309" s="33" t="str">
        <f>IF(OR(ISBLANK(BH309), ISBLANK(BI309)),"",CONCATENATE(" ",VLOOKUP(BI309,Literatuur!$A:$B,2,FALSE)," "))</f>
        <v/>
      </c>
      <c r="BK309" s="33">
        <v>2.84</v>
      </c>
      <c r="BL309" s="44" t="str">
        <f t="shared" si="229"/>
        <v>Sangster 1989</v>
      </c>
      <c r="BM309" s="33" t="str">
        <f>IF(OR(ISBLANK(BK309), ISBLANK(BL309)),"",CONCATENATE(" ",VLOOKUP(BL309,Literatuur!$A:$B,2,FALSE)," "))</f>
        <v xml:space="preserve"> 27 </v>
      </c>
      <c r="BP309" s="33" t="str">
        <f>IF(OR(ISBLANK(BN309), ISBLANK(BO309)),"",CONCATENATE(" ",VLOOKUP(BO309,Literatuur!$A:$B,2,FALSE)," "))</f>
        <v/>
      </c>
      <c r="BS309" s="33" t="str">
        <f>IF(OR(ISBLANK(BQ309), ISBLANK(BR309)),"",CONCATENATE(" ",VLOOKUP(BR309,Literatuur!$A:$B,2,FALSE)," "))</f>
        <v/>
      </c>
      <c r="BV309" s="33" t="str">
        <f>IF(OR(ISBLANK(BT309), ISBLANK(BU309)),"",CONCATENATE(" ",VLOOKUP(BU309,Literatuur!$A:$B,2,FALSE)," "))</f>
        <v/>
      </c>
      <c r="CE309" s="37">
        <f t="shared" si="233"/>
        <v>112.58999866757466</v>
      </c>
      <c r="CG309" s="33">
        <f t="shared" si="234"/>
        <v>2.705372598184193</v>
      </c>
      <c r="CH309" s="33">
        <f t="shared" si="235"/>
        <v>2.89</v>
      </c>
      <c r="CR309" s="33" t="str">
        <f t="shared" si="209"/>
        <v>Chlorobenzene</v>
      </c>
      <c r="CS309" s="33" t="str">
        <f t="shared" si="210"/>
        <v>ClArom</v>
      </c>
      <c r="CT309" s="33">
        <f t="shared" si="232"/>
        <v>112.58999866757466</v>
      </c>
      <c r="CU309" s="33" t="str">
        <f t="shared" si="211"/>
        <v xml:space="preserve"> D </v>
      </c>
      <c r="CV309" s="33">
        <f t="shared" si="212"/>
        <v>507.42586202944472</v>
      </c>
      <c r="CW309" s="33" t="str">
        <f t="shared" si="213"/>
        <v xml:space="preserve"> D </v>
      </c>
      <c r="CX309" s="33">
        <f t="shared" si="214"/>
        <v>2.89</v>
      </c>
      <c r="CY309" s="33" t="str">
        <f t="shared" si="215"/>
        <v xml:space="preserve"> D </v>
      </c>
    </row>
    <row r="310" spans="1:103" x14ac:dyDescent="0.2">
      <c r="B310" s="33">
        <v>-502</v>
      </c>
      <c r="D310" s="33" t="s">
        <v>287</v>
      </c>
      <c r="E310" s="33" t="s">
        <v>1275</v>
      </c>
      <c r="F310" s="33" t="s">
        <v>1276</v>
      </c>
      <c r="H310" s="34" t="s">
        <v>288</v>
      </c>
      <c r="I310" s="37">
        <f t="shared" si="236"/>
        <v>126.586</v>
      </c>
      <c r="J310" s="33">
        <f t="shared" si="216"/>
        <v>154</v>
      </c>
      <c r="K310" s="44">
        <f t="shared" si="237"/>
        <v>3.2</v>
      </c>
      <c r="L310" s="33" t="e">
        <f t="shared" si="231"/>
        <v>#DIV/0!</v>
      </c>
      <c r="M310" s="33" t="s">
        <v>1892</v>
      </c>
      <c r="Q310" s="44" t="str">
        <f t="shared" ref="Q310:Q341" si="238">IF(ISBLANK(P310)," ","Sanscrit")</f>
        <v xml:space="preserve"> </v>
      </c>
      <c r="R310" s="33" t="str">
        <f>IF(OR(ISBLANK(P310), ISBLANK(Q310)),"",CONCATENATE(" ",VLOOKUP(Q310,Literatuur!$A:$B,2,FALSE)," "))</f>
        <v/>
      </c>
      <c r="S310" s="37"/>
      <c r="T310" s="44" t="str">
        <f t="shared" ref="T310:T341" si="239">IF(ISBLANK(S310)," ","Gestis")</f>
        <v xml:space="preserve"> </v>
      </c>
      <c r="U310" s="33" t="str">
        <f>IF(OR(ISBLANK(S310), ISBLANK(T310)),"",CONCATENATE(" ",VLOOKUP(T310,Literatuur!$A:$B,2,FALSE)," "))</f>
        <v/>
      </c>
      <c r="W310" s="44" t="str">
        <f t="shared" ref="W310:W341" si="240">IF(ISBLANK(V310)," ","US EPA 1995")</f>
        <v xml:space="preserve"> </v>
      </c>
      <c r="X310" s="33" t="str">
        <f>IF(OR(ISBLANK(V310), ISBLANK(W310)),"",CONCATENATE(" ",VLOOKUP(W310,Literatuur!$A:$B,2,FALSE)," "))</f>
        <v/>
      </c>
      <c r="Z310" s="44" t="str">
        <f t="shared" ref="Z310:Z341" si="241">IF(ISBLANK(Y310)," ","US EPA suite")</f>
        <v xml:space="preserve"> </v>
      </c>
      <c r="AA310" s="33" t="str">
        <f>IF(OR(ISBLANK(Y310), ISBLANK(Z310)),"",CONCATENATE(" ",VLOOKUP(Z310,Literatuur!$A:$B,2,FALSE)," "))</f>
        <v/>
      </c>
      <c r="AB310" s="40"/>
      <c r="AC310" s="36" t="str">
        <f t="shared" ref="AC310:AC341" si="242">IF(ISBLANK(AB310)," ","Vonk 1985")</f>
        <v xml:space="preserve"> </v>
      </c>
      <c r="AD310" s="33" t="str">
        <f>IF(OR(ISBLANK(AB310), ISBLANK(AC310)),"",CONCATENATE(" ",VLOOKUP(AC310,Literatuur!$A:$B,2,FALSE)," "))</f>
        <v/>
      </c>
      <c r="AE310" s="40">
        <v>154</v>
      </c>
      <c r="AF310" s="33" t="s">
        <v>1902</v>
      </c>
      <c r="AG310" s="33" t="str">
        <f>IF(OR(ISBLANK(AE310), ISBLANK(AF310)),"",CONCATENATE(" ",VLOOKUP(AF310,Literatuur!$A:$B,2,FALSE)," "))</f>
        <v xml:space="preserve"> B </v>
      </c>
      <c r="AI310" s="37"/>
      <c r="AJ310" s="44" t="str">
        <f t="shared" ref="AJ310:AJ341" si="243">IF(ISBLANK(AI310)," ","Sanscrit")</f>
        <v xml:space="preserve"> </v>
      </c>
      <c r="AK310" s="33" t="str">
        <f>IF(OR(ISBLANK(AI310), ISBLANK(AJ310)),"",CONCATENATE(" ",VLOOKUP(AJ310,Literatuur!$A:$B,2,FALSE)," "))</f>
        <v/>
      </c>
      <c r="AL310" s="33">
        <v>126.586</v>
      </c>
      <c r="AM310" s="44" t="str">
        <f t="shared" ref="AM310:AM341" si="244">IF(ISBLANK(AL310)," ","Gestis")</f>
        <v>Gestis</v>
      </c>
      <c r="AN310" s="33" t="str">
        <f>IF(OR(ISBLANK(AL310), ISBLANK(AM310)),"",CONCATENATE(" ",VLOOKUP(AM310,Literatuur!$A:$B,2,FALSE)," "))</f>
        <v xml:space="preserve"> A </v>
      </c>
      <c r="AP310" s="44" t="str">
        <f t="shared" ref="AP310:AP341" si="245">IF(ISBLANK(AO310)," ","US EPA suite")</f>
        <v xml:space="preserve"> </v>
      </c>
      <c r="AQ310" s="33" t="str">
        <f>IF(OR(ISBLANK(AO310), ISBLANK(AP310)),"",CONCATENATE(" ",VLOOKUP(AP310,Literatuur!$A:$B,2,FALSE)," "))</f>
        <v/>
      </c>
      <c r="AT310" s="33" t="str">
        <f>IF(OR(ISBLANK(AR310), ISBLANK(AS310)),"",CONCATENATE(" ",VLOOKUP(AS310,Literatuur!$A:$B,2,FALSE)," "))</f>
        <v/>
      </c>
      <c r="AW310" s="33" t="str">
        <f>IF(OR(ISBLANK(AU310), ISBLANK(AV310)),"",CONCATENATE(" ",VLOOKUP(AV310,Literatuur!$A:$B,2,FALSE)," "))</f>
        <v/>
      </c>
      <c r="AY310" s="44"/>
      <c r="AZ310" s="44" t="str">
        <f t="shared" ref="AZ310:AZ341" si="246">IF(ISBLANK(AY310)," ","Sanscrit")</f>
        <v xml:space="preserve"> </v>
      </c>
      <c r="BA310" s="33" t="str">
        <f>IF(OR(ISBLANK(AY310), ISBLANK(AZ310)),"",CONCATENATE(" ",VLOOKUP(AZ310,Literatuur!$A:$B,2,FALSE)," "))</f>
        <v/>
      </c>
      <c r="BB310" s="44"/>
      <c r="BC310" s="44" t="str">
        <f t="shared" ref="BC310:BC341" si="247">IF(ISBLANK(BB310)," ","Gestis")</f>
        <v xml:space="preserve"> </v>
      </c>
      <c r="BD310" s="33" t="str">
        <f>IF(OR(ISBLANK(BB310), ISBLANK(BC310)),"",CONCATENATE(" ",VLOOKUP(BC310,Literatuur!$A:$B,2,FALSE)," "))</f>
        <v/>
      </c>
      <c r="BF310" s="44" t="str">
        <f t="shared" ref="BF310:BF341" si="248">IF(ISBLANK(BE310)," ","US EPA 1995")</f>
        <v xml:space="preserve"> </v>
      </c>
      <c r="BG310" s="33" t="str">
        <f>IF(OR(ISBLANK(BE310), ISBLANK(BF310)),"",CONCATENATE(" ",VLOOKUP(BF310,Literatuur!$A:$B,2,FALSE)," "))</f>
        <v/>
      </c>
      <c r="BI310" s="44" t="str">
        <f t="shared" ref="BI310:BI341" si="249">IF(ISBLANK(BH310)," ","US EPA suite")</f>
        <v xml:space="preserve"> </v>
      </c>
      <c r="BJ310" s="33" t="str">
        <f>IF(OR(ISBLANK(BH310), ISBLANK(BI310)),"",CONCATENATE(" ",VLOOKUP(BI310,Literatuur!$A:$B,2,FALSE)," "))</f>
        <v/>
      </c>
      <c r="BL310" s="44" t="str">
        <f t="shared" ref="BL310:BL341" si="250">IF(ISBLANK(BK310)," ","Sangster 1989")</f>
        <v xml:space="preserve"> </v>
      </c>
      <c r="BM310" s="33" t="str">
        <f>IF(OR(ISBLANK(BK310), ISBLANK(BL310)),"",CONCATENATE(" ",VLOOKUP(BL310,Literatuur!$A:$B,2,FALSE)," "))</f>
        <v/>
      </c>
      <c r="BP310" s="33" t="str">
        <f>IF(OR(ISBLANK(BN310), ISBLANK(BO310)),"",CONCATENATE(" ",VLOOKUP(BO310,Literatuur!$A:$B,2,FALSE)," "))</f>
        <v/>
      </c>
      <c r="BS310" s="33" t="str">
        <f>IF(OR(ISBLANK(BQ310), ISBLANK(BR310)),"",CONCATENATE(" ",VLOOKUP(BR310,Literatuur!$A:$B,2,FALSE)," "))</f>
        <v/>
      </c>
      <c r="BT310" s="33">
        <v>3.2</v>
      </c>
      <c r="BU310" s="33" t="s">
        <v>1902</v>
      </c>
      <c r="BV310" s="33" t="str">
        <f>IF(OR(ISBLANK(BT310), ISBLANK(BU310)),"",CONCATENATE(" ",VLOOKUP(BU310,Literatuur!$A:$B,2,FALSE)," "))</f>
        <v xml:space="preserve"> B </v>
      </c>
      <c r="CE310" s="37">
        <f t="shared" si="233"/>
        <v>126.586</v>
      </c>
      <c r="CG310" s="33">
        <f t="shared" si="234"/>
        <v>2.1875207208364631</v>
      </c>
      <c r="CH310" s="33">
        <f t="shared" si="235"/>
        <v>3.2</v>
      </c>
      <c r="CR310" s="33" t="str">
        <f t="shared" si="209"/>
        <v>o-Chlorotoluene</v>
      </c>
      <c r="CS310" s="33" t="str">
        <f t="shared" si="210"/>
        <v>ClArom</v>
      </c>
      <c r="CT310" s="33">
        <f t="shared" si="232"/>
        <v>126.586</v>
      </c>
      <c r="CU310" s="33" t="str">
        <f t="shared" si="211"/>
        <v xml:space="preserve"> A </v>
      </c>
      <c r="CV310" s="33">
        <f t="shared" si="212"/>
        <v>154</v>
      </c>
      <c r="CW310" s="33" t="str">
        <f t="shared" si="213"/>
        <v xml:space="preserve"> B </v>
      </c>
      <c r="CX310" s="33">
        <f t="shared" si="214"/>
        <v>3.2</v>
      </c>
      <c r="CY310" s="33" t="str">
        <f t="shared" si="215"/>
        <v xml:space="preserve"> B </v>
      </c>
    </row>
    <row r="311" spans="1:103" x14ac:dyDescent="0.2">
      <c r="B311" s="33">
        <v>-504</v>
      </c>
      <c r="D311" s="33" t="s">
        <v>292</v>
      </c>
      <c r="E311" s="33" t="s">
        <v>1279</v>
      </c>
      <c r="F311" s="33" t="s">
        <v>1277</v>
      </c>
      <c r="H311" s="34" t="s">
        <v>293</v>
      </c>
      <c r="I311" s="37">
        <f t="shared" si="236"/>
        <v>126.586</v>
      </c>
      <c r="J311" s="33">
        <f t="shared" si="216"/>
        <v>123</v>
      </c>
      <c r="K311" s="44">
        <f t="shared" si="237"/>
        <v>3.33</v>
      </c>
      <c r="L311" s="33" t="e">
        <f t="shared" si="231"/>
        <v>#DIV/0!</v>
      </c>
      <c r="M311" s="33" t="s">
        <v>1892</v>
      </c>
      <c r="Q311" s="44" t="str">
        <f t="shared" si="238"/>
        <v xml:space="preserve"> </v>
      </c>
      <c r="R311" s="33" t="str">
        <f>IF(OR(ISBLANK(P311), ISBLANK(Q311)),"",CONCATENATE(" ",VLOOKUP(Q311,Literatuur!$A:$B,2,FALSE)," "))</f>
        <v/>
      </c>
      <c r="S311" s="37"/>
      <c r="T311" s="44" t="str">
        <f t="shared" si="239"/>
        <v xml:space="preserve"> </v>
      </c>
      <c r="U311" s="33" t="str">
        <f>IF(OR(ISBLANK(S311), ISBLANK(T311)),"",CONCATENATE(" ",VLOOKUP(T311,Literatuur!$A:$B,2,FALSE)," "))</f>
        <v/>
      </c>
      <c r="W311" s="44" t="str">
        <f t="shared" si="240"/>
        <v xml:space="preserve"> </v>
      </c>
      <c r="X311" s="33" t="str">
        <f>IF(OR(ISBLANK(V311), ISBLANK(W311)),"",CONCATENATE(" ",VLOOKUP(W311,Literatuur!$A:$B,2,FALSE)," "))</f>
        <v/>
      </c>
      <c r="Z311" s="44" t="str">
        <f t="shared" si="241"/>
        <v xml:space="preserve"> </v>
      </c>
      <c r="AA311" s="33" t="str">
        <f>IF(OR(ISBLANK(Y311), ISBLANK(Z311)),"",CONCATENATE(" ",VLOOKUP(Z311,Literatuur!$A:$B,2,FALSE)," "))</f>
        <v/>
      </c>
      <c r="AB311" s="40"/>
      <c r="AC311" s="36" t="str">
        <f t="shared" si="242"/>
        <v xml:space="preserve"> </v>
      </c>
      <c r="AD311" s="33" t="str">
        <f>IF(OR(ISBLANK(AB311), ISBLANK(AC311)),"",CONCATENATE(" ",VLOOKUP(AC311,Literatuur!$A:$B,2,FALSE)," "))</f>
        <v/>
      </c>
      <c r="AE311" s="33">
        <v>123</v>
      </c>
      <c r="AF311" t="s">
        <v>1903</v>
      </c>
      <c r="AG311" s="33" t="str">
        <f>IF(OR(ISBLANK(AE311), ISBLANK(AF311)),"",CONCATENATE(" ",VLOOKUP(AF311,Literatuur!$A:$B,2,FALSE)," "))</f>
        <v xml:space="preserve"> 34 </v>
      </c>
      <c r="AI311" s="37"/>
      <c r="AJ311" s="44" t="str">
        <f t="shared" si="243"/>
        <v xml:space="preserve"> </v>
      </c>
      <c r="AK311" s="33" t="str">
        <f>IF(OR(ISBLANK(AI311), ISBLANK(AJ311)),"",CONCATENATE(" ",VLOOKUP(AJ311,Literatuur!$A:$B,2,FALSE)," "))</f>
        <v/>
      </c>
      <c r="AL311" s="33">
        <v>126.586</v>
      </c>
      <c r="AM311" s="44" t="str">
        <f t="shared" si="244"/>
        <v>Gestis</v>
      </c>
      <c r="AN311" s="33" t="str">
        <f>IF(OR(ISBLANK(AL311), ISBLANK(AM311)),"",CONCATENATE(" ",VLOOKUP(AM311,Literatuur!$A:$B,2,FALSE)," "))</f>
        <v xml:space="preserve"> A </v>
      </c>
      <c r="AP311" s="44" t="str">
        <f t="shared" si="245"/>
        <v xml:space="preserve"> </v>
      </c>
      <c r="AQ311" s="33" t="str">
        <f>IF(OR(ISBLANK(AO311), ISBLANK(AP311)),"",CONCATENATE(" ",VLOOKUP(AP311,Literatuur!$A:$B,2,FALSE)," "))</f>
        <v/>
      </c>
      <c r="AT311" s="33" t="str">
        <f>IF(OR(ISBLANK(AR311), ISBLANK(AS311)),"",CONCATENATE(" ",VLOOKUP(AS311,Literatuur!$A:$B,2,FALSE)," "))</f>
        <v/>
      </c>
      <c r="AW311" s="33" t="str">
        <f>IF(OR(ISBLANK(AU311), ISBLANK(AV311)),"",CONCATENATE(" ",VLOOKUP(AV311,Literatuur!$A:$B,2,FALSE)," "))</f>
        <v/>
      </c>
      <c r="AZ311" s="44" t="str">
        <f t="shared" si="246"/>
        <v xml:space="preserve"> </v>
      </c>
      <c r="BA311" s="33" t="str">
        <f>IF(OR(ISBLANK(AY311), ISBLANK(AZ311)),"",CONCATENATE(" ",VLOOKUP(AZ311,Literatuur!$A:$B,2,FALSE)," "))</f>
        <v/>
      </c>
      <c r="BC311" s="44" t="str">
        <f t="shared" si="247"/>
        <v xml:space="preserve"> </v>
      </c>
      <c r="BD311" s="33" t="str">
        <f>IF(OR(ISBLANK(BB311), ISBLANK(BC311)),"",CONCATENATE(" ",VLOOKUP(BC311,Literatuur!$A:$B,2,FALSE)," "))</f>
        <v/>
      </c>
      <c r="BF311" s="44" t="str">
        <f t="shared" si="248"/>
        <v xml:space="preserve"> </v>
      </c>
      <c r="BG311" s="33" t="str">
        <f>IF(OR(ISBLANK(BE311), ISBLANK(BF311)),"",CONCATENATE(" ",VLOOKUP(BF311,Literatuur!$A:$B,2,FALSE)," "))</f>
        <v/>
      </c>
      <c r="BI311" s="44" t="str">
        <f t="shared" si="249"/>
        <v xml:space="preserve"> </v>
      </c>
      <c r="BJ311" s="33" t="str">
        <f>IF(OR(ISBLANK(BH311), ISBLANK(BI311)),"",CONCATENATE(" ",VLOOKUP(BI311,Literatuur!$A:$B,2,FALSE)," "))</f>
        <v/>
      </c>
      <c r="BL311" s="44" t="str">
        <f t="shared" si="250"/>
        <v xml:space="preserve"> </v>
      </c>
      <c r="BM311" s="33" t="str">
        <f>IF(OR(ISBLANK(BK311), ISBLANK(BL311)),"",CONCATENATE(" ",VLOOKUP(BL311,Literatuur!$A:$B,2,FALSE)," "))</f>
        <v/>
      </c>
      <c r="BP311" s="33" t="str">
        <f>IF(OR(ISBLANK(BN311), ISBLANK(BO311)),"",CONCATENATE(" ",VLOOKUP(BO311,Literatuur!$A:$B,2,FALSE)," "))</f>
        <v/>
      </c>
      <c r="BS311" s="33" t="str">
        <f>IF(OR(ISBLANK(BQ311), ISBLANK(BR311)),"",CONCATENATE(" ",VLOOKUP(BR311,Literatuur!$A:$B,2,FALSE)," "))</f>
        <v/>
      </c>
      <c r="BT311" s="33">
        <v>3.33</v>
      </c>
      <c r="BU311" s="33" t="s">
        <v>1903</v>
      </c>
      <c r="BV311" s="33" t="str">
        <f>IF(OR(ISBLANK(BT311), ISBLANK(BU311)),"",CONCATENATE(" ",VLOOKUP(BU311,Literatuur!$A:$B,2,FALSE)," "))</f>
        <v xml:space="preserve"> 34 </v>
      </c>
      <c r="CE311" s="37">
        <f t="shared" si="233"/>
        <v>126.586</v>
      </c>
      <c r="CG311" s="33">
        <f t="shared" si="234"/>
        <v>2.0899051114393981</v>
      </c>
      <c r="CH311" s="33">
        <f t="shared" si="235"/>
        <v>3.33</v>
      </c>
      <c r="CR311" s="33" t="str">
        <f t="shared" si="209"/>
        <v>p-Chlorotoluene</v>
      </c>
      <c r="CS311" s="33" t="str">
        <f t="shared" si="210"/>
        <v>ClArom</v>
      </c>
      <c r="CT311" s="33">
        <f t="shared" si="232"/>
        <v>126.586</v>
      </c>
      <c r="CU311" s="33" t="str">
        <f t="shared" si="211"/>
        <v xml:space="preserve"> A </v>
      </c>
      <c r="CV311" s="33">
        <f t="shared" si="212"/>
        <v>123</v>
      </c>
      <c r="CW311" s="33" t="str">
        <f t="shared" si="213"/>
        <v xml:space="preserve"> 34 </v>
      </c>
      <c r="CX311" s="33">
        <f t="shared" si="214"/>
        <v>3.33</v>
      </c>
      <c r="CY311" s="33" t="str">
        <f t="shared" si="215"/>
        <v xml:space="preserve"> 34 </v>
      </c>
    </row>
    <row r="312" spans="1:103" x14ac:dyDescent="0.2">
      <c r="B312" s="33">
        <v>504</v>
      </c>
      <c r="D312" s="33" t="s">
        <v>131</v>
      </c>
      <c r="E312" s="33" t="s">
        <v>1295</v>
      </c>
      <c r="H312" s="34" t="s">
        <v>309</v>
      </c>
      <c r="I312" s="37">
        <f t="shared" si="236"/>
        <v>250.12977852353896</v>
      </c>
      <c r="J312" s="33">
        <f t="shared" si="216"/>
        <v>0.32281846202218883</v>
      </c>
      <c r="K312" s="44">
        <f t="shared" si="237"/>
        <v>5.0766666666666671</v>
      </c>
      <c r="L312" s="33" t="e">
        <f t="shared" si="231"/>
        <v>#DIV/0!</v>
      </c>
      <c r="M312" s="33" t="s">
        <v>1892</v>
      </c>
      <c r="P312" s="33">
        <v>0.32281846202218883</v>
      </c>
      <c r="Q312" s="44" t="str">
        <f t="shared" si="238"/>
        <v>Sanscrit</v>
      </c>
      <c r="R312" s="33" t="str">
        <f>IF(OR(ISBLANK(P312), ISBLANK(Q312)),"",CONCATENATE(" ",VLOOKUP(Q312,Literatuur!$A:$B,2,FALSE)," "))</f>
        <v xml:space="preserve"> D </v>
      </c>
      <c r="S312" s="37">
        <v>1.609</v>
      </c>
      <c r="T312" s="44" t="str">
        <f t="shared" si="239"/>
        <v>Gestis</v>
      </c>
      <c r="U312" s="33" t="str">
        <f>IF(OR(ISBLANK(S312), ISBLANK(T312)),"",CONCATENATE(" ",VLOOKUP(T312,Literatuur!$A:$B,2,FALSE)," "))</f>
        <v xml:space="preserve"> A </v>
      </c>
      <c r="W312" s="44" t="str">
        <f t="shared" si="240"/>
        <v xml:space="preserve"> </v>
      </c>
      <c r="X312" s="33" t="str">
        <f>IF(OR(ISBLANK(V312), ISBLANK(W312)),"",CONCATENATE(" ",VLOOKUP(W312,Literatuur!$A:$B,2,FALSE)," "))</f>
        <v/>
      </c>
      <c r="Y312" s="33">
        <v>0.83100000000000007</v>
      </c>
      <c r="Z312" s="44" t="str">
        <f t="shared" si="241"/>
        <v>US EPA suite</v>
      </c>
      <c r="AA312" s="33" t="str">
        <f>IF(OR(ISBLANK(Y312), ISBLANK(Z312)),"",CONCATENATE(" ",VLOOKUP(Z312,Literatuur!$A:$B,2,FALSE)," "))</f>
        <v xml:space="preserve"> F </v>
      </c>
      <c r="AB312" s="33">
        <v>0.24000000000000002</v>
      </c>
      <c r="AC312" s="36" t="str">
        <f t="shared" si="242"/>
        <v>Vonk 1985</v>
      </c>
      <c r="AD312" s="33" t="str">
        <f>IF(OR(ISBLANK(AB312), ISBLANK(AC312)),"",CONCATENATE(" ",VLOOKUP(AC312,Literatuur!$A:$B,2,FALSE)," "))</f>
        <v xml:space="preserve"> 37 </v>
      </c>
      <c r="AE312" s="33">
        <v>0.68</v>
      </c>
      <c r="AF312" s="40" t="s">
        <v>344</v>
      </c>
      <c r="AG312" s="33" t="str">
        <f>IF(OR(ISBLANK(AE312), ISBLANK(AF312)),"",CONCATENATE(" ",VLOOKUP(AF312,Literatuur!$A:$B,2,FALSE)," "))</f>
        <v xml:space="preserve"> G </v>
      </c>
      <c r="AI312" s="37">
        <v>250.12977852353896</v>
      </c>
      <c r="AJ312" s="44" t="str">
        <f t="shared" si="243"/>
        <v>Sanscrit</v>
      </c>
      <c r="AK312" s="33" t="str">
        <f>IF(OR(ISBLANK(AI312), ISBLANK(AJ312)),"",CONCATENATE(" ",VLOOKUP(AJ312,Literatuur!$A:$B,2,FALSE)," "))</f>
        <v xml:space="preserve"> D </v>
      </c>
      <c r="AL312" s="41">
        <v>250.34</v>
      </c>
      <c r="AM312" s="44" t="str">
        <f t="shared" si="244"/>
        <v>Gestis</v>
      </c>
      <c r="AN312" s="33" t="str">
        <f>IF(OR(ISBLANK(AL312), ISBLANK(AM312)),"",CONCATENATE(" ",VLOOKUP(AM312,Literatuur!$A:$B,2,FALSE)," "))</f>
        <v xml:space="preserve"> A </v>
      </c>
      <c r="AO312" s="41"/>
      <c r="AP312" s="44" t="str">
        <f t="shared" si="245"/>
        <v xml:space="preserve"> </v>
      </c>
      <c r="AQ312" s="33" t="str">
        <f>IF(OR(ISBLANK(AO312), ISBLANK(AP312)),"",CONCATENATE(" ",VLOOKUP(AP312,Literatuur!$A:$B,2,FALSE)," "))</f>
        <v/>
      </c>
      <c r="AR312" s="41"/>
      <c r="AT312" s="33" t="str">
        <f>IF(OR(ISBLANK(AR312), ISBLANK(AS312)),"",CONCATENATE(" ",VLOOKUP(AS312,Literatuur!$A:$B,2,FALSE)," "))</f>
        <v/>
      </c>
      <c r="AV312" s="41"/>
      <c r="AW312" s="33" t="str">
        <f>IF(OR(ISBLANK(AU312), ISBLANK(AV312)),"",CONCATENATE(" ",VLOOKUP(AV312,Literatuur!$A:$B,2,FALSE)," "))</f>
        <v/>
      </c>
      <c r="AY312" s="44"/>
      <c r="AZ312" s="44" t="str">
        <f t="shared" si="246"/>
        <v xml:space="preserve"> </v>
      </c>
      <c r="BA312" s="33" t="str">
        <f>IF(OR(ISBLANK(AY312), ISBLANK(AZ312)),"",CONCATENATE(" ",VLOOKUP(AZ312,Literatuur!$A:$B,2,FALSE)," "))</f>
        <v/>
      </c>
      <c r="BB312" s="44">
        <v>5.17</v>
      </c>
      <c r="BC312" s="44" t="str">
        <f t="shared" si="247"/>
        <v>Gestis</v>
      </c>
      <c r="BD312" s="33" t="str">
        <f>IF(OR(ISBLANK(BB312), ISBLANK(BC312)),"",CONCATENATE(" ",VLOOKUP(BC312,Literatuur!$A:$B,2,FALSE)," "))</f>
        <v xml:space="preserve"> A </v>
      </c>
      <c r="BF312" s="44" t="str">
        <f t="shared" si="248"/>
        <v xml:space="preserve"> </v>
      </c>
      <c r="BG312" s="33" t="str">
        <f>IF(OR(ISBLANK(BE312), ISBLANK(BF312)),"",CONCATENATE(" ",VLOOKUP(BF312,Literatuur!$A:$B,2,FALSE)," "))</f>
        <v/>
      </c>
      <c r="BH312" s="33">
        <v>5.17</v>
      </c>
      <c r="BI312" s="44" t="str">
        <f t="shared" si="249"/>
        <v>US EPA suite</v>
      </c>
      <c r="BJ312" s="33" t="str">
        <f>IF(OR(ISBLANK(BH312), ISBLANK(BI312)),"",CONCATENATE(" ",VLOOKUP(BI312,Literatuur!$A:$B,2,FALSE)," "))</f>
        <v xml:space="preserve"> F </v>
      </c>
      <c r="BL312" s="44" t="str">
        <f t="shared" si="250"/>
        <v xml:space="preserve"> </v>
      </c>
      <c r="BM312" s="33" t="str">
        <f>IF(OR(ISBLANK(BK312), ISBLANK(BL312)),"",CONCATENATE(" ",VLOOKUP(BL312,Literatuur!$A:$B,2,FALSE)," "))</f>
        <v/>
      </c>
      <c r="BO312" s="46"/>
      <c r="BP312" s="33" t="str">
        <f>IF(OR(ISBLANK(BN312), ISBLANK(BO312)),"",CONCATENATE(" ",VLOOKUP(BO312,Literatuur!$A:$B,2,FALSE)," "))</f>
        <v/>
      </c>
      <c r="BR312" s="46"/>
      <c r="BS312" s="33" t="str">
        <f>IF(OR(ISBLANK(BQ312), ISBLANK(BR312)),"",CONCATENATE(" ",VLOOKUP(BR312,Literatuur!$A:$B,2,FALSE)," "))</f>
        <v/>
      </c>
      <c r="BT312" s="46">
        <v>4.8899999999999997</v>
      </c>
      <c r="BU312" s="46" t="s">
        <v>1905</v>
      </c>
      <c r="BV312" s="33" t="str">
        <f>IF(OR(ISBLANK(BT312), ISBLANK(BU312)),"",CONCATENATE(" ",VLOOKUP(BU312,Literatuur!$A:$B,2,FALSE)," "))</f>
        <v xml:space="preserve"> 35 </v>
      </c>
      <c r="CE312" s="37">
        <f t="shared" si="233"/>
        <v>250.12977852353896</v>
      </c>
      <c r="CG312" s="33">
        <f t="shared" si="234"/>
        <v>-0.49104163589208866</v>
      </c>
      <c r="CH312" s="33">
        <f t="shared" si="235"/>
        <v>5.0766666666666671</v>
      </c>
      <c r="CR312" s="33" t="str">
        <f t="shared" si="209"/>
        <v>Pentachlorobenzene</v>
      </c>
      <c r="CS312" s="33" t="str">
        <f t="shared" si="210"/>
        <v>ClArom</v>
      </c>
      <c r="CT312" s="33">
        <f t="shared" si="232"/>
        <v>250.12977852353896</v>
      </c>
      <c r="CU312" s="33" t="str">
        <f t="shared" si="211"/>
        <v xml:space="preserve"> D </v>
      </c>
      <c r="CV312" s="33">
        <f t="shared" si="212"/>
        <v>0.32281846202218883</v>
      </c>
      <c r="CW312" s="33" t="str">
        <f t="shared" si="213"/>
        <v xml:space="preserve"> D </v>
      </c>
      <c r="CX312" s="33">
        <f t="shared" si="214"/>
        <v>5.0766666666666671</v>
      </c>
      <c r="CY312" s="33" t="str">
        <f t="shared" si="215"/>
        <v xml:space="preserve"> A  F  35 </v>
      </c>
    </row>
    <row r="313" spans="1:103" x14ac:dyDescent="0.2">
      <c r="B313" s="33">
        <v>-507</v>
      </c>
      <c r="D313" s="33" t="s">
        <v>308</v>
      </c>
      <c r="E313" s="33" t="s">
        <v>1294</v>
      </c>
      <c r="F313" s="33" t="s">
        <v>1292</v>
      </c>
      <c r="G313" s="33">
        <v>-1</v>
      </c>
      <c r="H313" s="34" t="s">
        <v>1293</v>
      </c>
      <c r="I313" s="37">
        <f t="shared" si="236"/>
        <v>216</v>
      </c>
      <c r="J313" s="33">
        <f t="shared" si="216"/>
        <v>4.16</v>
      </c>
      <c r="K313" s="44">
        <f t="shared" si="237"/>
        <v>4.5999999999999996</v>
      </c>
      <c r="L313" s="33" t="e">
        <f t="shared" si="231"/>
        <v>#DIV/0!</v>
      </c>
      <c r="M313" s="33" t="s">
        <v>1892</v>
      </c>
      <c r="Q313" s="44" t="str">
        <f t="shared" si="238"/>
        <v xml:space="preserve"> </v>
      </c>
      <c r="R313" s="33" t="str">
        <f>IF(OR(ISBLANK(P313), ISBLANK(Q313)),"",CONCATENATE(" ",VLOOKUP(Q313,Literatuur!$A:$B,2,FALSE)," "))</f>
        <v/>
      </c>
      <c r="S313" s="37"/>
      <c r="T313" s="44" t="str">
        <f t="shared" si="239"/>
        <v xml:space="preserve"> </v>
      </c>
      <c r="U313" s="33" t="str">
        <f>IF(OR(ISBLANK(S313), ISBLANK(T313)),"",CONCATENATE(" ",VLOOKUP(T313,Literatuur!$A:$B,2,FALSE)," "))</f>
        <v/>
      </c>
      <c r="W313" s="44" t="str">
        <f t="shared" si="240"/>
        <v xml:space="preserve"> </v>
      </c>
      <c r="X313" s="33" t="str">
        <f>IF(OR(ISBLANK(V313), ISBLANK(W313)),"",CONCATENATE(" ",VLOOKUP(W313,Literatuur!$A:$B,2,FALSE)," "))</f>
        <v/>
      </c>
      <c r="Z313" s="44" t="str">
        <f t="shared" si="241"/>
        <v xml:space="preserve"> </v>
      </c>
      <c r="AA313" s="33" t="str">
        <f>IF(OR(ISBLANK(Y313), ISBLANK(Z313)),"",CONCATENATE(" ",VLOOKUP(Z313,Literatuur!$A:$B,2,FALSE)," "))</f>
        <v/>
      </c>
      <c r="AB313" s="33">
        <v>2.4</v>
      </c>
      <c r="AC313" s="36" t="str">
        <f t="shared" si="242"/>
        <v>Vonk 1985</v>
      </c>
      <c r="AD313" s="33" t="str">
        <f>IF(OR(ISBLANK(AB313), ISBLANK(AC313)),"",CONCATENATE(" ",VLOOKUP(AC313,Literatuur!$A:$B,2,FALSE)," "))</f>
        <v xml:space="preserve"> 37 </v>
      </c>
      <c r="AE313" s="33">
        <v>5.92</v>
      </c>
      <c r="AG313" s="33" t="str">
        <f>IF(OR(ISBLANK(AE313), ISBLANK(AF313)),"",CONCATENATE(" ",VLOOKUP(AF313,Literatuur!$A:$B,2,FALSE)," "))</f>
        <v/>
      </c>
      <c r="AI313" s="37"/>
      <c r="AJ313" s="44" t="str">
        <f t="shared" si="243"/>
        <v xml:space="preserve"> </v>
      </c>
      <c r="AK313" s="33" t="str">
        <f>IF(OR(ISBLANK(AI313), ISBLANK(AJ313)),"",CONCATENATE(" ",VLOOKUP(AJ313,Literatuur!$A:$B,2,FALSE)," "))</f>
        <v/>
      </c>
      <c r="AL313" s="41">
        <v>216</v>
      </c>
      <c r="AM313" s="44" t="str">
        <f t="shared" si="244"/>
        <v>Gestis</v>
      </c>
      <c r="AN313" s="33" t="str">
        <f>IF(OR(ISBLANK(AL313), ISBLANK(AM313)),"",CONCATENATE(" ",VLOOKUP(AM313,Literatuur!$A:$B,2,FALSE)," "))</f>
        <v xml:space="preserve"> A </v>
      </c>
      <c r="AO313" s="41"/>
      <c r="AP313" s="44" t="str">
        <f t="shared" si="245"/>
        <v xml:space="preserve"> </v>
      </c>
      <c r="AQ313" s="33" t="str">
        <f>IF(OR(ISBLANK(AO313), ISBLANK(AP313)),"",CONCATENATE(" ",VLOOKUP(AP313,Literatuur!$A:$B,2,FALSE)," "))</f>
        <v/>
      </c>
      <c r="AR313" s="41"/>
      <c r="AT313" s="33" t="str">
        <f>IF(OR(ISBLANK(AR313), ISBLANK(AS313)),"",CONCATENATE(" ",VLOOKUP(AS313,Literatuur!$A:$B,2,FALSE)," "))</f>
        <v/>
      </c>
      <c r="AV313" s="41"/>
      <c r="AW313" s="33" t="str">
        <f>IF(OR(ISBLANK(AU313), ISBLANK(AV313)),"",CONCATENATE(" ",VLOOKUP(AV313,Literatuur!$A:$B,2,FALSE)," "))</f>
        <v/>
      </c>
      <c r="AZ313" s="44" t="str">
        <f t="shared" si="246"/>
        <v xml:space="preserve"> </v>
      </c>
      <c r="BA313" s="33" t="str">
        <f>IF(OR(ISBLANK(AY313), ISBLANK(AZ313)),"",CONCATENATE(" ",VLOOKUP(AZ313,Literatuur!$A:$B,2,FALSE)," "))</f>
        <v/>
      </c>
      <c r="BB313" s="33">
        <v>4.6000000000000005</v>
      </c>
      <c r="BC313" s="44" t="str">
        <f t="shared" si="247"/>
        <v>Gestis</v>
      </c>
      <c r="BD313" s="33" t="str">
        <f>IF(OR(ISBLANK(BB313), ISBLANK(BC313)),"",CONCATENATE(" ",VLOOKUP(BC313,Literatuur!$A:$B,2,FALSE)," "))</f>
        <v xml:space="preserve"> A </v>
      </c>
      <c r="BF313" s="44" t="str">
        <f t="shared" si="248"/>
        <v xml:space="preserve"> </v>
      </c>
      <c r="BG313" s="33" t="str">
        <f>IF(OR(ISBLANK(BE313), ISBLANK(BF313)),"",CONCATENATE(" ",VLOOKUP(BF313,Literatuur!$A:$B,2,FALSE)," "))</f>
        <v/>
      </c>
      <c r="BH313" s="33">
        <v>4.5999999999999996</v>
      </c>
      <c r="BI313" s="44" t="str">
        <f t="shared" si="249"/>
        <v>US EPA suite</v>
      </c>
      <c r="BJ313" s="33" t="str">
        <f>IF(OR(ISBLANK(BH313), ISBLANK(BI313)),"",CONCATENATE(" ",VLOOKUP(BI313,Literatuur!$A:$B,2,FALSE)," "))</f>
        <v xml:space="preserve"> F </v>
      </c>
      <c r="BL313" s="44" t="str">
        <f t="shared" si="250"/>
        <v xml:space="preserve"> </v>
      </c>
      <c r="BM313" s="33" t="str">
        <f>IF(OR(ISBLANK(BK313), ISBLANK(BL313)),"",CONCATENATE(" ",VLOOKUP(BL313,Literatuur!$A:$B,2,FALSE)," "))</f>
        <v/>
      </c>
      <c r="BP313" s="33" t="str">
        <f>IF(OR(ISBLANK(BN313), ISBLANK(BO313)),"",CONCATENATE(" ",VLOOKUP(BO313,Literatuur!$A:$B,2,FALSE)," "))</f>
        <v/>
      </c>
      <c r="BS313" s="33" t="str">
        <f>IF(OR(ISBLANK(BQ313), ISBLANK(BR313)),"",CONCATENATE(" ",VLOOKUP(BR313,Literatuur!$A:$B,2,FALSE)," "))</f>
        <v/>
      </c>
      <c r="BV313" s="33" t="str">
        <f>IF(OR(ISBLANK(BT313), ISBLANK(BU313)),"",CONCATENATE(" ",VLOOKUP(BU313,Literatuur!$A:$B,2,FALSE)," "))</f>
        <v/>
      </c>
      <c r="CE313" s="37">
        <f t="shared" si="233"/>
        <v>216</v>
      </c>
      <c r="CG313" s="33">
        <f t="shared" si="234"/>
        <v>0.61909333062674277</v>
      </c>
      <c r="CH313" s="33">
        <f t="shared" si="235"/>
        <v>4.5999999999999996</v>
      </c>
      <c r="CR313" s="33" t="str">
        <f t="shared" si="209"/>
        <v>1,2,4,5-tetrachlorobenzene</v>
      </c>
      <c r="CS313" s="33" t="str">
        <f t="shared" si="210"/>
        <v>ClArom</v>
      </c>
      <c r="CT313" s="33">
        <f t="shared" si="232"/>
        <v>216</v>
      </c>
      <c r="CU313" s="33" t="str">
        <f t="shared" si="211"/>
        <v xml:space="preserve"> A </v>
      </c>
      <c r="CV313" s="33">
        <f t="shared" si="212"/>
        <v>4.16</v>
      </c>
      <c r="CW313" s="33" t="str">
        <f t="shared" si="213"/>
        <v xml:space="preserve"> 37 </v>
      </c>
      <c r="CX313" s="33">
        <f t="shared" si="214"/>
        <v>4.5999999999999996</v>
      </c>
      <c r="CY313" s="33" t="str">
        <f t="shared" si="215"/>
        <v xml:space="preserve"> A  F </v>
      </c>
    </row>
    <row r="314" spans="1:103" x14ac:dyDescent="0.2">
      <c r="B314" s="33">
        <v>-506</v>
      </c>
      <c r="D314" s="33" t="s">
        <v>306</v>
      </c>
      <c r="E314" s="33" t="s">
        <v>1290</v>
      </c>
      <c r="F314" s="33" t="s">
        <v>1291</v>
      </c>
      <c r="H314" s="34" t="s">
        <v>307</v>
      </c>
      <c r="I314" s="37">
        <f t="shared" si="236"/>
        <v>195.47499999999999</v>
      </c>
      <c r="J314" s="33">
        <f t="shared" si="216"/>
        <v>51.5</v>
      </c>
      <c r="K314" s="44">
        <f t="shared" si="237"/>
        <v>2.92</v>
      </c>
      <c r="L314" s="33" t="e">
        <f t="shared" si="231"/>
        <v>#DIV/0!</v>
      </c>
      <c r="M314" s="33" t="s">
        <v>1892</v>
      </c>
      <c r="N314" s="33" t="s">
        <v>1554</v>
      </c>
      <c r="Q314" s="44" t="str">
        <f t="shared" si="238"/>
        <v xml:space="preserve"> </v>
      </c>
      <c r="R314" s="33" t="str">
        <f>IF(OR(ISBLANK(P314), ISBLANK(Q314)),"",CONCATENATE(" ",VLOOKUP(Q314,Literatuur!$A:$B,2,FALSE)," "))</f>
        <v/>
      </c>
      <c r="S314" s="37"/>
      <c r="T314" s="44" t="str">
        <f t="shared" si="239"/>
        <v xml:space="preserve"> </v>
      </c>
      <c r="U314" s="33" t="str">
        <f>IF(OR(ISBLANK(S314), ISBLANK(T314)),"",CONCATENATE(" ",VLOOKUP(T314,Literatuur!$A:$B,2,FALSE)," "))</f>
        <v/>
      </c>
      <c r="W314" s="44" t="str">
        <f t="shared" si="240"/>
        <v xml:space="preserve"> </v>
      </c>
      <c r="X314" s="33" t="str">
        <f>IF(OR(ISBLANK(V314), ISBLANK(W314)),"",CONCATENATE(" ",VLOOKUP(W314,Literatuur!$A:$B,2,FALSE)," "))</f>
        <v/>
      </c>
      <c r="Y314" s="33">
        <v>53</v>
      </c>
      <c r="Z314" s="44" t="str">
        <f t="shared" si="241"/>
        <v>US EPA suite</v>
      </c>
      <c r="AA314" s="33" t="str">
        <f>IF(OR(ISBLANK(Y314), ISBLANK(Z314)),"",CONCATENATE(" ",VLOOKUP(Z314,Literatuur!$A:$B,2,FALSE)," "))</f>
        <v xml:space="preserve"> F </v>
      </c>
      <c r="AB314" s="40"/>
      <c r="AC314" s="36" t="str">
        <f t="shared" si="242"/>
        <v xml:space="preserve"> </v>
      </c>
      <c r="AD314" s="33" t="str">
        <f>IF(OR(ISBLANK(AB314), ISBLANK(AC314)),"",CONCATENATE(" ",VLOOKUP(AC314,Literatuur!$A:$B,2,FALSE)," "))</f>
        <v/>
      </c>
      <c r="AE314" s="40">
        <v>50</v>
      </c>
      <c r="AF314" s="40" t="s">
        <v>344</v>
      </c>
      <c r="AG314" s="33" t="str">
        <f>IF(OR(ISBLANK(AE314), ISBLANK(AF314)),"",CONCATENATE(" ",VLOOKUP(AF314,Literatuur!$A:$B,2,FALSE)," "))</f>
        <v xml:space="preserve"> G </v>
      </c>
      <c r="AI314" s="37"/>
      <c r="AJ314" s="44" t="str">
        <f t="shared" si="243"/>
        <v xml:space="preserve"> </v>
      </c>
      <c r="AK314" s="33" t="str">
        <f>IF(OR(ISBLANK(AI314), ISBLANK(AJ314)),"",CONCATENATE(" ",VLOOKUP(AJ314,Literatuur!$A:$B,2,FALSE)," "))</f>
        <v/>
      </c>
      <c r="AL314" s="40">
        <v>195.47</v>
      </c>
      <c r="AM314" s="44" t="str">
        <f t="shared" si="244"/>
        <v>Gestis</v>
      </c>
      <c r="AN314" s="33" t="str">
        <f>IF(OR(ISBLANK(AL314), ISBLANK(AM314)),"",CONCATENATE(" ",VLOOKUP(AM314,Literatuur!$A:$B,2,FALSE)," "))</f>
        <v xml:space="preserve"> A </v>
      </c>
      <c r="AO314" s="40">
        <v>195.48</v>
      </c>
      <c r="AP314" s="44" t="str">
        <f t="shared" si="245"/>
        <v>US EPA suite</v>
      </c>
      <c r="AQ314" s="33" t="str">
        <f>IF(OR(ISBLANK(AO314), ISBLANK(AP314)),"",CONCATENATE(" ",VLOOKUP(AP314,Literatuur!$A:$B,2,FALSE)," "))</f>
        <v xml:space="preserve"> F </v>
      </c>
      <c r="AR314" s="40"/>
      <c r="AT314" s="33" t="str">
        <f>IF(OR(ISBLANK(AR314), ISBLANK(AS314)),"",CONCATENATE(" ",VLOOKUP(AS314,Literatuur!$A:$B,2,FALSE)," "))</f>
        <v/>
      </c>
      <c r="AV314" s="40"/>
      <c r="AW314" s="33" t="str">
        <f>IF(OR(ISBLANK(AU314), ISBLANK(AV314)),"",CONCATENATE(" ",VLOOKUP(AV314,Literatuur!$A:$B,2,FALSE)," "))</f>
        <v/>
      </c>
      <c r="AZ314" s="44" t="str">
        <f t="shared" si="246"/>
        <v xml:space="preserve"> </v>
      </c>
      <c r="BA314" s="33" t="str">
        <f>IF(OR(ISBLANK(AY314), ISBLANK(AZ314)),"",CONCATENATE(" ",VLOOKUP(AZ314,Literatuur!$A:$B,2,FALSE)," "))</f>
        <v/>
      </c>
      <c r="BC314" s="44" t="str">
        <f t="shared" si="247"/>
        <v xml:space="preserve"> </v>
      </c>
      <c r="BD314" s="33" t="str">
        <f>IF(OR(ISBLANK(BB314), ISBLANK(BC314)),"",CONCATENATE(" ",VLOOKUP(BC314,Literatuur!$A:$B,2,FALSE)," "))</f>
        <v/>
      </c>
      <c r="BF314" s="44" t="str">
        <f t="shared" si="248"/>
        <v xml:space="preserve"> </v>
      </c>
      <c r="BG314" s="33" t="str">
        <f>IF(OR(ISBLANK(BE314), ISBLANK(BF314)),"",CONCATENATE(" ",VLOOKUP(BF314,Literatuur!$A:$B,2,FALSE)," "))</f>
        <v/>
      </c>
      <c r="BI314" s="44" t="str">
        <f t="shared" si="249"/>
        <v xml:space="preserve"> </v>
      </c>
      <c r="BJ314" s="33" t="str">
        <f>IF(OR(ISBLANK(BH314), ISBLANK(BI314)),"",CONCATENATE(" ",VLOOKUP(BI314,Literatuur!$A:$B,2,FALSE)," "))</f>
        <v/>
      </c>
      <c r="BL314" s="44" t="str">
        <f t="shared" si="250"/>
        <v xml:space="preserve"> </v>
      </c>
      <c r="BM314" s="33" t="str">
        <f>IF(OR(ISBLANK(BK314), ISBLANK(BL314)),"",CONCATENATE(" ",VLOOKUP(BL314,Literatuur!$A:$B,2,FALSE)," "))</f>
        <v/>
      </c>
      <c r="BP314" s="33" t="str">
        <f>IF(OR(ISBLANK(BN314), ISBLANK(BO314)),"",CONCATENATE(" ",VLOOKUP(BO314,Literatuur!$A:$B,2,FALSE)," "))</f>
        <v/>
      </c>
      <c r="BS314" s="33" t="str">
        <f>IF(OR(ISBLANK(BQ314), ISBLANK(BR314)),"",CONCATENATE(" ",VLOOKUP(BR314,Literatuur!$A:$B,2,FALSE)," "))</f>
        <v/>
      </c>
      <c r="BT314" s="33">
        <v>2.92</v>
      </c>
      <c r="BU314" s="33" t="s">
        <v>1904</v>
      </c>
      <c r="BV314" s="33" t="str">
        <f>IF(OR(ISBLANK(BT314), ISBLANK(BU314)),"",CONCATENATE(" ",VLOOKUP(BU314,Literatuur!$A:$B,2,FALSE)," "))</f>
        <v xml:space="preserve"> C </v>
      </c>
      <c r="CE314" s="37">
        <f t="shared" si="233"/>
        <v>195.47499999999999</v>
      </c>
      <c r="CG314" s="33">
        <f t="shared" si="234"/>
        <v>1.711807229041191</v>
      </c>
      <c r="CH314" s="33">
        <f t="shared" si="235"/>
        <v>2.92</v>
      </c>
      <c r="CR314" s="33" t="str">
        <f t="shared" si="209"/>
        <v>Benzotrichloride</v>
      </c>
      <c r="CS314" s="33" t="str">
        <f t="shared" si="210"/>
        <v>ClArom</v>
      </c>
      <c r="CT314" s="33">
        <f t="shared" si="232"/>
        <v>195.47499999999999</v>
      </c>
      <c r="CU314" s="33" t="str">
        <f t="shared" si="211"/>
        <v xml:space="preserve"> A  F </v>
      </c>
      <c r="CV314" s="33">
        <f t="shared" si="212"/>
        <v>51.5</v>
      </c>
      <c r="CW314" s="33" t="str">
        <f t="shared" si="213"/>
        <v xml:space="preserve"> F  G </v>
      </c>
      <c r="CX314" s="33">
        <f t="shared" si="214"/>
        <v>2.92</v>
      </c>
      <c r="CY314" s="33" t="str">
        <f t="shared" si="215"/>
        <v xml:space="preserve"> C </v>
      </c>
    </row>
    <row r="315" spans="1:103" x14ac:dyDescent="0.2">
      <c r="B315" s="33">
        <v>408</v>
      </c>
      <c r="D315" s="33" t="s">
        <v>318</v>
      </c>
      <c r="E315" s="33" t="s">
        <v>1303</v>
      </c>
      <c r="F315" s="33" t="s">
        <v>1300</v>
      </c>
      <c r="G315" s="33">
        <v>-1</v>
      </c>
      <c r="H315" s="34" t="s">
        <v>27</v>
      </c>
      <c r="I315" s="37">
        <f t="shared" si="236"/>
        <v>133.4</v>
      </c>
      <c r="J315" s="33">
        <f t="shared" si="216"/>
        <v>2343.3333333333335</v>
      </c>
      <c r="K315" s="44">
        <f t="shared" si="237"/>
        <v>2.8000000000000003</v>
      </c>
      <c r="L315" s="33" t="e">
        <f t="shared" si="231"/>
        <v>#DIV/0!</v>
      </c>
      <c r="M315" s="33" t="s">
        <v>1891</v>
      </c>
      <c r="Q315" s="44" t="str">
        <f t="shared" si="238"/>
        <v xml:space="preserve"> </v>
      </c>
      <c r="R315" s="33" t="str">
        <f>IF(OR(ISBLANK(P315), ISBLANK(Q315)),"",CONCATENATE(" ",VLOOKUP(Q315,Literatuur!$A:$B,2,FALSE)," "))</f>
        <v/>
      </c>
      <c r="S315" s="33">
        <v>1300</v>
      </c>
      <c r="T315" s="44" t="str">
        <f t="shared" si="239"/>
        <v>Gestis</v>
      </c>
      <c r="U315" s="33" t="str">
        <f>IF(OR(ISBLANK(S315), ISBLANK(T315)),"",CONCATENATE(" ",VLOOKUP(T315,Literatuur!$A:$B,2,FALSE)," "))</f>
        <v xml:space="preserve"> A </v>
      </c>
      <c r="V315" s="33">
        <v>1330</v>
      </c>
      <c r="W315" s="44" t="str">
        <f t="shared" si="240"/>
        <v>US EPA 1995</v>
      </c>
      <c r="X315" s="33" t="str">
        <f>IF(OR(ISBLANK(V315), ISBLANK(W315)),"",CONCATENATE(" ",VLOOKUP(W315,Literatuur!$A:$B,2,FALSE)," "))</f>
        <v xml:space="preserve"> 30 </v>
      </c>
      <c r="Y315" s="36"/>
      <c r="Z315" s="44" t="str">
        <f t="shared" si="241"/>
        <v xml:space="preserve"> </v>
      </c>
      <c r="AA315" s="33" t="str">
        <f>IF(OR(ISBLANK(Y315), ISBLANK(Z315)),"",CONCATENATE(" ",VLOOKUP(Z315,Literatuur!$A:$B,2,FALSE)," "))</f>
        <v/>
      </c>
      <c r="AB315" s="36">
        <v>4400</v>
      </c>
      <c r="AC315" s="36" t="str">
        <f t="shared" si="242"/>
        <v>Vonk 1985</v>
      </c>
      <c r="AD315" s="33" t="str">
        <f>IF(OR(ISBLANK(AB315), ISBLANK(AC315)),"",CONCATENATE(" ",VLOOKUP(AC315,Literatuur!$A:$B,2,FALSE)," "))</f>
        <v xml:space="preserve"> 37 </v>
      </c>
      <c r="AE315" s="36"/>
      <c r="AF315" s="36"/>
      <c r="AG315" s="33" t="str">
        <f>IF(OR(ISBLANK(AE315), ISBLANK(AF315)),"",CONCATENATE(" ",VLOOKUP(AF315,Literatuur!$A:$B,2,FALSE)," "))</f>
        <v/>
      </c>
      <c r="AI315" s="37">
        <v>133.4</v>
      </c>
      <c r="AJ315" s="44" t="str">
        <f t="shared" si="243"/>
        <v>Sanscrit</v>
      </c>
      <c r="AK315" s="33" t="str">
        <f>IF(OR(ISBLANK(AI315), ISBLANK(AJ315)),"",CONCATENATE(" ",VLOOKUP(AJ315,Literatuur!$A:$B,2,FALSE)," "))</f>
        <v xml:space="preserve"> D </v>
      </c>
      <c r="AL315" s="36">
        <v>133.4</v>
      </c>
      <c r="AM315" s="44" t="str">
        <f t="shared" si="244"/>
        <v>Gestis</v>
      </c>
      <c r="AN315" s="33" t="str">
        <f>IF(OR(ISBLANK(AL315), ISBLANK(AM315)),"",CONCATENATE(" ",VLOOKUP(AM315,Literatuur!$A:$B,2,FALSE)," "))</f>
        <v xml:space="preserve"> A </v>
      </c>
      <c r="AO315" s="36"/>
      <c r="AP315" s="44" t="str">
        <f t="shared" si="245"/>
        <v xml:space="preserve"> </v>
      </c>
      <c r="AQ315" s="33" t="str">
        <f>IF(OR(ISBLANK(AO315), ISBLANK(AP315)),"",CONCATENATE(" ",VLOOKUP(AP315,Literatuur!$A:$B,2,FALSE)," "))</f>
        <v/>
      </c>
      <c r="AR315" s="36"/>
      <c r="AT315" s="33" t="str">
        <f>IF(OR(ISBLANK(AR315), ISBLANK(AS315)),"",CONCATENATE(" ",VLOOKUP(AS315,Literatuur!$A:$B,2,FALSE)," "))</f>
        <v/>
      </c>
      <c r="AV315" s="36"/>
      <c r="AW315" s="33" t="str">
        <f>IF(OR(ISBLANK(AU315), ISBLANK(AV315)),"",CONCATENATE(" ",VLOOKUP(AV315,Literatuur!$A:$B,2,FALSE)," "))</f>
        <v/>
      </c>
      <c r="AY315" s="44">
        <v>2.8000000000000003</v>
      </c>
      <c r="AZ315" s="44" t="str">
        <f t="shared" si="246"/>
        <v>Sanscrit</v>
      </c>
      <c r="BA315" s="33" t="str">
        <f>IF(OR(ISBLANK(AY315), ISBLANK(AZ315)),"",CONCATENATE(" ",VLOOKUP(AZ315,Literatuur!$A:$B,2,FALSE)," "))</f>
        <v xml:space="preserve"> D </v>
      </c>
      <c r="BB315" s="44">
        <v>2.4900000000000002</v>
      </c>
      <c r="BC315" s="44" t="str">
        <f t="shared" si="247"/>
        <v>Gestis</v>
      </c>
      <c r="BD315" s="33" t="str">
        <f>IF(OR(ISBLANK(BB315), ISBLANK(BC315)),"",CONCATENATE(" ",VLOOKUP(BC315,Literatuur!$A:$B,2,FALSE)," "))</f>
        <v xml:space="preserve"> A </v>
      </c>
      <c r="BE315" s="33">
        <v>2.48</v>
      </c>
      <c r="BF315" s="44" t="str">
        <f t="shared" si="248"/>
        <v>US EPA 1995</v>
      </c>
      <c r="BG315" s="33" t="str">
        <f>IF(OR(ISBLANK(BE315), ISBLANK(BF315)),"",CONCATENATE(" ",VLOOKUP(BF315,Literatuur!$A:$B,2,FALSE)," "))</f>
        <v xml:space="preserve"> 30 </v>
      </c>
      <c r="BI315" s="44" t="str">
        <f t="shared" si="249"/>
        <v xml:space="preserve"> </v>
      </c>
      <c r="BJ315" s="33" t="str">
        <f>IF(OR(ISBLANK(BH315), ISBLANK(BI315)),"",CONCATENATE(" ",VLOOKUP(BI315,Literatuur!$A:$B,2,FALSE)," "))</f>
        <v/>
      </c>
      <c r="BL315" s="44" t="str">
        <f t="shared" si="250"/>
        <v xml:space="preserve"> </v>
      </c>
      <c r="BM315" s="33" t="str">
        <f>IF(OR(ISBLANK(BK315), ISBLANK(BL315)),"",CONCATENATE(" ",VLOOKUP(BL315,Literatuur!$A:$B,2,FALSE)," "))</f>
        <v/>
      </c>
      <c r="BP315" s="33" t="str">
        <f>IF(OR(ISBLANK(BN315), ISBLANK(BO315)),"",CONCATENATE(" ",VLOOKUP(BO315,Literatuur!$A:$B,2,FALSE)," "))</f>
        <v/>
      </c>
      <c r="BS315" s="33" t="str">
        <f>IF(OR(ISBLANK(BQ315), ISBLANK(BR315)),"",CONCATENATE(" ",VLOOKUP(BR315,Literatuur!$A:$B,2,FALSE)," "))</f>
        <v/>
      </c>
      <c r="BV315" s="33" t="str">
        <f>IF(OR(ISBLANK(BT315), ISBLANK(BU315)),"",CONCATENATE(" ",VLOOKUP(BU315,Literatuur!$A:$B,2,FALSE)," "))</f>
        <v/>
      </c>
      <c r="CE315" s="37">
        <f t="shared" si="233"/>
        <v>133.4</v>
      </c>
      <c r="CG315" s="33">
        <f t="shared" si="234"/>
        <v>3.3698340703001617</v>
      </c>
      <c r="CH315" s="33">
        <f t="shared" si="235"/>
        <v>2.8000000000000003</v>
      </c>
      <c r="CI315" s="33">
        <v>10</v>
      </c>
      <c r="CR315" s="33" t="str">
        <f t="shared" si="209"/>
        <v>1,1,1-Trichloroethane</v>
      </c>
      <c r="CS315" s="33" t="str">
        <f t="shared" si="210"/>
        <v>ClAlk</v>
      </c>
      <c r="CT315" s="33">
        <f t="shared" si="232"/>
        <v>133.4</v>
      </c>
      <c r="CU315" s="33" t="str">
        <f t="shared" si="211"/>
        <v xml:space="preserve"> D </v>
      </c>
      <c r="CV315" s="33">
        <f t="shared" si="212"/>
        <v>2343.3333333333335</v>
      </c>
      <c r="CW315" s="33" t="str">
        <f t="shared" si="213"/>
        <v xml:space="preserve"> A  30  37 </v>
      </c>
      <c r="CX315" s="33">
        <f t="shared" si="214"/>
        <v>2.8000000000000003</v>
      </c>
      <c r="CY315" s="33" t="str">
        <f t="shared" si="215"/>
        <v xml:space="preserve"> D </v>
      </c>
    </row>
    <row r="316" spans="1:103" x14ac:dyDescent="0.2">
      <c r="B316" s="33">
        <v>-401</v>
      </c>
      <c r="D316" s="33" t="s">
        <v>316</v>
      </c>
      <c r="E316" s="33" t="s">
        <v>1299</v>
      </c>
      <c r="H316" s="34" t="s">
        <v>317</v>
      </c>
      <c r="I316" s="37">
        <f t="shared" si="236"/>
        <v>167.85</v>
      </c>
      <c r="J316" s="33">
        <f t="shared" si="216"/>
        <v>2900</v>
      </c>
      <c r="K316" s="44">
        <f t="shared" si="237"/>
        <v>2.39</v>
      </c>
      <c r="L316" s="33" t="e">
        <f t="shared" si="231"/>
        <v>#DIV/0!</v>
      </c>
      <c r="M316" s="33" t="s">
        <v>1891</v>
      </c>
      <c r="Q316" s="44" t="str">
        <f t="shared" si="238"/>
        <v xml:space="preserve"> </v>
      </c>
      <c r="R316" s="33" t="str">
        <f>IF(OR(ISBLANK(P316), ISBLANK(Q316)),"",CONCATENATE(" ",VLOOKUP(Q316,Literatuur!$A:$B,2,FALSE)," "))</f>
        <v/>
      </c>
      <c r="S316" s="33">
        <v>2900</v>
      </c>
      <c r="T316" s="44" t="str">
        <f t="shared" si="239"/>
        <v>Gestis</v>
      </c>
      <c r="U316" s="33" t="str">
        <f>IF(OR(ISBLANK(S316), ISBLANK(T316)),"",CONCATENATE(" ",VLOOKUP(T316,Literatuur!$A:$B,2,FALSE)," "))</f>
        <v xml:space="preserve"> A </v>
      </c>
      <c r="W316" s="44" t="str">
        <f t="shared" si="240"/>
        <v xml:space="preserve"> </v>
      </c>
      <c r="X316" s="33" t="str">
        <f>IF(OR(ISBLANK(V316), ISBLANK(W316)),"",CONCATENATE(" ",VLOOKUP(W316,Literatuur!$A:$B,2,FALSE)," "))</f>
        <v/>
      </c>
      <c r="Y316" s="36"/>
      <c r="Z316" s="44" t="str">
        <f t="shared" si="241"/>
        <v xml:space="preserve"> </v>
      </c>
      <c r="AA316" s="33" t="str">
        <f>IF(OR(ISBLANK(Y316), ISBLANK(Z316)),"",CONCATENATE(" ",VLOOKUP(Z316,Literatuur!$A:$B,2,FALSE)," "))</f>
        <v/>
      </c>
      <c r="AB316" s="36">
        <v>2900</v>
      </c>
      <c r="AC316" s="36" t="str">
        <f t="shared" si="242"/>
        <v>Vonk 1985</v>
      </c>
      <c r="AD316" s="33" t="str">
        <f>IF(OR(ISBLANK(AB316), ISBLANK(AC316)),"",CONCATENATE(" ",VLOOKUP(AC316,Literatuur!$A:$B,2,FALSE)," "))</f>
        <v xml:space="preserve"> 37 </v>
      </c>
      <c r="AE316" s="36"/>
      <c r="AF316" s="36"/>
      <c r="AG316" s="33" t="str">
        <f>IF(OR(ISBLANK(AE316), ISBLANK(AF316)),"",CONCATENATE(" ",VLOOKUP(AF316,Literatuur!$A:$B,2,FALSE)," "))</f>
        <v/>
      </c>
      <c r="AI316" s="37"/>
      <c r="AJ316" s="44" t="str">
        <f t="shared" si="243"/>
        <v xml:space="preserve"> </v>
      </c>
      <c r="AK316" s="33" t="str">
        <f>IF(OR(ISBLANK(AI316), ISBLANK(AJ316)),"",CONCATENATE(" ",VLOOKUP(AJ316,Literatuur!$A:$B,2,FALSE)," "))</f>
        <v/>
      </c>
      <c r="AL316" s="36">
        <v>167.85</v>
      </c>
      <c r="AM316" s="44" t="str">
        <f t="shared" si="244"/>
        <v>Gestis</v>
      </c>
      <c r="AN316" s="33" t="str">
        <f>IF(OR(ISBLANK(AL316), ISBLANK(AM316)),"",CONCATENATE(" ",VLOOKUP(AM316,Literatuur!$A:$B,2,FALSE)," "))</f>
        <v xml:space="preserve"> A </v>
      </c>
      <c r="AO316" s="36"/>
      <c r="AP316" s="44" t="str">
        <f t="shared" si="245"/>
        <v xml:space="preserve"> </v>
      </c>
      <c r="AQ316" s="33" t="str">
        <f>IF(OR(ISBLANK(AO316), ISBLANK(AP316)),"",CONCATENATE(" ",VLOOKUP(AP316,Literatuur!$A:$B,2,FALSE)," "))</f>
        <v/>
      </c>
      <c r="AR316" s="36"/>
      <c r="AT316" s="33" t="str">
        <f>IF(OR(ISBLANK(AR316), ISBLANK(AS316)),"",CONCATENATE(" ",VLOOKUP(AS316,Literatuur!$A:$B,2,FALSE)," "))</f>
        <v/>
      </c>
      <c r="AV316" s="36"/>
      <c r="AW316" s="33" t="str">
        <f>IF(OR(ISBLANK(AU316), ISBLANK(AV316)),"",CONCATENATE(" ",VLOOKUP(AV316,Literatuur!$A:$B,2,FALSE)," "))</f>
        <v/>
      </c>
      <c r="AY316" s="44"/>
      <c r="AZ316" s="44" t="str">
        <f t="shared" si="246"/>
        <v xml:space="preserve"> </v>
      </c>
      <c r="BA316" s="33" t="str">
        <f>IF(OR(ISBLANK(AY316), ISBLANK(AZ316)),"",CONCATENATE(" ",VLOOKUP(AZ316,Literatuur!$A:$B,2,FALSE)," "))</f>
        <v/>
      </c>
      <c r="BB316" s="44">
        <v>2.39</v>
      </c>
      <c r="BC316" s="44" t="str">
        <f t="shared" si="247"/>
        <v>Gestis</v>
      </c>
      <c r="BD316" s="33" t="str">
        <f>IF(OR(ISBLANK(BB316), ISBLANK(BC316)),"",CONCATENATE(" ",VLOOKUP(BC316,Literatuur!$A:$B,2,FALSE)," "))</f>
        <v xml:space="preserve"> A </v>
      </c>
      <c r="BF316" s="44" t="str">
        <f t="shared" si="248"/>
        <v xml:space="preserve"> </v>
      </c>
      <c r="BG316" s="33" t="str">
        <f>IF(OR(ISBLANK(BE316), ISBLANK(BF316)),"",CONCATENATE(" ",VLOOKUP(BF316,Literatuur!$A:$B,2,FALSE)," "))</f>
        <v/>
      </c>
      <c r="BI316" s="44" t="str">
        <f t="shared" si="249"/>
        <v xml:space="preserve"> </v>
      </c>
      <c r="BJ316" s="33" t="str">
        <f>IF(OR(ISBLANK(BH316), ISBLANK(BI316)),"",CONCATENATE(" ",VLOOKUP(BI316,Literatuur!$A:$B,2,FALSE)," "))</f>
        <v/>
      </c>
      <c r="BL316" s="44" t="str">
        <f t="shared" si="250"/>
        <v xml:space="preserve"> </v>
      </c>
      <c r="BM316" s="33" t="str">
        <f>IF(OR(ISBLANK(BK316), ISBLANK(BL316)),"",CONCATENATE(" ",VLOOKUP(BL316,Literatuur!$A:$B,2,FALSE)," "))</f>
        <v/>
      </c>
      <c r="BP316" s="33" t="str">
        <f>IF(OR(ISBLANK(BN316), ISBLANK(BO316)),"",CONCATENATE(" ",VLOOKUP(BO316,Literatuur!$A:$B,2,FALSE)," "))</f>
        <v/>
      </c>
      <c r="BS316" s="33" t="str">
        <f>IF(OR(ISBLANK(BQ316), ISBLANK(BR316)),"",CONCATENATE(" ",VLOOKUP(BR316,Literatuur!$A:$B,2,FALSE)," "))</f>
        <v/>
      </c>
      <c r="BV316" s="33" t="str">
        <f>IF(OR(ISBLANK(BT316), ISBLANK(BU316)),"",CONCATENATE(" ",VLOOKUP(BU316,Literatuur!$A:$B,2,FALSE)," "))</f>
        <v/>
      </c>
      <c r="CE316" s="37">
        <f t="shared" si="233"/>
        <v>167.85</v>
      </c>
      <c r="CG316" s="33">
        <f t="shared" si="234"/>
        <v>3.4623979978989561</v>
      </c>
      <c r="CH316" s="33">
        <f t="shared" si="235"/>
        <v>2.39</v>
      </c>
      <c r="CR316" s="33" t="str">
        <f t="shared" si="209"/>
        <v>1,1,2,2-Tetrachloroethane</v>
      </c>
      <c r="CS316" s="33" t="str">
        <f t="shared" si="210"/>
        <v>ClAlk</v>
      </c>
      <c r="CT316" s="33">
        <f t="shared" si="232"/>
        <v>167.85</v>
      </c>
      <c r="CU316" s="33" t="str">
        <f t="shared" si="211"/>
        <v xml:space="preserve"> A </v>
      </c>
      <c r="CV316" s="33">
        <f t="shared" si="212"/>
        <v>2900</v>
      </c>
      <c r="CW316" s="33" t="str">
        <f t="shared" si="213"/>
        <v xml:space="preserve"> A  37 </v>
      </c>
      <c r="CX316" s="33">
        <f t="shared" si="214"/>
        <v>2.39</v>
      </c>
      <c r="CY316" s="33" t="str">
        <f t="shared" si="215"/>
        <v xml:space="preserve"> A </v>
      </c>
    </row>
    <row r="317" spans="1:103" x14ac:dyDescent="0.2">
      <c r="B317" s="33">
        <v>409</v>
      </c>
      <c r="D317" s="33" t="s">
        <v>319</v>
      </c>
      <c r="E317" s="33" t="s">
        <v>1302</v>
      </c>
      <c r="F317" s="33" t="s">
        <v>1301</v>
      </c>
      <c r="H317" s="34" t="s">
        <v>320</v>
      </c>
      <c r="I317" s="37">
        <f t="shared" si="236"/>
        <v>133.4</v>
      </c>
      <c r="J317" s="33">
        <f t="shared" si="216"/>
        <v>3055</v>
      </c>
      <c r="K317" s="44">
        <f t="shared" si="237"/>
        <v>1.8900000000000001</v>
      </c>
      <c r="L317" s="33" t="e">
        <f t="shared" si="231"/>
        <v>#DIV/0!</v>
      </c>
      <c r="M317" s="33" t="s">
        <v>1891</v>
      </c>
      <c r="P317" s="33">
        <v>3055</v>
      </c>
      <c r="Q317" s="44" t="str">
        <f t="shared" si="238"/>
        <v>Sanscrit</v>
      </c>
      <c r="R317" s="33" t="str">
        <f>IF(OR(ISBLANK(P317), ISBLANK(Q317)),"",CONCATENATE(" ",VLOOKUP(Q317,Literatuur!$A:$B,2,FALSE)," "))</f>
        <v xml:space="preserve"> D </v>
      </c>
      <c r="S317" s="33">
        <v>4500</v>
      </c>
      <c r="T317" s="44" t="str">
        <f t="shared" si="239"/>
        <v>Gestis</v>
      </c>
      <c r="U317" s="33" t="str">
        <f>IF(OR(ISBLANK(S317), ISBLANK(T317)),"",CONCATENATE(" ",VLOOKUP(T317,Literatuur!$A:$B,2,FALSE)," "))</f>
        <v xml:space="preserve"> A </v>
      </c>
      <c r="V317" s="33">
        <v>4420</v>
      </c>
      <c r="W317" s="44" t="str">
        <f t="shared" si="240"/>
        <v>US EPA 1995</v>
      </c>
      <c r="X317" s="33" t="str">
        <f>IF(OR(ISBLANK(V317), ISBLANK(W317)),"",CONCATENATE(" ",VLOOKUP(W317,Literatuur!$A:$B,2,FALSE)," "))</f>
        <v xml:space="preserve"> 30 </v>
      </c>
      <c r="Y317" s="36"/>
      <c r="Z317" s="44" t="str">
        <f t="shared" si="241"/>
        <v xml:space="preserve"> </v>
      </c>
      <c r="AA317" s="33" t="str">
        <f>IF(OR(ISBLANK(Y317), ISBLANK(Z317)),"",CONCATENATE(" ",VLOOKUP(Z317,Literatuur!$A:$B,2,FALSE)," "))</f>
        <v/>
      </c>
      <c r="AB317" s="36">
        <v>4500</v>
      </c>
      <c r="AC317" s="36" t="str">
        <f t="shared" si="242"/>
        <v>Vonk 1985</v>
      </c>
      <c r="AD317" s="33" t="str">
        <f>IF(OR(ISBLANK(AB317), ISBLANK(AC317)),"",CONCATENATE(" ",VLOOKUP(AC317,Literatuur!$A:$B,2,FALSE)," "))</f>
        <v xml:space="preserve"> 37 </v>
      </c>
      <c r="AE317" s="36"/>
      <c r="AF317" s="36"/>
      <c r="AG317" s="33" t="str">
        <f>IF(OR(ISBLANK(AE317), ISBLANK(AF317)),"",CONCATENATE(" ",VLOOKUP(AF317,Literatuur!$A:$B,2,FALSE)," "))</f>
        <v/>
      </c>
      <c r="AI317" s="37">
        <v>133.4</v>
      </c>
      <c r="AJ317" s="44" t="str">
        <f t="shared" si="243"/>
        <v>Sanscrit</v>
      </c>
      <c r="AK317" s="33" t="str">
        <f>IF(OR(ISBLANK(AI317), ISBLANK(AJ317)),"",CONCATENATE(" ",VLOOKUP(AJ317,Literatuur!$A:$B,2,FALSE)," "))</f>
        <v xml:space="preserve"> D </v>
      </c>
      <c r="AL317" s="36">
        <v>133.4</v>
      </c>
      <c r="AM317" s="44" t="str">
        <f t="shared" si="244"/>
        <v>Gestis</v>
      </c>
      <c r="AN317" s="33" t="str">
        <f>IF(OR(ISBLANK(AL317), ISBLANK(AM317)),"",CONCATENATE(" ",VLOOKUP(AM317,Literatuur!$A:$B,2,FALSE)," "))</f>
        <v xml:space="preserve"> A </v>
      </c>
      <c r="AO317" s="36"/>
      <c r="AP317" s="44" t="str">
        <f t="shared" si="245"/>
        <v xml:space="preserve"> </v>
      </c>
      <c r="AQ317" s="33" t="str">
        <f>IF(OR(ISBLANK(AO317), ISBLANK(AP317)),"",CONCATENATE(" ",VLOOKUP(AP317,Literatuur!$A:$B,2,FALSE)," "))</f>
        <v/>
      </c>
      <c r="AR317" s="36"/>
      <c r="AT317" s="33" t="str">
        <f>IF(OR(ISBLANK(AR317), ISBLANK(AS317)),"",CONCATENATE(" ",VLOOKUP(AS317,Literatuur!$A:$B,2,FALSE)," "))</f>
        <v/>
      </c>
      <c r="AV317" s="36"/>
      <c r="AW317" s="33" t="str">
        <f>IF(OR(ISBLANK(AU317), ISBLANK(AV317)),"",CONCATENATE(" ",VLOOKUP(AV317,Literatuur!$A:$B,2,FALSE)," "))</f>
        <v/>
      </c>
      <c r="AY317" s="44">
        <v>1.8900000000000001</v>
      </c>
      <c r="AZ317" s="44" t="str">
        <f t="shared" si="246"/>
        <v>Sanscrit</v>
      </c>
      <c r="BA317" s="33" t="str">
        <f>IF(OR(ISBLANK(AY317), ISBLANK(AZ317)),"",CONCATENATE(" ",VLOOKUP(AZ317,Literatuur!$A:$B,2,FALSE)," "))</f>
        <v xml:space="preserve"> D </v>
      </c>
      <c r="BB317" s="44">
        <v>1.89</v>
      </c>
      <c r="BC317" s="44" t="str">
        <f t="shared" si="247"/>
        <v>Gestis</v>
      </c>
      <c r="BD317" s="33" t="str">
        <f>IF(OR(ISBLANK(BB317), ISBLANK(BC317)),"",CONCATENATE(" ",VLOOKUP(BC317,Literatuur!$A:$B,2,FALSE)," "))</f>
        <v xml:space="preserve"> A </v>
      </c>
      <c r="BE317" s="33">
        <v>2.0499999999999998</v>
      </c>
      <c r="BF317" s="44" t="str">
        <f t="shared" si="248"/>
        <v>US EPA 1995</v>
      </c>
      <c r="BG317" s="33" t="str">
        <f>IF(OR(ISBLANK(BE317), ISBLANK(BF317)),"",CONCATENATE(" ",VLOOKUP(BF317,Literatuur!$A:$B,2,FALSE)," "))</f>
        <v xml:space="preserve"> 30 </v>
      </c>
      <c r="BI317" s="44" t="str">
        <f t="shared" si="249"/>
        <v xml:space="preserve"> </v>
      </c>
      <c r="BJ317" s="33" t="str">
        <f>IF(OR(ISBLANK(BH317), ISBLANK(BI317)),"",CONCATENATE(" ",VLOOKUP(BI317,Literatuur!$A:$B,2,FALSE)," "))</f>
        <v/>
      </c>
      <c r="BL317" s="44" t="str">
        <f t="shared" si="250"/>
        <v xml:space="preserve"> </v>
      </c>
      <c r="BM317" s="33" t="str">
        <f>IF(OR(ISBLANK(BK317), ISBLANK(BL317)),"",CONCATENATE(" ",VLOOKUP(BL317,Literatuur!$A:$B,2,FALSE)," "))</f>
        <v/>
      </c>
      <c r="BP317" s="33" t="str">
        <f>IF(OR(ISBLANK(BN317), ISBLANK(BO317)),"",CONCATENATE(" ",VLOOKUP(BO317,Literatuur!$A:$B,2,FALSE)," "))</f>
        <v/>
      </c>
      <c r="BS317" s="33" t="str">
        <f>IF(OR(ISBLANK(BQ317), ISBLANK(BR317)),"",CONCATENATE(" ",VLOOKUP(BR317,Literatuur!$A:$B,2,FALSE)," "))</f>
        <v/>
      </c>
      <c r="BV317" s="33" t="str">
        <f>IF(OR(ISBLANK(BT317), ISBLANK(BU317)),"",CONCATENATE(" ",VLOOKUP(BU317,Literatuur!$A:$B,2,FALSE)," "))</f>
        <v/>
      </c>
      <c r="CE317" s="37">
        <f t="shared" si="233"/>
        <v>133.4</v>
      </c>
      <c r="CG317" s="33">
        <f t="shared" si="234"/>
        <v>3.4850112145785732</v>
      </c>
      <c r="CH317" s="33">
        <f t="shared" si="235"/>
        <v>1.8900000000000001</v>
      </c>
      <c r="CR317" s="33" t="str">
        <f t="shared" si="209"/>
        <v>1,1,2-Trichloroethane</v>
      </c>
      <c r="CS317" s="33" t="str">
        <f t="shared" si="210"/>
        <v>ClAlk</v>
      </c>
      <c r="CT317" s="33">
        <f t="shared" si="232"/>
        <v>133.4</v>
      </c>
      <c r="CU317" s="33" t="str">
        <f t="shared" si="211"/>
        <v xml:space="preserve"> D </v>
      </c>
      <c r="CV317" s="33">
        <f t="shared" si="212"/>
        <v>3055</v>
      </c>
      <c r="CW317" s="33" t="str">
        <f t="shared" si="213"/>
        <v xml:space="preserve"> D </v>
      </c>
      <c r="CX317" s="33">
        <f t="shared" si="214"/>
        <v>1.8900000000000001</v>
      </c>
      <c r="CY317" s="33" t="str">
        <f t="shared" si="215"/>
        <v xml:space="preserve"> D </v>
      </c>
    </row>
    <row r="318" spans="1:103" ht="12.75" customHeight="1" x14ac:dyDescent="0.25">
      <c r="B318" s="33">
        <v>-1805</v>
      </c>
      <c r="D318" s="480" t="s">
        <v>24</v>
      </c>
      <c r="E318" s="480" t="s">
        <v>24</v>
      </c>
      <c r="I318" s="33">
        <f t="shared" si="236"/>
        <v>97</v>
      </c>
      <c r="J318" s="33">
        <f t="shared" si="216"/>
        <v>1824</v>
      </c>
      <c r="K318" s="44">
        <f t="shared" si="237"/>
        <v>2.13</v>
      </c>
      <c r="M318" s="33" t="s">
        <v>1891</v>
      </c>
      <c r="P318" s="33">
        <v>1824</v>
      </c>
      <c r="Q318" s="44" t="str">
        <f t="shared" si="238"/>
        <v>Sanscrit</v>
      </c>
      <c r="R318" s="33" t="str">
        <f>IF(OR(ISBLANK(P318), ISBLANK(Q318)),"",CONCATENATE(" ",VLOOKUP(Q318,Literatuur!$A:$B,2,FALSE)," "))</f>
        <v xml:space="preserve"> D </v>
      </c>
      <c r="T318" s="44" t="str">
        <f t="shared" si="239"/>
        <v xml:space="preserve"> </v>
      </c>
      <c r="U318" s="33" t="str">
        <f>IF(OR(ISBLANK(S318), ISBLANK(T318)),"",CONCATENATE(" ",VLOOKUP(T318,Literatuur!$A:$B,2,FALSE)," "))</f>
        <v/>
      </c>
      <c r="W318" s="44" t="str">
        <f t="shared" si="240"/>
        <v xml:space="preserve"> </v>
      </c>
      <c r="X318" s="33" t="str">
        <f>IF(OR(ISBLANK(V318), ISBLANK(W318)),"",CONCATENATE(" ",VLOOKUP(W318,Literatuur!$A:$B,2,FALSE)," "))</f>
        <v/>
      </c>
      <c r="Z318" s="44" t="str">
        <f t="shared" si="241"/>
        <v xml:space="preserve"> </v>
      </c>
      <c r="AA318" s="33" t="str">
        <f>IF(OR(ISBLANK(Y318), ISBLANK(Z318)),"",CONCATENATE(" ",VLOOKUP(Z318,Literatuur!$A:$B,2,FALSE)," "))</f>
        <v/>
      </c>
      <c r="AC318" s="36" t="str">
        <f t="shared" si="242"/>
        <v xml:space="preserve"> </v>
      </c>
      <c r="AD318" s="33" t="str">
        <f>IF(OR(ISBLANK(AB318), ISBLANK(AC318)),"",CONCATENATE(" ",VLOOKUP(AC318,Literatuur!$A:$B,2,FALSE)," "))</f>
        <v/>
      </c>
      <c r="AG318" s="33" t="str">
        <f>IF(OR(ISBLANK(AE318), ISBLANK(AF318)),"",CONCATENATE(" ",VLOOKUP(AF318,Literatuur!$A:$B,2,FALSE)," "))</f>
        <v/>
      </c>
      <c r="AJ318" s="44" t="str">
        <f t="shared" si="243"/>
        <v xml:space="preserve"> </v>
      </c>
      <c r="AK318" s="33" t="str">
        <f>IF(OR(ISBLANK(AI318), ISBLANK(AJ318)),"",CONCATENATE(" ",VLOOKUP(AJ318,Literatuur!$A:$B,2,FALSE)," "))</f>
        <v/>
      </c>
      <c r="AM318" s="44" t="str">
        <f t="shared" si="244"/>
        <v xml:space="preserve"> </v>
      </c>
      <c r="AN318" s="33" t="str">
        <f>IF(OR(ISBLANK(AL318), ISBLANK(AM318)),"",CONCATENATE(" ",VLOOKUP(AM318,Literatuur!$A:$B,2,FALSE)," "))</f>
        <v/>
      </c>
      <c r="AP318" s="44" t="str">
        <f t="shared" si="245"/>
        <v xml:space="preserve"> </v>
      </c>
      <c r="AQ318" s="33" t="str">
        <f>IF(OR(ISBLANK(AO318), ISBLANK(AP318)),"",CONCATENATE(" ",VLOOKUP(AP318,Literatuur!$A:$B,2,FALSE)," "))</f>
        <v/>
      </c>
      <c r="AT318" s="33" t="str">
        <f>IF(OR(ISBLANK(AR318), ISBLANK(AS318)),"",CONCATENATE(" ",VLOOKUP(AS318,Literatuur!$A:$B,2,FALSE)," "))</f>
        <v/>
      </c>
      <c r="AU318" s="33">
        <v>97</v>
      </c>
      <c r="AW318" s="33" t="str">
        <f>IF(OR(ISBLANK(AU318), ISBLANK(AV318)),"",CONCATENATE(" ",VLOOKUP(AV318,Literatuur!$A:$B,2,FALSE)," "))</f>
        <v/>
      </c>
      <c r="AY318" s="33">
        <v>2.13</v>
      </c>
      <c r="AZ318" s="44" t="str">
        <f t="shared" si="246"/>
        <v>Sanscrit</v>
      </c>
      <c r="BA318" s="33" t="str">
        <f>IF(OR(ISBLANK(AY318), ISBLANK(AZ318)),"",CONCATENATE(" ",VLOOKUP(AZ318,Literatuur!$A:$B,2,FALSE)," "))</f>
        <v xml:space="preserve"> D </v>
      </c>
      <c r="BC318" s="44" t="str">
        <f t="shared" si="247"/>
        <v xml:space="preserve"> </v>
      </c>
      <c r="BD318" s="33" t="str">
        <f>IF(OR(ISBLANK(BB318), ISBLANK(BC318)),"",CONCATENATE(" ",VLOOKUP(BC318,Literatuur!$A:$B,2,FALSE)," "))</f>
        <v/>
      </c>
      <c r="BF318" s="44" t="str">
        <f t="shared" si="248"/>
        <v xml:space="preserve"> </v>
      </c>
      <c r="BG318" s="33" t="str">
        <f>IF(OR(ISBLANK(BE318), ISBLANK(BF318)),"",CONCATENATE(" ",VLOOKUP(BF318,Literatuur!$A:$B,2,FALSE)," "))</f>
        <v/>
      </c>
      <c r="BI318" s="44" t="str">
        <f t="shared" si="249"/>
        <v xml:space="preserve"> </v>
      </c>
      <c r="BJ318" s="33" t="str">
        <f>IF(OR(ISBLANK(BH318), ISBLANK(BI318)),"",CONCATENATE(" ",VLOOKUP(BI318,Literatuur!$A:$B,2,FALSE)," "))</f>
        <v/>
      </c>
      <c r="BL318" s="44" t="str">
        <f t="shared" si="250"/>
        <v xml:space="preserve"> </v>
      </c>
      <c r="BM318" s="33" t="str">
        <f>IF(OR(ISBLANK(BK318), ISBLANK(BL318)),"",CONCATENATE(" ",VLOOKUP(BL318,Literatuur!$A:$B,2,FALSE)," "))</f>
        <v/>
      </c>
      <c r="BP318" s="33" t="str">
        <f>IF(OR(ISBLANK(BN318), ISBLANK(BO318)),"",CONCATENATE(" ",VLOOKUP(BO318,Literatuur!$A:$B,2,FALSE)," "))</f>
        <v/>
      </c>
      <c r="BS318" s="33" t="str">
        <f>IF(OR(ISBLANK(BQ318), ISBLANK(BR318)),"",CONCATENATE(" ",VLOOKUP(BR318,Literatuur!$A:$B,2,FALSE)," "))</f>
        <v/>
      </c>
      <c r="BV318" s="33" t="str">
        <f>IF(OR(ISBLANK(BT318), ISBLANK(BU318)),"",CONCATENATE(" ",VLOOKUP(BU318,Literatuur!$A:$B,2,FALSE)," "))</f>
        <v/>
      </c>
      <c r="CH318" s="33">
        <f t="shared" si="235"/>
        <v>2.13</v>
      </c>
      <c r="CI318" s="33">
        <v>7</v>
      </c>
      <c r="CR318" s="33" t="str">
        <f t="shared" si="209"/>
        <v>1,1-dichlooretheen</v>
      </c>
      <c r="CS318" s="33" t="str">
        <f t="shared" si="210"/>
        <v>ClAlk</v>
      </c>
      <c r="CT318" s="33">
        <f>IF(OR(ISBLANK(AU318),ISERROR(AU318)),"",AU318)</f>
        <v>97</v>
      </c>
      <c r="CU318" s="33" t="str">
        <f t="shared" si="211"/>
        <v/>
      </c>
      <c r="CV318" s="33">
        <f t="shared" si="212"/>
        <v>1824</v>
      </c>
      <c r="CW318" s="33" t="str">
        <f t="shared" si="213"/>
        <v xml:space="preserve"> D </v>
      </c>
      <c r="CX318" s="33">
        <f t="shared" si="214"/>
        <v>2.13</v>
      </c>
      <c r="CY318" s="33" t="str">
        <f t="shared" si="215"/>
        <v xml:space="preserve"> D </v>
      </c>
    </row>
    <row r="319" spans="1:103" x14ac:dyDescent="0.2">
      <c r="B319" s="33">
        <v>400</v>
      </c>
      <c r="D319" s="33" t="s">
        <v>315</v>
      </c>
      <c r="E319" s="33" t="s">
        <v>907</v>
      </c>
      <c r="F319" s="33" t="s">
        <v>1298</v>
      </c>
      <c r="H319" s="34" t="s">
        <v>23</v>
      </c>
      <c r="I319" s="37">
        <f t="shared" si="236"/>
        <v>98.973331537275584</v>
      </c>
      <c r="J319" s="33">
        <f t="shared" si="216"/>
        <v>10188.832473485421</v>
      </c>
      <c r="K319" s="44">
        <f t="shared" si="237"/>
        <v>1.47</v>
      </c>
      <c r="L319" s="33">
        <f t="shared" ref="L319:L355" si="251">AVERAGE(BX319:BY319)</f>
        <v>79.400000000000006</v>
      </c>
      <c r="M319" s="33" t="s">
        <v>1891</v>
      </c>
      <c r="P319" s="33">
        <v>10188.832473485421</v>
      </c>
      <c r="Q319" s="44" t="str">
        <f t="shared" si="238"/>
        <v>Sanscrit</v>
      </c>
      <c r="R319" s="33" t="str">
        <f>IF(OR(ISBLANK(P319), ISBLANK(Q319)),"",CONCATENATE(" ",VLOOKUP(Q319,Literatuur!$A:$B,2,FALSE)," "))</f>
        <v xml:space="preserve"> D </v>
      </c>
      <c r="S319" s="33">
        <v>8700</v>
      </c>
      <c r="T319" s="44" t="str">
        <f t="shared" si="239"/>
        <v>Gestis</v>
      </c>
      <c r="U319" s="33" t="str">
        <f>IF(OR(ISBLANK(S319), ISBLANK(T319)),"",CONCATENATE(" ",VLOOKUP(T319,Literatuur!$A:$B,2,FALSE)," "))</f>
        <v xml:space="preserve"> A </v>
      </c>
      <c r="V319" s="33">
        <v>8520</v>
      </c>
      <c r="W319" s="44" t="str">
        <f t="shared" si="240"/>
        <v>US EPA 1995</v>
      </c>
      <c r="X319" s="33" t="str">
        <f>IF(OR(ISBLANK(V319), ISBLANK(W319)),"",CONCATENATE(" ",VLOOKUP(W319,Literatuur!$A:$B,2,FALSE)," "))</f>
        <v xml:space="preserve"> 30 </v>
      </c>
      <c r="Y319" s="36"/>
      <c r="Z319" s="44" t="str">
        <f t="shared" si="241"/>
        <v xml:space="preserve"> </v>
      </c>
      <c r="AA319" s="33" t="str">
        <f>IF(OR(ISBLANK(Y319), ISBLANK(Z319)),"",CONCATENATE(" ",VLOOKUP(Z319,Literatuur!$A:$B,2,FALSE)," "))</f>
        <v/>
      </c>
      <c r="AB319" s="36">
        <v>8700</v>
      </c>
      <c r="AC319" s="36" t="str">
        <f t="shared" si="242"/>
        <v>Vonk 1985</v>
      </c>
      <c r="AD319" s="33" t="str">
        <f>IF(OR(ISBLANK(AB319), ISBLANK(AC319)),"",CONCATENATE(" ",VLOOKUP(AC319,Literatuur!$A:$B,2,FALSE)," "))</f>
        <v xml:space="preserve"> 37 </v>
      </c>
      <c r="AE319" s="36"/>
      <c r="AF319" s="36"/>
      <c r="AG319" s="33" t="str">
        <f>IF(OR(ISBLANK(AE319), ISBLANK(AF319)),"",CONCATENATE(" ",VLOOKUP(AF319,Literatuur!$A:$B,2,FALSE)," "))</f>
        <v/>
      </c>
      <c r="AI319" s="37">
        <v>98.973331537275584</v>
      </c>
      <c r="AJ319" s="44" t="str">
        <f t="shared" si="243"/>
        <v>Sanscrit</v>
      </c>
      <c r="AK319" s="33" t="str">
        <f>IF(OR(ISBLANK(AI319), ISBLANK(AJ319)),"",CONCATENATE(" ",VLOOKUP(AJ319,Literatuur!$A:$B,2,FALSE)," "))</f>
        <v xml:space="preserve"> D </v>
      </c>
      <c r="AL319" s="36">
        <v>98.96</v>
      </c>
      <c r="AM319" s="44" t="str">
        <f t="shared" si="244"/>
        <v>Gestis</v>
      </c>
      <c r="AN319" s="33" t="str">
        <f>IF(OR(ISBLANK(AL319), ISBLANK(AM319)),"",CONCATENATE(" ",VLOOKUP(AM319,Literatuur!$A:$B,2,FALSE)," "))</f>
        <v xml:space="preserve"> A </v>
      </c>
      <c r="AO319" s="36"/>
      <c r="AP319" s="44" t="str">
        <f t="shared" si="245"/>
        <v xml:space="preserve"> </v>
      </c>
      <c r="AQ319" s="33" t="str">
        <f>IF(OR(ISBLANK(AO319), ISBLANK(AP319)),"",CONCATENATE(" ",VLOOKUP(AP319,Literatuur!$A:$B,2,FALSE)," "))</f>
        <v/>
      </c>
      <c r="AR319" s="36"/>
      <c r="AT319" s="33" t="str">
        <f>IF(OR(ISBLANK(AR319), ISBLANK(AS319)),"",CONCATENATE(" ",VLOOKUP(AS319,Literatuur!$A:$B,2,FALSE)," "))</f>
        <v/>
      </c>
      <c r="AV319" s="36"/>
      <c r="AW319" s="33" t="str">
        <f>IF(OR(ISBLANK(AU319), ISBLANK(AV319)),"",CONCATENATE(" ",VLOOKUP(AV319,Literatuur!$A:$B,2,FALSE)," "))</f>
        <v/>
      </c>
      <c r="AY319" s="44">
        <v>1.47</v>
      </c>
      <c r="AZ319" s="44" t="str">
        <f t="shared" si="246"/>
        <v>Sanscrit</v>
      </c>
      <c r="BA319" s="33" t="str">
        <f>IF(OR(ISBLANK(AY319), ISBLANK(AZ319)),"",CONCATENATE(" ",VLOOKUP(AZ319,Literatuur!$A:$B,2,FALSE)," "))</f>
        <v xml:space="preserve"> D </v>
      </c>
      <c r="BB319" s="44">
        <v>1.48</v>
      </c>
      <c r="BC319" s="44" t="str">
        <f t="shared" si="247"/>
        <v>Gestis</v>
      </c>
      <c r="BD319" s="33" t="str">
        <f>IF(OR(ISBLANK(BB319), ISBLANK(BC319)),"",CONCATENATE(" ",VLOOKUP(BC319,Literatuur!$A:$B,2,FALSE)," "))</f>
        <v xml:space="preserve"> A </v>
      </c>
      <c r="BE319" s="33">
        <v>1.47</v>
      </c>
      <c r="BF319" s="44" t="str">
        <f t="shared" si="248"/>
        <v>US EPA 1995</v>
      </c>
      <c r="BG319" s="33" t="str">
        <f>IF(OR(ISBLANK(BE319), ISBLANK(BF319)),"",CONCATENATE(" ",VLOOKUP(BF319,Literatuur!$A:$B,2,FALSE)," "))</f>
        <v xml:space="preserve"> 30 </v>
      </c>
      <c r="BI319" s="44" t="str">
        <f t="shared" si="249"/>
        <v xml:space="preserve"> </v>
      </c>
      <c r="BJ319" s="33" t="str">
        <f>IF(OR(ISBLANK(BH319), ISBLANK(BI319)),"",CONCATENATE(" ",VLOOKUP(BI319,Literatuur!$A:$B,2,FALSE)," "))</f>
        <v/>
      </c>
      <c r="BL319" s="44" t="str">
        <f t="shared" si="250"/>
        <v xml:space="preserve"> </v>
      </c>
      <c r="BM319" s="33" t="str">
        <f>IF(OR(ISBLANK(BK319), ISBLANK(BL319)),"",CONCATENATE(" ",VLOOKUP(BL319,Literatuur!$A:$B,2,FALSE)," "))</f>
        <v/>
      </c>
      <c r="BP319" s="33" t="str">
        <f>IF(OR(ISBLANK(BN319), ISBLANK(BO319)),"",CONCATENATE(" ",VLOOKUP(BO319,Literatuur!$A:$B,2,FALSE)," "))</f>
        <v/>
      </c>
      <c r="BS319" s="33" t="str">
        <f>IF(OR(ISBLANK(BQ319), ISBLANK(BR319)),"",CONCATENATE(" ",VLOOKUP(BR319,Literatuur!$A:$B,2,FALSE)," "))</f>
        <v/>
      </c>
      <c r="BV319" s="33" t="str">
        <f>IF(OR(ISBLANK(BT319), ISBLANK(BU319)),"",CONCATENATE(" ",VLOOKUP(BU319,Literatuur!$A:$B,2,FALSE)," "))</f>
        <v/>
      </c>
      <c r="BY319" s="33">
        <v>79.400000000000006</v>
      </c>
      <c r="CB319" s="33" t="s">
        <v>1070</v>
      </c>
      <c r="CD319" s="33">
        <f>L319</f>
        <v>79.400000000000006</v>
      </c>
      <c r="CE319" s="37">
        <f t="shared" ref="CE319:CE333" si="252">I319</f>
        <v>98.973331537275584</v>
      </c>
      <c r="CG319" s="33">
        <f t="shared" ref="CG319:CG330" si="253">LOG(J319)</f>
        <v>4.0081244215557099</v>
      </c>
      <c r="CH319" s="33">
        <f t="shared" si="235"/>
        <v>1.47</v>
      </c>
      <c r="CI319" s="33">
        <v>6</v>
      </c>
      <c r="CR319" s="33" t="str">
        <f t="shared" si="209"/>
        <v>1,2-Dichloroethane</v>
      </c>
      <c r="CS319" s="33" t="str">
        <f t="shared" si="210"/>
        <v>ClAlk</v>
      </c>
      <c r="CT319" s="33">
        <f t="shared" ref="CT319:CT355" si="254">IF(OR(ISBLANK(I319),ISERROR(I319)),"",I319)</f>
        <v>98.973331537275584</v>
      </c>
      <c r="CU319" s="33" t="str">
        <f t="shared" si="211"/>
        <v xml:space="preserve"> D </v>
      </c>
      <c r="CV319" s="33">
        <f t="shared" si="212"/>
        <v>10188.832473485421</v>
      </c>
      <c r="CW319" s="33" t="str">
        <f t="shared" si="213"/>
        <v xml:space="preserve"> D </v>
      </c>
      <c r="CX319" s="33">
        <f t="shared" si="214"/>
        <v>1.47</v>
      </c>
      <c r="CY319" s="33" t="str">
        <f t="shared" si="215"/>
        <v xml:space="preserve"> D </v>
      </c>
    </row>
    <row r="320" spans="1:103" x14ac:dyDescent="0.2">
      <c r="B320" s="33">
        <v>410</v>
      </c>
      <c r="D320" s="33" t="s">
        <v>322</v>
      </c>
      <c r="E320" s="33" t="s">
        <v>1307</v>
      </c>
      <c r="F320" s="33" t="s">
        <v>1308</v>
      </c>
      <c r="G320" s="33">
        <v>-1</v>
      </c>
      <c r="H320" s="34" t="s">
        <v>25</v>
      </c>
      <c r="I320" s="37">
        <f t="shared" si="236"/>
        <v>96.95</v>
      </c>
      <c r="J320" s="33">
        <f t="shared" si="216"/>
        <v>775.6</v>
      </c>
      <c r="K320" s="93">
        <f>AVERAGE(BB320:BT320)</f>
        <v>1.906666666666667</v>
      </c>
      <c r="L320" s="33" t="e">
        <f t="shared" si="251"/>
        <v>#DIV/0!</v>
      </c>
      <c r="M320" s="33" t="s">
        <v>1891</v>
      </c>
      <c r="P320" s="33">
        <v>775.6</v>
      </c>
      <c r="Q320" s="44" t="str">
        <f t="shared" si="238"/>
        <v>Sanscrit</v>
      </c>
      <c r="R320" s="33" t="str">
        <f>IF(OR(ISBLANK(P320), ISBLANK(Q320)),"",CONCATENATE(" ",VLOOKUP(Q320,Literatuur!$A:$B,2,FALSE)," "))</f>
        <v xml:space="preserve"> D </v>
      </c>
      <c r="S320" s="94">
        <v>700</v>
      </c>
      <c r="T320" s="44" t="str">
        <f t="shared" si="239"/>
        <v>Gestis</v>
      </c>
      <c r="U320" s="33" t="str">
        <f>IF(OR(ISBLANK(S320), ISBLANK(T320)),"",CONCATENATE(" ",VLOOKUP(T320,Literatuur!$A:$B,2,FALSE)," "))</f>
        <v xml:space="preserve"> A </v>
      </c>
      <c r="W320" s="44" t="str">
        <f t="shared" si="240"/>
        <v xml:space="preserve"> </v>
      </c>
      <c r="X320" s="33" t="str">
        <f>IF(OR(ISBLANK(V320), ISBLANK(W320)),"",CONCATENATE(" ",VLOOKUP(W320,Literatuur!$A:$B,2,FALSE)," "))</f>
        <v/>
      </c>
      <c r="Y320" s="42">
        <v>6410</v>
      </c>
      <c r="Z320" s="44" t="str">
        <f t="shared" si="241"/>
        <v>US EPA suite</v>
      </c>
      <c r="AA320" s="33" t="str">
        <f>IF(OR(ISBLANK(Y320), ISBLANK(Z320)),"",CONCATENATE(" ",VLOOKUP(Z320,Literatuur!$A:$B,2,FALSE)," "))</f>
        <v xml:space="preserve"> F </v>
      </c>
      <c r="AB320" s="42">
        <v>400</v>
      </c>
      <c r="AC320" s="36" t="str">
        <f t="shared" si="242"/>
        <v>Vonk 1985</v>
      </c>
      <c r="AD320" s="33" t="str">
        <f>IF(OR(ISBLANK(AB320), ISBLANK(AC320)),"",CONCATENATE(" ",VLOOKUP(AC320,Literatuur!$A:$B,2,FALSE)," "))</f>
        <v xml:space="preserve"> 37 </v>
      </c>
      <c r="AE320" s="42">
        <v>8700</v>
      </c>
      <c r="AF320" s="36" t="s">
        <v>344</v>
      </c>
      <c r="AG320" s="33" t="str">
        <f>IF(OR(ISBLANK(AE320), ISBLANK(AF320)),"",CONCATENATE(" ",VLOOKUP(AF320,Literatuur!$A:$B,2,FALSE)," "))</f>
        <v xml:space="preserve"> G </v>
      </c>
      <c r="AI320" s="37">
        <v>96.95</v>
      </c>
      <c r="AJ320" s="44" t="str">
        <f t="shared" si="243"/>
        <v>Sanscrit</v>
      </c>
      <c r="AK320" s="33" t="str">
        <f>IF(OR(ISBLANK(AI320), ISBLANK(AJ320)),"",CONCATENATE(" ",VLOOKUP(AJ320,Literatuur!$A:$B,2,FALSE)," "))</f>
        <v xml:space="preserve"> D </v>
      </c>
      <c r="AL320" s="36">
        <v>96.94</v>
      </c>
      <c r="AM320" s="44" t="str">
        <f t="shared" si="244"/>
        <v>Gestis</v>
      </c>
      <c r="AN320" s="33" t="str">
        <f>IF(OR(ISBLANK(AL320), ISBLANK(AM320)),"",CONCATENATE(" ",VLOOKUP(AM320,Literatuur!$A:$B,2,FALSE)," "))</f>
        <v xml:space="preserve"> A </v>
      </c>
      <c r="AO320" s="36">
        <v>96.94</v>
      </c>
      <c r="AP320" s="44" t="str">
        <f t="shared" si="245"/>
        <v>US EPA suite</v>
      </c>
      <c r="AQ320" s="33" t="str">
        <f>IF(OR(ISBLANK(AO320), ISBLANK(AP320)),"",CONCATENATE(" ",VLOOKUP(AP320,Literatuur!$A:$B,2,FALSE)," "))</f>
        <v xml:space="preserve"> F </v>
      </c>
      <c r="AR320" s="36"/>
      <c r="AT320" s="33" t="str">
        <f>IF(OR(ISBLANK(AR320), ISBLANK(AS320)),"",CONCATENATE(" ",VLOOKUP(AS320,Literatuur!$A:$B,2,FALSE)," "))</f>
        <v/>
      </c>
      <c r="AV320" s="36"/>
      <c r="AW320" s="33" t="str">
        <f>IF(OR(ISBLANK(AU320), ISBLANK(AV320)),"",CONCATENATE(" ",VLOOKUP(AV320,Literatuur!$A:$B,2,FALSE)," "))</f>
        <v/>
      </c>
      <c r="AY320" s="93">
        <v>1.27</v>
      </c>
      <c r="AZ320" s="44" t="str">
        <f t="shared" si="246"/>
        <v>Sanscrit</v>
      </c>
      <c r="BA320" s="33" t="str">
        <f>IF(OR(ISBLANK(AY320), ISBLANK(AZ320)),"",CONCATENATE(" ",VLOOKUP(AZ320,Literatuur!$A:$B,2,FALSE)," "))</f>
        <v xml:space="preserve"> D </v>
      </c>
      <c r="BB320" s="94">
        <v>1.86</v>
      </c>
      <c r="BC320" s="44" t="str">
        <f t="shared" si="247"/>
        <v>Gestis</v>
      </c>
      <c r="BD320" s="33" t="str">
        <f>IF(OR(ISBLANK(BB320), ISBLANK(BC320)),"",CONCATENATE(" ",VLOOKUP(BC320,Literatuur!$A:$B,2,FALSE)," "))</f>
        <v xml:space="preserve"> A </v>
      </c>
      <c r="BE320" s="94"/>
      <c r="BF320" s="44" t="str">
        <f t="shared" si="248"/>
        <v xml:space="preserve"> </v>
      </c>
      <c r="BG320" s="33" t="str">
        <f>IF(OR(ISBLANK(BE320), ISBLANK(BF320)),"",CONCATENATE(" ",VLOOKUP(BF320,Literatuur!$A:$B,2,FALSE)," "))</f>
        <v/>
      </c>
      <c r="BH320" s="94">
        <v>1.86</v>
      </c>
      <c r="BI320" s="44" t="str">
        <f t="shared" si="249"/>
        <v>US EPA suite</v>
      </c>
      <c r="BJ320" s="33" t="str">
        <f>IF(OR(ISBLANK(BH320), ISBLANK(BI320)),"",CONCATENATE(" ",VLOOKUP(BI320,Literatuur!$A:$B,2,FALSE)," "))</f>
        <v xml:space="preserve"> F </v>
      </c>
      <c r="BK320" s="94"/>
      <c r="BL320" s="44" t="str">
        <f t="shared" si="250"/>
        <v xml:space="preserve"> </v>
      </c>
      <c r="BM320" s="33" t="str">
        <f>IF(OR(ISBLANK(BK320), ISBLANK(BL320)),"",CONCATENATE(" ",VLOOKUP(BL320,Literatuur!$A:$B,2,FALSE)," "))</f>
        <v/>
      </c>
      <c r="BN320" s="94"/>
      <c r="BO320" s="94"/>
      <c r="BP320" s="33" t="str">
        <f>IF(OR(ISBLANK(BN320), ISBLANK(BO320)),"",CONCATENATE(" ",VLOOKUP(BO320,Literatuur!$A:$B,2,FALSE)," "))</f>
        <v/>
      </c>
      <c r="BQ320" s="94"/>
      <c r="BR320" s="94"/>
      <c r="BS320" s="33" t="str">
        <f>IF(OR(ISBLANK(BQ320), ISBLANK(BR320)),"",CONCATENATE(" ",VLOOKUP(BR320,Literatuur!$A:$B,2,FALSE)," "))</f>
        <v/>
      </c>
      <c r="BT320" s="94">
        <v>2</v>
      </c>
      <c r="BU320" s="33" t="s">
        <v>344</v>
      </c>
      <c r="BV320" s="33" t="str">
        <f>IF(OR(ISBLANK(BT320), ISBLANK(BU320)),"",CONCATENATE(" ",VLOOKUP(BU320,Literatuur!$A:$B,2,FALSE)," "))</f>
        <v xml:space="preserve"> G </v>
      </c>
      <c r="CE320" s="37">
        <f t="shared" si="252"/>
        <v>96.95</v>
      </c>
      <c r="CG320" s="33">
        <f t="shared" si="253"/>
        <v>2.8896378004066676</v>
      </c>
      <c r="CH320" s="33">
        <f t="shared" si="235"/>
        <v>1.906666666666667</v>
      </c>
      <c r="CI320" s="33">
        <v>8</v>
      </c>
      <c r="CR320" s="33" t="str">
        <f t="shared" si="209"/>
        <v>1,2-dichloro-, (Z)-Ethene</v>
      </c>
      <c r="CS320" s="33" t="str">
        <f t="shared" si="210"/>
        <v>ClAlk</v>
      </c>
      <c r="CT320" s="33">
        <f t="shared" si="254"/>
        <v>96.95</v>
      </c>
      <c r="CU320" s="33" t="str">
        <f t="shared" si="211"/>
        <v xml:space="preserve"> D </v>
      </c>
      <c r="CV320" s="33">
        <f t="shared" si="212"/>
        <v>775.6</v>
      </c>
      <c r="CW320" s="33" t="str">
        <f t="shared" si="213"/>
        <v xml:space="preserve"> D </v>
      </c>
      <c r="CX320" s="33">
        <f t="shared" si="214"/>
        <v>1.906666666666667</v>
      </c>
      <c r="CY320" s="33" t="str">
        <f t="shared" si="215"/>
        <v xml:space="preserve"> D </v>
      </c>
    </row>
    <row r="321" spans="1:103" ht="12.75" customHeight="1" x14ac:dyDescent="0.25">
      <c r="B321">
        <v>412</v>
      </c>
      <c r="D321" t="s">
        <v>124</v>
      </c>
      <c r="E321" s="33" t="s">
        <v>1311</v>
      </c>
      <c r="G321"/>
      <c r="H321" s="34" t="s">
        <v>1306</v>
      </c>
      <c r="I321" s="37">
        <f t="shared" si="236"/>
        <v>96.95</v>
      </c>
      <c r="J321" s="33">
        <f t="shared" si="216"/>
        <v>775.6</v>
      </c>
      <c r="K321" s="44">
        <f t="shared" ref="K321:K352" si="255">IF(ISNUMBER(AY321),AY321,AVERAGE(BB321,BE321,BH321,BK321,BN321,BQ321,BT321))</f>
        <v>1.27</v>
      </c>
      <c r="L321" s="33" t="e">
        <f t="shared" si="251"/>
        <v>#DIV/0!</v>
      </c>
      <c r="M321" s="33" t="s">
        <v>1891</v>
      </c>
      <c r="P321" s="33">
        <v>775.6</v>
      </c>
      <c r="Q321" s="44" t="str">
        <f t="shared" si="238"/>
        <v>Sanscrit</v>
      </c>
      <c r="R321" s="33" t="str">
        <f>IF(OR(ISBLANK(P321), ISBLANK(Q321)),"",CONCATENATE(" ",VLOOKUP(Q321,Literatuur!$A:$B,2,FALSE)," "))</f>
        <v xml:space="preserve"> D </v>
      </c>
      <c r="S321" s="94"/>
      <c r="T321" s="44" t="str">
        <f t="shared" si="239"/>
        <v xml:space="preserve"> </v>
      </c>
      <c r="U321" s="33" t="str">
        <f>IF(OR(ISBLANK(S321), ISBLANK(T321)),"",CONCATENATE(" ",VLOOKUP(T321,Literatuur!$A:$B,2,FALSE)," "))</f>
        <v/>
      </c>
      <c r="W321" s="44" t="str">
        <f t="shared" si="240"/>
        <v xml:space="preserve"> </v>
      </c>
      <c r="X321" s="33" t="str">
        <f>IF(OR(ISBLANK(V321), ISBLANK(W321)),"",CONCATENATE(" ",VLOOKUP(W321,Literatuur!$A:$B,2,FALSE)," "))</f>
        <v/>
      </c>
      <c r="Y321" s="42">
        <v>6410</v>
      </c>
      <c r="Z321" s="44" t="str">
        <f t="shared" si="241"/>
        <v>US EPA suite</v>
      </c>
      <c r="AA321" s="33" t="str">
        <f>IF(OR(ISBLANK(Y321), ISBLANK(Z321)),"",CONCATENATE(" ",VLOOKUP(Z321,Literatuur!$A:$B,2,FALSE)," "))</f>
        <v xml:space="preserve"> F </v>
      </c>
      <c r="AB321" s="42"/>
      <c r="AC321" s="36" t="str">
        <f t="shared" si="242"/>
        <v xml:space="preserve"> </v>
      </c>
      <c r="AD321" s="33" t="str">
        <f>IF(OR(ISBLANK(AB321), ISBLANK(AC321)),"",CONCATENATE(" ",VLOOKUP(AC321,Literatuur!$A:$B,2,FALSE)," "))</f>
        <v/>
      </c>
      <c r="AE321" s="42"/>
      <c r="AF321" s="186"/>
      <c r="AG321" s="33" t="str">
        <f>IF(OR(ISBLANK(AE321), ISBLANK(AF321)),"",CONCATENATE(" ",VLOOKUP(AF321,Literatuur!$A:$B,2,FALSE)," "))</f>
        <v/>
      </c>
      <c r="AI321" s="186">
        <v>96.95</v>
      </c>
      <c r="AJ321" s="44" t="str">
        <f t="shared" si="243"/>
        <v>Sanscrit</v>
      </c>
      <c r="AK321" s="33" t="str">
        <f>IF(OR(ISBLANK(AI321), ISBLANK(AJ321)),"",CONCATENATE(" ",VLOOKUP(AJ321,Literatuur!$A:$B,2,FALSE)," "))</f>
        <v xml:space="preserve"> D </v>
      </c>
      <c r="AL321" s="186"/>
      <c r="AM321" s="44" t="str">
        <f t="shared" si="244"/>
        <v xml:space="preserve"> </v>
      </c>
      <c r="AN321" s="33" t="str">
        <f>IF(OR(ISBLANK(AL321), ISBLANK(AM321)),"",CONCATENATE(" ",VLOOKUP(AM321,Literatuur!$A:$B,2,FALSE)," "))</f>
        <v/>
      </c>
      <c r="AO321" s="186"/>
      <c r="AP321" s="44" t="str">
        <f t="shared" si="245"/>
        <v xml:space="preserve"> </v>
      </c>
      <c r="AQ321" s="33" t="str">
        <f>IF(OR(ISBLANK(AO321), ISBLANK(AP321)),"",CONCATENATE(" ",VLOOKUP(AP321,Literatuur!$A:$B,2,FALSE)," "))</f>
        <v/>
      </c>
      <c r="AR321" s="186"/>
      <c r="AT321" s="33" t="str">
        <f>IF(OR(ISBLANK(AR321), ISBLANK(AS321)),"",CONCATENATE(" ",VLOOKUP(AS321,Literatuur!$A:$B,2,FALSE)," "))</f>
        <v/>
      </c>
      <c r="AV321" s="186"/>
      <c r="AW321" s="33" t="str">
        <f>IF(OR(ISBLANK(AU321), ISBLANK(AV321)),"",CONCATENATE(" ",VLOOKUP(AV321,Literatuur!$A:$B,2,FALSE)," "))</f>
        <v/>
      </c>
      <c r="AY321" s="485">
        <v>1.27</v>
      </c>
      <c r="AZ321" s="44" t="str">
        <f t="shared" si="246"/>
        <v>Sanscrit</v>
      </c>
      <c r="BA321" s="33" t="str">
        <f>IF(OR(ISBLANK(AY321), ISBLANK(AZ321)),"",CONCATENATE(" ",VLOOKUP(AZ321,Literatuur!$A:$B,2,FALSE)," "))</f>
        <v xml:space="preserve"> D </v>
      </c>
      <c r="BB321" s="94"/>
      <c r="BC321" s="44" t="str">
        <f t="shared" si="247"/>
        <v xml:space="preserve"> </v>
      </c>
      <c r="BD321" s="33" t="str">
        <f>IF(OR(ISBLANK(BB321), ISBLANK(BC321)),"",CONCATENATE(" ",VLOOKUP(BC321,Literatuur!$A:$B,2,FALSE)," "))</f>
        <v/>
      </c>
      <c r="BE321" s="94"/>
      <c r="BF321" s="44" t="str">
        <f t="shared" si="248"/>
        <v xml:space="preserve"> </v>
      </c>
      <c r="BG321" s="33" t="str">
        <f>IF(OR(ISBLANK(BE321), ISBLANK(BF321)),"",CONCATENATE(" ",VLOOKUP(BF321,Literatuur!$A:$B,2,FALSE)," "))</f>
        <v/>
      </c>
      <c r="BH321" s="94">
        <v>1.86</v>
      </c>
      <c r="BI321" s="44" t="str">
        <f t="shared" si="249"/>
        <v>US EPA suite</v>
      </c>
      <c r="BJ321" s="33" t="str">
        <f>IF(OR(ISBLANK(BH321), ISBLANK(BI321)),"",CONCATENATE(" ",VLOOKUP(BI321,Literatuur!$A:$B,2,FALSE)," "))</f>
        <v xml:space="preserve"> F </v>
      </c>
      <c r="BK321" s="94"/>
      <c r="BL321" s="44" t="str">
        <f t="shared" si="250"/>
        <v xml:space="preserve"> </v>
      </c>
      <c r="BM321" s="33" t="str">
        <f>IF(OR(ISBLANK(BK321), ISBLANK(BL321)),"",CONCATENATE(" ",VLOOKUP(BL321,Literatuur!$A:$B,2,FALSE)," "))</f>
        <v/>
      </c>
      <c r="BN321" s="94"/>
      <c r="BO321" s="94"/>
      <c r="BP321" s="33" t="str">
        <f>IF(OR(ISBLANK(BN321), ISBLANK(BO321)),"",CONCATENATE(" ",VLOOKUP(BO321,Literatuur!$A:$B,2,FALSE)," "))</f>
        <v/>
      </c>
      <c r="BQ321" s="94"/>
      <c r="BR321" s="94"/>
      <c r="BS321" s="33" t="str">
        <f>IF(OR(ISBLANK(BQ321), ISBLANK(BR321)),"",CONCATENATE(" ",VLOOKUP(BR321,Literatuur!$A:$B,2,FALSE)," "))</f>
        <v/>
      </c>
      <c r="BT321" s="94"/>
      <c r="BV321" s="33" t="str">
        <f>IF(OR(ISBLANK(BT321), ISBLANK(BU321)),"",CONCATENATE(" ",VLOOKUP(BU321,Literatuur!$A:$B,2,FALSE)," "))</f>
        <v/>
      </c>
      <c r="CE321" s="37">
        <f t="shared" si="252"/>
        <v>96.95</v>
      </c>
      <c r="CG321" s="33">
        <f t="shared" si="253"/>
        <v>2.8896378004066676</v>
      </c>
      <c r="CH321" s="33">
        <f t="shared" si="235"/>
        <v>1.27</v>
      </c>
      <c r="CR321" s="33" t="str">
        <f t="shared" si="209"/>
        <v>1,2-dichloroEthene</v>
      </c>
      <c r="CS321" s="33" t="str">
        <f t="shared" si="210"/>
        <v>ClAlk</v>
      </c>
      <c r="CT321" s="33">
        <f t="shared" si="254"/>
        <v>96.95</v>
      </c>
      <c r="CU321" s="33" t="str">
        <f t="shared" si="211"/>
        <v xml:space="preserve"> D </v>
      </c>
      <c r="CV321" s="33">
        <f t="shared" si="212"/>
        <v>775.6</v>
      </c>
      <c r="CW321" s="33" t="str">
        <f t="shared" si="213"/>
        <v xml:space="preserve"> D </v>
      </c>
      <c r="CX321" s="33">
        <f t="shared" si="214"/>
        <v>1.27</v>
      </c>
      <c r="CY321" s="33" t="str">
        <f t="shared" si="215"/>
        <v xml:space="preserve"> D </v>
      </c>
    </row>
    <row r="322" spans="1:103" ht="12.75" customHeight="1" x14ac:dyDescent="0.25">
      <c r="B322" s="33">
        <v>411</v>
      </c>
      <c r="D322" s="33" t="s">
        <v>123</v>
      </c>
      <c r="E322" s="33" t="s">
        <v>1309</v>
      </c>
      <c r="F322" s="33" t="s">
        <v>1312</v>
      </c>
      <c r="H322" s="34" t="s">
        <v>1310</v>
      </c>
      <c r="I322" s="37">
        <f t="shared" si="236"/>
        <v>96.95</v>
      </c>
      <c r="J322" s="33">
        <f t="shared" si="216"/>
        <v>581.70000000000005</v>
      </c>
      <c r="K322" s="44">
        <f t="shared" si="255"/>
        <v>1.0900000000000001</v>
      </c>
      <c r="L322" s="33" t="e">
        <f t="shared" si="251"/>
        <v>#DIV/0!</v>
      </c>
      <c r="M322" s="33" t="s">
        <v>1891</v>
      </c>
      <c r="P322" s="33">
        <v>581.70000000000005</v>
      </c>
      <c r="Q322" s="44" t="str">
        <f t="shared" si="238"/>
        <v>Sanscrit</v>
      </c>
      <c r="R322" s="33" t="str">
        <f>IF(OR(ISBLANK(P322), ISBLANK(Q322)),"",CONCATENATE(" ",VLOOKUP(Q322,Literatuur!$A:$B,2,FALSE)," "))</f>
        <v xml:space="preserve"> D </v>
      </c>
      <c r="S322" s="94"/>
      <c r="T322" s="44" t="str">
        <f t="shared" si="239"/>
        <v xml:space="preserve"> </v>
      </c>
      <c r="U322" s="33" t="str">
        <f>IF(OR(ISBLANK(S322), ISBLANK(T322)),"",CONCATENATE(" ",VLOOKUP(T322,Literatuur!$A:$B,2,FALSE)," "))</f>
        <v/>
      </c>
      <c r="W322" s="44" t="str">
        <f t="shared" si="240"/>
        <v xml:space="preserve"> </v>
      </c>
      <c r="X322" s="33" t="str">
        <f>IF(OR(ISBLANK(V322), ISBLANK(W322)),"",CONCATENATE(" ",VLOOKUP(W322,Literatuur!$A:$B,2,FALSE)," "))</f>
        <v/>
      </c>
      <c r="Y322" s="42">
        <v>6410</v>
      </c>
      <c r="Z322" s="44" t="str">
        <f t="shared" si="241"/>
        <v>US EPA suite</v>
      </c>
      <c r="AA322" s="33" t="str">
        <f>IF(OR(ISBLANK(Y322), ISBLANK(Z322)),"",CONCATENATE(" ",VLOOKUP(Z322,Literatuur!$A:$B,2,FALSE)," "))</f>
        <v xml:space="preserve"> F </v>
      </c>
      <c r="AB322" s="42"/>
      <c r="AC322" s="36" t="str">
        <f t="shared" si="242"/>
        <v xml:space="preserve"> </v>
      </c>
      <c r="AD322" s="33" t="str">
        <f>IF(OR(ISBLANK(AB322), ISBLANK(AC322)),"",CONCATENATE(" ",VLOOKUP(AC322,Literatuur!$A:$B,2,FALSE)," "))</f>
        <v/>
      </c>
      <c r="AE322" s="42"/>
      <c r="AF322" s="186"/>
      <c r="AG322" s="33" t="str">
        <f>IF(OR(ISBLANK(AE322), ISBLANK(AF322)),"",CONCATENATE(" ",VLOOKUP(AF322,Literatuur!$A:$B,2,FALSE)," "))</f>
        <v/>
      </c>
      <c r="AI322" s="186">
        <v>96.95</v>
      </c>
      <c r="AJ322" s="44" t="str">
        <f t="shared" si="243"/>
        <v>Sanscrit</v>
      </c>
      <c r="AK322" s="33" t="str">
        <f>IF(OR(ISBLANK(AI322), ISBLANK(AJ322)),"",CONCATENATE(" ",VLOOKUP(AJ322,Literatuur!$A:$B,2,FALSE)," "))</f>
        <v xml:space="preserve"> D </v>
      </c>
      <c r="AL322" s="186"/>
      <c r="AM322" s="44" t="str">
        <f t="shared" si="244"/>
        <v xml:space="preserve"> </v>
      </c>
      <c r="AN322" s="33" t="str">
        <f>IF(OR(ISBLANK(AL322), ISBLANK(AM322)),"",CONCATENATE(" ",VLOOKUP(AM322,Literatuur!$A:$B,2,FALSE)," "))</f>
        <v/>
      </c>
      <c r="AO322" s="186">
        <v>96.94</v>
      </c>
      <c r="AP322" s="44" t="str">
        <f t="shared" si="245"/>
        <v>US EPA suite</v>
      </c>
      <c r="AQ322" s="33" t="str">
        <f>IF(OR(ISBLANK(AO322), ISBLANK(AP322)),"",CONCATENATE(" ",VLOOKUP(AP322,Literatuur!$A:$B,2,FALSE)," "))</f>
        <v xml:space="preserve"> F </v>
      </c>
      <c r="AR322" s="186"/>
      <c r="AT322" s="33" t="str">
        <f>IF(OR(ISBLANK(AR322), ISBLANK(AS322)),"",CONCATENATE(" ",VLOOKUP(AS322,Literatuur!$A:$B,2,FALSE)," "))</f>
        <v/>
      </c>
      <c r="AV322" s="186"/>
      <c r="AW322" s="33" t="str">
        <f>IF(OR(ISBLANK(AU322), ISBLANK(AV322)),"",CONCATENATE(" ",VLOOKUP(AV322,Literatuur!$A:$B,2,FALSE)," "))</f>
        <v/>
      </c>
      <c r="AY322" s="485">
        <v>1.0900000000000001</v>
      </c>
      <c r="AZ322" s="44" t="str">
        <f t="shared" si="246"/>
        <v>Sanscrit</v>
      </c>
      <c r="BA322" s="33" t="str">
        <f>IF(OR(ISBLANK(AY322), ISBLANK(AZ322)),"",CONCATENATE(" ",VLOOKUP(AZ322,Literatuur!$A:$B,2,FALSE)," "))</f>
        <v xml:space="preserve"> D </v>
      </c>
      <c r="BB322" s="93"/>
      <c r="BC322" s="44" t="str">
        <f t="shared" si="247"/>
        <v xml:space="preserve"> </v>
      </c>
      <c r="BD322" s="33" t="str">
        <f>IF(OR(ISBLANK(BB322), ISBLANK(BC322)),"",CONCATENATE(" ",VLOOKUP(BC322,Literatuur!$A:$B,2,FALSE)," "))</f>
        <v/>
      </c>
      <c r="BE322" s="94"/>
      <c r="BF322" s="44" t="str">
        <f t="shared" si="248"/>
        <v xml:space="preserve"> </v>
      </c>
      <c r="BG322" s="33" t="str">
        <f>IF(OR(ISBLANK(BE322), ISBLANK(BF322)),"",CONCATENATE(" ",VLOOKUP(BF322,Literatuur!$A:$B,2,FALSE)," "))</f>
        <v/>
      </c>
      <c r="BH322" s="94">
        <v>1.86</v>
      </c>
      <c r="BI322" s="44" t="str">
        <f t="shared" si="249"/>
        <v>US EPA suite</v>
      </c>
      <c r="BJ322" s="33" t="str">
        <f>IF(OR(ISBLANK(BH322), ISBLANK(BI322)),"",CONCATENATE(" ",VLOOKUP(BI322,Literatuur!$A:$B,2,FALSE)," "))</f>
        <v xml:space="preserve"> F </v>
      </c>
      <c r="BK322" s="94"/>
      <c r="BL322" s="44" t="str">
        <f t="shared" si="250"/>
        <v xml:space="preserve"> </v>
      </c>
      <c r="BM322" s="33" t="str">
        <f>IF(OR(ISBLANK(BK322), ISBLANK(BL322)),"",CONCATENATE(" ",VLOOKUP(BL322,Literatuur!$A:$B,2,FALSE)," "))</f>
        <v/>
      </c>
      <c r="BN322" s="94"/>
      <c r="BO322" s="94"/>
      <c r="BP322" s="33" t="str">
        <f>IF(OR(ISBLANK(BN322), ISBLANK(BO322)),"",CONCATENATE(" ",VLOOKUP(BO322,Literatuur!$A:$B,2,FALSE)," "))</f>
        <v/>
      </c>
      <c r="BQ322" s="94"/>
      <c r="BR322" s="94"/>
      <c r="BS322" s="33" t="str">
        <f>IF(OR(ISBLANK(BQ322), ISBLANK(BR322)),"",CONCATENATE(" ",VLOOKUP(BR322,Literatuur!$A:$B,2,FALSE)," "))</f>
        <v/>
      </c>
      <c r="BT322" s="94"/>
      <c r="BV322" s="33" t="str">
        <f>IF(OR(ISBLANK(BT322), ISBLANK(BU322)),"",CONCATENATE(" ",VLOOKUP(BU322,Literatuur!$A:$B,2,FALSE)," "))</f>
        <v/>
      </c>
      <c r="CE322" s="37">
        <f t="shared" si="252"/>
        <v>96.95</v>
      </c>
      <c r="CG322" s="33">
        <f t="shared" si="253"/>
        <v>2.7646990637983677</v>
      </c>
      <c r="CH322" s="33">
        <f t="shared" si="235"/>
        <v>1.0900000000000001</v>
      </c>
      <c r="CI322" s="33">
        <v>9</v>
      </c>
      <c r="CR322" s="33" t="str">
        <f t="shared" si="209"/>
        <v>1,2-dichloro-, (1E)-Ethene</v>
      </c>
      <c r="CS322" s="33" t="str">
        <f t="shared" si="210"/>
        <v>ClAlk</v>
      </c>
      <c r="CT322" s="33">
        <f t="shared" si="254"/>
        <v>96.95</v>
      </c>
      <c r="CU322" s="33" t="str">
        <f t="shared" si="211"/>
        <v xml:space="preserve"> D </v>
      </c>
      <c r="CV322" s="33">
        <f t="shared" si="212"/>
        <v>581.70000000000005</v>
      </c>
      <c r="CW322" s="33" t="str">
        <f t="shared" si="213"/>
        <v xml:space="preserve"> D </v>
      </c>
      <c r="CX322" s="33">
        <f t="shared" si="214"/>
        <v>1.0900000000000001</v>
      </c>
      <c r="CY322" s="33" t="str">
        <f t="shared" si="215"/>
        <v xml:space="preserve"> D </v>
      </c>
    </row>
    <row r="323" spans="1:103" x14ac:dyDescent="0.2">
      <c r="B323" s="33">
        <v>415</v>
      </c>
      <c r="D323" s="33" t="s">
        <v>125</v>
      </c>
      <c r="E323" s="33" t="s">
        <v>1304</v>
      </c>
      <c r="F323" s="105"/>
      <c r="G323" s="105"/>
      <c r="H323" s="34" t="s">
        <v>321</v>
      </c>
      <c r="I323" s="37">
        <f t="shared" si="236"/>
        <v>113</v>
      </c>
      <c r="J323" s="33">
        <f t="shared" si="216"/>
        <v>1469</v>
      </c>
      <c r="K323" s="44">
        <f t="shared" si="255"/>
        <v>1.99</v>
      </c>
      <c r="L323" s="33" t="e">
        <f t="shared" si="251"/>
        <v>#DIV/0!</v>
      </c>
      <c r="M323" s="33" t="s">
        <v>1891</v>
      </c>
      <c r="P323" s="33">
        <v>1469</v>
      </c>
      <c r="Q323" s="44" t="str">
        <f t="shared" si="238"/>
        <v>Sanscrit</v>
      </c>
      <c r="R323" s="33" t="str">
        <f>IF(OR(ISBLANK(P323), ISBLANK(Q323)),"",CONCATENATE(" ",VLOOKUP(Q323,Literatuur!$A:$B,2,FALSE)," "))</f>
        <v xml:space="preserve"> D </v>
      </c>
      <c r="S323" s="33">
        <v>3000</v>
      </c>
      <c r="T323" s="44" t="str">
        <f t="shared" si="239"/>
        <v>Gestis</v>
      </c>
      <c r="U323" s="33" t="str">
        <f>IF(OR(ISBLANK(S323), ISBLANK(T323)),"",CONCATENATE(" ",VLOOKUP(T323,Literatuur!$A:$B,2,FALSE)," "))</f>
        <v xml:space="preserve"> A </v>
      </c>
      <c r="V323" s="33">
        <v>2800</v>
      </c>
      <c r="W323" s="44" t="str">
        <f t="shared" si="240"/>
        <v>US EPA 1995</v>
      </c>
      <c r="X323" s="33" t="str">
        <f>IF(OR(ISBLANK(V323), ISBLANK(W323)),"",CONCATENATE(" ",VLOOKUP(W323,Literatuur!$A:$B,2,FALSE)," "))</f>
        <v xml:space="preserve"> 30 </v>
      </c>
      <c r="Y323" s="36"/>
      <c r="Z323" s="44" t="str">
        <f t="shared" si="241"/>
        <v xml:space="preserve"> </v>
      </c>
      <c r="AA323" s="33" t="str">
        <f>IF(OR(ISBLANK(Y323), ISBLANK(Z323)),"",CONCATENATE(" ",VLOOKUP(Z323,Literatuur!$A:$B,2,FALSE)," "))</f>
        <v/>
      </c>
      <c r="AB323" s="36">
        <v>2700</v>
      </c>
      <c r="AC323" s="36" t="str">
        <f t="shared" si="242"/>
        <v>Vonk 1985</v>
      </c>
      <c r="AD323" s="33" t="str">
        <f>IF(OR(ISBLANK(AB323), ISBLANK(AC323)),"",CONCATENATE(" ",VLOOKUP(AC323,Literatuur!$A:$B,2,FALSE)," "))</f>
        <v xml:space="preserve"> 37 </v>
      </c>
      <c r="AE323" s="36"/>
      <c r="AF323" s="36"/>
      <c r="AG323" s="33" t="str">
        <f>IF(OR(ISBLANK(AE323), ISBLANK(AF323)),"",CONCATENATE(" ",VLOOKUP(AF323,Literatuur!$A:$B,2,FALSE)," "))</f>
        <v/>
      </c>
      <c r="AI323" s="37">
        <v>113</v>
      </c>
      <c r="AJ323" s="44" t="str">
        <f t="shared" si="243"/>
        <v>Sanscrit</v>
      </c>
      <c r="AK323" s="33" t="str">
        <f>IF(OR(ISBLANK(AI323), ISBLANK(AJ323)),"",CONCATENATE(" ",VLOOKUP(AJ323,Literatuur!$A:$B,2,FALSE)," "))</f>
        <v xml:space="preserve"> D </v>
      </c>
      <c r="AL323" s="36">
        <v>112.99</v>
      </c>
      <c r="AM323" s="44" t="str">
        <f t="shared" si="244"/>
        <v>Gestis</v>
      </c>
      <c r="AN323" s="33" t="str">
        <f>IF(OR(ISBLANK(AL323), ISBLANK(AM323)),"",CONCATENATE(" ",VLOOKUP(AM323,Literatuur!$A:$B,2,FALSE)," "))</f>
        <v xml:space="preserve"> A </v>
      </c>
      <c r="AO323" s="36"/>
      <c r="AP323" s="44" t="str">
        <f t="shared" si="245"/>
        <v xml:space="preserve"> </v>
      </c>
      <c r="AQ323" s="33" t="str">
        <f>IF(OR(ISBLANK(AO323), ISBLANK(AP323)),"",CONCATENATE(" ",VLOOKUP(AP323,Literatuur!$A:$B,2,FALSE)," "))</f>
        <v/>
      </c>
      <c r="AR323" s="36"/>
      <c r="AT323" s="33" t="str">
        <f>IF(OR(ISBLANK(AR323), ISBLANK(AS323)),"",CONCATENATE(" ",VLOOKUP(AS323,Literatuur!$A:$B,2,FALSE)," "))</f>
        <v/>
      </c>
      <c r="AV323" s="36"/>
      <c r="AW323" s="33" t="str">
        <f>IF(OR(ISBLANK(AU323), ISBLANK(AV323)),"",CONCATENATE(" ",VLOOKUP(AV323,Literatuur!$A:$B,2,FALSE)," "))</f>
        <v/>
      </c>
      <c r="AY323" s="44">
        <v>1.99</v>
      </c>
      <c r="AZ323" s="44" t="str">
        <f t="shared" si="246"/>
        <v>Sanscrit</v>
      </c>
      <c r="BA323" s="33" t="str">
        <f>IF(OR(ISBLANK(AY323), ISBLANK(AZ323)),"",CONCATENATE(" ",VLOOKUP(AZ323,Literatuur!$A:$B,2,FALSE)," "))</f>
        <v xml:space="preserve"> D </v>
      </c>
      <c r="BB323" s="44">
        <v>2.02</v>
      </c>
      <c r="BC323" s="44" t="str">
        <f t="shared" si="247"/>
        <v>Gestis</v>
      </c>
      <c r="BD323" s="33" t="str">
        <f>IF(OR(ISBLANK(BB323), ISBLANK(BC323)),"",CONCATENATE(" ",VLOOKUP(BC323,Literatuur!$A:$B,2,FALSE)," "))</f>
        <v xml:space="preserve"> A </v>
      </c>
      <c r="BE323" s="33">
        <v>1.97</v>
      </c>
      <c r="BF323" s="44" t="str">
        <f t="shared" si="248"/>
        <v>US EPA 1995</v>
      </c>
      <c r="BG323" s="33" t="str">
        <f>IF(OR(ISBLANK(BE323), ISBLANK(BF323)),"",CONCATENATE(" ",VLOOKUP(BF323,Literatuur!$A:$B,2,FALSE)," "))</f>
        <v xml:space="preserve"> 30 </v>
      </c>
      <c r="BI323" s="44" t="str">
        <f t="shared" si="249"/>
        <v xml:space="preserve"> </v>
      </c>
      <c r="BJ323" s="33" t="str">
        <f>IF(OR(ISBLANK(BH323), ISBLANK(BI323)),"",CONCATENATE(" ",VLOOKUP(BI323,Literatuur!$A:$B,2,FALSE)," "))</f>
        <v/>
      </c>
      <c r="BL323" s="44" t="str">
        <f t="shared" si="250"/>
        <v xml:space="preserve"> </v>
      </c>
      <c r="BM323" s="33" t="str">
        <f>IF(OR(ISBLANK(BK323), ISBLANK(BL323)),"",CONCATENATE(" ",VLOOKUP(BL323,Literatuur!$A:$B,2,FALSE)," "))</f>
        <v/>
      </c>
      <c r="BP323" s="33" t="str">
        <f>IF(OR(ISBLANK(BN323), ISBLANK(BO323)),"",CONCATENATE(" ",VLOOKUP(BO323,Literatuur!$A:$B,2,FALSE)," "))</f>
        <v/>
      </c>
      <c r="BS323" s="33" t="str">
        <f>IF(OR(ISBLANK(BQ323), ISBLANK(BR323)),"",CONCATENATE(" ",VLOOKUP(BR323,Literatuur!$A:$B,2,FALSE)," "))</f>
        <v/>
      </c>
      <c r="BV323" s="33" t="str">
        <f>IF(OR(ISBLANK(BT323), ISBLANK(BU323)),"",CONCATENATE(" ",VLOOKUP(BU323,Literatuur!$A:$B,2,FALSE)," "))</f>
        <v/>
      </c>
      <c r="CE323" s="37">
        <f t="shared" si="252"/>
        <v>113</v>
      </c>
      <c r="CG323" s="33">
        <f t="shared" si="253"/>
        <v>3.1670217957902564</v>
      </c>
      <c r="CH323" s="33">
        <f t="shared" si="235"/>
        <v>1.99</v>
      </c>
      <c r="CR323" s="33" t="str">
        <f t="shared" si="209"/>
        <v>1,2-Dichloropropane</v>
      </c>
      <c r="CS323" s="33" t="str">
        <f t="shared" si="210"/>
        <v>ClAlk</v>
      </c>
      <c r="CT323" s="33">
        <f t="shared" si="254"/>
        <v>113</v>
      </c>
      <c r="CU323" s="33" t="str">
        <f t="shared" si="211"/>
        <v xml:space="preserve"> D </v>
      </c>
      <c r="CV323" s="33">
        <f t="shared" si="212"/>
        <v>1469</v>
      </c>
      <c r="CW323" s="33" t="str">
        <f t="shared" si="213"/>
        <v xml:space="preserve"> D </v>
      </c>
      <c r="CX323" s="33">
        <f t="shared" si="214"/>
        <v>1.99</v>
      </c>
      <c r="CY323" s="33" t="str">
        <f t="shared" si="215"/>
        <v xml:space="preserve"> D </v>
      </c>
    </row>
    <row r="324" spans="1:103" x14ac:dyDescent="0.2">
      <c r="B324">
        <v>-400</v>
      </c>
      <c r="D324" t="s">
        <v>36</v>
      </c>
      <c r="E324" s="33" t="s">
        <v>1314</v>
      </c>
      <c r="F324" s="33" t="s">
        <v>1315</v>
      </c>
      <c r="G324"/>
      <c r="H324" s="34" t="s">
        <v>1313</v>
      </c>
      <c r="I324" s="37">
        <f t="shared" si="236"/>
        <v>64.515000000000001</v>
      </c>
      <c r="J324" s="33">
        <f t="shared" si="216"/>
        <v>6710</v>
      </c>
      <c r="K324" s="44">
        <f t="shared" si="255"/>
        <v>1.4849999999999999</v>
      </c>
      <c r="L324" s="33" t="e">
        <f t="shared" si="251"/>
        <v>#DIV/0!</v>
      </c>
      <c r="M324" s="33" t="s">
        <v>1891</v>
      </c>
      <c r="Q324" s="44" t="str">
        <f t="shared" si="238"/>
        <v xml:space="preserve"> </v>
      </c>
      <c r="R324" s="33" t="str">
        <f>IF(OR(ISBLANK(P324), ISBLANK(Q324)),"",CONCATENATE(" ",VLOOKUP(Q324,Literatuur!$A:$B,2,FALSE)," "))</f>
        <v/>
      </c>
      <c r="T324" s="44" t="str">
        <f t="shared" si="239"/>
        <v xml:space="preserve"> </v>
      </c>
      <c r="U324" s="33" t="str">
        <f>IF(OR(ISBLANK(S324), ISBLANK(T324)),"",CONCATENATE(" ",VLOOKUP(T324,Literatuur!$A:$B,2,FALSE)," "))</f>
        <v/>
      </c>
      <c r="W324" s="44" t="str">
        <f t="shared" si="240"/>
        <v xml:space="preserve"> </v>
      </c>
      <c r="X324" s="33" t="str">
        <f>IF(OR(ISBLANK(V324), ISBLANK(W324)),"",CONCATENATE(" ",VLOOKUP(W324,Literatuur!$A:$B,2,FALSE)," "))</f>
        <v/>
      </c>
      <c r="Y324" s="33">
        <v>6710</v>
      </c>
      <c r="Z324" s="44" t="str">
        <f t="shared" si="241"/>
        <v>US EPA suite</v>
      </c>
      <c r="AA324" s="33" t="str">
        <f>IF(OR(ISBLANK(Y324), ISBLANK(Z324)),"",CONCATENATE(" ",VLOOKUP(Z324,Literatuur!$A:$B,2,FALSE)," "))</f>
        <v xml:space="preserve"> F </v>
      </c>
      <c r="AC324" s="36" t="str">
        <f t="shared" si="242"/>
        <v xml:space="preserve"> </v>
      </c>
      <c r="AD324" s="33" t="str">
        <f>IF(OR(ISBLANK(AB324), ISBLANK(AC324)),"",CONCATENATE(" ",VLOOKUP(AC324,Literatuur!$A:$B,2,FALSE)," "))</f>
        <v/>
      </c>
      <c r="AE324" s="186"/>
      <c r="AF324" s="186"/>
      <c r="AG324" s="33" t="str">
        <f>IF(OR(ISBLANK(AE324), ISBLANK(AF324)),"",CONCATENATE(" ",VLOOKUP(AF324,Literatuur!$A:$B,2,FALSE)," "))</f>
        <v/>
      </c>
      <c r="AJ324" s="44" t="str">
        <f t="shared" si="243"/>
        <v xml:space="preserve"> </v>
      </c>
      <c r="AK324" s="33" t="str">
        <f>IF(OR(ISBLANK(AI324), ISBLANK(AJ324)),"",CONCATENATE(" ",VLOOKUP(AJ324,Literatuur!$A:$B,2,FALSE)," "))</f>
        <v/>
      </c>
      <c r="AM324" s="44" t="str">
        <f t="shared" si="244"/>
        <v xml:space="preserve"> </v>
      </c>
      <c r="AN324" s="33" t="str">
        <f>IF(OR(ISBLANK(AL324), ISBLANK(AM324)),"",CONCATENATE(" ",VLOOKUP(AM324,Literatuur!$A:$B,2,FALSE)," "))</f>
        <v/>
      </c>
      <c r="AO324" s="33">
        <v>64.52</v>
      </c>
      <c r="AP324" s="44" t="str">
        <f t="shared" si="245"/>
        <v>US EPA suite</v>
      </c>
      <c r="AQ324" s="33" t="str">
        <f>IF(OR(ISBLANK(AO324), ISBLANK(AP324)),"",CONCATENATE(" ",VLOOKUP(AP324,Literatuur!$A:$B,2,FALSE)," "))</f>
        <v xml:space="preserve"> F </v>
      </c>
      <c r="AT324" s="33" t="str">
        <f>IF(OR(ISBLANK(AR324), ISBLANK(AS324)),"",CONCATENATE(" ",VLOOKUP(AS324,Literatuur!$A:$B,2,FALSE)," "))</f>
        <v/>
      </c>
      <c r="AU324" s="33">
        <v>64.510000000000005</v>
      </c>
      <c r="AV324" s="33" t="s">
        <v>344</v>
      </c>
      <c r="AW324" s="33" t="str">
        <f>IF(OR(ISBLANK(AU324), ISBLANK(AV324)),"",CONCATENATE(" ",VLOOKUP(AV324,Literatuur!$A:$B,2,FALSE)," "))</f>
        <v xml:space="preserve"> G </v>
      </c>
      <c r="AZ324" s="44" t="str">
        <f t="shared" si="246"/>
        <v xml:space="preserve"> </v>
      </c>
      <c r="BA324" s="33" t="str">
        <f>IF(OR(ISBLANK(AY324), ISBLANK(AZ324)),"",CONCATENATE(" ",VLOOKUP(AZ324,Literatuur!$A:$B,2,FALSE)," "))</f>
        <v/>
      </c>
      <c r="BC324" s="44" t="str">
        <f t="shared" si="247"/>
        <v xml:space="preserve"> </v>
      </c>
      <c r="BD324" s="33" t="str">
        <f>IF(OR(ISBLANK(BB324), ISBLANK(BC324)),"",CONCATENATE(" ",VLOOKUP(BC324,Literatuur!$A:$B,2,FALSE)," "))</f>
        <v/>
      </c>
      <c r="BF324" s="44" t="str">
        <f t="shared" si="248"/>
        <v xml:space="preserve"> </v>
      </c>
      <c r="BG324" s="33" t="str">
        <f>IF(OR(ISBLANK(BE324), ISBLANK(BF324)),"",CONCATENATE(" ",VLOOKUP(BF324,Literatuur!$A:$B,2,FALSE)," "))</f>
        <v/>
      </c>
      <c r="BH324" s="33">
        <v>1.43</v>
      </c>
      <c r="BI324" s="44" t="str">
        <f t="shared" si="249"/>
        <v>US EPA suite</v>
      </c>
      <c r="BJ324" s="33" t="str">
        <f>IF(OR(ISBLANK(BH324), ISBLANK(BI324)),"",CONCATENATE(" ",VLOOKUP(BI324,Literatuur!$A:$B,2,FALSE)," "))</f>
        <v xml:space="preserve"> F </v>
      </c>
      <c r="BL324" s="44" t="str">
        <f t="shared" si="250"/>
        <v xml:space="preserve"> </v>
      </c>
      <c r="BM324" s="33" t="str">
        <f>IF(OR(ISBLANK(BK324), ISBLANK(BL324)),"",CONCATENATE(" ",VLOOKUP(BL324,Literatuur!$A:$B,2,FALSE)," "))</f>
        <v/>
      </c>
      <c r="BP324" s="33" t="str">
        <f>IF(OR(ISBLANK(BN324), ISBLANK(BO324)),"",CONCATENATE(" ",VLOOKUP(BO324,Literatuur!$A:$B,2,FALSE)," "))</f>
        <v/>
      </c>
      <c r="BS324" s="33" t="str">
        <f>IF(OR(ISBLANK(BQ324), ISBLANK(BR324)),"",CONCATENATE(" ",VLOOKUP(BR324,Literatuur!$A:$B,2,FALSE)," "))</f>
        <v/>
      </c>
      <c r="BT324" s="33">
        <v>1.54</v>
      </c>
      <c r="BU324" s="33" t="s">
        <v>1906</v>
      </c>
      <c r="BV324" s="33" t="str">
        <f>IF(OR(ISBLANK(BT324), ISBLANK(BU324)),"",CONCATENATE(" ",VLOOKUP(BU324,Literatuur!$A:$B,2,FALSE)," "))</f>
        <v xml:space="preserve"> 33 </v>
      </c>
      <c r="CE324" s="37">
        <f t="shared" si="252"/>
        <v>64.515000000000001</v>
      </c>
      <c r="CG324" s="33">
        <f t="shared" si="253"/>
        <v>3.8267225201689921</v>
      </c>
      <c r="CH324" s="33">
        <f t="shared" si="235"/>
        <v>1.4849999999999999</v>
      </c>
      <c r="CR324" s="33" t="str">
        <f t="shared" si="209"/>
        <v>Chloroethane</v>
      </c>
      <c r="CS324" s="33" t="str">
        <f t="shared" si="210"/>
        <v>ClAlk</v>
      </c>
      <c r="CT324" s="33">
        <f t="shared" si="254"/>
        <v>64.515000000000001</v>
      </c>
      <c r="CU324" s="33" t="str">
        <f t="shared" si="211"/>
        <v xml:space="preserve"> F  G </v>
      </c>
      <c r="CV324" s="33">
        <f t="shared" si="212"/>
        <v>6710</v>
      </c>
      <c r="CW324" s="33" t="str">
        <f t="shared" si="213"/>
        <v xml:space="preserve"> F </v>
      </c>
      <c r="CX324" s="33">
        <f t="shared" si="214"/>
        <v>1.4849999999999999</v>
      </c>
      <c r="CY324" s="33" t="str">
        <f t="shared" si="215"/>
        <v xml:space="preserve"> F  33 </v>
      </c>
    </row>
    <row r="325" spans="1:103" x14ac:dyDescent="0.2">
      <c r="B325" s="33">
        <v>-1534</v>
      </c>
      <c r="D325" s="33" t="s">
        <v>539</v>
      </c>
      <c r="E325" s="33" t="s">
        <v>539</v>
      </c>
      <c r="F325" s="33" t="s">
        <v>932</v>
      </c>
      <c r="I325" s="33">
        <f t="shared" si="236"/>
        <v>119.38</v>
      </c>
      <c r="J325" s="33">
        <f t="shared" si="216"/>
        <v>7950</v>
      </c>
      <c r="K325" s="44">
        <f t="shared" si="255"/>
        <v>1.97</v>
      </c>
      <c r="L325" s="33" t="e">
        <f t="shared" si="251"/>
        <v>#DIV/0!</v>
      </c>
      <c r="M325" s="33" t="s">
        <v>1891</v>
      </c>
      <c r="Q325" s="44" t="str">
        <f t="shared" si="238"/>
        <v xml:space="preserve"> </v>
      </c>
      <c r="R325" s="33" t="str">
        <f>IF(OR(ISBLANK(P325), ISBLANK(Q325)),"",CONCATENATE(" ",VLOOKUP(Q325,Literatuur!$A:$B,2,FALSE)," "))</f>
        <v/>
      </c>
      <c r="T325" s="44" t="str">
        <f t="shared" si="239"/>
        <v xml:space="preserve"> </v>
      </c>
      <c r="U325" s="33" t="str">
        <f>IF(OR(ISBLANK(S325), ISBLANK(T325)),"",CONCATENATE(" ",VLOOKUP(T325,Literatuur!$A:$B,2,FALSE)," "))</f>
        <v/>
      </c>
      <c r="W325" s="44" t="str">
        <f t="shared" si="240"/>
        <v xml:space="preserve"> </v>
      </c>
      <c r="X325" s="33" t="str">
        <f>IF(OR(ISBLANK(V325), ISBLANK(W325)),"",CONCATENATE(" ",VLOOKUP(W325,Literatuur!$A:$B,2,FALSE)," "))</f>
        <v/>
      </c>
      <c r="Y325" s="33">
        <v>7950</v>
      </c>
      <c r="Z325" s="44" t="str">
        <f t="shared" si="241"/>
        <v>US EPA suite</v>
      </c>
      <c r="AA325" s="33" t="str">
        <f>IF(OR(ISBLANK(Y325), ISBLANK(Z325)),"",CONCATENATE(" ",VLOOKUP(Z325,Literatuur!$A:$B,2,FALSE)," "))</f>
        <v xml:space="preserve"> F </v>
      </c>
      <c r="AC325" s="36" t="str">
        <f t="shared" si="242"/>
        <v xml:space="preserve"> </v>
      </c>
      <c r="AD325" s="33" t="str">
        <f>IF(OR(ISBLANK(AB325), ISBLANK(AC325)),"",CONCATENATE(" ",VLOOKUP(AC325,Literatuur!$A:$B,2,FALSE)," "))</f>
        <v/>
      </c>
      <c r="AG325" s="33" t="str">
        <f>IF(OR(ISBLANK(AE325), ISBLANK(AF325)),"",CONCATENATE(" ",VLOOKUP(AF325,Literatuur!$A:$B,2,FALSE)," "))</f>
        <v/>
      </c>
      <c r="AJ325" s="44" t="str">
        <f t="shared" si="243"/>
        <v xml:space="preserve"> </v>
      </c>
      <c r="AK325" s="33" t="str">
        <f>IF(OR(ISBLANK(AI325), ISBLANK(AJ325)),"",CONCATENATE(" ",VLOOKUP(AJ325,Literatuur!$A:$B,2,FALSE)," "))</f>
        <v/>
      </c>
      <c r="AM325" s="44" t="str">
        <f t="shared" si="244"/>
        <v xml:space="preserve"> </v>
      </c>
      <c r="AN325" s="33" t="str">
        <f>IF(OR(ISBLANK(AL325), ISBLANK(AM325)),"",CONCATENATE(" ",VLOOKUP(AM325,Literatuur!$A:$B,2,FALSE)," "))</f>
        <v/>
      </c>
      <c r="AO325" s="33">
        <v>119.38</v>
      </c>
      <c r="AP325" s="44" t="str">
        <f t="shared" si="245"/>
        <v>US EPA suite</v>
      </c>
      <c r="AQ325" s="33" t="str">
        <f>IF(OR(ISBLANK(AO325), ISBLANK(AP325)),"",CONCATENATE(" ",VLOOKUP(AP325,Literatuur!$A:$B,2,FALSE)," "))</f>
        <v xml:space="preserve"> F </v>
      </c>
      <c r="AT325" s="33" t="str">
        <f>IF(OR(ISBLANK(AR325), ISBLANK(AS325)),"",CONCATENATE(" ",VLOOKUP(AS325,Literatuur!$A:$B,2,FALSE)," "))</f>
        <v/>
      </c>
      <c r="AW325" s="33" t="str">
        <f>IF(OR(ISBLANK(AU325), ISBLANK(AV325)),"",CONCATENATE(" ",VLOOKUP(AV325,Literatuur!$A:$B,2,FALSE)," "))</f>
        <v/>
      </c>
      <c r="AZ325" s="44" t="str">
        <f t="shared" si="246"/>
        <v xml:space="preserve"> </v>
      </c>
      <c r="BA325" s="33" t="str">
        <f>IF(OR(ISBLANK(AY325), ISBLANK(AZ325)),"",CONCATENATE(" ",VLOOKUP(AZ325,Literatuur!$A:$B,2,FALSE)," "))</f>
        <v/>
      </c>
      <c r="BC325" s="44" t="str">
        <f t="shared" si="247"/>
        <v xml:space="preserve"> </v>
      </c>
      <c r="BD325" s="33" t="str">
        <f>IF(OR(ISBLANK(BB325), ISBLANK(BC325)),"",CONCATENATE(" ",VLOOKUP(BC325,Literatuur!$A:$B,2,FALSE)," "))</f>
        <v/>
      </c>
      <c r="BF325" s="44" t="str">
        <f t="shared" si="248"/>
        <v xml:space="preserve"> </v>
      </c>
      <c r="BG325" s="33" t="str">
        <f>IF(OR(ISBLANK(BE325), ISBLANK(BF325)),"",CONCATENATE(" ",VLOOKUP(BF325,Literatuur!$A:$B,2,FALSE)," "))</f>
        <v/>
      </c>
      <c r="BH325" s="33">
        <v>1.97</v>
      </c>
      <c r="BI325" s="44" t="str">
        <f t="shared" si="249"/>
        <v>US EPA suite</v>
      </c>
      <c r="BJ325" s="33" t="str">
        <f>IF(OR(ISBLANK(BH325), ISBLANK(BI325)),"",CONCATENATE(" ",VLOOKUP(BI325,Literatuur!$A:$B,2,FALSE)," "))</f>
        <v xml:space="preserve"> F </v>
      </c>
      <c r="BL325" s="44" t="str">
        <f t="shared" si="250"/>
        <v xml:space="preserve"> </v>
      </c>
      <c r="BM325" s="33" t="str">
        <f>IF(OR(ISBLANK(BK325), ISBLANK(BL325)),"",CONCATENATE(" ",VLOOKUP(BL325,Literatuur!$A:$B,2,FALSE)," "))</f>
        <v/>
      </c>
      <c r="BP325" s="33" t="str">
        <f>IF(OR(ISBLANK(BN325), ISBLANK(BO325)),"",CONCATENATE(" ",VLOOKUP(BO325,Literatuur!$A:$B,2,FALSE)," "))</f>
        <v/>
      </c>
      <c r="BS325" s="33" t="str">
        <f>IF(OR(ISBLANK(BQ325), ISBLANK(BR325)),"",CONCATENATE(" ",VLOOKUP(BR325,Literatuur!$A:$B,2,FALSE)," "))</f>
        <v/>
      </c>
      <c r="BV325" s="33" t="str">
        <f>IF(OR(ISBLANK(BT325), ISBLANK(BU325)),"",CONCATENATE(" ",VLOOKUP(BU325,Literatuur!$A:$B,2,FALSE)," "))</f>
        <v/>
      </c>
      <c r="CE325" s="37">
        <f t="shared" si="252"/>
        <v>119.38</v>
      </c>
      <c r="CG325" s="33">
        <f t="shared" si="253"/>
        <v>3.9003671286564705</v>
      </c>
      <c r="CH325" s="33">
        <f t="shared" si="235"/>
        <v>1.97</v>
      </c>
      <c r="CR325" s="33" t="str">
        <f t="shared" si="209"/>
        <v>Chloroform</v>
      </c>
      <c r="CS325" s="33" t="str">
        <f t="shared" si="210"/>
        <v>ClAlk</v>
      </c>
      <c r="CT325" s="33">
        <f t="shared" si="254"/>
        <v>119.38</v>
      </c>
      <c r="CU325" s="33" t="str">
        <f t="shared" si="211"/>
        <v xml:space="preserve"> F </v>
      </c>
      <c r="CV325" s="33">
        <f t="shared" si="212"/>
        <v>7950</v>
      </c>
      <c r="CW325" s="33" t="str">
        <f t="shared" si="213"/>
        <v xml:space="preserve"> F </v>
      </c>
      <c r="CX325" s="33">
        <f t="shared" si="214"/>
        <v>1.97</v>
      </c>
      <c r="CY325" s="33" t="str">
        <f t="shared" si="215"/>
        <v xml:space="preserve"> F </v>
      </c>
    </row>
    <row r="326" spans="1:103" x14ac:dyDescent="0.2">
      <c r="A326" s="31"/>
      <c r="B326" s="33">
        <v>-402</v>
      </c>
      <c r="D326" s="33" t="s">
        <v>1184</v>
      </c>
      <c r="E326" s="33" t="s">
        <v>537</v>
      </c>
      <c r="F326" s="33" t="s">
        <v>703</v>
      </c>
      <c r="H326" s="34" t="s">
        <v>312</v>
      </c>
      <c r="I326" s="37">
        <f t="shared" si="236"/>
        <v>84.93</v>
      </c>
      <c r="J326" s="33">
        <f t="shared" si="216"/>
        <v>20000</v>
      </c>
      <c r="K326" s="44">
        <f t="shared" si="255"/>
        <v>1.25</v>
      </c>
      <c r="L326" s="33">
        <f t="shared" si="251"/>
        <v>64.5</v>
      </c>
      <c r="M326" s="33" t="s">
        <v>1891</v>
      </c>
      <c r="Q326" s="44" t="str">
        <f t="shared" si="238"/>
        <v xml:space="preserve"> </v>
      </c>
      <c r="R326" s="33" t="str">
        <f>IF(OR(ISBLANK(P326), ISBLANK(Q326)),"",CONCATENATE(" ",VLOOKUP(Q326,Literatuur!$A:$B,2,FALSE)," "))</f>
        <v/>
      </c>
      <c r="S326" s="37">
        <v>20000</v>
      </c>
      <c r="T326" s="44" t="str">
        <f t="shared" si="239"/>
        <v>Gestis</v>
      </c>
      <c r="U326" s="33" t="str">
        <f>IF(OR(ISBLANK(S326), ISBLANK(T326)),"",CONCATENATE(" ",VLOOKUP(T326,Literatuur!$A:$B,2,FALSE)," "))</f>
        <v xml:space="preserve"> A </v>
      </c>
      <c r="W326" s="44" t="str">
        <f t="shared" si="240"/>
        <v xml:space="preserve"> </v>
      </c>
      <c r="X326" s="33" t="str">
        <f>IF(OR(ISBLANK(V326), ISBLANK(W326)),"",CONCATENATE(" ",VLOOKUP(W326,Literatuur!$A:$B,2,FALSE)," "))</f>
        <v/>
      </c>
      <c r="Y326" s="36"/>
      <c r="Z326" s="44" t="str">
        <f t="shared" si="241"/>
        <v xml:space="preserve"> </v>
      </c>
      <c r="AA326" s="33" t="str">
        <f>IF(OR(ISBLANK(Y326), ISBLANK(Z326)),"",CONCATENATE(" ",VLOOKUP(Z326,Literatuur!$A:$B,2,FALSE)," "))</f>
        <v/>
      </c>
      <c r="AB326" s="36">
        <v>20000</v>
      </c>
      <c r="AC326" s="36" t="str">
        <f t="shared" si="242"/>
        <v>Vonk 1985</v>
      </c>
      <c r="AD326" s="33" t="str">
        <f>IF(OR(ISBLANK(AB326), ISBLANK(AC326)),"",CONCATENATE(" ",VLOOKUP(AC326,Literatuur!$A:$B,2,FALSE)," "))</f>
        <v xml:space="preserve"> 37 </v>
      </c>
      <c r="AE326" s="36"/>
      <c r="AF326" s="36"/>
      <c r="AG326" s="33" t="str">
        <f>IF(OR(ISBLANK(AE326), ISBLANK(AF326)),"",CONCATENATE(" ",VLOOKUP(AF326,Literatuur!$A:$B,2,FALSE)," "))</f>
        <v/>
      </c>
      <c r="AI326" s="37"/>
      <c r="AJ326" s="44" t="str">
        <f t="shared" si="243"/>
        <v xml:space="preserve"> </v>
      </c>
      <c r="AK326" s="33" t="str">
        <f>IF(OR(ISBLANK(AI326), ISBLANK(AJ326)),"",CONCATENATE(" ",VLOOKUP(AJ326,Literatuur!$A:$B,2,FALSE)," "))</f>
        <v/>
      </c>
      <c r="AL326" s="36">
        <v>84.93</v>
      </c>
      <c r="AM326" s="44" t="str">
        <f t="shared" si="244"/>
        <v>Gestis</v>
      </c>
      <c r="AN326" s="33" t="str">
        <f>IF(OR(ISBLANK(AL326), ISBLANK(AM326)),"",CONCATENATE(" ",VLOOKUP(AM326,Literatuur!$A:$B,2,FALSE)," "))</f>
        <v xml:space="preserve"> A </v>
      </c>
      <c r="AO326" s="36"/>
      <c r="AP326" s="44" t="str">
        <f t="shared" si="245"/>
        <v xml:space="preserve"> </v>
      </c>
      <c r="AQ326" s="33" t="str">
        <f>IF(OR(ISBLANK(AO326), ISBLANK(AP326)),"",CONCATENATE(" ",VLOOKUP(AP326,Literatuur!$A:$B,2,FALSE)," "))</f>
        <v/>
      </c>
      <c r="AR326" s="36"/>
      <c r="AT326" s="33" t="str">
        <f>IF(OR(ISBLANK(AR326), ISBLANK(AS326)),"",CONCATENATE(" ",VLOOKUP(AS326,Literatuur!$A:$B,2,FALSE)," "))</f>
        <v/>
      </c>
      <c r="AV326" s="36"/>
      <c r="AW326" s="33" t="str">
        <f>IF(OR(ISBLANK(AU326), ISBLANK(AV326)),"",CONCATENATE(" ",VLOOKUP(AV326,Literatuur!$A:$B,2,FALSE)," "))</f>
        <v/>
      </c>
      <c r="AZ326" s="44" t="str">
        <f t="shared" si="246"/>
        <v xml:space="preserve"> </v>
      </c>
      <c r="BA326" s="33" t="str">
        <f>IF(OR(ISBLANK(AY326), ISBLANK(AZ326)),"",CONCATENATE(" ",VLOOKUP(AZ326,Literatuur!$A:$B,2,FALSE)," "))</f>
        <v/>
      </c>
      <c r="BB326" s="33">
        <v>1.25</v>
      </c>
      <c r="BC326" s="44" t="str">
        <f t="shared" si="247"/>
        <v>Gestis</v>
      </c>
      <c r="BD326" s="33" t="str">
        <f>IF(OR(ISBLANK(BB326), ISBLANK(BC326)),"",CONCATENATE(" ",VLOOKUP(BC326,Literatuur!$A:$B,2,FALSE)," "))</f>
        <v xml:space="preserve"> A </v>
      </c>
      <c r="BF326" s="44" t="str">
        <f t="shared" si="248"/>
        <v xml:space="preserve"> </v>
      </c>
      <c r="BG326" s="33" t="str">
        <f>IF(OR(ISBLANK(BE326), ISBLANK(BF326)),"",CONCATENATE(" ",VLOOKUP(BF326,Literatuur!$A:$B,2,FALSE)," "))</f>
        <v/>
      </c>
      <c r="BI326" s="44" t="str">
        <f t="shared" si="249"/>
        <v xml:space="preserve"> </v>
      </c>
      <c r="BJ326" s="33" t="str">
        <f>IF(OR(ISBLANK(BH326), ISBLANK(BI326)),"",CONCATENATE(" ",VLOOKUP(BI326,Literatuur!$A:$B,2,FALSE)," "))</f>
        <v/>
      </c>
      <c r="BL326" s="44" t="str">
        <f t="shared" si="250"/>
        <v xml:space="preserve"> </v>
      </c>
      <c r="BM326" s="33" t="str">
        <f>IF(OR(ISBLANK(BK326), ISBLANK(BL326)),"",CONCATENATE(" ",VLOOKUP(BL326,Literatuur!$A:$B,2,FALSE)," "))</f>
        <v/>
      </c>
      <c r="BP326" s="33" t="str">
        <f>IF(OR(ISBLANK(BN326), ISBLANK(BO326)),"",CONCATENATE(" ",VLOOKUP(BO326,Literatuur!$A:$B,2,FALSE)," "))</f>
        <v/>
      </c>
      <c r="BS326" s="33" t="str">
        <f>IF(OR(ISBLANK(BQ326), ISBLANK(BR326)),"",CONCATENATE(" ",VLOOKUP(BR326,Literatuur!$A:$B,2,FALSE)," "))</f>
        <v/>
      </c>
      <c r="BV326" s="33" t="str">
        <f>IF(OR(ISBLANK(BT326), ISBLANK(BU326)),"",CONCATENATE(" ",VLOOKUP(BU326,Literatuur!$A:$B,2,FALSE)," "))</f>
        <v/>
      </c>
      <c r="BY326" s="33">
        <v>64.5</v>
      </c>
      <c r="CB326" s="33" t="s">
        <v>1070</v>
      </c>
      <c r="CD326" s="33">
        <f>L326</f>
        <v>64.5</v>
      </c>
      <c r="CE326" s="37">
        <f t="shared" si="252"/>
        <v>84.93</v>
      </c>
      <c r="CG326" s="33">
        <f t="shared" si="253"/>
        <v>4.3010299956639813</v>
      </c>
      <c r="CH326" s="33">
        <f t="shared" si="235"/>
        <v>1.25</v>
      </c>
      <c r="CR326" s="33" t="str">
        <f t="shared" si="209"/>
        <v>Dichloromethane</v>
      </c>
      <c r="CS326" s="33" t="str">
        <f t="shared" si="210"/>
        <v>ClAlk</v>
      </c>
      <c r="CT326" s="33">
        <f t="shared" si="254"/>
        <v>84.93</v>
      </c>
      <c r="CU326" s="33" t="str">
        <f t="shared" si="211"/>
        <v xml:space="preserve"> A </v>
      </c>
      <c r="CV326" s="33">
        <f t="shared" si="212"/>
        <v>20000</v>
      </c>
      <c r="CW326" s="33" t="str">
        <f t="shared" si="213"/>
        <v xml:space="preserve"> A  37 </v>
      </c>
      <c r="CX326" s="33">
        <f t="shared" si="214"/>
        <v>1.25</v>
      </c>
      <c r="CY326" s="33" t="str">
        <f t="shared" si="215"/>
        <v xml:space="preserve"> A </v>
      </c>
    </row>
    <row r="327" spans="1:103" x14ac:dyDescent="0.2">
      <c r="B327" s="33">
        <v>403</v>
      </c>
      <c r="D327" s="33" t="s">
        <v>8</v>
      </c>
      <c r="E327" s="33" t="s">
        <v>695</v>
      </c>
      <c r="H327" s="34" t="s">
        <v>30</v>
      </c>
      <c r="I327" s="37">
        <f t="shared" si="236"/>
        <v>165.80749949115744</v>
      </c>
      <c r="J327" s="33">
        <f t="shared" si="216"/>
        <v>118.88250367033854</v>
      </c>
      <c r="K327" s="44">
        <f t="shared" si="255"/>
        <v>3.4</v>
      </c>
      <c r="L327" s="33" t="e">
        <f t="shared" si="251"/>
        <v>#DIV/0!</v>
      </c>
      <c r="M327" s="33" t="s">
        <v>1891</v>
      </c>
      <c r="P327" s="33">
        <v>118.88250367033854</v>
      </c>
      <c r="Q327" s="44" t="str">
        <f t="shared" si="238"/>
        <v>Sanscrit</v>
      </c>
      <c r="R327" s="33" t="str">
        <f>IF(OR(ISBLANK(P327), ISBLANK(Q327)),"",CONCATENATE(" ",VLOOKUP(Q327,Literatuur!$A:$B,2,FALSE)," "))</f>
        <v xml:space="preserve"> D </v>
      </c>
      <c r="S327" s="33">
        <v>160</v>
      </c>
      <c r="T327" s="44" t="str">
        <f t="shared" si="239"/>
        <v>Gestis</v>
      </c>
      <c r="U327" s="33" t="str">
        <f>IF(OR(ISBLANK(S327), ISBLANK(T327)),"",CONCATENATE(" ",VLOOKUP(T327,Literatuur!$A:$B,2,FALSE)," "))</f>
        <v xml:space="preserve"> A </v>
      </c>
      <c r="V327" s="33">
        <v>200</v>
      </c>
      <c r="W327" s="44" t="str">
        <f t="shared" si="240"/>
        <v>US EPA 1995</v>
      </c>
      <c r="X327" s="33" t="str">
        <f>IF(OR(ISBLANK(V327), ISBLANK(W327)),"",CONCATENATE(" ",VLOOKUP(W327,Literatuur!$A:$B,2,FALSE)," "))</f>
        <v xml:space="preserve"> 30 </v>
      </c>
      <c r="Y327" s="36"/>
      <c r="Z327" s="44" t="str">
        <f t="shared" si="241"/>
        <v xml:space="preserve"> </v>
      </c>
      <c r="AA327" s="33" t="str">
        <f>IF(OR(ISBLANK(Y327), ISBLANK(Z327)),"",CONCATENATE(" ",VLOOKUP(Z327,Literatuur!$A:$B,2,FALSE)," "))</f>
        <v/>
      </c>
      <c r="AB327" s="36">
        <v>150</v>
      </c>
      <c r="AC327" s="36" t="str">
        <f t="shared" si="242"/>
        <v>Vonk 1985</v>
      </c>
      <c r="AD327" s="33" t="str">
        <f>IF(OR(ISBLANK(AB327), ISBLANK(AC327)),"",CONCATENATE(" ",VLOOKUP(AC327,Literatuur!$A:$B,2,FALSE)," "))</f>
        <v xml:space="preserve"> 37 </v>
      </c>
      <c r="AE327" s="36"/>
      <c r="AF327" s="36"/>
      <c r="AG327" s="33" t="str">
        <f>IF(OR(ISBLANK(AE327), ISBLANK(AF327)),"",CONCATENATE(" ",VLOOKUP(AF327,Literatuur!$A:$B,2,FALSE)," "))</f>
        <v/>
      </c>
      <c r="AI327" s="37">
        <v>165.80749949115744</v>
      </c>
      <c r="AJ327" s="44" t="str">
        <f t="shared" si="243"/>
        <v>Sanscrit</v>
      </c>
      <c r="AK327" s="33" t="str">
        <f>IF(OR(ISBLANK(AI327), ISBLANK(AJ327)),"",CONCATENATE(" ",VLOOKUP(AJ327,Literatuur!$A:$B,2,FALSE)," "))</f>
        <v xml:space="preserve"> D </v>
      </c>
      <c r="AL327" s="36">
        <v>165.83</v>
      </c>
      <c r="AM327" s="44" t="str">
        <f t="shared" si="244"/>
        <v>Gestis</v>
      </c>
      <c r="AN327" s="33" t="str">
        <f>IF(OR(ISBLANK(AL327), ISBLANK(AM327)),"",CONCATENATE(" ",VLOOKUP(AM327,Literatuur!$A:$B,2,FALSE)," "))</f>
        <v xml:space="preserve"> A </v>
      </c>
      <c r="AO327" s="36"/>
      <c r="AP327" s="44" t="str">
        <f t="shared" si="245"/>
        <v xml:space="preserve"> </v>
      </c>
      <c r="AQ327" s="33" t="str">
        <f>IF(OR(ISBLANK(AO327), ISBLANK(AP327)),"",CONCATENATE(" ",VLOOKUP(AP327,Literatuur!$A:$B,2,FALSE)," "))</f>
        <v/>
      </c>
      <c r="AR327" s="36"/>
      <c r="AT327" s="33" t="str">
        <f>IF(OR(ISBLANK(AR327), ISBLANK(AS327)),"",CONCATENATE(" ",VLOOKUP(AS327,Literatuur!$A:$B,2,FALSE)," "))</f>
        <v/>
      </c>
      <c r="AV327" s="36"/>
      <c r="AW327" s="33" t="str">
        <f>IF(OR(ISBLANK(AU327), ISBLANK(AV327)),"",CONCATENATE(" ",VLOOKUP(AV327,Literatuur!$A:$B,2,FALSE)," "))</f>
        <v/>
      </c>
      <c r="AY327" s="44">
        <v>3.4</v>
      </c>
      <c r="AZ327" s="44" t="str">
        <f t="shared" si="246"/>
        <v>Sanscrit</v>
      </c>
      <c r="BA327" s="33" t="str">
        <f>IF(OR(ISBLANK(AY327), ISBLANK(AZ327)),"",CONCATENATE(" ",VLOOKUP(AZ327,Literatuur!$A:$B,2,FALSE)," "))</f>
        <v xml:space="preserve"> D </v>
      </c>
      <c r="BB327" s="44">
        <v>3.4</v>
      </c>
      <c r="BC327" s="44" t="str">
        <f t="shared" si="247"/>
        <v>Gestis</v>
      </c>
      <c r="BD327" s="33" t="str">
        <f>IF(OR(ISBLANK(BB327), ISBLANK(BC327)),"",CONCATENATE(" ",VLOOKUP(BC327,Literatuur!$A:$B,2,FALSE)," "))</f>
        <v xml:space="preserve"> A </v>
      </c>
      <c r="BF327" s="44" t="str">
        <f t="shared" si="248"/>
        <v xml:space="preserve"> </v>
      </c>
      <c r="BG327" s="33" t="str">
        <f>IF(OR(ISBLANK(BE327), ISBLANK(BF327)),"",CONCATENATE(" ",VLOOKUP(BF327,Literatuur!$A:$B,2,FALSE)," "))</f>
        <v/>
      </c>
      <c r="BI327" s="44" t="str">
        <f t="shared" si="249"/>
        <v xml:space="preserve"> </v>
      </c>
      <c r="BJ327" s="33" t="str">
        <f>IF(OR(ISBLANK(BH327), ISBLANK(BI327)),"",CONCATENATE(" ",VLOOKUP(BI327,Literatuur!$A:$B,2,FALSE)," "))</f>
        <v/>
      </c>
      <c r="BL327" s="44" t="str">
        <f t="shared" si="250"/>
        <v xml:space="preserve"> </v>
      </c>
      <c r="BM327" s="33" t="str">
        <f>IF(OR(ISBLANK(BK327), ISBLANK(BL327)),"",CONCATENATE(" ",VLOOKUP(BL327,Literatuur!$A:$B,2,FALSE)," "))</f>
        <v/>
      </c>
      <c r="BN327" s="33">
        <v>2.67</v>
      </c>
      <c r="BO327" s="46" t="s">
        <v>1911</v>
      </c>
      <c r="BP327" s="33" t="str">
        <f>IF(OR(ISBLANK(BN327), ISBLANK(BO327)),"",CONCATENATE(" ",VLOOKUP(BO327,Literatuur!$A:$B,2,FALSE)," "))</f>
        <v xml:space="preserve"> 31 </v>
      </c>
      <c r="BQ327" s="33">
        <v>2.9653999999999998</v>
      </c>
      <c r="BR327" s="46" t="s">
        <v>1902</v>
      </c>
      <c r="BS327" s="33" t="str">
        <f>IF(OR(ISBLANK(BQ327), ISBLANK(BR327)),"",CONCATENATE(" ",VLOOKUP(BR327,Literatuur!$A:$B,2,FALSE)," "))</f>
        <v xml:space="preserve"> B </v>
      </c>
      <c r="BT327" s="46">
        <v>3.18</v>
      </c>
      <c r="BU327" s="46" t="s">
        <v>1905</v>
      </c>
      <c r="BV327" s="33" t="str">
        <f>IF(OR(ISBLANK(BT327), ISBLANK(BU327)),"",CONCATENATE(" ",VLOOKUP(BU327,Literatuur!$A:$B,2,FALSE)," "))</f>
        <v xml:space="preserve"> 35 </v>
      </c>
      <c r="CE327" s="37">
        <f t="shared" si="252"/>
        <v>165.80749949115744</v>
      </c>
      <c r="CG327" s="33">
        <f t="shared" si="253"/>
        <v>2.0751179427721769</v>
      </c>
      <c r="CH327" s="33">
        <f t="shared" si="235"/>
        <v>3.4</v>
      </c>
      <c r="CI327" s="33">
        <v>12</v>
      </c>
      <c r="CR327" s="33" t="str">
        <f t="shared" si="209"/>
        <v>Tetrachloroethylene</v>
      </c>
      <c r="CS327" s="33" t="str">
        <f t="shared" si="210"/>
        <v>ClAlk</v>
      </c>
      <c r="CT327" s="33">
        <f t="shared" si="254"/>
        <v>165.80749949115744</v>
      </c>
      <c r="CU327" s="33" t="str">
        <f t="shared" si="211"/>
        <v xml:space="preserve"> D </v>
      </c>
      <c r="CV327" s="33">
        <f t="shared" si="212"/>
        <v>118.88250367033854</v>
      </c>
      <c r="CW327" s="33" t="str">
        <f t="shared" si="213"/>
        <v xml:space="preserve"> D </v>
      </c>
      <c r="CX327" s="33">
        <f t="shared" si="214"/>
        <v>3.4</v>
      </c>
      <c r="CY327" s="33" t="str">
        <f t="shared" si="215"/>
        <v xml:space="preserve"> D </v>
      </c>
    </row>
    <row r="328" spans="1:103" x14ac:dyDescent="0.2">
      <c r="B328" s="33">
        <v>-403</v>
      </c>
      <c r="D328" s="33" t="s">
        <v>313</v>
      </c>
      <c r="E328" s="33" t="s">
        <v>1296</v>
      </c>
      <c r="F328" s="33" t="s">
        <v>1297</v>
      </c>
      <c r="H328" s="34" t="s">
        <v>314</v>
      </c>
      <c r="I328" s="37">
        <f t="shared" si="236"/>
        <v>153.82</v>
      </c>
      <c r="J328" s="33">
        <f t="shared" si="216"/>
        <v>800</v>
      </c>
      <c r="K328" s="44">
        <f t="shared" si="255"/>
        <v>2.83</v>
      </c>
      <c r="L328" s="33" t="e">
        <f t="shared" si="251"/>
        <v>#DIV/0!</v>
      </c>
      <c r="M328" s="33" t="s">
        <v>1891</v>
      </c>
      <c r="Q328" s="44" t="str">
        <f t="shared" si="238"/>
        <v xml:space="preserve"> </v>
      </c>
      <c r="R328" s="33" t="str">
        <f>IF(OR(ISBLANK(P328), ISBLANK(Q328)),"",CONCATENATE(" ",VLOOKUP(Q328,Literatuur!$A:$B,2,FALSE)," "))</f>
        <v/>
      </c>
      <c r="S328" s="33">
        <v>800</v>
      </c>
      <c r="T328" s="44" t="str">
        <f t="shared" si="239"/>
        <v>Gestis</v>
      </c>
      <c r="U328" s="33" t="str">
        <f>IF(OR(ISBLANK(S328), ISBLANK(T328)),"",CONCATENATE(" ",VLOOKUP(T328,Literatuur!$A:$B,2,FALSE)," "))</f>
        <v xml:space="preserve"> A </v>
      </c>
      <c r="W328" s="44" t="str">
        <f t="shared" si="240"/>
        <v xml:space="preserve"> </v>
      </c>
      <c r="X328" s="33" t="str">
        <f>IF(OR(ISBLANK(V328), ISBLANK(W328)),"",CONCATENATE(" ",VLOOKUP(W328,Literatuur!$A:$B,2,FALSE)," "))</f>
        <v/>
      </c>
      <c r="Y328" s="36"/>
      <c r="Z328" s="44" t="str">
        <f t="shared" si="241"/>
        <v xml:space="preserve"> </v>
      </c>
      <c r="AA328" s="33" t="str">
        <f>IF(OR(ISBLANK(Y328), ISBLANK(Z328)),"",CONCATENATE(" ",VLOOKUP(Z328,Literatuur!$A:$B,2,FALSE)," "))</f>
        <v/>
      </c>
      <c r="AB328" s="36">
        <v>800</v>
      </c>
      <c r="AC328" s="36" t="str">
        <f t="shared" si="242"/>
        <v>Vonk 1985</v>
      </c>
      <c r="AD328" s="33" t="str">
        <f>IF(OR(ISBLANK(AB328), ISBLANK(AC328)),"",CONCATENATE(" ",VLOOKUP(AC328,Literatuur!$A:$B,2,FALSE)," "))</f>
        <v xml:space="preserve"> 37 </v>
      </c>
      <c r="AE328" s="36"/>
      <c r="AF328" s="36"/>
      <c r="AG328" s="33" t="str">
        <f>IF(OR(ISBLANK(AE328), ISBLANK(AF328)),"",CONCATENATE(" ",VLOOKUP(AF328,Literatuur!$A:$B,2,FALSE)," "))</f>
        <v/>
      </c>
      <c r="AI328" s="37"/>
      <c r="AJ328" s="44" t="str">
        <f t="shared" si="243"/>
        <v xml:space="preserve"> </v>
      </c>
      <c r="AK328" s="33" t="str">
        <f>IF(OR(ISBLANK(AI328), ISBLANK(AJ328)),"",CONCATENATE(" ",VLOOKUP(AJ328,Literatuur!$A:$B,2,FALSE)," "))</f>
        <v/>
      </c>
      <c r="AL328" s="36">
        <v>153.82</v>
      </c>
      <c r="AM328" s="44" t="str">
        <f t="shared" si="244"/>
        <v>Gestis</v>
      </c>
      <c r="AN328" s="33" t="str">
        <f>IF(OR(ISBLANK(AL328), ISBLANK(AM328)),"",CONCATENATE(" ",VLOOKUP(AM328,Literatuur!$A:$B,2,FALSE)," "))</f>
        <v xml:space="preserve"> A </v>
      </c>
      <c r="AO328" s="36"/>
      <c r="AP328" s="44" t="str">
        <f t="shared" si="245"/>
        <v xml:space="preserve"> </v>
      </c>
      <c r="AQ328" s="33" t="str">
        <f>IF(OR(ISBLANK(AO328), ISBLANK(AP328)),"",CONCATENATE(" ",VLOOKUP(AP328,Literatuur!$A:$B,2,FALSE)," "))</f>
        <v/>
      </c>
      <c r="AR328" s="36"/>
      <c r="AT328" s="33" t="str">
        <f>IF(OR(ISBLANK(AR328), ISBLANK(AS328)),"",CONCATENATE(" ",VLOOKUP(AS328,Literatuur!$A:$B,2,FALSE)," "))</f>
        <v/>
      </c>
      <c r="AV328" s="36"/>
      <c r="AW328" s="33" t="str">
        <f>IF(OR(ISBLANK(AU328), ISBLANK(AV328)),"",CONCATENATE(" ",VLOOKUP(AV328,Literatuur!$A:$B,2,FALSE)," "))</f>
        <v/>
      </c>
      <c r="AY328" s="44"/>
      <c r="AZ328" s="44" t="str">
        <f t="shared" si="246"/>
        <v xml:space="preserve"> </v>
      </c>
      <c r="BA328" s="33" t="str">
        <f>IF(OR(ISBLANK(AY328), ISBLANK(AZ328)),"",CONCATENATE(" ",VLOOKUP(AZ328,Literatuur!$A:$B,2,FALSE)," "))</f>
        <v/>
      </c>
      <c r="BB328" s="44">
        <v>2.83</v>
      </c>
      <c r="BC328" s="44" t="str">
        <f t="shared" si="247"/>
        <v>Gestis</v>
      </c>
      <c r="BD328" s="33" t="str">
        <f>IF(OR(ISBLANK(BB328), ISBLANK(BC328)),"",CONCATENATE(" ",VLOOKUP(BC328,Literatuur!$A:$B,2,FALSE)," "))</f>
        <v xml:space="preserve"> A </v>
      </c>
      <c r="BF328" s="44" t="str">
        <f t="shared" si="248"/>
        <v xml:space="preserve"> </v>
      </c>
      <c r="BG328" s="33" t="str">
        <f>IF(OR(ISBLANK(BE328), ISBLANK(BF328)),"",CONCATENATE(" ",VLOOKUP(BF328,Literatuur!$A:$B,2,FALSE)," "))</f>
        <v/>
      </c>
      <c r="BI328" s="44" t="str">
        <f t="shared" si="249"/>
        <v xml:space="preserve"> </v>
      </c>
      <c r="BJ328" s="33" t="str">
        <f>IF(OR(ISBLANK(BH328), ISBLANK(BI328)),"",CONCATENATE(" ",VLOOKUP(BI328,Literatuur!$A:$B,2,FALSE)," "))</f>
        <v/>
      </c>
      <c r="BK328" s="33">
        <v>2.83</v>
      </c>
      <c r="BL328" s="44" t="str">
        <f t="shared" si="250"/>
        <v>Sangster 1989</v>
      </c>
      <c r="BM328" s="33" t="str">
        <f>IF(OR(ISBLANK(BK328), ISBLANK(BL328)),"",CONCATENATE(" ",VLOOKUP(BL328,Literatuur!$A:$B,2,FALSE)," "))</f>
        <v xml:space="preserve"> 27 </v>
      </c>
      <c r="BP328" s="33" t="str">
        <f>IF(OR(ISBLANK(BN328), ISBLANK(BO328)),"",CONCATENATE(" ",VLOOKUP(BO328,Literatuur!$A:$B,2,FALSE)," "))</f>
        <v/>
      </c>
      <c r="BS328" s="33" t="str">
        <f>IF(OR(ISBLANK(BQ328), ISBLANK(BR328)),"",CONCATENATE(" ",VLOOKUP(BR328,Literatuur!$A:$B,2,FALSE)," "))</f>
        <v/>
      </c>
      <c r="BV328" s="33" t="str">
        <f>IF(OR(ISBLANK(BT328), ISBLANK(BU328)),"",CONCATENATE(" ",VLOOKUP(BU328,Literatuur!$A:$B,2,FALSE)," "))</f>
        <v/>
      </c>
      <c r="CE328" s="37">
        <f t="shared" si="252"/>
        <v>153.82</v>
      </c>
      <c r="CG328" s="33">
        <f t="shared" si="253"/>
        <v>2.9030899869919438</v>
      </c>
      <c r="CH328" s="33">
        <f t="shared" si="235"/>
        <v>2.83</v>
      </c>
      <c r="CR328" s="33" t="str">
        <f t="shared" si="209"/>
        <v>Tetrachloromethane</v>
      </c>
      <c r="CS328" s="33" t="str">
        <f t="shared" si="210"/>
        <v>ClAlk</v>
      </c>
      <c r="CT328" s="33">
        <f t="shared" si="254"/>
        <v>153.82</v>
      </c>
      <c r="CU328" s="33" t="str">
        <f t="shared" si="211"/>
        <v xml:space="preserve"> A </v>
      </c>
      <c r="CV328" s="33">
        <f t="shared" si="212"/>
        <v>800</v>
      </c>
      <c r="CW328" s="33" t="str">
        <f t="shared" si="213"/>
        <v xml:space="preserve"> A  37 </v>
      </c>
      <c r="CX328" s="33">
        <f t="shared" si="214"/>
        <v>2.83</v>
      </c>
      <c r="CY328" s="33" t="str">
        <f t="shared" si="215"/>
        <v xml:space="preserve"> A  27 </v>
      </c>
    </row>
    <row r="329" spans="1:103" x14ac:dyDescent="0.2">
      <c r="B329" s="33">
        <v>405</v>
      </c>
      <c r="D329" s="33" t="s">
        <v>28</v>
      </c>
      <c r="E329" s="33" t="s">
        <v>540</v>
      </c>
      <c r="F329" s="33" t="s">
        <v>708</v>
      </c>
      <c r="H329" s="34" t="s">
        <v>29</v>
      </c>
      <c r="I329" s="37">
        <f t="shared" si="236"/>
        <v>131.4</v>
      </c>
      <c r="J329" s="33">
        <f t="shared" si="216"/>
        <v>1164.8441611748488</v>
      </c>
      <c r="K329" s="44">
        <f t="shared" si="255"/>
        <v>2.61</v>
      </c>
      <c r="L329" s="33" t="e">
        <f t="shared" si="251"/>
        <v>#DIV/0!</v>
      </c>
      <c r="M329" s="33" t="s">
        <v>1891</v>
      </c>
      <c r="P329" s="33">
        <v>1164.8441611748488</v>
      </c>
      <c r="Q329" s="44" t="str">
        <f t="shared" si="238"/>
        <v>Sanscrit</v>
      </c>
      <c r="R329" s="33" t="str">
        <f>IF(OR(ISBLANK(P329), ISBLANK(Q329)),"",CONCATENATE(" ",VLOOKUP(Q329,Literatuur!$A:$B,2,FALSE)," "))</f>
        <v xml:space="preserve"> D </v>
      </c>
      <c r="S329" s="33">
        <v>1000</v>
      </c>
      <c r="T329" s="44" t="str">
        <f t="shared" si="239"/>
        <v>Gestis</v>
      </c>
      <c r="U329" s="33" t="str">
        <f>IF(OR(ISBLANK(S329), ISBLANK(T329)),"",CONCATENATE(" ",VLOOKUP(T329,Literatuur!$A:$B,2,FALSE)," "))</f>
        <v xml:space="preserve"> A </v>
      </c>
      <c r="V329" s="33">
        <v>1100</v>
      </c>
      <c r="W329" s="44" t="str">
        <f t="shared" si="240"/>
        <v>US EPA 1995</v>
      </c>
      <c r="X329" s="33" t="str">
        <f>IF(OR(ISBLANK(V329), ISBLANK(W329)),"",CONCATENATE(" ",VLOOKUP(W329,Literatuur!$A:$B,2,FALSE)," "))</f>
        <v xml:space="preserve"> 30 </v>
      </c>
      <c r="Y329" s="36"/>
      <c r="Z329" s="44" t="str">
        <f t="shared" si="241"/>
        <v xml:space="preserve"> </v>
      </c>
      <c r="AA329" s="33" t="str">
        <f>IF(OR(ISBLANK(Y329), ISBLANK(Z329)),"",CONCATENATE(" ",VLOOKUP(Z329,Literatuur!$A:$B,2,FALSE)," "))</f>
        <v/>
      </c>
      <c r="AB329" s="36">
        <v>1100</v>
      </c>
      <c r="AC329" s="36" t="str">
        <f t="shared" si="242"/>
        <v>Vonk 1985</v>
      </c>
      <c r="AD329" s="33" t="str">
        <f>IF(OR(ISBLANK(AB329), ISBLANK(AC329)),"",CONCATENATE(" ",VLOOKUP(AC329,Literatuur!$A:$B,2,FALSE)," "))</f>
        <v xml:space="preserve"> 37 </v>
      </c>
      <c r="AE329" s="36"/>
      <c r="AF329" s="36"/>
      <c r="AG329" s="33" t="str">
        <f>IF(OR(ISBLANK(AE329), ISBLANK(AF329)),"",CONCATENATE(" ",VLOOKUP(AF329,Literatuur!$A:$B,2,FALSE)," "))</f>
        <v/>
      </c>
      <c r="AI329" s="37">
        <v>131.4</v>
      </c>
      <c r="AJ329" s="44" t="str">
        <f t="shared" si="243"/>
        <v>Sanscrit</v>
      </c>
      <c r="AK329" s="33" t="str">
        <f>IF(OR(ISBLANK(AI329), ISBLANK(AJ329)),"",CONCATENATE(" ",VLOOKUP(AJ329,Literatuur!$A:$B,2,FALSE)," "))</f>
        <v xml:space="preserve"> D </v>
      </c>
      <c r="AL329" s="36">
        <v>131.38999999999999</v>
      </c>
      <c r="AM329" s="44" t="str">
        <f t="shared" si="244"/>
        <v>Gestis</v>
      </c>
      <c r="AN329" s="33" t="str">
        <f>IF(OR(ISBLANK(AL329), ISBLANK(AM329)),"",CONCATENATE(" ",VLOOKUP(AM329,Literatuur!$A:$B,2,FALSE)," "))</f>
        <v xml:space="preserve"> A </v>
      </c>
      <c r="AO329" s="36"/>
      <c r="AP329" s="44" t="str">
        <f t="shared" si="245"/>
        <v xml:space="preserve"> </v>
      </c>
      <c r="AQ329" s="33" t="str">
        <f>IF(OR(ISBLANK(AO329), ISBLANK(AP329)),"",CONCATENATE(" ",VLOOKUP(AP329,Literatuur!$A:$B,2,FALSE)," "))</f>
        <v/>
      </c>
      <c r="AR329" s="36"/>
      <c r="AT329" s="33" t="str">
        <f>IF(OR(ISBLANK(AR329), ISBLANK(AS329)),"",CONCATENATE(" ",VLOOKUP(AS329,Literatuur!$A:$B,2,FALSE)," "))</f>
        <v/>
      </c>
      <c r="AV329" s="36"/>
      <c r="AW329" s="33" t="str">
        <f>IF(OR(ISBLANK(AU329), ISBLANK(AV329)),"",CONCATENATE(" ",VLOOKUP(AV329,Literatuur!$A:$B,2,FALSE)," "))</f>
        <v/>
      </c>
      <c r="AY329" s="44">
        <v>2.61</v>
      </c>
      <c r="AZ329" s="44" t="str">
        <f t="shared" si="246"/>
        <v>Sanscrit</v>
      </c>
      <c r="BA329" s="33" t="str">
        <f>IF(OR(ISBLANK(AY329), ISBLANK(AZ329)),"",CONCATENATE(" ",VLOOKUP(AZ329,Literatuur!$A:$B,2,FALSE)," "))</f>
        <v xml:space="preserve"> D </v>
      </c>
      <c r="BB329" s="44">
        <v>2.42</v>
      </c>
      <c r="BC329" s="44" t="str">
        <f t="shared" si="247"/>
        <v>Gestis</v>
      </c>
      <c r="BD329" s="33" t="str">
        <f>IF(OR(ISBLANK(BB329), ISBLANK(BC329)),"",CONCATENATE(" ",VLOOKUP(BC329,Literatuur!$A:$B,2,FALSE)," "))</f>
        <v xml:space="preserve"> A </v>
      </c>
      <c r="BE329" s="33">
        <v>2.71</v>
      </c>
      <c r="BF329" s="44" t="str">
        <f t="shared" si="248"/>
        <v>US EPA 1995</v>
      </c>
      <c r="BG329" s="33" t="str">
        <f>IF(OR(ISBLANK(BE329), ISBLANK(BF329)),"",CONCATENATE(" ",VLOOKUP(BF329,Literatuur!$A:$B,2,FALSE)," "))</f>
        <v xml:space="preserve"> 30 </v>
      </c>
      <c r="BI329" s="44" t="str">
        <f t="shared" si="249"/>
        <v xml:space="preserve"> </v>
      </c>
      <c r="BJ329" s="33" t="str">
        <f>IF(OR(ISBLANK(BH329), ISBLANK(BI329)),"",CONCATENATE(" ",VLOOKUP(BI329,Literatuur!$A:$B,2,FALSE)," "))</f>
        <v/>
      </c>
      <c r="BL329" s="44" t="str">
        <f t="shared" si="250"/>
        <v xml:space="preserve"> </v>
      </c>
      <c r="BM329" s="33" t="str">
        <f>IF(OR(ISBLANK(BK329), ISBLANK(BL329)),"",CONCATENATE(" ",VLOOKUP(BL329,Literatuur!$A:$B,2,FALSE)," "))</f>
        <v/>
      </c>
      <c r="BP329" s="33" t="str">
        <f>IF(OR(ISBLANK(BN329), ISBLANK(BO329)),"",CONCATENATE(" ",VLOOKUP(BO329,Literatuur!$A:$B,2,FALSE)," "))</f>
        <v/>
      </c>
      <c r="BS329" s="33" t="str">
        <f>IF(OR(ISBLANK(BQ329), ISBLANK(BR329)),"",CONCATENATE(" ",VLOOKUP(BR329,Literatuur!$A:$B,2,FALSE)," "))</f>
        <v/>
      </c>
      <c r="BV329" s="33" t="str">
        <f>IF(OR(ISBLANK(BT329), ISBLANK(BU329)),"",CONCATENATE(" ",VLOOKUP(BU329,Literatuur!$A:$B,2,FALSE)," "))</f>
        <v/>
      </c>
      <c r="CE329" s="37">
        <f t="shared" si="252"/>
        <v>131.4</v>
      </c>
      <c r="CG329" s="33">
        <f t="shared" si="253"/>
        <v>3.0662678271054604</v>
      </c>
      <c r="CH329" s="33">
        <f t="shared" si="235"/>
        <v>2.61</v>
      </c>
      <c r="CI329" s="33">
        <v>11</v>
      </c>
      <c r="CR329" s="33" t="str">
        <f t="shared" si="209"/>
        <v>Trichloroethylene</v>
      </c>
      <c r="CS329" s="33" t="str">
        <f t="shared" si="210"/>
        <v>ClAlk</v>
      </c>
      <c r="CT329" s="33">
        <f t="shared" si="254"/>
        <v>131.4</v>
      </c>
      <c r="CU329" s="33" t="str">
        <f t="shared" si="211"/>
        <v xml:space="preserve"> D </v>
      </c>
      <c r="CV329" s="33">
        <f t="shared" si="212"/>
        <v>1164.8441611748488</v>
      </c>
      <c r="CW329" s="33" t="str">
        <f t="shared" si="213"/>
        <v xml:space="preserve"> D </v>
      </c>
      <c r="CX329" s="33">
        <f t="shared" si="214"/>
        <v>2.61</v>
      </c>
      <c r="CY329" s="33" t="str">
        <f t="shared" si="215"/>
        <v xml:space="preserve"> D </v>
      </c>
    </row>
    <row r="330" spans="1:103" ht="12.75" customHeight="1" x14ac:dyDescent="0.25">
      <c r="B330" s="33">
        <v>406</v>
      </c>
      <c r="D330" s="33" t="s">
        <v>5</v>
      </c>
      <c r="E330" s="33" t="s">
        <v>1317</v>
      </c>
      <c r="F330" s="33" t="s">
        <v>1318</v>
      </c>
      <c r="H330" s="34" t="s">
        <v>1316</v>
      </c>
      <c r="I330" s="37">
        <f t="shared" si="236"/>
        <v>62.5</v>
      </c>
      <c r="J330" s="33">
        <f t="shared" si="216"/>
        <v>428</v>
      </c>
      <c r="K330" s="44">
        <f t="shared" si="255"/>
        <v>1.52</v>
      </c>
      <c r="L330" s="33" t="e">
        <f t="shared" si="251"/>
        <v>#DIV/0!</v>
      </c>
      <c r="M330" s="33" t="s">
        <v>1891</v>
      </c>
      <c r="P330" s="33">
        <v>428</v>
      </c>
      <c r="Q330" s="44" t="str">
        <f t="shared" si="238"/>
        <v>Sanscrit</v>
      </c>
      <c r="R330" s="33" t="str">
        <f>IF(OR(ISBLANK(P330), ISBLANK(Q330)),"",CONCATENATE(" ",VLOOKUP(Q330,Literatuur!$A:$B,2,FALSE)," "))</f>
        <v xml:space="preserve"> D </v>
      </c>
      <c r="T330" s="44" t="str">
        <f t="shared" si="239"/>
        <v xml:space="preserve"> </v>
      </c>
      <c r="U330" s="33" t="str">
        <f>IF(OR(ISBLANK(S330), ISBLANK(T330)),"",CONCATENATE(" ",VLOOKUP(T330,Literatuur!$A:$B,2,FALSE)," "))</f>
        <v/>
      </c>
      <c r="W330" s="44" t="str">
        <f t="shared" si="240"/>
        <v xml:space="preserve"> </v>
      </c>
      <c r="X330" s="33" t="str">
        <f>IF(OR(ISBLANK(V330), ISBLANK(W330)),"",CONCATENATE(" ",VLOOKUP(W330,Literatuur!$A:$B,2,FALSE)," "))</f>
        <v/>
      </c>
      <c r="Y330" s="186">
        <v>8800</v>
      </c>
      <c r="Z330" s="44" t="str">
        <f t="shared" si="241"/>
        <v>US EPA suite</v>
      </c>
      <c r="AA330" s="33" t="str">
        <f>IF(OR(ISBLANK(Y330), ISBLANK(Z330)),"",CONCATENATE(" ",VLOOKUP(Z330,Literatuur!$A:$B,2,FALSE)," "))</f>
        <v xml:space="preserve"> F </v>
      </c>
      <c r="AB330" s="186"/>
      <c r="AC330" s="36" t="str">
        <f t="shared" si="242"/>
        <v xml:space="preserve"> </v>
      </c>
      <c r="AD330" s="33" t="str">
        <f>IF(OR(ISBLANK(AB330), ISBLANK(AC330)),"",CONCATENATE(" ",VLOOKUP(AC330,Literatuur!$A:$B,2,FALSE)," "))</f>
        <v/>
      </c>
      <c r="AE330" s="186">
        <v>2700</v>
      </c>
      <c r="AF330" s="186" t="s">
        <v>344</v>
      </c>
      <c r="AG330" s="33" t="str">
        <f>IF(OR(ISBLANK(AE330), ISBLANK(AF330)),"",CONCATENATE(" ",VLOOKUP(AF330,Literatuur!$A:$B,2,FALSE)," "))</f>
        <v xml:space="preserve"> G </v>
      </c>
      <c r="AI330" s="186">
        <v>62.5</v>
      </c>
      <c r="AJ330" s="44" t="str">
        <f t="shared" si="243"/>
        <v>Sanscrit</v>
      </c>
      <c r="AK330" s="33" t="str">
        <f>IF(OR(ISBLANK(AI330), ISBLANK(AJ330)),"",CONCATENATE(" ",VLOOKUP(AJ330,Literatuur!$A:$B,2,FALSE)," "))</f>
        <v xml:space="preserve"> D </v>
      </c>
      <c r="AL330" s="186"/>
      <c r="AM330" s="44" t="str">
        <f t="shared" si="244"/>
        <v xml:space="preserve"> </v>
      </c>
      <c r="AN330" s="33" t="str">
        <f>IF(OR(ISBLANK(AL330), ISBLANK(AM330)),"",CONCATENATE(" ",VLOOKUP(AM330,Literatuur!$A:$B,2,FALSE)," "))</f>
        <v/>
      </c>
      <c r="AO330" s="186">
        <v>62.5</v>
      </c>
      <c r="AP330" s="44" t="str">
        <f t="shared" si="245"/>
        <v>US EPA suite</v>
      </c>
      <c r="AQ330" s="33" t="str">
        <f>IF(OR(ISBLANK(AO330), ISBLANK(AP330)),"",CONCATENATE(" ",VLOOKUP(AP330,Literatuur!$A:$B,2,FALSE)," "))</f>
        <v xml:space="preserve"> F </v>
      </c>
      <c r="AR330" s="186"/>
      <c r="AT330" s="33" t="str">
        <f>IF(OR(ISBLANK(AR330), ISBLANK(AS330)),"",CONCATENATE(" ",VLOOKUP(AS330,Literatuur!$A:$B,2,FALSE)," "))</f>
        <v/>
      </c>
      <c r="AV330" s="186"/>
      <c r="AW330" s="33" t="str">
        <f>IF(OR(ISBLANK(AU330), ISBLANK(AV330)),"",CONCATENATE(" ",VLOOKUP(AV330,Literatuur!$A:$B,2,FALSE)," "))</f>
        <v/>
      </c>
      <c r="AY330" s="26">
        <v>1.52</v>
      </c>
      <c r="AZ330" s="44" t="str">
        <f t="shared" si="246"/>
        <v>Sanscrit</v>
      </c>
      <c r="BA330" s="33" t="str">
        <f>IF(OR(ISBLANK(AY330), ISBLANK(AZ330)),"",CONCATENATE(" ",VLOOKUP(AZ330,Literatuur!$A:$B,2,FALSE)," "))</f>
        <v xml:space="preserve"> D </v>
      </c>
      <c r="BB330" s="44"/>
      <c r="BC330" s="44" t="str">
        <f t="shared" si="247"/>
        <v xml:space="preserve"> </v>
      </c>
      <c r="BD330" s="33" t="str">
        <f>IF(OR(ISBLANK(BB330), ISBLANK(BC330)),"",CONCATENATE(" ",VLOOKUP(BC330,Literatuur!$A:$B,2,FALSE)," "))</f>
        <v/>
      </c>
      <c r="BF330" s="44" t="str">
        <f t="shared" si="248"/>
        <v xml:space="preserve"> </v>
      </c>
      <c r="BG330" s="33" t="str">
        <f>IF(OR(ISBLANK(BE330), ISBLANK(BF330)),"",CONCATENATE(" ",VLOOKUP(BF330,Literatuur!$A:$B,2,FALSE)," "))</f>
        <v/>
      </c>
      <c r="BH330" s="33">
        <v>1.62</v>
      </c>
      <c r="BI330" s="44" t="str">
        <f t="shared" si="249"/>
        <v>US EPA suite</v>
      </c>
      <c r="BJ330" s="33" t="str">
        <f>IF(OR(ISBLANK(BH330), ISBLANK(BI330)),"",CONCATENATE(" ",VLOOKUP(BI330,Literatuur!$A:$B,2,FALSE)," "))</f>
        <v xml:space="preserve"> F </v>
      </c>
      <c r="BL330" s="44" t="str">
        <f t="shared" si="250"/>
        <v xml:space="preserve"> </v>
      </c>
      <c r="BM330" s="33" t="str">
        <f>IF(OR(ISBLANK(BK330), ISBLANK(BL330)),"",CONCATENATE(" ",VLOOKUP(BL330,Literatuur!$A:$B,2,FALSE)," "))</f>
        <v/>
      </c>
      <c r="BP330" s="33" t="str">
        <f>IF(OR(ISBLANK(BN330), ISBLANK(BO330)),"",CONCATENATE(" ",VLOOKUP(BO330,Literatuur!$A:$B,2,FALSE)," "))</f>
        <v/>
      </c>
      <c r="BS330" s="33" t="str">
        <f>IF(OR(ISBLANK(BQ330), ISBLANK(BR330)),"",CONCATENATE(" ",VLOOKUP(BR330,Literatuur!$A:$B,2,FALSE)," "))</f>
        <v/>
      </c>
      <c r="BV330" s="33" t="str">
        <f>IF(OR(ISBLANK(BT330), ISBLANK(BU330)),"",CONCATENATE(" ",VLOOKUP(BU330,Literatuur!$A:$B,2,FALSE)," "))</f>
        <v/>
      </c>
      <c r="CE330" s="37">
        <f t="shared" si="252"/>
        <v>62.5</v>
      </c>
      <c r="CG330" s="33">
        <f t="shared" si="253"/>
        <v>2.6314437690131722</v>
      </c>
      <c r="CH330" s="33">
        <f t="shared" si="235"/>
        <v>1.52</v>
      </c>
      <c r="CI330" s="33">
        <v>5</v>
      </c>
      <c r="CR330" s="33" t="str">
        <f t="shared" si="209"/>
        <v>Vinyl chloride</v>
      </c>
      <c r="CS330" s="33" t="str">
        <f t="shared" si="210"/>
        <v>ClAlk</v>
      </c>
      <c r="CT330" s="33">
        <f t="shared" si="254"/>
        <v>62.5</v>
      </c>
      <c r="CU330" s="33" t="str">
        <f t="shared" si="211"/>
        <v xml:space="preserve"> D </v>
      </c>
      <c r="CV330" s="33">
        <f t="shared" si="212"/>
        <v>428</v>
      </c>
      <c r="CW330" s="33" t="str">
        <f t="shared" si="213"/>
        <v xml:space="preserve"> D </v>
      </c>
      <c r="CX330" s="33">
        <f t="shared" si="214"/>
        <v>1.52</v>
      </c>
      <c r="CY330" s="33" t="str">
        <f t="shared" si="215"/>
        <v xml:space="preserve"> D </v>
      </c>
    </row>
    <row r="331" spans="1:103" x14ac:dyDescent="0.2">
      <c r="B331" s="33">
        <v>-1407</v>
      </c>
      <c r="D331" s="33" t="s">
        <v>331</v>
      </c>
      <c r="E331" s="33" t="s">
        <v>1341</v>
      </c>
      <c r="I331" s="37">
        <f t="shared" ref="I331:I362" si="256">IF(ISNUMBER(AI331),AI331,AVERAGE(AL331:AU331))</f>
        <v>163</v>
      </c>
      <c r="J331" s="33" t="e">
        <f t="shared" si="216"/>
        <v>#DIV/0!</v>
      </c>
      <c r="K331" s="44" t="e">
        <f t="shared" si="255"/>
        <v>#DIV/0!</v>
      </c>
      <c r="L331" s="33" t="e">
        <f t="shared" si="251"/>
        <v>#DIV/0!</v>
      </c>
      <c r="M331" s="33" t="s">
        <v>1894</v>
      </c>
      <c r="Q331" s="44" t="str">
        <f t="shared" si="238"/>
        <v xml:space="preserve"> </v>
      </c>
      <c r="R331" s="33" t="str">
        <f>IF(OR(ISBLANK(P331), ISBLANK(Q331)),"",CONCATENATE(" ",VLOOKUP(Q331,Literatuur!$A:$B,2,FALSE)," "))</f>
        <v/>
      </c>
      <c r="T331" s="44" t="str">
        <f t="shared" si="239"/>
        <v xml:space="preserve"> </v>
      </c>
      <c r="U331" s="33" t="str">
        <f>IF(OR(ISBLANK(S331), ISBLANK(T331)),"",CONCATENATE(" ",VLOOKUP(T331,Literatuur!$A:$B,2,FALSE)," "))</f>
        <v/>
      </c>
      <c r="W331" s="44" t="str">
        <f t="shared" si="240"/>
        <v xml:space="preserve"> </v>
      </c>
      <c r="X331" s="33" t="str">
        <f>IF(OR(ISBLANK(V331), ISBLANK(W331)),"",CONCATENATE(" ",VLOOKUP(W331,Literatuur!$A:$B,2,FALSE)," "))</f>
        <v/>
      </c>
      <c r="Z331" s="44" t="str">
        <f t="shared" si="241"/>
        <v xml:space="preserve"> </v>
      </c>
      <c r="AA331" s="33" t="str">
        <f>IF(OR(ISBLANK(Y331), ISBLANK(Z331)),"",CONCATENATE(" ",VLOOKUP(Z331,Literatuur!$A:$B,2,FALSE)," "))</f>
        <v/>
      </c>
      <c r="AC331" s="36" t="str">
        <f t="shared" si="242"/>
        <v xml:space="preserve"> </v>
      </c>
      <c r="AD331" s="33" t="str">
        <f>IF(OR(ISBLANK(AB331), ISBLANK(AC331)),"",CONCATENATE(" ",VLOOKUP(AC331,Literatuur!$A:$B,2,FALSE)," "))</f>
        <v/>
      </c>
      <c r="AG331" s="33" t="str">
        <f>IF(OR(ISBLANK(AE331), ISBLANK(AF331)),"",CONCATENATE(" ",VLOOKUP(AF331,Literatuur!$A:$B,2,FALSE)," "))</f>
        <v/>
      </c>
      <c r="AI331" s="37"/>
      <c r="AJ331" s="44" t="str">
        <f t="shared" si="243"/>
        <v xml:space="preserve"> </v>
      </c>
      <c r="AK331" s="33" t="str">
        <f>IF(OR(ISBLANK(AI331), ISBLANK(AJ331)),"",CONCATENATE(" ",VLOOKUP(AJ331,Literatuur!$A:$B,2,FALSE)," "))</f>
        <v/>
      </c>
      <c r="AM331" s="44" t="str">
        <f t="shared" si="244"/>
        <v xml:space="preserve"> </v>
      </c>
      <c r="AN331" s="33" t="str">
        <f>IF(OR(ISBLANK(AL331), ISBLANK(AM331)),"",CONCATENATE(" ",VLOOKUP(AM331,Literatuur!$A:$B,2,FALSE)," "))</f>
        <v/>
      </c>
      <c r="AO331" s="33">
        <v>163</v>
      </c>
      <c r="AP331" s="44" t="str">
        <f t="shared" si="245"/>
        <v>US EPA suite</v>
      </c>
      <c r="AQ331" s="33" t="str">
        <f>IF(OR(ISBLANK(AO331), ISBLANK(AP331)),"",CONCATENATE(" ",VLOOKUP(AP331,Literatuur!$A:$B,2,FALSE)," "))</f>
        <v xml:space="preserve"> F </v>
      </c>
      <c r="AT331" s="33" t="str">
        <f>IF(OR(ISBLANK(AR331), ISBLANK(AS331)),"",CONCATENATE(" ",VLOOKUP(AS331,Literatuur!$A:$B,2,FALSE)," "))</f>
        <v/>
      </c>
      <c r="AW331" s="33" t="str">
        <f>IF(OR(ISBLANK(AU331), ISBLANK(AV331)),"",CONCATENATE(" ",VLOOKUP(AV331,Literatuur!$A:$B,2,FALSE)," "))</f>
        <v/>
      </c>
      <c r="AZ331" s="44" t="str">
        <f t="shared" si="246"/>
        <v xml:space="preserve"> </v>
      </c>
      <c r="BA331" s="33" t="str">
        <f>IF(OR(ISBLANK(AY331), ISBLANK(AZ331)),"",CONCATENATE(" ",VLOOKUP(AZ331,Literatuur!$A:$B,2,FALSE)," "))</f>
        <v/>
      </c>
      <c r="BC331" s="44" t="str">
        <f t="shared" si="247"/>
        <v xml:space="preserve"> </v>
      </c>
      <c r="BD331" s="33" t="str">
        <f>IF(OR(ISBLANK(BB331), ISBLANK(BC331)),"",CONCATENATE(" ",VLOOKUP(BC331,Literatuur!$A:$B,2,FALSE)," "))</f>
        <v/>
      </c>
      <c r="BF331" s="44" t="str">
        <f t="shared" si="248"/>
        <v xml:space="preserve"> </v>
      </c>
      <c r="BG331" s="33" t="str">
        <f>IF(OR(ISBLANK(BE331), ISBLANK(BF331)),"",CONCATENATE(" ",VLOOKUP(BF331,Literatuur!$A:$B,2,FALSE)," "))</f>
        <v/>
      </c>
      <c r="BI331" s="44" t="str">
        <f t="shared" si="249"/>
        <v xml:space="preserve"> </v>
      </c>
      <c r="BJ331" s="33" t="str">
        <f>IF(OR(ISBLANK(BH331), ISBLANK(BI331)),"",CONCATENATE(" ",VLOOKUP(BI331,Literatuur!$A:$B,2,FALSE)," "))</f>
        <v/>
      </c>
      <c r="BL331" s="44" t="str">
        <f t="shared" si="250"/>
        <v xml:space="preserve"> </v>
      </c>
      <c r="BM331" s="33" t="str">
        <f>IF(OR(ISBLANK(BK331), ISBLANK(BL331)),"",CONCATENATE(" ",VLOOKUP(BL331,Literatuur!$A:$B,2,FALSE)," "))</f>
        <v/>
      </c>
      <c r="BP331" s="33" t="str">
        <f>IF(OR(ISBLANK(BN331), ISBLANK(BO331)),"",CONCATENATE(" ",VLOOKUP(BO331,Literatuur!$A:$B,2,FALSE)," "))</f>
        <v/>
      </c>
      <c r="BS331" s="33" t="str">
        <f>IF(OR(ISBLANK(BQ331), ISBLANK(BR331)),"",CONCATENATE(" ",VLOOKUP(BR331,Literatuur!$A:$B,2,FALSE)," "))</f>
        <v/>
      </c>
      <c r="BV331" s="33" t="str">
        <f>IF(OR(ISBLANK(BT331), ISBLANK(BU331)),"",CONCATENATE(" ",VLOOKUP(BU331,Literatuur!$A:$B,2,FALSE)," "))</f>
        <v/>
      </c>
      <c r="CE331" s="37">
        <f t="shared" si="252"/>
        <v>163</v>
      </c>
      <c r="CR331" s="33" t="str">
        <f t="shared" si="209"/>
        <v>X,X-Dichlorphenol</v>
      </c>
      <c r="CS331" s="33" t="str">
        <f t="shared" si="210"/>
        <v>Cl</v>
      </c>
      <c r="CT331" s="33">
        <f t="shared" si="254"/>
        <v>163</v>
      </c>
      <c r="CU331" s="33" t="str">
        <f t="shared" si="211"/>
        <v xml:space="preserve"> F </v>
      </c>
      <c r="CV331" s="33" t="str">
        <f t="shared" si="212"/>
        <v/>
      </c>
      <c r="CW331" s="33" t="str">
        <f t="shared" si="213"/>
        <v/>
      </c>
      <c r="CX331" s="33" t="str">
        <f t="shared" si="214"/>
        <v/>
      </c>
      <c r="CY331" s="33" t="str">
        <f t="shared" si="215"/>
        <v/>
      </c>
    </row>
    <row r="332" spans="1:103" x14ac:dyDescent="0.2">
      <c r="B332" s="33">
        <v>508</v>
      </c>
      <c r="D332" s="33" t="s">
        <v>135</v>
      </c>
      <c r="E332" s="33" t="s">
        <v>1340</v>
      </c>
      <c r="H332" s="34" t="s">
        <v>1339</v>
      </c>
      <c r="I332" s="37">
        <f t="shared" si="256"/>
        <v>197.5</v>
      </c>
      <c r="J332" s="33">
        <f t="shared" si="216"/>
        <v>71.099999999999994</v>
      </c>
      <c r="K332" s="44">
        <f t="shared" si="255"/>
        <v>3.8</v>
      </c>
      <c r="L332" s="33" t="e">
        <f t="shared" si="251"/>
        <v>#DIV/0!</v>
      </c>
      <c r="M332" s="33" t="s">
        <v>1894</v>
      </c>
      <c r="P332" s="33">
        <v>71.099999999999994</v>
      </c>
      <c r="Q332" s="44" t="str">
        <f t="shared" si="238"/>
        <v>Sanscrit</v>
      </c>
      <c r="R332" s="33" t="str">
        <f>IF(OR(ISBLANK(P332), ISBLANK(Q332)),"",CONCATENATE(" ",VLOOKUP(Q332,Literatuur!$A:$B,2,FALSE)," "))</f>
        <v xml:space="preserve"> D </v>
      </c>
      <c r="T332" s="44" t="str">
        <f t="shared" si="239"/>
        <v xml:space="preserve"> </v>
      </c>
      <c r="U332" s="33" t="str">
        <f>IF(OR(ISBLANK(S332), ISBLANK(T332)),"",CONCATENATE(" ",VLOOKUP(T332,Literatuur!$A:$B,2,FALSE)," "))</f>
        <v/>
      </c>
      <c r="W332" s="44" t="str">
        <f t="shared" si="240"/>
        <v xml:space="preserve"> </v>
      </c>
      <c r="X332" s="33" t="str">
        <f>IF(OR(ISBLANK(V332), ISBLANK(W332)),"",CONCATENATE(" ",VLOOKUP(W332,Literatuur!$A:$B,2,FALSE)," "))</f>
        <v/>
      </c>
      <c r="Z332" s="44" t="str">
        <f t="shared" si="241"/>
        <v xml:space="preserve"> </v>
      </c>
      <c r="AA332" s="33" t="str">
        <f>IF(OR(ISBLANK(Y332), ISBLANK(Z332)),"",CONCATENATE(" ",VLOOKUP(Z332,Literatuur!$A:$B,2,FALSE)," "))</f>
        <v/>
      </c>
      <c r="AC332" s="36" t="str">
        <f t="shared" si="242"/>
        <v xml:space="preserve"> </v>
      </c>
      <c r="AD332" s="33" t="str">
        <f>IF(OR(ISBLANK(AB332), ISBLANK(AC332)),"",CONCATENATE(" ",VLOOKUP(AC332,Literatuur!$A:$B,2,FALSE)," "))</f>
        <v/>
      </c>
      <c r="AE332" s="33">
        <v>97.5</v>
      </c>
      <c r="AF332" s="33" t="s">
        <v>1907</v>
      </c>
      <c r="AG332" s="33" t="str">
        <f>IF(OR(ISBLANK(AE332), ISBLANK(AF332)),"",CONCATENATE(" ",VLOOKUP(AF332,Literatuur!$A:$B,2,FALSE)," "))</f>
        <v xml:space="preserve"> E </v>
      </c>
      <c r="AI332" s="37">
        <v>197.5</v>
      </c>
      <c r="AJ332" s="44" t="str">
        <f t="shared" si="243"/>
        <v>Sanscrit</v>
      </c>
      <c r="AK332" s="33" t="str">
        <f>IF(OR(ISBLANK(AI332), ISBLANK(AJ332)),"",CONCATENATE(" ",VLOOKUP(AJ332,Literatuur!$A:$B,2,FALSE)," "))</f>
        <v xml:space="preserve"> D </v>
      </c>
      <c r="AM332" s="44" t="str">
        <f t="shared" si="244"/>
        <v xml:space="preserve"> </v>
      </c>
      <c r="AN332" s="33" t="str">
        <f>IF(OR(ISBLANK(AL332), ISBLANK(AM332)),"",CONCATENATE(" ",VLOOKUP(AM332,Literatuur!$A:$B,2,FALSE)," "))</f>
        <v/>
      </c>
      <c r="AO332" s="33">
        <v>197.45</v>
      </c>
      <c r="AP332" s="44" t="str">
        <f t="shared" si="245"/>
        <v>US EPA suite</v>
      </c>
      <c r="AQ332" s="33" t="str">
        <f>IF(OR(ISBLANK(AO332), ISBLANK(AP332)),"",CONCATENATE(" ",VLOOKUP(AP332,Literatuur!$A:$B,2,FALSE)," "))</f>
        <v xml:space="preserve"> F </v>
      </c>
      <c r="AT332" s="33" t="str">
        <f>IF(OR(ISBLANK(AR332), ISBLANK(AS332)),"",CONCATENATE(" ",VLOOKUP(AS332,Literatuur!$A:$B,2,FALSE)," "))</f>
        <v/>
      </c>
      <c r="AW332" s="33" t="str">
        <f>IF(OR(ISBLANK(AU332), ISBLANK(AV332)),"",CONCATENATE(" ",VLOOKUP(AV332,Literatuur!$A:$B,2,FALSE)," "))</f>
        <v/>
      </c>
      <c r="AZ332" s="44" t="str">
        <f t="shared" si="246"/>
        <v xml:space="preserve"> </v>
      </c>
      <c r="BA332" s="33" t="str">
        <f>IF(OR(ISBLANK(AY332), ISBLANK(AZ332)),"",CONCATENATE(" ",VLOOKUP(AZ332,Literatuur!$A:$B,2,FALSE)," "))</f>
        <v/>
      </c>
      <c r="BC332" s="44" t="str">
        <f t="shared" si="247"/>
        <v xml:space="preserve"> </v>
      </c>
      <c r="BD332" s="33" t="str">
        <f>IF(OR(ISBLANK(BB332), ISBLANK(BC332)),"",CONCATENATE(" ",VLOOKUP(BC332,Literatuur!$A:$B,2,FALSE)," "))</f>
        <v/>
      </c>
      <c r="BF332" s="44" t="str">
        <f t="shared" si="248"/>
        <v xml:space="preserve"> </v>
      </c>
      <c r="BG332" s="33" t="str">
        <f>IF(OR(ISBLANK(BE332), ISBLANK(BF332)),"",CONCATENATE(" ",VLOOKUP(BF332,Literatuur!$A:$B,2,FALSE)," "))</f>
        <v/>
      </c>
      <c r="BH332" s="33">
        <v>3.8</v>
      </c>
      <c r="BI332" s="44" t="str">
        <f t="shared" si="249"/>
        <v>US EPA suite</v>
      </c>
      <c r="BJ332" s="33" t="str">
        <f>IF(OR(ISBLANK(BH332), ISBLANK(BI332)),"",CONCATENATE(" ",VLOOKUP(BI332,Literatuur!$A:$B,2,FALSE)," "))</f>
        <v xml:space="preserve"> F </v>
      </c>
      <c r="BL332" s="44" t="str">
        <f t="shared" si="250"/>
        <v xml:space="preserve"> </v>
      </c>
      <c r="BM332" s="33" t="str">
        <f>IF(OR(ISBLANK(BK332), ISBLANK(BL332)),"",CONCATENATE(" ",VLOOKUP(BL332,Literatuur!$A:$B,2,FALSE)," "))</f>
        <v/>
      </c>
      <c r="BP332" s="33" t="str">
        <f>IF(OR(ISBLANK(BN332), ISBLANK(BO332)),"",CONCATENATE(" ",VLOOKUP(BO332,Literatuur!$A:$B,2,FALSE)," "))</f>
        <v/>
      </c>
      <c r="BS332" s="33" t="str">
        <f>IF(OR(ISBLANK(BQ332), ISBLANK(BR332)),"",CONCATENATE(" ",VLOOKUP(BR332,Literatuur!$A:$B,2,FALSE)," "))</f>
        <v/>
      </c>
      <c r="BV332" s="33" t="str">
        <f>IF(OR(ISBLANK(BT332), ISBLANK(BU332)),"",CONCATENATE(" ",VLOOKUP(BU332,Literatuur!$A:$B,2,FALSE)," "))</f>
        <v/>
      </c>
      <c r="CE332" s="37">
        <f t="shared" si="252"/>
        <v>197.5</v>
      </c>
      <c r="CG332" s="33">
        <f>LOG(J332)</f>
        <v>1.8518696007297664</v>
      </c>
      <c r="CH332" s="33">
        <f>K332</f>
        <v>3.8</v>
      </c>
      <c r="CR332" s="33" t="str">
        <f t="shared" si="209"/>
        <v>2,3,4-Trichlorophenol</v>
      </c>
      <c r="CS332" s="33" t="str">
        <f t="shared" si="210"/>
        <v>Cl</v>
      </c>
      <c r="CT332" s="33">
        <f t="shared" si="254"/>
        <v>197.5</v>
      </c>
      <c r="CU332" s="33" t="str">
        <f t="shared" si="211"/>
        <v xml:space="preserve"> D </v>
      </c>
      <c r="CV332" s="33">
        <f t="shared" si="212"/>
        <v>71.099999999999994</v>
      </c>
      <c r="CW332" s="33" t="str">
        <f t="shared" si="213"/>
        <v xml:space="preserve"> D </v>
      </c>
      <c r="CX332" s="33">
        <f t="shared" si="214"/>
        <v>3.8</v>
      </c>
      <c r="CY332" s="33" t="str">
        <f t="shared" si="215"/>
        <v xml:space="preserve"> F </v>
      </c>
    </row>
    <row r="333" spans="1:103" x14ac:dyDescent="0.2">
      <c r="B333" s="33">
        <v>547</v>
      </c>
      <c r="D333" s="33" t="s">
        <v>164</v>
      </c>
      <c r="E333" s="33" t="s">
        <v>1347</v>
      </c>
      <c r="H333" s="34" t="s">
        <v>1348</v>
      </c>
      <c r="I333" s="37">
        <f t="shared" si="256"/>
        <v>231.9</v>
      </c>
      <c r="J333" s="33">
        <f t="shared" si="216"/>
        <v>4.79</v>
      </c>
      <c r="K333" s="44">
        <f t="shared" si="255"/>
        <v>3.88</v>
      </c>
      <c r="L333" s="33" t="e">
        <f t="shared" si="251"/>
        <v>#DIV/0!</v>
      </c>
      <c r="M333" s="33" t="s">
        <v>1894</v>
      </c>
      <c r="P333" s="33">
        <v>4.79</v>
      </c>
      <c r="Q333" s="44" t="str">
        <f t="shared" si="238"/>
        <v>Sanscrit</v>
      </c>
      <c r="R333" s="33" t="str">
        <f>IF(OR(ISBLANK(P333), ISBLANK(Q333)),"",CONCATENATE(" ",VLOOKUP(Q333,Literatuur!$A:$B,2,FALSE)," "))</f>
        <v xml:space="preserve"> D </v>
      </c>
      <c r="T333" s="44" t="str">
        <f t="shared" si="239"/>
        <v xml:space="preserve"> </v>
      </c>
      <c r="U333" s="33" t="str">
        <f>IF(OR(ISBLANK(S333), ISBLANK(T333)),"",CONCATENATE(" ",VLOOKUP(T333,Literatuur!$A:$B,2,FALSE)," "))</f>
        <v/>
      </c>
      <c r="W333" s="44" t="str">
        <f t="shared" si="240"/>
        <v xml:space="preserve"> </v>
      </c>
      <c r="X333" s="33" t="str">
        <f>IF(OR(ISBLANK(V333), ISBLANK(W333)),"",CONCATENATE(" ",VLOOKUP(W333,Literatuur!$A:$B,2,FALSE)," "))</f>
        <v/>
      </c>
      <c r="Z333" s="44" t="str">
        <f t="shared" si="241"/>
        <v xml:space="preserve"> </v>
      </c>
      <c r="AA333" s="33" t="str">
        <f>IF(OR(ISBLANK(Y333), ISBLANK(Z333)),"",CONCATENATE(" ",VLOOKUP(Z333,Literatuur!$A:$B,2,FALSE)," "))</f>
        <v/>
      </c>
      <c r="AB333" s="40"/>
      <c r="AC333" s="36" t="str">
        <f t="shared" si="242"/>
        <v xml:space="preserve"> </v>
      </c>
      <c r="AD333" s="33" t="str">
        <f>IF(OR(ISBLANK(AB333), ISBLANK(AC333)),"",CONCATENATE(" ",VLOOKUP(AC333,Literatuur!$A:$B,2,FALSE)," "))</f>
        <v/>
      </c>
      <c r="AE333" s="40">
        <v>54.9</v>
      </c>
      <c r="AF333" s="33" t="s">
        <v>1907</v>
      </c>
      <c r="AG333" s="33" t="str">
        <f>IF(OR(ISBLANK(AE333), ISBLANK(AF333)),"",CONCATENATE(" ",VLOOKUP(AF333,Literatuur!$A:$B,2,FALSE)," "))</f>
        <v xml:space="preserve"> E </v>
      </c>
      <c r="AI333" s="37">
        <v>231.9</v>
      </c>
      <c r="AJ333" s="44" t="str">
        <f t="shared" si="243"/>
        <v>Sanscrit</v>
      </c>
      <c r="AK333" s="33" t="str">
        <f>IF(OR(ISBLANK(AI333), ISBLANK(AJ333)),"",CONCATENATE(" ",VLOOKUP(AJ333,Literatuur!$A:$B,2,FALSE)," "))</f>
        <v xml:space="preserve"> D </v>
      </c>
      <c r="AL333" s="40"/>
      <c r="AM333" s="44" t="str">
        <f t="shared" si="244"/>
        <v xml:space="preserve"> </v>
      </c>
      <c r="AN333" s="33" t="str">
        <f>IF(OR(ISBLANK(AL333), ISBLANK(AM333)),"",CONCATENATE(" ",VLOOKUP(AM333,Literatuur!$A:$B,2,FALSE)," "))</f>
        <v/>
      </c>
      <c r="AO333" s="40"/>
      <c r="AP333" s="44" t="str">
        <f t="shared" si="245"/>
        <v xml:space="preserve"> </v>
      </c>
      <c r="AQ333" s="33" t="str">
        <f>IF(OR(ISBLANK(AO333), ISBLANK(AP333)),"",CONCATENATE(" ",VLOOKUP(AP333,Literatuur!$A:$B,2,FALSE)," "))</f>
        <v/>
      </c>
      <c r="AR333" s="40"/>
      <c r="AT333" s="33" t="str">
        <f>IF(OR(ISBLANK(AR333), ISBLANK(AS333)),"",CONCATENATE(" ",VLOOKUP(AS333,Literatuur!$A:$B,2,FALSE)," "))</f>
        <v/>
      </c>
      <c r="AU333" s="33">
        <v>231.893</v>
      </c>
      <c r="AV333" s="187" t="s">
        <v>1349</v>
      </c>
      <c r="AW333" s="33" t="e">
        <f>IF(OR(ISBLANK(AU333), ISBLANK(AV333)),"",CONCATENATE(" ",VLOOKUP(AV333,Literatuur!$A:$B,2,FALSE)," "))</f>
        <v>#N/A</v>
      </c>
      <c r="AZ333" s="44" t="str">
        <f t="shared" si="246"/>
        <v xml:space="preserve"> </v>
      </c>
      <c r="BA333" s="33" t="str">
        <f>IF(OR(ISBLANK(AY333), ISBLANK(AZ333)),"",CONCATENATE(" ",VLOOKUP(AZ333,Literatuur!$A:$B,2,FALSE)," "))</f>
        <v/>
      </c>
      <c r="BC333" s="44" t="str">
        <f t="shared" si="247"/>
        <v xml:space="preserve"> </v>
      </c>
      <c r="BD333" s="33" t="str">
        <f>IF(OR(ISBLANK(BB333), ISBLANK(BC333)),"",CONCATENATE(" ",VLOOKUP(BC333,Literatuur!$A:$B,2,FALSE)," "))</f>
        <v/>
      </c>
      <c r="BF333" s="44" t="str">
        <f t="shared" si="248"/>
        <v xml:space="preserve"> </v>
      </c>
      <c r="BG333" s="33" t="str">
        <f>IF(OR(ISBLANK(BE333), ISBLANK(BF333)),"",CONCATENATE(" ",VLOOKUP(BF333,Literatuur!$A:$B,2,FALSE)," "))</f>
        <v/>
      </c>
      <c r="BI333" s="44" t="str">
        <f t="shared" si="249"/>
        <v xml:space="preserve"> </v>
      </c>
      <c r="BJ333" s="33" t="str">
        <f>IF(OR(ISBLANK(BH333), ISBLANK(BI333)),"",CONCATENATE(" ",VLOOKUP(BI333,Literatuur!$A:$B,2,FALSE)," "))</f>
        <v/>
      </c>
      <c r="BL333" s="44" t="str">
        <f t="shared" si="250"/>
        <v xml:space="preserve"> </v>
      </c>
      <c r="BM333" s="33" t="str">
        <f>IF(OR(ISBLANK(BK333), ISBLANK(BL333)),"",CONCATENATE(" ",VLOOKUP(BL333,Literatuur!$A:$B,2,FALSE)," "))</f>
        <v/>
      </c>
      <c r="BP333" s="33" t="str">
        <f>IF(OR(ISBLANK(BN333), ISBLANK(BO333)),"",CONCATENATE(" ",VLOOKUP(BO333,Literatuur!$A:$B,2,FALSE)," "))</f>
        <v/>
      </c>
      <c r="BS333" s="33" t="str">
        <f>IF(OR(ISBLANK(BQ333), ISBLANK(BR333)),"",CONCATENATE(" ",VLOOKUP(BR333,Literatuur!$A:$B,2,FALSE)," "))</f>
        <v/>
      </c>
      <c r="BT333" s="33">
        <v>3.88</v>
      </c>
      <c r="BU333" s="33" t="s">
        <v>1907</v>
      </c>
      <c r="BV333" s="33" t="str">
        <f>IF(OR(ISBLANK(BT333), ISBLANK(BU333)),"",CONCATENATE(" ",VLOOKUP(BU333,Literatuur!$A:$B,2,FALSE)," "))</f>
        <v xml:space="preserve"> E </v>
      </c>
      <c r="CE333" s="37">
        <f t="shared" si="252"/>
        <v>231.9</v>
      </c>
      <c r="CG333" s="33">
        <f>LOG(J333)</f>
        <v>0.68033551341456322</v>
      </c>
      <c r="CH333" s="33">
        <f>K333</f>
        <v>3.88</v>
      </c>
      <c r="CR333" s="33" t="str">
        <f t="shared" si="209"/>
        <v>2,3,5,6-Tetrachlorophenol</v>
      </c>
      <c r="CS333" s="33" t="str">
        <f t="shared" si="210"/>
        <v>Cl</v>
      </c>
      <c r="CT333" s="33">
        <f t="shared" si="254"/>
        <v>231.9</v>
      </c>
      <c r="CU333" s="33" t="str">
        <f t="shared" si="211"/>
        <v xml:space="preserve"> D </v>
      </c>
      <c r="CV333" s="33">
        <f t="shared" si="212"/>
        <v>4.79</v>
      </c>
      <c r="CW333" s="33" t="str">
        <f t="shared" si="213"/>
        <v xml:space="preserve"> D </v>
      </c>
      <c r="CX333" s="33">
        <f t="shared" si="214"/>
        <v>3.88</v>
      </c>
      <c r="CY333" s="33" t="str">
        <f t="shared" si="215"/>
        <v xml:space="preserve"> E </v>
      </c>
    </row>
    <row r="334" spans="1:103" x14ac:dyDescent="0.2">
      <c r="B334" s="33">
        <v>-1409</v>
      </c>
      <c r="D334" s="33" t="s">
        <v>333</v>
      </c>
      <c r="E334" s="33" t="s">
        <v>333</v>
      </c>
      <c r="G334" s="33">
        <v>-1</v>
      </c>
      <c r="I334" s="37" t="e">
        <f t="shared" si="256"/>
        <v>#DIV/0!</v>
      </c>
      <c r="J334" s="33" t="e">
        <f t="shared" si="216"/>
        <v>#DIV/0!</v>
      </c>
      <c r="K334" s="44" t="e">
        <f t="shared" si="255"/>
        <v>#DIV/0!</v>
      </c>
      <c r="L334" s="33" t="e">
        <f t="shared" si="251"/>
        <v>#DIV/0!</v>
      </c>
      <c r="M334" s="33" t="s">
        <v>1894</v>
      </c>
      <c r="Q334" s="44" t="str">
        <f t="shared" si="238"/>
        <v xml:space="preserve"> </v>
      </c>
      <c r="R334" s="33" t="str">
        <f>IF(OR(ISBLANK(P334), ISBLANK(Q334)),"",CONCATENATE(" ",VLOOKUP(Q334,Literatuur!$A:$B,2,FALSE)," "))</f>
        <v/>
      </c>
      <c r="T334" s="44" t="str">
        <f t="shared" si="239"/>
        <v xml:space="preserve"> </v>
      </c>
      <c r="U334" s="33" t="str">
        <f>IF(OR(ISBLANK(S334), ISBLANK(T334)),"",CONCATENATE(" ",VLOOKUP(T334,Literatuur!$A:$B,2,FALSE)," "))</f>
        <v/>
      </c>
      <c r="W334" s="44" t="str">
        <f t="shared" si="240"/>
        <v xml:space="preserve"> </v>
      </c>
      <c r="X334" s="33" t="str">
        <f>IF(OR(ISBLANK(V334), ISBLANK(W334)),"",CONCATENATE(" ",VLOOKUP(W334,Literatuur!$A:$B,2,FALSE)," "))</f>
        <v/>
      </c>
      <c r="Z334" s="44" t="str">
        <f t="shared" si="241"/>
        <v xml:space="preserve"> </v>
      </c>
      <c r="AA334" s="33" t="str">
        <f>IF(OR(ISBLANK(Y334), ISBLANK(Z334)),"",CONCATENATE(" ",VLOOKUP(Z334,Literatuur!$A:$B,2,FALSE)," "))</f>
        <v/>
      </c>
      <c r="AC334" s="36" t="str">
        <f t="shared" si="242"/>
        <v xml:space="preserve"> </v>
      </c>
      <c r="AD334" s="33" t="str">
        <f>IF(OR(ISBLANK(AB334), ISBLANK(AC334)),"",CONCATENATE(" ",VLOOKUP(AC334,Literatuur!$A:$B,2,FALSE)," "))</f>
        <v/>
      </c>
      <c r="AG334" s="33" t="str">
        <f>IF(OR(ISBLANK(AE334), ISBLANK(AF334)),"",CONCATENATE(" ",VLOOKUP(AF334,Literatuur!$A:$B,2,FALSE)," "))</f>
        <v/>
      </c>
      <c r="AI334" s="37"/>
      <c r="AJ334" s="44" t="str">
        <f t="shared" si="243"/>
        <v xml:space="preserve"> </v>
      </c>
      <c r="AK334" s="33" t="str">
        <f>IF(OR(ISBLANK(AI334), ISBLANK(AJ334)),"",CONCATENATE(" ",VLOOKUP(AJ334,Literatuur!$A:$B,2,FALSE)," "))</f>
        <v/>
      </c>
      <c r="AM334" s="44" t="str">
        <f t="shared" si="244"/>
        <v xml:space="preserve"> </v>
      </c>
      <c r="AN334" s="33" t="str">
        <f>IF(OR(ISBLANK(AL334), ISBLANK(AM334)),"",CONCATENATE(" ",VLOOKUP(AM334,Literatuur!$A:$B,2,FALSE)," "))</f>
        <v/>
      </c>
      <c r="AP334" s="44" t="str">
        <f t="shared" si="245"/>
        <v xml:space="preserve"> </v>
      </c>
      <c r="AQ334" s="33" t="str">
        <f>IF(OR(ISBLANK(AO334), ISBLANK(AP334)),"",CONCATENATE(" ",VLOOKUP(AP334,Literatuur!$A:$B,2,FALSE)," "))</f>
        <v/>
      </c>
      <c r="AT334" s="33" t="str">
        <f>IF(OR(ISBLANK(AR334), ISBLANK(AS334)),"",CONCATENATE(" ",VLOOKUP(AS334,Literatuur!$A:$B,2,FALSE)," "))</f>
        <v/>
      </c>
      <c r="AW334" s="33" t="str">
        <f>IF(OR(ISBLANK(AU334), ISBLANK(AV334)),"",CONCATENATE(" ",VLOOKUP(AV334,Literatuur!$A:$B,2,FALSE)," "))</f>
        <v/>
      </c>
      <c r="AZ334" s="44" t="str">
        <f t="shared" si="246"/>
        <v xml:space="preserve"> </v>
      </c>
      <c r="BA334" s="33" t="str">
        <f>IF(OR(ISBLANK(AY334), ISBLANK(AZ334)),"",CONCATENATE(" ",VLOOKUP(AZ334,Literatuur!$A:$B,2,FALSE)," "))</f>
        <v/>
      </c>
      <c r="BC334" s="44" t="str">
        <f t="shared" si="247"/>
        <v xml:space="preserve"> </v>
      </c>
      <c r="BD334" s="33" t="str">
        <f>IF(OR(ISBLANK(BB334), ISBLANK(BC334)),"",CONCATENATE(" ",VLOOKUP(BC334,Literatuur!$A:$B,2,FALSE)," "))</f>
        <v/>
      </c>
      <c r="BF334" s="44" t="str">
        <f t="shared" si="248"/>
        <v xml:space="preserve"> </v>
      </c>
      <c r="BG334" s="33" t="str">
        <f>IF(OR(ISBLANK(BE334), ISBLANK(BF334)),"",CONCATENATE(" ",VLOOKUP(BF334,Literatuur!$A:$B,2,FALSE)," "))</f>
        <v/>
      </c>
      <c r="BI334" s="44" t="str">
        <f t="shared" si="249"/>
        <v xml:space="preserve"> </v>
      </c>
      <c r="BJ334" s="33" t="str">
        <f>IF(OR(ISBLANK(BH334), ISBLANK(BI334)),"",CONCATENATE(" ",VLOOKUP(BI334,Literatuur!$A:$B,2,FALSE)," "))</f>
        <v/>
      </c>
      <c r="BL334" s="44" t="str">
        <f t="shared" si="250"/>
        <v xml:space="preserve"> </v>
      </c>
      <c r="BM334" s="33" t="str">
        <f>IF(OR(ISBLANK(BK334), ISBLANK(BL334)),"",CONCATENATE(" ",VLOOKUP(BL334,Literatuur!$A:$B,2,FALSE)," "))</f>
        <v/>
      </c>
      <c r="BP334" s="33" t="str">
        <f>IF(OR(ISBLANK(BN334), ISBLANK(BO334)),"",CONCATENATE(" ",VLOOKUP(BO334,Literatuur!$A:$B,2,FALSE)," "))</f>
        <v/>
      </c>
      <c r="BS334" s="33" t="str">
        <f>IF(OR(ISBLANK(BQ334), ISBLANK(BR334)),"",CONCATENATE(" ",VLOOKUP(BR334,Literatuur!$A:$B,2,FALSE)," "))</f>
        <v/>
      </c>
      <c r="BV334" s="33" t="str">
        <f>IF(OR(ISBLANK(BT334), ISBLANK(BU334)),"",CONCATENATE(" ",VLOOKUP(BU334,Literatuur!$A:$B,2,FALSE)," "))</f>
        <v/>
      </c>
      <c r="CE334" s="37"/>
      <c r="CR334" s="33" t="str">
        <f t="shared" ref="CR334:CR381" si="257">IF(ISBLANK(E334),"",E334)</f>
        <v>2,3-Dichloor-5-nitrotolueen</v>
      </c>
      <c r="CS334" s="33" t="str">
        <f t="shared" ref="CS334:CS381" si="258">IF(ISBLANK(M334),"",M334)</f>
        <v>Cl</v>
      </c>
      <c r="CT334" s="33" t="str">
        <f t="shared" si="254"/>
        <v/>
      </c>
      <c r="CU334" s="33" t="str">
        <f t="shared" ref="CU334:CU355" si="259">IF(ISBLANK(AI334),CONCATENATE(AN334,AQ334,AT334,AW334,AX334),AK334)</f>
        <v/>
      </c>
      <c r="CV334" s="33" t="str">
        <f t="shared" ref="CV334:CV355" si="260">IF(OR(ISBLANK(J334),ISERROR(J334)),"",J334)</f>
        <v/>
      </c>
      <c r="CW334" s="33" t="str">
        <f t="shared" ref="CW334:CW355" si="261">IF(ISBLANK(P334),CONCATENATE(U334,X334,AA334,AD334,AG334),R334)</f>
        <v/>
      </c>
      <c r="CX334" s="33" t="str">
        <f t="shared" ref="CX334:CX355" si="262">IF(OR(ISBLANK(K334),ISERROR(K334)),"",K334)</f>
        <v/>
      </c>
      <c r="CY334" s="33" t="str">
        <f t="shared" ref="CY334:CY355" si="263">IF(ISBLANK(AY334),CONCATENATE(BD334,BG334,BJ334,BM334,BP334,BS334,BV334,BW334),BA334)</f>
        <v/>
      </c>
    </row>
    <row r="335" spans="1:103" x14ac:dyDescent="0.2">
      <c r="B335" s="33">
        <v>544</v>
      </c>
      <c r="D335" s="33" t="s">
        <v>161</v>
      </c>
      <c r="E335" s="33" t="s">
        <v>1343</v>
      </c>
      <c r="H335" s="34" t="s">
        <v>1342</v>
      </c>
      <c r="I335" s="37">
        <f t="shared" si="256"/>
        <v>197.46</v>
      </c>
      <c r="J335" s="33">
        <f t="shared" ref="J335:J358" si="264">IF(ISNUMBER(P335),P335,AVERAGE(S335:AE335))</f>
        <v>243</v>
      </c>
      <c r="K335" s="44">
        <f t="shared" si="255"/>
        <v>3.6950000000000003</v>
      </c>
      <c r="L335" s="33" t="e">
        <f t="shared" si="251"/>
        <v>#DIV/0!</v>
      </c>
      <c r="M335" s="33" t="s">
        <v>1894</v>
      </c>
      <c r="P335" s="33">
        <v>243</v>
      </c>
      <c r="Q335" s="44" t="str">
        <f t="shared" si="238"/>
        <v>Sanscrit</v>
      </c>
      <c r="R335" s="33" t="str">
        <f>IF(OR(ISBLANK(P335), ISBLANK(Q335)),"",CONCATENATE(" ",VLOOKUP(Q335,Literatuur!$A:$B,2,FALSE)," "))</f>
        <v xml:space="preserve"> D </v>
      </c>
      <c r="S335" s="37"/>
      <c r="T335" s="44" t="str">
        <f t="shared" si="239"/>
        <v xml:space="preserve"> </v>
      </c>
      <c r="U335" s="33" t="str">
        <f>IF(OR(ISBLANK(S335), ISBLANK(T335)),"",CONCATENATE(" ",VLOOKUP(T335,Literatuur!$A:$B,2,FALSE)," "))</f>
        <v/>
      </c>
      <c r="V335" s="33">
        <v>800</v>
      </c>
      <c r="W335" s="44" t="str">
        <f t="shared" si="240"/>
        <v>US EPA 1995</v>
      </c>
      <c r="X335" s="33" t="str">
        <f>IF(OR(ISBLANK(V335), ISBLANK(W335)),"",CONCATENATE(" ",VLOOKUP(W335,Literatuur!$A:$B,2,FALSE)," "))</f>
        <v xml:space="preserve"> 30 </v>
      </c>
      <c r="Y335" s="36">
        <v>800</v>
      </c>
      <c r="Z335" s="44" t="str">
        <f t="shared" si="241"/>
        <v>US EPA suite</v>
      </c>
      <c r="AA335" s="33" t="str">
        <f>IF(OR(ISBLANK(Y335), ISBLANK(Z335)),"",CONCATENATE(" ",VLOOKUP(Z335,Literatuur!$A:$B,2,FALSE)," "))</f>
        <v xml:space="preserve"> F </v>
      </c>
      <c r="AB335" s="36">
        <v>800</v>
      </c>
      <c r="AC335" s="36" t="str">
        <f t="shared" si="242"/>
        <v>Vonk 1985</v>
      </c>
      <c r="AD335" s="33" t="str">
        <f>IF(OR(ISBLANK(AB335), ISBLANK(AC335)),"",CONCATENATE(" ",VLOOKUP(AC335,Literatuur!$A:$B,2,FALSE)," "))</f>
        <v xml:space="preserve"> 37 </v>
      </c>
      <c r="AE335" s="36"/>
      <c r="AF335" s="36"/>
      <c r="AG335" s="33" t="str">
        <f>IF(OR(ISBLANK(AE335), ISBLANK(AF335)),"",CONCATENATE(" ",VLOOKUP(AF335,Literatuur!$A:$B,2,FALSE)," "))</f>
        <v/>
      </c>
      <c r="AI335" s="37">
        <v>197.46</v>
      </c>
      <c r="AJ335" s="44" t="str">
        <f t="shared" si="243"/>
        <v>Sanscrit</v>
      </c>
      <c r="AK335" s="33" t="str">
        <f>IF(OR(ISBLANK(AI335), ISBLANK(AJ335)),"",CONCATENATE(" ",VLOOKUP(AJ335,Literatuur!$A:$B,2,FALSE)," "))</f>
        <v xml:space="preserve"> D </v>
      </c>
      <c r="AL335" s="36"/>
      <c r="AM335" s="44" t="str">
        <f t="shared" si="244"/>
        <v xml:space="preserve"> </v>
      </c>
      <c r="AN335" s="33" t="str">
        <f>IF(OR(ISBLANK(AL335), ISBLANK(AM335)),"",CONCATENATE(" ",VLOOKUP(AM335,Literatuur!$A:$B,2,FALSE)," "))</f>
        <v/>
      </c>
      <c r="AO335" s="36">
        <v>197.45</v>
      </c>
      <c r="AP335" s="44" t="str">
        <f t="shared" si="245"/>
        <v>US EPA suite</v>
      </c>
      <c r="AQ335" s="33" t="str">
        <f>IF(OR(ISBLANK(AO335), ISBLANK(AP335)),"",CONCATENATE(" ",VLOOKUP(AP335,Literatuur!$A:$B,2,FALSE)," "))</f>
        <v xml:space="preserve"> F </v>
      </c>
      <c r="AR335" s="36"/>
      <c r="AT335" s="33" t="str">
        <f>IF(OR(ISBLANK(AR335), ISBLANK(AS335)),"",CONCATENATE(" ",VLOOKUP(AS335,Literatuur!$A:$B,2,FALSE)," "))</f>
        <v/>
      </c>
      <c r="AV335" s="36"/>
      <c r="AW335" s="33" t="str">
        <f>IF(OR(ISBLANK(AU335), ISBLANK(AV335)),"",CONCATENATE(" ",VLOOKUP(AV335,Literatuur!$A:$B,2,FALSE)," "))</f>
        <v/>
      </c>
      <c r="AY335" s="44"/>
      <c r="AZ335" s="44" t="str">
        <f t="shared" si="246"/>
        <v xml:space="preserve"> </v>
      </c>
      <c r="BA335" s="33" t="str">
        <f>IF(OR(ISBLANK(AY335), ISBLANK(AZ335)),"",CONCATENATE(" ",VLOOKUP(AZ335,Literatuur!$A:$B,2,FALSE)," "))</f>
        <v/>
      </c>
      <c r="BB335" s="44"/>
      <c r="BC335" s="44" t="str">
        <f t="shared" si="247"/>
        <v xml:space="preserve"> </v>
      </c>
      <c r="BD335" s="33" t="str">
        <f>IF(OR(ISBLANK(BB335), ISBLANK(BC335)),"",CONCATENATE(" ",VLOOKUP(BC335,Literatuur!$A:$B,2,FALSE)," "))</f>
        <v/>
      </c>
      <c r="BE335" s="33">
        <v>3.7</v>
      </c>
      <c r="BF335" s="44" t="str">
        <f t="shared" si="248"/>
        <v>US EPA 1995</v>
      </c>
      <c r="BG335" s="33" t="str">
        <f>IF(OR(ISBLANK(BE335), ISBLANK(BF335)),"",CONCATENATE(" ",VLOOKUP(BF335,Literatuur!$A:$B,2,FALSE)," "))</f>
        <v xml:space="preserve"> 30 </v>
      </c>
      <c r="BH335" s="33">
        <v>3.69</v>
      </c>
      <c r="BI335" s="44" t="str">
        <f t="shared" si="249"/>
        <v>US EPA suite</v>
      </c>
      <c r="BJ335" s="33" t="str">
        <f>IF(OR(ISBLANK(BH335), ISBLANK(BI335)),"",CONCATENATE(" ",VLOOKUP(BI335,Literatuur!$A:$B,2,FALSE)," "))</f>
        <v xml:space="preserve"> F </v>
      </c>
      <c r="BL335" s="44" t="str">
        <f t="shared" si="250"/>
        <v xml:space="preserve"> </v>
      </c>
      <c r="BM335" s="33" t="str">
        <f>IF(OR(ISBLANK(BK335), ISBLANK(BL335)),"",CONCATENATE(" ",VLOOKUP(BL335,Literatuur!$A:$B,2,FALSE)," "))</f>
        <v/>
      </c>
      <c r="BP335" s="33" t="str">
        <f>IF(OR(ISBLANK(BN335), ISBLANK(BO335)),"",CONCATENATE(" ",VLOOKUP(BO335,Literatuur!$A:$B,2,FALSE)," "))</f>
        <v/>
      </c>
      <c r="BS335" s="33" t="str">
        <f>IF(OR(ISBLANK(BQ335), ISBLANK(BR335)),"",CONCATENATE(" ",VLOOKUP(BR335,Literatuur!$A:$B,2,FALSE)," "))</f>
        <v/>
      </c>
      <c r="BV335" s="33" t="str">
        <f>IF(OR(ISBLANK(BT335), ISBLANK(BU335)),"",CONCATENATE(" ",VLOOKUP(BU335,Literatuur!$A:$B,2,FALSE)," "))</f>
        <v/>
      </c>
      <c r="CE335" s="37">
        <f t="shared" ref="CE335:CE341" si="265">I335</f>
        <v>197.46</v>
      </c>
      <c r="CG335" s="33">
        <f t="shared" ref="CG335:CG355" si="266">LOG(J335)</f>
        <v>2.3856062735983121</v>
      </c>
      <c r="CH335" s="33">
        <f t="shared" ref="CH335:CH341" si="267">K335</f>
        <v>3.6950000000000003</v>
      </c>
      <c r="CR335" s="33" t="str">
        <f t="shared" si="257"/>
        <v>2,4,6-Trichlorophenol</v>
      </c>
      <c r="CS335" s="33" t="str">
        <f t="shared" si="258"/>
        <v>Cl</v>
      </c>
      <c r="CT335" s="33">
        <f t="shared" si="254"/>
        <v>197.46</v>
      </c>
      <c r="CU335" s="33" t="str">
        <f t="shared" si="259"/>
        <v xml:space="preserve"> D </v>
      </c>
      <c r="CV335" s="33">
        <f t="shared" si="260"/>
        <v>243</v>
      </c>
      <c r="CW335" s="33" t="str">
        <f t="shared" si="261"/>
        <v xml:space="preserve"> D </v>
      </c>
      <c r="CX335" s="33">
        <f t="shared" si="262"/>
        <v>3.6950000000000003</v>
      </c>
      <c r="CY335" s="33" t="str">
        <f t="shared" si="263"/>
        <v xml:space="preserve"> 30  F </v>
      </c>
    </row>
    <row r="336" spans="1:103" x14ac:dyDescent="0.2">
      <c r="B336" s="33">
        <v>-1401</v>
      </c>
      <c r="D336" s="33" t="s">
        <v>325</v>
      </c>
      <c r="E336" s="33" t="s">
        <v>1323</v>
      </c>
      <c r="F336" s="33" t="s">
        <v>1324</v>
      </c>
      <c r="H336" s="34" t="s">
        <v>1322</v>
      </c>
      <c r="I336" s="37">
        <f t="shared" si="256"/>
        <v>127.57</v>
      </c>
      <c r="J336" s="33">
        <f t="shared" si="264"/>
        <v>8160</v>
      </c>
      <c r="K336" s="44">
        <f t="shared" si="255"/>
        <v>1.9</v>
      </c>
      <c r="L336" s="33" t="e">
        <f t="shared" si="251"/>
        <v>#DIV/0!</v>
      </c>
      <c r="M336" s="33" t="s">
        <v>1894</v>
      </c>
      <c r="Q336" s="44" t="str">
        <f t="shared" si="238"/>
        <v xml:space="preserve"> </v>
      </c>
      <c r="R336" s="33" t="str">
        <f>IF(OR(ISBLANK(P336), ISBLANK(Q336)),"",CONCATENATE(" ",VLOOKUP(Q336,Literatuur!$A:$B,2,FALSE)," "))</f>
        <v/>
      </c>
      <c r="T336" s="44" t="str">
        <f t="shared" si="239"/>
        <v xml:space="preserve"> </v>
      </c>
      <c r="U336" s="33" t="str">
        <f>IF(OR(ISBLANK(S336), ISBLANK(T336)),"",CONCATENATE(" ",VLOOKUP(T336,Literatuur!$A:$B,2,FALSE)," "))</f>
        <v/>
      </c>
      <c r="W336" s="44" t="str">
        <f t="shared" si="240"/>
        <v xml:space="preserve"> </v>
      </c>
      <c r="X336" s="33" t="str">
        <f>IF(OR(ISBLANK(V336), ISBLANK(W336)),"",CONCATENATE(" ",VLOOKUP(W336,Literatuur!$A:$B,2,FALSE)," "))</f>
        <v/>
      </c>
      <c r="Y336" s="33">
        <v>8160</v>
      </c>
      <c r="Z336" s="44" t="str">
        <f t="shared" si="241"/>
        <v>US EPA suite</v>
      </c>
      <c r="AA336" s="33" t="str">
        <f>IF(OR(ISBLANK(Y336), ISBLANK(Z336)),"",CONCATENATE(" ",VLOOKUP(Z336,Literatuur!$A:$B,2,FALSE)," "))</f>
        <v xml:space="preserve"> F </v>
      </c>
      <c r="AB336" s="40"/>
      <c r="AC336" s="36" t="str">
        <f t="shared" si="242"/>
        <v xml:space="preserve"> </v>
      </c>
      <c r="AD336" s="33" t="str">
        <f>IF(OR(ISBLANK(AB336), ISBLANK(AC336)),"",CONCATENATE(" ",VLOOKUP(AC336,Literatuur!$A:$B,2,FALSE)," "))</f>
        <v/>
      </c>
      <c r="AE336" s="40"/>
      <c r="AF336" s="40"/>
      <c r="AG336" s="33" t="str">
        <f>IF(OR(ISBLANK(AE336), ISBLANK(AF336)),"",CONCATENATE(" ",VLOOKUP(AF336,Literatuur!$A:$B,2,FALSE)," "))</f>
        <v/>
      </c>
      <c r="AI336" s="37"/>
      <c r="AJ336" s="44" t="str">
        <f t="shared" si="243"/>
        <v xml:space="preserve"> </v>
      </c>
      <c r="AK336" s="33" t="str">
        <f>IF(OR(ISBLANK(AI336), ISBLANK(AJ336)),"",CONCATENATE(" ",VLOOKUP(AJ336,Literatuur!$A:$B,2,FALSE)," "))</f>
        <v/>
      </c>
      <c r="AL336" s="40"/>
      <c r="AM336" s="44" t="str">
        <f t="shared" si="244"/>
        <v xml:space="preserve"> </v>
      </c>
      <c r="AN336" s="33" t="str">
        <f>IF(OR(ISBLANK(AL336), ISBLANK(AM336)),"",CONCATENATE(" ",VLOOKUP(AM336,Literatuur!$A:$B,2,FALSE)," "))</f>
        <v/>
      </c>
      <c r="AO336" s="40">
        <v>127.57</v>
      </c>
      <c r="AP336" s="44" t="str">
        <f t="shared" si="245"/>
        <v>US EPA suite</v>
      </c>
      <c r="AQ336" s="33" t="str">
        <f>IF(OR(ISBLANK(AO336), ISBLANK(AP336)),"",CONCATENATE(" ",VLOOKUP(AP336,Literatuur!$A:$B,2,FALSE)," "))</f>
        <v xml:space="preserve"> F </v>
      </c>
      <c r="AR336" s="40"/>
      <c r="AT336" s="33" t="str">
        <f>IF(OR(ISBLANK(AR336), ISBLANK(AS336)),"",CONCATENATE(" ",VLOOKUP(AS336,Literatuur!$A:$B,2,FALSE)," "))</f>
        <v/>
      </c>
      <c r="AV336" s="40"/>
      <c r="AW336" s="33" t="str">
        <f>IF(OR(ISBLANK(AU336), ISBLANK(AV336)),"",CONCATENATE(" ",VLOOKUP(AV336,Literatuur!$A:$B,2,FALSE)," "))</f>
        <v/>
      </c>
      <c r="AZ336" s="44" t="str">
        <f t="shared" si="246"/>
        <v xml:space="preserve"> </v>
      </c>
      <c r="BA336" s="33" t="str">
        <f>IF(OR(ISBLANK(AY336), ISBLANK(AZ336)),"",CONCATENATE(" ",VLOOKUP(AZ336,Literatuur!$A:$B,2,FALSE)," "))</f>
        <v/>
      </c>
      <c r="BC336" s="44" t="str">
        <f t="shared" si="247"/>
        <v xml:space="preserve"> </v>
      </c>
      <c r="BD336" s="33" t="str">
        <f>IF(OR(ISBLANK(BB336), ISBLANK(BC336)),"",CONCATENATE(" ",VLOOKUP(BC336,Literatuur!$A:$B,2,FALSE)," "))</f>
        <v/>
      </c>
      <c r="BF336" s="44" t="str">
        <f t="shared" si="248"/>
        <v xml:space="preserve"> </v>
      </c>
      <c r="BG336" s="33" t="str">
        <f>IF(OR(ISBLANK(BE336), ISBLANK(BF336)),"",CONCATENATE(" ",VLOOKUP(BF336,Literatuur!$A:$B,2,FALSE)," "))</f>
        <v/>
      </c>
      <c r="BH336" s="33">
        <v>1.9</v>
      </c>
      <c r="BI336" s="44" t="str">
        <f t="shared" si="249"/>
        <v>US EPA suite</v>
      </c>
      <c r="BJ336" s="33" t="str">
        <f>IF(OR(ISBLANK(BH336), ISBLANK(BI336)),"",CONCATENATE(" ",VLOOKUP(BI336,Literatuur!$A:$B,2,FALSE)," "))</f>
        <v xml:space="preserve"> F </v>
      </c>
      <c r="BL336" s="44" t="str">
        <f t="shared" si="250"/>
        <v xml:space="preserve"> </v>
      </c>
      <c r="BM336" s="33" t="str">
        <f>IF(OR(ISBLANK(BK336), ISBLANK(BL336)),"",CONCATENATE(" ",VLOOKUP(BL336,Literatuur!$A:$B,2,FALSE)," "))</f>
        <v/>
      </c>
      <c r="BP336" s="33" t="str">
        <f>IF(OR(ISBLANK(BN336), ISBLANK(BO336)),"",CONCATENATE(" ",VLOOKUP(BO336,Literatuur!$A:$B,2,FALSE)," "))</f>
        <v/>
      </c>
      <c r="BS336" s="33" t="str">
        <f>IF(OR(ISBLANK(BQ336), ISBLANK(BR336)),"",CONCATENATE(" ",VLOOKUP(BR336,Literatuur!$A:$B,2,FALSE)," "))</f>
        <v/>
      </c>
      <c r="BV336" s="33" t="str">
        <f>IF(OR(ISBLANK(BT336), ISBLANK(BU336)),"",CONCATENATE(" ",VLOOKUP(BU336,Literatuur!$A:$B,2,FALSE)," "))</f>
        <v/>
      </c>
      <c r="CE336" s="37">
        <f t="shared" si="265"/>
        <v>127.57</v>
      </c>
      <c r="CG336" s="33">
        <f t="shared" si="266"/>
        <v>3.9116901587538613</v>
      </c>
      <c r="CH336" s="33">
        <f t="shared" si="267"/>
        <v>1.9</v>
      </c>
      <c r="CR336" s="33" t="str">
        <f t="shared" si="257"/>
        <v>2-Chloroaniline</v>
      </c>
      <c r="CS336" s="33" t="str">
        <f t="shared" si="258"/>
        <v>Cl</v>
      </c>
      <c r="CT336" s="33">
        <f t="shared" si="254"/>
        <v>127.57</v>
      </c>
      <c r="CU336" s="33" t="str">
        <f t="shared" si="259"/>
        <v xml:space="preserve"> F </v>
      </c>
      <c r="CV336" s="33">
        <f t="shared" si="260"/>
        <v>8160</v>
      </c>
      <c r="CW336" s="33" t="str">
        <f t="shared" si="261"/>
        <v xml:space="preserve"> F </v>
      </c>
      <c r="CX336" s="33">
        <f t="shared" si="262"/>
        <v>1.9</v>
      </c>
      <c r="CY336" s="33" t="str">
        <f t="shared" si="263"/>
        <v xml:space="preserve"> F </v>
      </c>
    </row>
    <row r="337" spans="1:103" x14ac:dyDescent="0.2">
      <c r="B337" s="33">
        <v>543</v>
      </c>
      <c r="D337" s="33" t="s">
        <v>160</v>
      </c>
      <c r="E337" s="33" t="s">
        <v>1345</v>
      </c>
      <c r="H337" s="34" t="s">
        <v>1344</v>
      </c>
      <c r="I337" s="37">
        <f t="shared" si="256"/>
        <v>197.45</v>
      </c>
      <c r="J337" s="33">
        <f t="shared" si="264"/>
        <v>34.6</v>
      </c>
      <c r="K337" s="44">
        <f t="shared" si="255"/>
        <v>4.01</v>
      </c>
      <c r="L337" s="33" t="e">
        <f t="shared" si="251"/>
        <v>#DIV/0!</v>
      </c>
      <c r="M337" s="33" t="s">
        <v>1894</v>
      </c>
      <c r="P337" s="33">
        <v>34.6</v>
      </c>
      <c r="Q337" s="44" t="str">
        <f t="shared" si="238"/>
        <v>Sanscrit</v>
      </c>
      <c r="R337" s="33" t="str">
        <f>IF(OR(ISBLANK(P337), ISBLANK(Q337)),"",CONCATENATE(" ",VLOOKUP(Q337,Literatuur!$A:$B,2,FALSE)," "))</f>
        <v xml:space="preserve"> D </v>
      </c>
      <c r="T337" s="44" t="str">
        <f t="shared" si="239"/>
        <v xml:space="preserve"> </v>
      </c>
      <c r="U337" s="33" t="str">
        <f>IF(OR(ISBLANK(S337), ISBLANK(T337)),"",CONCATENATE(" ",VLOOKUP(T337,Literatuur!$A:$B,2,FALSE)," "))</f>
        <v/>
      </c>
      <c r="W337" s="44" t="str">
        <f t="shared" si="240"/>
        <v xml:space="preserve"> </v>
      </c>
      <c r="X337" s="33" t="str">
        <f>IF(OR(ISBLANK(V337), ISBLANK(W337)),"",CONCATENATE(" ",VLOOKUP(W337,Literatuur!$A:$B,2,FALSE)," "))</f>
        <v/>
      </c>
      <c r="Z337" s="44" t="str">
        <f t="shared" si="241"/>
        <v xml:space="preserve"> </v>
      </c>
      <c r="AA337" s="33" t="str">
        <f>IF(OR(ISBLANK(Y337), ISBLANK(Z337)),"",CONCATENATE(" ",VLOOKUP(Z337,Literatuur!$A:$B,2,FALSE)," "))</f>
        <v/>
      </c>
      <c r="AC337" s="36" t="str">
        <f t="shared" si="242"/>
        <v xml:space="preserve"> </v>
      </c>
      <c r="AD337" s="33" t="str">
        <f>IF(OR(ISBLANK(AB337), ISBLANK(AC337)),"",CONCATENATE(" ",VLOOKUP(AC337,Literatuur!$A:$B,2,FALSE)," "))</f>
        <v/>
      </c>
      <c r="AE337" s="33">
        <v>64.5</v>
      </c>
      <c r="AF337" s="33" t="s">
        <v>1907</v>
      </c>
      <c r="AG337" s="33" t="str">
        <f>IF(OR(ISBLANK(AE337), ISBLANK(AF337)),"",CONCATENATE(" ",VLOOKUP(AF337,Literatuur!$A:$B,2,FALSE)," "))</f>
        <v xml:space="preserve"> E </v>
      </c>
      <c r="AI337" s="37">
        <v>197.45</v>
      </c>
      <c r="AJ337" s="44" t="str">
        <f t="shared" si="243"/>
        <v>Sanscrit</v>
      </c>
      <c r="AK337" s="33" t="str">
        <f>IF(OR(ISBLANK(AI337), ISBLANK(AJ337)),"",CONCATENATE(" ",VLOOKUP(AJ337,Literatuur!$A:$B,2,FALSE)," "))</f>
        <v xml:space="preserve"> D </v>
      </c>
      <c r="AM337" s="44" t="str">
        <f t="shared" si="244"/>
        <v xml:space="preserve"> </v>
      </c>
      <c r="AN337" s="33" t="str">
        <f>IF(OR(ISBLANK(AL337), ISBLANK(AM337)),"",CONCATENATE(" ",VLOOKUP(AM337,Literatuur!$A:$B,2,FALSE)," "))</f>
        <v/>
      </c>
      <c r="AO337" s="36">
        <v>197.45</v>
      </c>
      <c r="AP337" s="44" t="str">
        <f t="shared" si="245"/>
        <v>US EPA suite</v>
      </c>
      <c r="AQ337" s="33" t="str">
        <f>IF(OR(ISBLANK(AO337), ISBLANK(AP337)),"",CONCATENATE(" ",VLOOKUP(AP337,Literatuur!$A:$B,2,FALSE)," "))</f>
        <v xml:space="preserve"> F </v>
      </c>
      <c r="AR337" s="36"/>
      <c r="AT337" s="33" t="str">
        <f>IF(OR(ISBLANK(AR337), ISBLANK(AS337)),"",CONCATENATE(" ",VLOOKUP(AS337,Literatuur!$A:$B,2,FALSE)," "))</f>
        <v/>
      </c>
      <c r="AU337" s="33">
        <v>197.44800000000001</v>
      </c>
      <c r="AV337" s="33" t="s">
        <v>1346</v>
      </c>
      <c r="AW337" s="33" t="e">
        <f>IF(OR(ISBLANK(AU337), ISBLANK(AV337)),"",CONCATENATE(" ",VLOOKUP(AV337,Literatuur!$A:$B,2,FALSE)," "))</f>
        <v>#N/A</v>
      </c>
      <c r="AZ337" s="44" t="str">
        <f t="shared" si="246"/>
        <v xml:space="preserve"> </v>
      </c>
      <c r="BA337" s="33" t="str">
        <f>IF(OR(ISBLANK(AY337), ISBLANK(AZ337)),"",CONCATENATE(" ",VLOOKUP(AZ337,Literatuur!$A:$B,2,FALSE)," "))</f>
        <v/>
      </c>
      <c r="BC337" s="44" t="str">
        <f t="shared" si="247"/>
        <v xml:space="preserve"> </v>
      </c>
      <c r="BD337" s="33" t="str">
        <f>IF(OR(ISBLANK(BB337), ISBLANK(BC337)),"",CONCATENATE(" ",VLOOKUP(BC337,Literatuur!$A:$B,2,FALSE)," "))</f>
        <v/>
      </c>
      <c r="BF337" s="44" t="str">
        <f t="shared" si="248"/>
        <v xml:space="preserve"> </v>
      </c>
      <c r="BG337" s="33" t="str">
        <f>IF(OR(ISBLANK(BE337), ISBLANK(BF337)),"",CONCATENATE(" ",VLOOKUP(BF337,Literatuur!$A:$B,2,FALSE)," "))</f>
        <v/>
      </c>
      <c r="BI337" s="44" t="str">
        <f t="shared" si="249"/>
        <v xml:space="preserve"> </v>
      </c>
      <c r="BJ337" s="33" t="str">
        <f>IF(OR(ISBLANK(BH337), ISBLANK(BI337)),"",CONCATENATE(" ",VLOOKUP(BI337,Literatuur!$A:$B,2,FALSE)," "))</f>
        <v/>
      </c>
      <c r="BL337" s="44" t="str">
        <f t="shared" si="250"/>
        <v xml:space="preserve"> </v>
      </c>
      <c r="BM337" s="33" t="str">
        <f>IF(OR(ISBLANK(BK337), ISBLANK(BL337)),"",CONCATENATE(" ",VLOOKUP(BL337,Literatuur!$A:$B,2,FALSE)," "))</f>
        <v/>
      </c>
      <c r="BP337" s="33" t="str">
        <f>IF(OR(ISBLANK(BN337), ISBLANK(BO337)),"",CONCATENATE(" ",VLOOKUP(BO337,Literatuur!$A:$B,2,FALSE)," "))</f>
        <v/>
      </c>
      <c r="BS337" s="33" t="str">
        <f>IF(OR(ISBLANK(BQ337), ISBLANK(BR337)),"",CONCATENATE(" ",VLOOKUP(BR337,Literatuur!$A:$B,2,FALSE)," "))</f>
        <v/>
      </c>
      <c r="BT337" s="33">
        <v>4.01</v>
      </c>
      <c r="BU337" s="33" t="s">
        <v>1907</v>
      </c>
      <c r="BV337" s="33" t="str">
        <f>IF(OR(ISBLANK(BT337), ISBLANK(BU337)),"",CONCATENATE(" ",VLOOKUP(BU337,Literatuur!$A:$B,2,FALSE)," "))</f>
        <v xml:space="preserve"> E </v>
      </c>
      <c r="CE337" s="37">
        <f t="shared" si="265"/>
        <v>197.45</v>
      </c>
      <c r="CG337" s="33">
        <f t="shared" si="266"/>
        <v>1.5390760987927767</v>
      </c>
      <c r="CH337" s="33">
        <f t="shared" si="267"/>
        <v>4.01</v>
      </c>
      <c r="CR337" s="33" t="str">
        <f t="shared" si="257"/>
        <v>3,4,5-Trichlorophenol</v>
      </c>
      <c r="CS337" s="33" t="str">
        <f t="shared" si="258"/>
        <v>Cl</v>
      </c>
      <c r="CT337" s="33">
        <f t="shared" si="254"/>
        <v>197.45</v>
      </c>
      <c r="CU337" s="33" t="str">
        <f t="shared" si="259"/>
        <v xml:space="preserve"> D </v>
      </c>
      <c r="CV337" s="33">
        <f t="shared" si="260"/>
        <v>34.6</v>
      </c>
      <c r="CW337" s="33" t="str">
        <f t="shared" si="261"/>
        <v xml:space="preserve"> D </v>
      </c>
      <c r="CX337" s="33">
        <f t="shared" si="262"/>
        <v>4.01</v>
      </c>
      <c r="CY337" s="33" t="str">
        <f t="shared" si="263"/>
        <v xml:space="preserve"> E </v>
      </c>
    </row>
    <row r="338" spans="1:103" x14ac:dyDescent="0.2">
      <c r="B338" s="33">
        <v>-1402</v>
      </c>
      <c r="D338" s="33" t="s">
        <v>326</v>
      </c>
      <c r="E338" s="33" t="s">
        <v>1326</v>
      </c>
      <c r="F338" s="33" t="s">
        <v>1327</v>
      </c>
      <c r="H338" s="34" t="s">
        <v>1325</v>
      </c>
      <c r="I338" s="37">
        <f t="shared" si="256"/>
        <v>127.57</v>
      </c>
      <c r="J338" s="33">
        <f t="shared" si="264"/>
        <v>5400</v>
      </c>
      <c r="K338" s="44">
        <f t="shared" si="255"/>
        <v>1.88</v>
      </c>
      <c r="L338" s="33" t="e">
        <f t="shared" si="251"/>
        <v>#DIV/0!</v>
      </c>
      <c r="M338" s="33" t="s">
        <v>1894</v>
      </c>
      <c r="Q338" s="44" t="str">
        <f t="shared" si="238"/>
        <v xml:space="preserve"> </v>
      </c>
      <c r="R338" s="33" t="str">
        <f>IF(OR(ISBLANK(P338), ISBLANK(Q338)),"",CONCATENATE(" ",VLOOKUP(Q338,Literatuur!$A:$B,2,FALSE)," "))</f>
        <v/>
      </c>
      <c r="T338" s="44" t="str">
        <f t="shared" si="239"/>
        <v xml:space="preserve"> </v>
      </c>
      <c r="U338" s="33" t="str">
        <f>IF(OR(ISBLANK(S338), ISBLANK(T338)),"",CONCATENATE(" ",VLOOKUP(T338,Literatuur!$A:$B,2,FALSE)," "))</f>
        <v/>
      </c>
      <c r="W338" s="44" t="str">
        <f t="shared" si="240"/>
        <v xml:space="preserve"> </v>
      </c>
      <c r="X338" s="33" t="str">
        <f>IF(OR(ISBLANK(V338), ISBLANK(W338)),"",CONCATENATE(" ",VLOOKUP(W338,Literatuur!$A:$B,2,FALSE)," "))</f>
        <v/>
      </c>
      <c r="Y338" s="33">
        <v>5400</v>
      </c>
      <c r="Z338" s="44" t="str">
        <f t="shared" si="241"/>
        <v>US EPA suite</v>
      </c>
      <c r="AA338" s="33" t="str">
        <f>IF(OR(ISBLANK(Y338), ISBLANK(Z338)),"",CONCATENATE(" ",VLOOKUP(Z338,Literatuur!$A:$B,2,FALSE)," "))</f>
        <v xml:space="preserve"> F </v>
      </c>
      <c r="AB338" s="40"/>
      <c r="AC338" s="36" t="str">
        <f t="shared" si="242"/>
        <v xml:space="preserve"> </v>
      </c>
      <c r="AD338" s="33" t="str">
        <f>IF(OR(ISBLANK(AB338), ISBLANK(AC338)),"",CONCATENATE(" ",VLOOKUP(AC338,Literatuur!$A:$B,2,FALSE)," "))</f>
        <v/>
      </c>
      <c r="AE338" s="40"/>
      <c r="AF338" s="40"/>
      <c r="AG338" s="33" t="str">
        <f>IF(OR(ISBLANK(AE338), ISBLANK(AF338)),"",CONCATENATE(" ",VLOOKUP(AF338,Literatuur!$A:$B,2,FALSE)," "))</f>
        <v/>
      </c>
      <c r="AI338" s="37"/>
      <c r="AJ338" s="44" t="str">
        <f t="shared" si="243"/>
        <v xml:space="preserve"> </v>
      </c>
      <c r="AK338" s="33" t="str">
        <f>IF(OR(ISBLANK(AI338), ISBLANK(AJ338)),"",CONCATENATE(" ",VLOOKUP(AJ338,Literatuur!$A:$B,2,FALSE)," "))</f>
        <v/>
      </c>
      <c r="AL338" s="40"/>
      <c r="AM338" s="44" t="str">
        <f t="shared" si="244"/>
        <v xml:space="preserve"> </v>
      </c>
      <c r="AN338" s="33" t="str">
        <f>IF(OR(ISBLANK(AL338), ISBLANK(AM338)),"",CONCATENATE(" ",VLOOKUP(AM338,Literatuur!$A:$B,2,FALSE)," "))</f>
        <v/>
      </c>
      <c r="AO338" s="40">
        <v>127.57</v>
      </c>
      <c r="AP338" s="44" t="str">
        <f t="shared" si="245"/>
        <v>US EPA suite</v>
      </c>
      <c r="AQ338" s="33" t="str">
        <f>IF(OR(ISBLANK(AO338), ISBLANK(AP338)),"",CONCATENATE(" ",VLOOKUP(AP338,Literatuur!$A:$B,2,FALSE)," "))</f>
        <v xml:space="preserve"> F </v>
      </c>
      <c r="AR338" s="40"/>
      <c r="AT338" s="33" t="str">
        <f>IF(OR(ISBLANK(AR338), ISBLANK(AS338)),"",CONCATENATE(" ",VLOOKUP(AS338,Literatuur!$A:$B,2,FALSE)," "))</f>
        <v/>
      </c>
      <c r="AV338" s="40"/>
      <c r="AW338" s="33" t="str">
        <f>IF(OR(ISBLANK(AU338), ISBLANK(AV338)),"",CONCATENATE(" ",VLOOKUP(AV338,Literatuur!$A:$B,2,FALSE)," "))</f>
        <v/>
      </c>
      <c r="AZ338" s="44" t="str">
        <f t="shared" si="246"/>
        <v xml:space="preserve"> </v>
      </c>
      <c r="BA338" s="33" t="str">
        <f>IF(OR(ISBLANK(AY338), ISBLANK(AZ338)),"",CONCATENATE(" ",VLOOKUP(AZ338,Literatuur!$A:$B,2,FALSE)," "))</f>
        <v/>
      </c>
      <c r="BC338" s="44" t="str">
        <f t="shared" si="247"/>
        <v xml:space="preserve"> </v>
      </c>
      <c r="BD338" s="33" t="str">
        <f>IF(OR(ISBLANK(BB338), ISBLANK(BC338)),"",CONCATENATE(" ",VLOOKUP(BC338,Literatuur!$A:$B,2,FALSE)," "))</f>
        <v/>
      </c>
      <c r="BF338" s="44" t="str">
        <f t="shared" si="248"/>
        <v xml:space="preserve"> </v>
      </c>
      <c r="BG338" s="33" t="str">
        <f>IF(OR(ISBLANK(BE338), ISBLANK(BF338)),"",CONCATENATE(" ",VLOOKUP(BF338,Literatuur!$A:$B,2,FALSE)," "))</f>
        <v/>
      </c>
      <c r="BH338" s="33">
        <v>1.88</v>
      </c>
      <c r="BI338" s="44" t="str">
        <f t="shared" si="249"/>
        <v>US EPA suite</v>
      </c>
      <c r="BJ338" s="33" t="str">
        <f>IF(OR(ISBLANK(BH338), ISBLANK(BI338)),"",CONCATENATE(" ",VLOOKUP(BI338,Literatuur!$A:$B,2,FALSE)," "))</f>
        <v xml:space="preserve"> F </v>
      </c>
      <c r="BL338" s="44" t="str">
        <f t="shared" si="250"/>
        <v xml:space="preserve"> </v>
      </c>
      <c r="BM338" s="33" t="str">
        <f>IF(OR(ISBLANK(BK338), ISBLANK(BL338)),"",CONCATENATE(" ",VLOOKUP(BL338,Literatuur!$A:$B,2,FALSE)," "))</f>
        <v/>
      </c>
      <c r="BP338" s="33" t="str">
        <f>IF(OR(ISBLANK(BN338), ISBLANK(BO338)),"",CONCATENATE(" ",VLOOKUP(BO338,Literatuur!$A:$B,2,FALSE)," "))</f>
        <v/>
      </c>
      <c r="BS338" s="33" t="str">
        <f>IF(OR(ISBLANK(BQ338), ISBLANK(BR338)),"",CONCATENATE(" ",VLOOKUP(BR338,Literatuur!$A:$B,2,FALSE)," "))</f>
        <v/>
      </c>
      <c r="BV338" s="33" t="str">
        <f>IF(OR(ISBLANK(BT338), ISBLANK(BU338)),"",CONCATENATE(" ",VLOOKUP(BU338,Literatuur!$A:$B,2,FALSE)," "))</f>
        <v/>
      </c>
      <c r="CE338" s="37">
        <f t="shared" si="265"/>
        <v>127.57</v>
      </c>
      <c r="CG338" s="33">
        <f t="shared" si="266"/>
        <v>3.7323937598229686</v>
      </c>
      <c r="CH338" s="33">
        <f t="shared" si="267"/>
        <v>1.88</v>
      </c>
      <c r="CR338" s="33" t="str">
        <f t="shared" si="257"/>
        <v>3-Chloroaniline</v>
      </c>
      <c r="CS338" s="33" t="str">
        <f t="shared" si="258"/>
        <v>Cl</v>
      </c>
      <c r="CT338" s="33">
        <f t="shared" si="254"/>
        <v>127.57</v>
      </c>
      <c r="CU338" s="33" t="str">
        <f t="shared" si="259"/>
        <v xml:space="preserve"> F </v>
      </c>
      <c r="CV338" s="33">
        <f t="shared" si="260"/>
        <v>5400</v>
      </c>
      <c r="CW338" s="33" t="str">
        <f t="shared" si="261"/>
        <v xml:space="preserve"> F </v>
      </c>
      <c r="CX338" s="33">
        <f t="shared" si="262"/>
        <v>1.88</v>
      </c>
      <c r="CY338" s="33" t="str">
        <f t="shared" si="263"/>
        <v xml:space="preserve"> F </v>
      </c>
    </row>
    <row r="339" spans="1:103" x14ac:dyDescent="0.2">
      <c r="B339" s="33">
        <v>-1403</v>
      </c>
      <c r="D339" s="33" t="s">
        <v>327</v>
      </c>
      <c r="E339" s="33" t="s">
        <v>1329</v>
      </c>
      <c r="H339" s="34" t="s">
        <v>1328</v>
      </c>
      <c r="I339" s="37">
        <f t="shared" si="256"/>
        <v>127.57</v>
      </c>
      <c r="J339" s="33">
        <f t="shared" si="264"/>
        <v>3900</v>
      </c>
      <c r="K339" s="44">
        <f t="shared" si="255"/>
        <v>1.83</v>
      </c>
      <c r="L339" s="33" t="e">
        <f t="shared" si="251"/>
        <v>#DIV/0!</v>
      </c>
      <c r="M339" s="33" t="s">
        <v>1894</v>
      </c>
      <c r="Q339" s="44" t="str">
        <f t="shared" si="238"/>
        <v xml:space="preserve"> </v>
      </c>
      <c r="R339" s="33" t="str">
        <f>IF(OR(ISBLANK(P339), ISBLANK(Q339)),"",CONCATENATE(" ",VLOOKUP(Q339,Literatuur!$A:$B,2,FALSE)," "))</f>
        <v/>
      </c>
      <c r="T339" s="44" t="str">
        <f t="shared" si="239"/>
        <v xml:space="preserve"> </v>
      </c>
      <c r="U339" s="33" t="str">
        <f>IF(OR(ISBLANK(S339), ISBLANK(T339)),"",CONCATENATE(" ",VLOOKUP(T339,Literatuur!$A:$B,2,FALSE)," "))</f>
        <v/>
      </c>
      <c r="W339" s="44" t="str">
        <f t="shared" si="240"/>
        <v xml:space="preserve"> </v>
      </c>
      <c r="X339" s="33" t="str">
        <f>IF(OR(ISBLANK(V339), ISBLANK(W339)),"",CONCATENATE(" ",VLOOKUP(W339,Literatuur!$A:$B,2,FALSE)," "))</f>
        <v/>
      </c>
      <c r="Y339" s="33">
        <v>3900</v>
      </c>
      <c r="Z339" s="44" t="str">
        <f t="shared" si="241"/>
        <v>US EPA suite</v>
      </c>
      <c r="AA339" s="33" t="str">
        <f>IF(OR(ISBLANK(Y339), ISBLANK(Z339)),"",CONCATENATE(" ",VLOOKUP(Z339,Literatuur!$A:$B,2,FALSE)," "))</f>
        <v xml:space="preserve"> F </v>
      </c>
      <c r="AB339" s="40"/>
      <c r="AC339" s="36" t="str">
        <f t="shared" si="242"/>
        <v xml:space="preserve"> </v>
      </c>
      <c r="AD339" s="33" t="str">
        <f>IF(OR(ISBLANK(AB339), ISBLANK(AC339)),"",CONCATENATE(" ",VLOOKUP(AC339,Literatuur!$A:$B,2,FALSE)," "))</f>
        <v/>
      </c>
      <c r="AE339" s="40"/>
      <c r="AF339" s="40"/>
      <c r="AG339" s="33" t="str">
        <f>IF(OR(ISBLANK(AE339), ISBLANK(AF339)),"",CONCATENATE(" ",VLOOKUP(AF339,Literatuur!$A:$B,2,FALSE)," "))</f>
        <v/>
      </c>
      <c r="AI339" s="37"/>
      <c r="AJ339" s="44" t="str">
        <f t="shared" si="243"/>
        <v xml:space="preserve"> </v>
      </c>
      <c r="AK339" s="33" t="str">
        <f>IF(OR(ISBLANK(AI339), ISBLANK(AJ339)),"",CONCATENATE(" ",VLOOKUP(AJ339,Literatuur!$A:$B,2,FALSE)," "))</f>
        <v/>
      </c>
      <c r="AL339" s="40"/>
      <c r="AM339" s="44" t="str">
        <f t="shared" si="244"/>
        <v xml:space="preserve"> </v>
      </c>
      <c r="AN339" s="33" t="str">
        <f>IF(OR(ISBLANK(AL339), ISBLANK(AM339)),"",CONCATENATE(" ",VLOOKUP(AM339,Literatuur!$A:$B,2,FALSE)," "))</f>
        <v/>
      </c>
      <c r="AO339" s="40">
        <v>127.57</v>
      </c>
      <c r="AP339" s="44" t="str">
        <f t="shared" si="245"/>
        <v>US EPA suite</v>
      </c>
      <c r="AQ339" s="33" t="str">
        <f>IF(OR(ISBLANK(AO339), ISBLANK(AP339)),"",CONCATENATE(" ",VLOOKUP(AP339,Literatuur!$A:$B,2,FALSE)," "))</f>
        <v xml:space="preserve"> F </v>
      </c>
      <c r="AR339" s="40"/>
      <c r="AT339" s="33" t="str">
        <f>IF(OR(ISBLANK(AR339), ISBLANK(AS339)),"",CONCATENATE(" ",VLOOKUP(AS339,Literatuur!$A:$B,2,FALSE)," "))</f>
        <v/>
      </c>
      <c r="AV339" s="40"/>
      <c r="AW339" s="33" t="str">
        <f>IF(OR(ISBLANK(AU339), ISBLANK(AV339)),"",CONCATENATE(" ",VLOOKUP(AV339,Literatuur!$A:$B,2,FALSE)," "))</f>
        <v/>
      </c>
      <c r="AZ339" s="44" t="str">
        <f t="shared" si="246"/>
        <v xml:space="preserve"> </v>
      </c>
      <c r="BA339" s="33" t="str">
        <f>IF(OR(ISBLANK(AY339), ISBLANK(AZ339)),"",CONCATENATE(" ",VLOOKUP(AZ339,Literatuur!$A:$B,2,FALSE)," "))</f>
        <v/>
      </c>
      <c r="BC339" s="44" t="str">
        <f t="shared" si="247"/>
        <v xml:space="preserve"> </v>
      </c>
      <c r="BD339" s="33" t="str">
        <f>IF(OR(ISBLANK(BB339), ISBLANK(BC339)),"",CONCATENATE(" ",VLOOKUP(BC339,Literatuur!$A:$B,2,FALSE)," "))</f>
        <v/>
      </c>
      <c r="BF339" s="44" t="str">
        <f t="shared" si="248"/>
        <v xml:space="preserve"> </v>
      </c>
      <c r="BG339" s="33" t="str">
        <f>IF(OR(ISBLANK(BE339), ISBLANK(BF339)),"",CONCATENATE(" ",VLOOKUP(BF339,Literatuur!$A:$B,2,FALSE)," "))</f>
        <v/>
      </c>
      <c r="BH339" s="33">
        <v>1.83</v>
      </c>
      <c r="BI339" s="44" t="str">
        <f t="shared" si="249"/>
        <v>US EPA suite</v>
      </c>
      <c r="BJ339" s="33" t="str">
        <f>IF(OR(ISBLANK(BH339), ISBLANK(BI339)),"",CONCATENATE(" ",VLOOKUP(BI339,Literatuur!$A:$B,2,FALSE)," "))</f>
        <v xml:space="preserve"> F </v>
      </c>
      <c r="BL339" s="44" t="str">
        <f t="shared" si="250"/>
        <v xml:space="preserve"> </v>
      </c>
      <c r="BM339" s="33" t="str">
        <f>IF(OR(ISBLANK(BK339), ISBLANK(BL339)),"",CONCATENATE(" ",VLOOKUP(BL339,Literatuur!$A:$B,2,FALSE)," "))</f>
        <v/>
      </c>
      <c r="BP339" s="33" t="str">
        <f>IF(OR(ISBLANK(BN339), ISBLANK(BO339)),"",CONCATENATE(" ",VLOOKUP(BO339,Literatuur!$A:$B,2,FALSE)," "))</f>
        <v/>
      </c>
      <c r="BS339" s="33" t="str">
        <f>IF(OR(ISBLANK(BQ339), ISBLANK(BR339)),"",CONCATENATE(" ",VLOOKUP(BR339,Literatuur!$A:$B,2,FALSE)," "))</f>
        <v/>
      </c>
      <c r="BV339" s="33" t="str">
        <f>IF(OR(ISBLANK(BT339), ISBLANK(BU339)),"",CONCATENATE(" ",VLOOKUP(BU339,Literatuur!$A:$B,2,FALSE)," "))</f>
        <v/>
      </c>
      <c r="CE339" s="37">
        <f t="shared" si="265"/>
        <v>127.57</v>
      </c>
      <c r="CG339" s="33">
        <f t="shared" si="266"/>
        <v>3.5910646070264991</v>
      </c>
      <c r="CH339" s="33">
        <f t="shared" si="267"/>
        <v>1.83</v>
      </c>
      <c r="CR339" s="33" t="str">
        <f t="shared" si="257"/>
        <v>4-Chloroaniline</v>
      </c>
      <c r="CS339" s="33" t="str">
        <f t="shared" si="258"/>
        <v>Cl</v>
      </c>
      <c r="CT339" s="33">
        <f t="shared" si="254"/>
        <v>127.57</v>
      </c>
      <c r="CU339" s="33" t="str">
        <f t="shared" si="259"/>
        <v xml:space="preserve"> F </v>
      </c>
      <c r="CV339" s="33">
        <f t="shared" si="260"/>
        <v>3900</v>
      </c>
      <c r="CW339" s="33" t="str">
        <f t="shared" si="261"/>
        <v xml:space="preserve"> F </v>
      </c>
      <c r="CX339" s="33">
        <f t="shared" si="262"/>
        <v>1.83</v>
      </c>
      <c r="CY339" s="33" t="str">
        <f t="shared" si="263"/>
        <v xml:space="preserve"> F </v>
      </c>
    </row>
    <row r="340" spans="1:103" x14ac:dyDescent="0.2">
      <c r="B340" s="33">
        <v>-1406</v>
      </c>
      <c r="D340" s="33" t="s">
        <v>330</v>
      </c>
      <c r="E340" s="33" t="s">
        <v>1336</v>
      </c>
      <c r="F340" s="33" t="s">
        <v>1337</v>
      </c>
      <c r="H340" s="34" t="s">
        <v>1338</v>
      </c>
      <c r="I340" s="37">
        <f t="shared" si="256"/>
        <v>128.56</v>
      </c>
      <c r="J340" s="33">
        <f t="shared" si="264"/>
        <v>25500</v>
      </c>
      <c r="K340" s="44">
        <f t="shared" si="255"/>
        <v>2.27</v>
      </c>
      <c r="L340" s="33" t="e">
        <f t="shared" si="251"/>
        <v>#DIV/0!</v>
      </c>
      <c r="M340" s="33" t="s">
        <v>1894</v>
      </c>
      <c r="Q340" s="44" t="str">
        <f t="shared" si="238"/>
        <v xml:space="preserve"> </v>
      </c>
      <c r="R340" s="33" t="str">
        <f>IF(OR(ISBLANK(P340), ISBLANK(Q340)),"",CONCATENATE(" ",VLOOKUP(Q340,Literatuur!$A:$B,2,FALSE)," "))</f>
        <v/>
      </c>
      <c r="S340" s="37"/>
      <c r="T340" s="44" t="str">
        <f t="shared" si="239"/>
        <v xml:space="preserve"> </v>
      </c>
      <c r="U340" s="33" t="str">
        <f>IF(OR(ISBLANK(S340), ISBLANK(T340)),"",CONCATENATE(" ",VLOOKUP(T340,Literatuur!$A:$B,2,FALSE)," "))</f>
        <v/>
      </c>
      <c r="W340" s="44" t="str">
        <f t="shared" si="240"/>
        <v xml:space="preserve"> </v>
      </c>
      <c r="X340" s="33" t="str">
        <f>IF(OR(ISBLANK(V340), ISBLANK(W340)),"",CONCATENATE(" ",VLOOKUP(W340,Literatuur!$A:$B,2,FALSE)," "))</f>
        <v/>
      </c>
      <c r="Y340" s="33">
        <v>24000</v>
      </c>
      <c r="Z340" s="44" t="str">
        <f t="shared" si="241"/>
        <v>US EPA suite</v>
      </c>
      <c r="AA340" s="33" t="str">
        <f>IF(OR(ISBLANK(Y340), ISBLANK(Z340)),"",CONCATENATE(" ",VLOOKUP(Z340,Literatuur!$A:$B,2,FALSE)," "))</f>
        <v xml:space="preserve"> F </v>
      </c>
      <c r="AB340" s="33">
        <v>27000</v>
      </c>
      <c r="AC340" s="36" t="str">
        <f t="shared" si="242"/>
        <v>Vonk 1985</v>
      </c>
      <c r="AD340" s="33" t="str">
        <f>IF(OR(ISBLANK(AB340), ISBLANK(AC340)),"",CONCATENATE(" ",VLOOKUP(AC340,Literatuur!$A:$B,2,FALSE)," "))</f>
        <v xml:space="preserve"> 37 </v>
      </c>
      <c r="AG340" s="33" t="str">
        <f>IF(OR(ISBLANK(AE340), ISBLANK(AF340)),"",CONCATENATE(" ",VLOOKUP(AF340,Literatuur!$A:$B,2,FALSE)," "))</f>
        <v/>
      </c>
      <c r="AI340" s="37"/>
      <c r="AJ340" s="44" t="str">
        <f t="shared" si="243"/>
        <v xml:space="preserve"> </v>
      </c>
      <c r="AK340" s="33" t="str">
        <f>IF(OR(ISBLANK(AI340), ISBLANK(AJ340)),"",CONCATENATE(" ",VLOOKUP(AJ340,Literatuur!$A:$B,2,FALSE)," "))</f>
        <v/>
      </c>
      <c r="AM340" s="44" t="str">
        <f t="shared" si="244"/>
        <v xml:space="preserve"> </v>
      </c>
      <c r="AN340" s="33" t="str">
        <f>IF(OR(ISBLANK(AL340), ISBLANK(AM340)),"",CONCATENATE(" ",VLOOKUP(AM340,Literatuur!$A:$B,2,FALSE)," "))</f>
        <v/>
      </c>
      <c r="AO340" s="33">
        <v>128.56</v>
      </c>
      <c r="AP340" s="44" t="str">
        <f t="shared" si="245"/>
        <v>US EPA suite</v>
      </c>
      <c r="AQ340" s="33" t="str">
        <f>IF(OR(ISBLANK(AO340), ISBLANK(AP340)),"",CONCATENATE(" ",VLOOKUP(AP340,Literatuur!$A:$B,2,FALSE)," "))</f>
        <v xml:space="preserve"> F </v>
      </c>
      <c r="AT340" s="33" t="str">
        <f>IF(OR(ISBLANK(AR340), ISBLANK(AS340)),"",CONCATENATE(" ",VLOOKUP(AS340,Literatuur!$A:$B,2,FALSE)," "))</f>
        <v/>
      </c>
      <c r="AW340" s="33" t="str">
        <f>IF(OR(ISBLANK(AU340), ISBLANK(AV340)),"",CONCATENATE(" ",VLOOKUP(AV340,Literatuur!$A:$B,2,FALSE)," "))</f>
        <v/>
      </c>
      <c r="AZ340" s="44" t="str">
        <f t="shared" si="246"/>
        <v xml:space="preserve"> </v>
      </c>
      <c r="BA340" s="33" t="str">
        <f>IF(OR(ISBLANK(AY340), ISBLANK(AZ340)),"",CONCATENATE(" ",VLOOKUP(AZ340,Literatuur!$A:$B,2,FALSE)," "))</f>
        <v/>
      </c>
      <c r="BB340" s="33">
        <v>2.15</v>
      </c>
      <c r="BC340" s="44" t="str">
        <f t="shared" si="247"/>
        <v>Gestis</v>
      </c>
      <c r="BD340" s="33" t="str">
        <f>IF(OR(ISBLANK(BB340), ISBLANK(BC340)),"",CONCATENATE(" ",VLOOKUP(BC340,Literatuur!$A:$B,2,FALSE)," "))</f>
        <v xml:space="preserve"> A </v>
      </c>
      <c r="BF340" s="44" t="str">
        <f t="shared" si="248"/>
        <v xml:space="preserve"> </v>
      </c>
      <c r="BG340" s="33" t="str">
        <f>IF(OR(ISBLANK(BE340), ISBLANK(BF340)),"",CONCATENATE(" ",VLOOKUP(BF340,Literatuur!$A:$B,2,FALSE)," "))</f>
        <v/>
      </c>
      <c r="BH340" s="33">
        <v>2.39</v>
      </c>
      <c r="BI340" s="44" t="str">
        <f t="shared" si="249"/>
        <v>US EPA suite</v>
      </c>
      <c r="BJ340" s="33" t="str">
        <f>IF(OR(ISBLANK(BH340), ISBLANK(BI340)),"",CONCATENATE(" ",VLOOKUP(BI340,Literatuur!$A:$B,2,FALSE)," "))</f>
        <v xml:space="preserve"> F </v>
      </c>
      <c r="BL340" s="44" t="str">
        <f t="shared" si="250"/>
        <v xml:space="preserve"> </v>
      </c>
      <c r="BM340" s="33" t="str">
        <f>IF(OR(ISBLANK(BK340), ISBLANK(BL340)),"",CONCATENATE(" ",VLOOKUP(BL340,Literatuur!$A:$B,2,FALSE)," "))</f>
        <v/>
      </c>
      <c r="BP340" s="33" t="str">
        <f>IF(OR(ISBLANK(BN340), ISBLANK(BO340)),"",CONCATENATE(" ",VLOOKUP(BO340,Literatuur!$A:$B,2,FALSE)," "))</f>
        <v/>
      </c>
      <c r="BS340" s="33" t="str">
        <f>IF(OR(ISBLANK(BQ340), ISBLANK(BR340)),"",CONCATENATE(" ",VLOOKUP(BR340,Literatuur!$A:$B,2,FALSE)," "))</f>
        <v/>
      </c>
      <c r="BV340" s="33" t="str">
        <f>IF(OR(ISBLANK(BT340), ISBLANK(BU340)),"",CONCATENATE(" ",VLOOKUP(BU340,Literatuur!$A:$B,2,FALSE)," "))</f>
        <v/>
      </c>
      <c r="CE340" s="37">
        <f t="shared" si="265"/>
        <v>128.56</v>
      </c>
      <c r="CG340" s="33">
        <f t="shared" si="266"/>
        <v>4.4065401804339555</v>
      </c>
      <c r="CH340" s="33">
        <f t="shared" si="267"/>
        <v>2.27</v>
      </c>
      <c r="CR340" s="33" t="str">
        <f t="shared" si="257"/>
        <v>P-chlorophenol</v>
      </c>
      <c r="CS340" s="33" t="str">
        <f t="shared" si="258"/>
        <v>Cl</v>
      </c>
      <c r="CT340" s="33">
        <f t="shared" si="254"/>
        <v>128.56</v>
      </c>
      <c r="CU340" s="33" t="str">
        <f t="shared" si="259"/>
        <v xml:space="preserve"> F </v>
      </c>
      <c r="CV340" s="33">
        <f t="shared" si="260"/>
        <v>25500</v>
      </c>
      <c r="CW340" s="33" t="str">
        <f t="shared" si="261"/>
        <v xml:space="preserve"> F  37 </v>
      </c>
      <c r="CX340" s="33">
        <f t="shared" si="262"/>
        <v>2.27</v>
      </c>
      <c r="CY340" s="33" t="str">
        <f t="shared" si="263"/>
        <v xml:space="preserve"> A  F </v>
      </c>
    </row>
    <row r="341" spans="1:103" x14ac:dyDescent="0.2">
      <c r="B341" s="33">
        <v>510</v>
      </c>
      <c r="D341" s="33" t="s">
        <v>137</v>
      </c>
      <c r="E341" s="33" t="s">
        <v>1351</v>
      </c>
      <c r="H341" s="34" t="s">
        <v>1350</v>
      </c>
      <c r="I341" s="37">
        <f t="shared" si="256"/>
        <v>266.33</v>
      </c>
      <c r="J341" s="33">
        <f t="shared" si="264"/>
        <v>4.28</v>
      </c>
      <c r="K341" s="44">
        <f t="shared" si="255"/>
        <v>5.1050000000000004</v>
      </c>
      <c r="L341" s="33" t="e">
        <f t="shared" si="251"/>
        <v>#DIV/0!</v>
      </c>
      <c r="M341" s="33" t="s">
        <v>1894</v>
      </c>
      <c r="P341" s="33">
        <v>4.28</v>
      </c>
      <c r="Q341" s="44" t="str">
        <f t="shared" si="238"/>
        <v>Sanscrit</v>
      </c>
      <c r="R341" s="33" t="str">
        <f>IF(OR(ISBLANK(P341), ISBLANK(Q341)),"",CONCATENATE(" ",VLOOKUP(Q341,Literatuur!$A:$B,2,FALSE)," "))</f>
        <v xml:space="preserve"> D </v>
      </c>
      <c r="S341" s="37"/>
      <c r="T341" s="44" t="str">
        <f t="shared" si="239"/>
        <v xml:space="preserve"> </v>
      </c>
      <c r="U341" s="33" t="str">
        <f>IF(OR(ISBLANK(S341), ISBLANK(T341)),"",CONCATENATE(" ",VLOOKUP(T341,Literatuur!$A:$B,2,FALSE)," "))</f>
        <v/>
      </c>
      <c r="V341" s="33">
        <v>1950</v>
      </c>
      <c r="W341" s="44" t="str">
        <f t="shared" si="240"/>
        <v>US EPA 1995</v>
      </c>
      <c r="X341" s="33" t="str">
        <f>IF(OR(ISBLANK(V341), ISBLANK(W341)),"",CONCATENATE(" ",VLOOKUP(W341,Literatuur!$A:$B,2,FALSE)," "))</f>
        <v xml:space="preserve"> 30 </v>
      </c>
      <c r="Y341" s="36">
        <v>14</v>
      </c>
      <c r="Z341" s="44" t="str">
        <f t="shared" si="241"/>
        <v>US EPA suite</v>
      </c>
      <c r="AA341" s="33" t="str">
        <f>IF(OR(ISBLANK(Y341), ISBLANK(Z341)),"",CONCATENATE(" ",VLOOKUP(Z341,Literatuur!$A:$B,2,FALSE)," "))</f>
        <v xml:space="preserve"> F </v>
      </c>
      <c r="AB341" s="36">
        <v>14</v>
      </c>
      <c r="AC341" s="36" t="str">
        <f t="shared" si="242"/>
        <v>Vonk 1985</v>
      </c>
      <c r="AD341" s="33" t="str">
        <f>IF(OR(ISBLANK(AB341), ISBLANK(AC341)),"",CONCATENATE(" ",VLOOKUP(AC341,Literatuur!$A:$B,2,FALSE)," "))</f>
        <v xml:space="preserve"> 37 </v>
      </c>
      <c r="AE341" s="36"/>
      <c r="AF341" s="36"/>
      <c r="AG341" s="33" t="str">
        <f>IF(OR(ISBLANK(AE341), ISBLANK(AF341)),"",CONCATENATE(" ",VLOOKUP(AF341,Literatuur!$A:$B,2,FALSE)," "))</f>
        <v/>
      </c>
      <c r="AI341" s="37">
        <v>266.33</v>
      </c>
      <c r="AJ341" s="44" t="str">
        <f t="shared" si="243"/>
        <v>Sanscrit</v>
      </c>
      <c r="AK341" s="33" t="str">
        <f>IF(OR(ISBLANK(AI341), ISBLANK(AJ341)),"",CONCATENATE(" ",VLOOKUP(AJ341,Literatuur!$A:$B,2,FALSE)," "))</f>
        <v xml:space="preserve"> D </v>
      </c>
      <c r="AL341" s="36"/>
      <c r="AM341" s="44" t="str">
        <f t="shared" si="244"/>
        <v xml:space="preserve"> </v>
      </c>
      <c r="AN341" s="33" t="str">
        <f>IF(OR(ISBLANK(AL341), ISBLANK(AM341)),"",CONCATENATE(" ",VLOOKUP(AM341,Literatuur!$A:$B,2,FALSE)," "))</f>
        <v/>
      </c>
      <c r="AO341" s="36">
        <v>266.33999999999997</v>
      </c>
      <c r="AP341" s="44" t="str">
        <f t="shared" si="245"/>
        <v>US EPA suite</v>
      </c>
      <c r="AQ341" s="33" t="str">
        <f>IF(OR(ISBLANK(AO341), ISBLANK(AP341)),"",CONCATENATE(" ",VLOOKUP(AP341,Literatuur!$A:$B,2,FALSE)," "))</f>
        <v xml:space="preserve"> F </v>
      </c>
      <c r="AR341" s="36"/>
      <c r="AT341" s="33" t="str">
        <f>IF(OR(ISBLANK(AR341), ISBLANK(AS341)),"",CONCATENATE(" ",VLOOKUP(AS341,Literatuur!$A:$B,2,FALSE)," "))</f>
        <v/>
      </c>
      <c r="AV341" s="36"/>
      <c r="AW341" s="33" t="str">
        <f>IF(OR(ISBLANK(AU341), ISBLANK(AV341)),"",CONCATENATE(" ",VLOOKUP(AV341,Literatuur!$A:$B,2,FALSE)," "))</f>
        <v/>
      </c>
      <c r="AY341" s="44"/>
      <c r="AZ341" s="44" t="str">
        <f t="shared" si="246"/>
        <v xml:space="preserve"> </v>
      </c>
      <c r="BA341" s="33" t="str">
        <f>IF(OR(ISBLANK(AY341), ISBLANK(AZ341)),"",CONCATENATE(" ",VLOOKUP(AZ341,Literatuur!$A:$B,2,FALSE)," "))</f>
        <v/>
      </c>
      <c r="BB341" s="44"/>
      <c r="BC341" s="44" t="str">
        <f t="shared" si="247"/>
        <v xml:space="preserve"> </v>
      </c>
      <c r="BD341" s="33" t="str">
        <f>IF(OR(ISBLANK(BB341), ISBLANK(BC341)),"",CONCATENATE(" ",VLOOKUP(BC341,Literatuur!$A:$B,2,FALSE)," "))</f>
        <v/>
      </c>
      <c r="BE341" s="33">
        <v>5.09</v>
      </c>
      <c r="BF341" s="44" t="str">
        <f t="shared" si="248"/>
        <v>US EPA 1995</v>
      </c>
      <c r="BG341" s="33" t="str">
        <f>IF(OR(ISBLANK(BE341), ISBLANK(BF341)),"",CONCATENATE(" ",VLOOKUP(BF341,Literatuur!$A:$B,2,FALSE)," "))</f>
        <v xml:space="preserve"> 30 </v>
      </c>
      <c r="BH341" s="33">
        <v>5.12</v>
      </c>
      <c r="BI341" s="44" t="str">
        <f t="shared" si="249"/>
        <v>US EPA suite</v>
      </c>
      <c r="BJ341" s="33" t="str">
        <f>IF(OR(ISBLANK(BH341), ISBLANK(BI341)),"",CONCATENATE(" ",VLOOKUP(BI341,Literatuur!$A:$B,2,FALSE)," "))</f>
        <v xml:space="preserve"> F </v>
      </c>
      <c r="BL341" s="44" t="str">
        <f t="shared" si="250"/>
        <v xml:space="preserve"> </v>
      </c>
      <c r="BM341" s="33" t="str">
        <f>IF(OR(ISBLANK(BK341), ISBLANK(BL341)),"",CONCATENATE(" ",VLOOKUP(BL341,Literatuur!$A:$B,2,FALSE)," "))</f>
        <v/>
      </c>
      <c r="BP341" s="33" t="str">
        <f>IF(OR(ISBLANK(BN341), ISBLANK(BO341)),"",CONCATENATE(" ",VLOOKUP(BO341,Literatuur!$A:$B,2,FALSE)," "))</f>
        <v/>
      </c>
      <c r="BS341" s="33" t="str">
        <f>IF(OR(ISBLANK(BQ341), ISBLANK(BR341)),"",CONCATENATE(" ",VLOOKUP(BR341,Literatuur!$A:$B,2,FALSE)," "))</f>
        <v/>
      </c>
      <c r="BV341" s="33" t="str">
        <f>IF(OR(ISBLANK(BT341), ISBLANK(BU341)),"",CONCATENATE(" ",VLOOKUP(BU341,Literatuur!$A:$B,2,FALSE)," "))</f>
        <v/>
      </c>
      <c r="CE341" s="37">
        <f t="shared" si="265"/>
        <v>266.33</v>
      </c>
      <c r="CG341" s="33">
        <f t="shared" si="266"/>
        <v>0.63144376901317201</v>
      </c>
      <c r="CH341" s="33">
        <f t="shared" si="267"/>
        <v>5.1050000000000004</v>
      </c>
      <c r="CR341" s="33" t="str">
        <f t="shared" si="257"/>
        <v>Pentachlorophenol</v>
      </c>
      <c r="CS341" s="33" t="str">
        <f t="shared" si="258"/>
        <v>Cl</v>
      </c>
      <c r="CT341" s="33">
        <f t="shared" si="254"/>
        <v>266.33</v>
      </c>
      <c r="CU341" s="33" t="str">
        <f t="shared" si="259"/>
        <v xml:space="preserve"> D </v>
      </c>
      <c r="CV341" s="33">
        <f t="shared" si="260"/>
        <v>4.28</v>
      </c>
      <c r="CW341" s="33" t="str">
        <f t="shared" si="261"/>
        <v xml:space="preserve"> D </v>
      </c>
      <c r="CX341" s="33">
        <f t="shared" si="262"/>
        <v>5.1050000000000004</v>
      </c>
      <c r="CY341" s="33" t="str">
        <f t="shared" si="263"/>
        <v xml:space="preserve"> 30  F </v>
      </c>
    </row>
    <row r="342" spans="1:103" x14ac:dyDescent="0.2">
      <c r="A342"/>
      <c r="B342">
        <v>-1746</v>
      </c>
      <c r="C342"/>
      <c r="D342" t="s">
        <v>1024</v>
      </c>
      <c r="E342" t="s">
        <v>1024</v>
      </c>
      <c r="I342" s="33">
        <f t="shared" si="256"/>
        <v>249.1</v>
      </c>
      <c r="J342" s="33">
        <f t="shared" si="264"/>
        <v>2.4910000000000001</v>
      </c>
      <c r="K342" s="44">
        <f t="shared" si="255"/>
        <v>4.5999999999999996</v>
      </c>
      <c r="L342" s="33">
        <f t="shared" si="251"/>
        <v>174.7</v>
      </c>
      <c r="M342" s="33" t="s">
        <v>1638</v>
      </c>
      <c r="Q342" s="44" t="str">
        <f t="shared" ref="Q342:Q355" si="268">IF(ISBLANK(P342)," ","Sanscrit")</f>
        <v xml:space="preserve"> </v>
      </c>
      <c r="R342" s="33" t="str">
        <f>IF(OR(ISBLANK(P342), ISBLANK(Q342)),"",CONCATENATE(" ",VLOOKUP(Q342,Literatuur!$A:$B,2,FALSE)," "))</f>
        <v/>
      </c>
      <c r="T342" s="44" t="str">
        <f t="shared" ref="T342:T355" si="269">IF(ISBLANK(S342)," ","Gestis")</f>
        <v xml:space="preserve"> </v>
      </c>
      <c r="U342" s="33" t="str">
        <f>IF(OR(ISBLANK(S342), ISBLANK(T342)),"",CONCATENATE(" ",VLOOKUP(T342,Literatuur!$A:$B,2,FALSE)," "))</f>
        <v/>
      </c>
      <c r="W342" s="44" t="str">
        <f t="shared" ref="W342:W355" si="270">IF(ISBLANK(V342)," ","US EPA 1995")</f>
        <v xml:space="preserve"> </v>
      </c>
      <c r="X342" s="33" t="str">
        <f>IF(OR(ISBLANK(V342), ISBLANK(W342)),"",CONCATENATE(" ",VLOOKUP(W342,Literatuur!$A:$B,2,FALSE)," "))</f>
        <v/>
      </c>
      <c r="Z342" s="44" t="str">
        <f t="shared" ref="Z342:Z355" si="271">IF(ISBLANK(Y342)," ","US EPA suite")</f>
        <v xml:space="preserve"> </v>
      </c>
      <c r="AA342" s="33" t="str">
        <f>IF(OR(ISBLANK(Y342), ISBLANK(Z342)),"",CONCATENATE(" ",VLOOKUP(Z342,Literatuur!$A:$B,2,FALSE)," "))</f>
        <v/>
      </c>
      <c r="AC342" s="36" t="str">
        <f t="shared" ref="AC342:AC355" si="272">IF(ISBLANK(AB342)," ","Vonk 1985")</f>
        <v xml:space="preserve"> </v>
      </c>
      <c r="AD342" s="33" t="str">
        <f>IF(OR(ISBLANK(AB342), ISBLANK(AC342)),"",CONCATENATE(" ",VLOOKUP(AC342,Literatuur!$A:$B,2,FALSE)," "))</f>
        <v/>
      </c>
      <c r="AE342" s="365">
        <v>2.4910000000000001</v>
      </c>
      <c r="AF342" s="33" t="s">
        <v>1557</v>
      </c>
      <c r="AG342" s="33" t="str">
        <f>IF(OR(ISBLANK(AE342), ISBLANK(AF342)),"",CONCATENATE(" ",VLOOKUP(AF342,Literatuur!$A:$B,2,FALSE)," "))</f>
        <v xml:space="preserve"> 17 </v>
      </c>
      <c r="AJ342" s="44" t="str">
        <f t="shared" ref="AJ342:AJ355" si="273">IF(ISBLANK(AI342)," ","Sanscrit")</f>
        <v xml:space="preserve"> </v>
      </c>
      <c r="AK342" s="33" t="str">
        <f>IF(OR(ISBLANK(AI342), ISBLANK(AJ342)),"",CONCATENATE(" ",VLOOKUP(AJ342,Literatuur!$A:$B,2,FALSE)," "))</f>
        <v/>
      </c>
      <c r="AM342" s="44" t="str">
        <f t="shared" ref="AM342:AM355" si="274">IF(ISBLANK(AL342)," ","Gestis")</f>
        <v xml:space="preserve"> </v>
      </c>
      <c r="AN342" s="33" t="str">
        <f>IF(OR(ISBLANK(AL342), ISBLANK(AM342)),"",CONCATENATE(" ",VLOOKUP(AM342,Literatuur!$A:$B,2,FALSE)," "))</f>
        <v/>
      </c>
      <c r="AP342" s="44" t="str">
        <f t="shared" ref="AP342:AP355" si="275">IF(ISBLANK(AO342)," ","US EPA suite")</f>
        <v xml:space="preserve"> </v>
      </c>
      <c r="AQ342" s="33" t="str">
        <f>IF(OR(ISBLANK(AO342), ISBLANK(AP342)),"",CONCATENATE(" ",VLOOKUP(AP342,Literatuur!$A:$B,2,FALSE)," "))</f>
        <v/>
      </c>
      <c r="AS342"/>
      <c r="AT342" s="33" t="str">
        <f>IF(OR(ISBLANK(AR342), ISBLANK(AS342)),"",CONCATENATE(" ",VLOOKUP(AS342,Literatuur!$A:$B,2,FALSE)," "))</f>
        <v/>
      </c>
      <c r="AU342">
        <v>249.1</v>
      </c>
      <c r="AV342" s="33" t="s">
        <v>1557</v>
      </c>
      <c r="AW342" s="33" t="str">
        <f>IF(OR(ISBLANK(AU342), ISBLANK(AV342)),"",CONCATENATE(" ",VLOOKUP(AV342,Literatuur!$A:$B,2,FALSE)," "))</f>
        <v xml:space="preserve"> 17 </v>
      </c>
      <c r="AZ342" s="44" t="str">
        <f t="shared" ref="AZ342:AZ355" si="276">IF(ISBLANK(AY342)," ","Sanscrit")</f>
        <v xml:space="preserve"> </v>
      </c>
      <c r="BA342" s="33" t="str">
        <f>IF(OR(ISBLANK(AY342), ISBLANK(AZ342)),"",CONCATENATE(" ",VLOOKUP(AZ342,Literatuur!$A:$B,2,FALSE)," "))</f>
        <v/>
      </c>
      <c r="BC342" s="44" t="str">
        <f t="shared" ref="BC342:BC355" si="277">IF(ISBLANK(BB342)," ","Gestis")</f>
        <v xml:space="preserve"> </v>
      </c>
      <c r="BD342" s="33" t="str">
        <f>IF(OR(ISBLANK(BB342), ISBLANK(BC342)),"",CONCATENATE(" ",VLOOKUP(BC342,Literatuur!$A:$B,2,FALSE)," "))</f>
        <v/>
      </c>
      <c r="BF342" s="44" t="str">
        <f t="shared" ref="BF342:BF355" si="278">IF(ISBLANK(BE342)," ","US EPA 1995")</f>
        <v xml:space="preserve"> </v>
      </c>
      <c r="BG342" s="33" t="str">
        <f>IF(OR(ISBLANK(BE342), ISBLANK(BF342)),"",CONCATENATE(" ",VLOOKUP(BF342,Literatuur!$A:$B,2,FALSE)," "))</f>
        <v/>
      </c>
      <c r="BI342" s="44" t="str">
        <f t="shared" ref="BI342:BI355" si="279">IF(ISBLANK(BH342)," ","US EPA suite")</f>
        <v xml:space="preserve"> </v>
      </c>
      <c r="BJ342" s="33" t="str">
        <f>IF(OR(ISBLANK(BH342), ISBLANK(BI342)),"",CONCATENATE(" ",VLOOKUP(BI342,Literatuur!$A:$B,2,FALSE)," "))</f>
        <v/>
      </c>
      <c r="BL342" s="44" t="str">
        <f t="shared" ref="BL342:BL355" si="280">IF(ISBLANK(BK342)," ","Sangster 1989")</f>
        <v xml:space="preserve"> </v>
      </c>
      <c r="BM342" s="33" t="str">
        <f>IF(OR(ISBLANK(BK342), ISBLANK(BL342)),"",CONCATENATE(" ",VLOOKUP(BL342,Literatuur!$A:$B,2,FALSE)," "))</f>
        <v/>
      </c>
      <c r="BN342">
        <v>4.5999999999999996</v>
      </c>
      <c r="BO342" s="4" t="s">
        <v>1666</v>
      </c>
      <c r="BP342" s="33" t="str">
        <f>IF(OR(ISBLANK(BN342), ISBLANK(BO342)),"",CONCATENATE(" ",VLOOKUP(BO342,Literatuur!$A:$B,2,FALSE)," "))</f>
        <v xml:space="preserve"> NA </v>
      </c>
      <c r="BQ342"/>
      <c r="BR342"/>
      <c r="BS342" s="33" t="str">
        <f>IF(OR(ISBLANK(BQ342), ISBLANK(BR342)),"",CONCATENATE(" ",VLOOKUP(BR342,Literatuur!$A:$B,2,FALSE)," "))</f>
        <v/>
      </c>
      <c r="BT342"/>
      <c r="BU342" s="33" t="s">
        <v>1557</v>
      </c>
      <c r="BV342" s="33" t="str">
        <f>IF(OR(ISBLANK(BT342), ISBLANK(BU342)),"",CONCATENATE(" ",VLOOKUP(BU342,Literatuur!$A:$B,2,FALSE)," "))</f>
        <v/>
      </c>
      <c r="BX342" s="33">
        <v>174.7</v>
      </c>
      <c r="CB342" s="33" t="s">
        <v>1557</v>
      </c>
      <c r="CD342" s="33">
        <f t="shared" ref="CD342:CD355" si="281">L342</f>
        <v>174.7</v>
      </c>
      <c r="CG342" s="33">
        <f t="shared" si="266"/>
        <v>0.39637372753650651</v>
      </c>
      <c r="CR342" s="33" t="str">
        <f t="shared" si="257"/>
        <v>BDE-1</v>
      </c>
      <c r="CS342" s="33" t="str">
        <f t="shared" si="258"/>
        <v>BDE</v>
      </c>
      <c r="CT342" s="33">
        <f t="shared" si="254"/>
        <v>249.1</v>
      </c>
      <c r="CU342" s="33" t="str">
        <f t="shared" si="259"/>
        <v xml:space="preserve"> 17 </v>
      </c>
      <c r="CV342" s="33">
        <f t="shared" si="260"/>
        <v>2.4910000000000001</v>
      </c>
      <c r="CW342" s="33" t="str">
        <f t="shared" si="261"/>
        <v xml:space="preserve"> 17 </v>
      </c>
      <c r="CX342" s="33">
        <f t="shared" si="262"/>
        <v>4.5999999999999996</v>
      </c>
      <c r="CY342" s="33" t="str">
        <f t="shared" si="263"/>
        <v xml:space="preserve"> NA </v>
      </c>
    </row>
    <row r="343" spans="1:103" x14ac:dyDescent="0.2">
      <c r="A343"/>
      <c r="B343">
        <v>-1756</v>
      </c>
      <c r="C343"/>
      <c r="D343" t="s">
        <v>1034</v>
      </c>
      <c r="E343" t="s">
        <v>1034</v>
      </c>
      <c r="I343" s="33">
        <f t="shared" si="256"/>
        <v>564.70000000000005</v>
      </c>
      <c r="J343" s="33">
        <f t="shared" si="264"/>
        <v>1.4184622678734594E-2</v>
      </c>
      <c r="K343" s="44">
        <f t="shared" si="255"/>
        <v>7.3</v>
      </c>
      <c r="L343" s="33">
        <f t="shared" si="251"/>
        <v>232</v>
      </c>
      <c r="M343" s="33" t="s">
        <v>1638</v>
      </c>
      <c r="Q343" s="44" t="str">
        <f t="shared" si="268"/>
        <v xml:space="preserve"> </v>
      </c>
      <c r="R343" s="33" t="str">
        <f>IF(OR(ISBLANK(P343), ISBLANK(Q343)),"",CONCATENATE(" ",VLOOKUP(Q343,Literatuur!$A:$B,2,FALSE)," "))</f>
        <v/>
      </c>
      <c r="T343" s="44" t="str">
        <f t="shared" si="269"/>
        <v xml:space="preserve"> </v>
      </c>
      <c r="U343" s="33" t="str">
        <f>IF(OR(ISBLANK(S343), ISBLANK(T343)),"",CONCATENATE(" ",VLOOKUP(T343,Literatuur!$A:$B,2,FALSE)," "))</f>
        <v/>
      </c>
      <c r="W343" s="44" t="str">
        <f t="shared" si="270"/>
        <v xml:space="preserve"> </v>
      </c>
      <c r="X343" s="33" t="str">
        <f>IF(OR(ISBLANK(V343), ISBLANK(W343)),"",CONCATENATE(" ",VLOOKUP(W343,Literatuur!$A:$B,2,FALSE)," "))</f>
        <v/>
      </c>
      <c r="Z343" s="44" t="str">
        <f t="shared" si="271"/>
        <v xml:space="preserve"> </v>
      </c>
      <c r="AA343" s="33" t="str">
        <f>IF(OR(ISBLANK(Y343), ISBLANK(Z343)),"",CONCATENATE(" ",VLOOKUP(Z343,Literatuur!$A:$B,2,FALSE)," "))</f>
        <v/>
      </c>
      <c r="AC343" s="36" t="str">
        <f t="shared" si="272"/>
        <v xml:space="preserve"> </v>
      </c>
      <c r="AD343" s="33" t="str">
        <f>IF(OR(ISBLANK(AB343), ISBLANK(AC343)),"",CONCATENATE(" ",VLOOKUP(AC343,Literatuur!$A:$B,2,FALSE)," "))</f>
        <v/>
      </c>
      <c r="AE343" s="365">
        <v>1.4184622678734594E-2</v>
      </c>
      <c r="AF343" s="33" t="s">
        <v>1557</v>
      </c>
      <c r="AG343" s="33" t="str">
        <f>IF(OR(ISBLANK(AE343), ISBLANK(AF343)),"",CONCATENATE(" ",VLOOKUP(AF343,Literatuur!$A:$B,2,FALSE)," "))</f>
        <v xml:space="preserve"> 17 </v>
      </c>
      <c r="AJ343" s="44" t="str">
        <f t="shared" si="273"/>
        <v xml:space="preserve"> </v>
      </c>
      <c r="AK343" s="33" t="str">
        <f>IF(OR(ISBLANK(AI343), ISBLANK(AJ343)),"",CONCATENATE(" ",VLOOKUP(AJ343,Literatuur!$A:$B,2,FALSE)," "))</f>
        <v/>
      </c>
      <c r="AM343" s="44" t="str">
        <f t="shared" si="274"/>
        <v xml:space="preserve"> </v>
      </c>
      <c r="AN343" s="33" t="str">
        <f>IF(OR(ISBLANK(AL343), ISBLANK(AM343)),"",CONCATENATE(" ",VLOOKUP(AM343,Literatuur!$A:$B,2,FALSE)," "))</f>
        <v/>
      </c>
      <c r="AP343" s="44" t="str">
        <f t="shared" si="275"/>
        <v xml:space="preserve"> </v>
      </c>
      <c r="AQ343" s="33" t="str">
        <f>IF(OR(ISBLANK(AO343), ISBLANK(AP343)),"",CONCATENATE(" ",VLOOKUP(AP343,Literatuur!$A:$B,2,FALSE)," "))</f>
        <v/>
      </c>
      <c r="AS343"/>
      <c r="AT343" s="33" t="str">
        <f>IF(OR(ISBLANK(AR343), ISBLANK(AS343)),"",CONCATENATE(" ",VLOOKUP(AS343,Literatuur!$A:$B,2,FALSE)," "))</f>
        <v/>
      </c>
      <c r="AU343">
        <v>564.70000000000005</v>
      </c>
      <c r="AV343" s="33" t="s">
        <v>1557</v>
      </c>
      <c r="AW343" s="33" t="str">
        <f>IF(OR(ISBLANK(AU343), ISBLANK(AV343)),"",CONCATENATE(" ",VLOOKUP(AV343,Literatuur!$A:$B,2,FALSE)," "))</f>
        <v xml:space="preserve"> 17 </v>
      </c>
      <c r="AZ343" s="44" t="str">
        <f t="shared" si="276"/>
        <v xml:space="preserve"> </v>
      </c>
      <c r="BA343" s="33" t="str">
        <f>IF(OR(ISBLANK(AY343), ISBLANK(AZ343)),"",CONCATENATE(" ",VLOOKUP(AZ343,Literatuur!$A:$B,2,FALSE)," "))</f>
        <v/>
      </c>
      <c r="BC343" s="44" t="str">
        <f t="shared" si="277"/>
        <v xml:space="preserve"> </v>
      </c>
      <c r="BD343" s="33" t="str">
        <f>IF(OR(ISBLANK(BB343), ISBLANK(BC343)),"",CONCATENATE(" ",VLOOKUP(BC343,Literatuur!$A:$B,2,FALSE)," "))</f>
        <v/>
      </c>
      <c r="BF343" s="44" t="str">
        <f t="shared" si="278"/>
        <v xml:space="preserve"> </v>
      </c>
      <c r="BG343" s="33" t="str">
        <f>IF(OR(ISBLANK(BE343), ISBLANK(BF343)),"",CONCATENATE(" ",VLOOKUP(BF343,Literatuur!$A:$B,2,FALSE)," "))</f>
        <v/>
      </c>
      <c r="BI343" s="44" t="str">
        <f t="shared" si="279"/>
        <v xml:space="preserve"> </v>
      </c>
      <c r="BJ343" s="33" t="str">
        <f>IF(OR(ISBLANK(BH343), ISBLANK(BI343)),"",CONCATENATE(" ",VLOOKUP(BI343,Literatuur!$A:$B,2,FALSE)," "))</f>
        <v/>
      </c>
      <c r="BL343" s="44" t="str">
        <f t="shared" si="280"/>
        <v xml:space="preserve"> </v>
      </c>
      <c r="BM343" s="33" t="str">
        <f>IF(OR(ISBLANK(BK343), ISBLANK(BL343)),"",CONCATENATE(" ",VLOOKUP(BL343,Literatuur!$A:$B,2,FALSE)," "))</f>
        <v/>
      </c>
      <c r="BN343">
        <v>7.3</v>
      </c>
      <c r="BO343" s="4" t="s">
        <v>1666</v>
      </c>
      <c r="BP343" s="33" t="str">
        <f>IF(OR(ISBLANK(BN343), ISBLANK(BO343)),"",CONCATENATE(" ",VLOOKUP(BO343,Literatuur!$A:$B,2,FALSE)," "))</f>
        <v xml:space="preserve"> NA </v>
      </c>
      <c r="BQ343"/>
      <c r="BR343"/>
      <c r="BS343" s="33" t="str">
        <f>IF(OR(ISBLANK(BQ343), ISBLANK(BR343)),"",CONCATENATE(" ",VLOOKUP(BR343,Literatuur!$A:$B,2,FALSE)," "))</f>
        <v/>
      </c>
      <c r="BT343"/>
      <c r="BU343" s="33" t="s">
        <v>1557</v>
      </c>
      <c r="BV343" s="33" t="str">
        <f>IF(OR(ISBLANK(BT343), ISBLANK(BU343)),"",CONCATENATE(" ",VLOOKUP(BU343,Literatuur!$A:$B,2,FALSE)," "))</f>
        <v/>
      </c>
      <c r="BX343" s="33">
        <v>232</v>
      </c>
      <c r="CB343" s="33" t="s">
        <v>1557</v>
      </c>
      <c r="CD343" s="33">
        <f t="shared" si="281"/>
        <v>232</v>
      </c>
      <c r="CG343" s="33">
        <f t="shared" si="266"/>
        <v>-1.8481822122631211</v>
      </c>
      <c r="CR343" s="33" t="str">
        <f t="shared" si="257"/>
        <v>BDE-100</v>
      </c>
      <c r="CS343" s="33" t="str">
        <f t="shared" si="258"/>
        <v>BDE</v>
      </c>
      <c r="CT343" s="33">
        <f t="shared" si="254"/>
        <v>564.70000000000005</v>
      </c>
      <c r="CU343" s="33" t="str">
        <f t="shared" si="259"/>
        <v xml:space="preserve"> 17 </v>
      </c>
      <c r="CV343" s="33">
        <f t="shared" si="260"/>
        <v>1.4184622678734594E-2</v>
      </c>
      <c r="CW343" s="33" t="str">
        <f t="shared" si="261"/>
        <v xml:space="preserve"> 17 </v>
      </c>
      <c r="CX343" s="33">
        <f t="shared" si="262"/>
        <v>7.3</v>
      </c>
      <c r="CY343" s="33" t="str">
        <f t="shared" si="263"/>
        <v xml:space="preserve"> NA </v>
      </c>
    </row>
    <row r="344" spans="1:103" x14ac:dyDescent="0.2">
      <c r="A344"/>
      <c r="B344">
        <v>-1757</v>
      </c>
      <c r="C344"/>
      <c r="D344" t="s">
        <v>1035</v>
      </c>
      <c r="E344" t="s">
        <v>1035</v>
      </c>
      <c r="I344" s="33">
        <f t="shared" si="256"/>
        <v>564.70000000000005</v>
      </c>
      <c r="J344" s="33">
        <f t="shared" si="264"/>
        <v>1.1267246292629249E-2</v>
      </c>
      <c r="K344" s="44">
        <f t="shared" si="255"/>
        <v>7.4</v>
      </c>
      <c r="L344" s="33">
        <f t="shared" si="251"/>
        <v>233.7</v>
      </c>
      <c r="M344" s="33" t="s">
        <v>1638</v>
      </c>
      <c r="Q344" s="44" t="str">
        <f t="shared" si="268"/>
        <v xml:space="preserve"> </v>
      </c>
      <c r="R344" s="33" t="str">
        <f>IF(OR(ISBLANK(P344), ISBLANK(Q344)),"",CONCATENATE(" ",VLOOKUP(Q344,Literatuur!$A:$B,2,FALSE)," "))</f>
        <v/>
      </c>
      <c r="T344" s="44" t="str">
        <f t="shared" si="269"/>
        <v xml:space="preserve"> </v>
      </c>
      <c r="U344" s="33" t="str">
        <f>IF(OR(ISBLANK(S344), ISBLANK(T344)),"",CONCATENATE(" ",VLOOKUP(T344,Literatuur!$A:$B,2,FALSE)," "))</f>
        <v/>
      </c>
      <c r="W344" s="44" t="str">
        <f t="shared" si="270"/>
        <v xml:space="preserve"> </v>
      </c>
      <c r="X344" s="33" t="str">
        <f>IF(OR(ISBLANK(V344), ISBLANK(W344)),"",CONCATENATE(" ",VLOOKUP(W344,Literatuur!$A:$B,2,FALSE)," "))</f>
        <v/>
      </c>
      <c r="Z344" s="44" t="str">
        <f t="shared" si="271"/>
        <v xml:space="preserve"> </v>
      </c>
      <c r="AA344" s="33" t="str">
        <f>IF(OR(ISBLANK(Y344), ISBLANK(Z344)),"",CONCATENATE(" ",VLOOKUP(Z344,Literatuur!$A:$B,2,FALSE)," "))</f>
        <v/>
      </c>
      <c r="AC344" s="36" t="str">
        <f t="shared" si="272"/>
        <v xml:space="preserve"> </v>
      </c>
      <c r="AD344" s="33" t="str">
        <f>IF(OR(ISBLANK(AB344), ISBLANK(AC344)),"",CONCATENATE(" ",VLOOKUP(AC344,Literatuur!$A:$B,2,FALSE)," "))</f>
        <v/>
      </c>
      <c r="AE344" s="365">
        <v>1.1267246292629249E-2</v>
      </c>
      <c r="AF344" s="33" t="s">
        <v>1557</v>
      </c>
      <c r="AG344" s="33" t="str">
        <f>IF(OR(ISBLANK(AE344), ISBLANK(AF344)),"",CONCATENATE(" ",VLOOKUP(AF344,Literatuur!$A:$B,2,FALSE)," "))</f>
        <v xml:space="preserve"> 17 </v>
      </c>
      <c r="AJ344" s="44" t="str">
        <f t="shared" si="273"/>
        <v xml:space="preserve"> </v>
      </c>
      <c r="AK344" s="33" t="str">
        <f>IF(OR(ISBLANK(AI344), ISBLANK(AJ344)),"",CONCATENATE(" ",VLOOKUP(AJ344,Literatuur!$A:$B,2,FALSE)," "))</f>
        <v/>
      </c>
      <c r="AM344" s="44" t="str">
        <f t="shared" si="274"/>
        <v xml:space="preserve"> </v>
      </c>
      <c r="AN344" s="33" t="str">
        <f>IF(OR(ISBLANK(AL344), ISBLANK(AM344)),"",CONCATENATE(" ",VLOOKUP(AM344,Literatuur!$A:$B,2,FALSE)," "))</f>
        <v/>
      </c>
      <c r="AP344" s="44" t="str">
        <f t="shared" si="275"/>
        <v xml:space="preserve"> </v>
      </c>
      <c r="AQ344" s="33" t="str">
        <f>IF(OR(ISBLANK(AO344), ISBLANK(AP344)),"",CONCATENATE(" ",VLOOKUP(AP344,Literatuur!$A:$B,2,FALSE)," "))</f>
        <v/>
      </c>
      <c r="AS344"/>
      <c r="AT344" s="33" t="str">
        <f>IF(OR(ISBLANK(AR344), ISBLANK(AS344)),"",CONCATENATE(" ",VLOOKUP(AS344,Literatuur!$A:$B,2,FALSE)," "))</f>
        <v/>
      </c>
      <c r="AU344">
        <v>564.70000000000005</v>
      </c>
      <c r="AV344" s="33" t="s">
        <v>1557</v>
      </c>
      <c r="AW344" s="33" t="str">
        <f>IF(OR(ISBLANK(AU344), ISBLANK(AV344)),"",CONCATENATE(" ",VLOOKUP(AV344,Literatuur!$A:$B,2,FALSE)," "))</f>
        <v xml:space="preserve"> 17 </v>
      </c>
      <c r="AZ344" s="44" t="str">
        <f t="shared" si="276"/>
        <v xml:space="preserve"> </v>
      </c>
      <c r="BA344" s="33" t="str">
        <f>IF(OR(ISBLANK(AY344), ISBLANK(AZ344)),"",CONCATENATE(" ",VLOOKUP(AZ344,Literatuur!$A:$B,2,FALSE)," "))</f>
        <v/>
      </c>
      <c r="BC344" s="44" t="str">
        <f t="shared" si="277"/>
        <v xml:space="preserve"> </v>
      </c>
      <c r="BD344" s="33" t="str">
        <f>IF(OR(ISBLANK(BB344), ISBLANK(BC344)),"",CONCATENATE(" ",VLOOKUP(BC344,Literatuur!$A:$B,2,FALSE)," "))</f>
        <v/>
      </c>
      <c r="BF344" s="44" t="str">
        <f t="shared" si="278"/>
        <v xml:space="preserve"> </v>
      </c>
      <c r="BG344" s="33" t="str">
        <f>IF(OR(ISBLANK(BE344), ISBLANK(BF344)),"",CONCATENATE(" ",VLOOKUP(BF344,Literatuur!$A:$B,2,FALSE)," "))</f>
        <v/>
      </c>
      <c r="BI344" s="44" t="str">
        <f t="shared" si="279"/>
        <v xml:space="preserve"> </v>
      </c>
      <c r="BJ344" s="33" t="str">
        <f>IF(OR(ISBLANK(BH344), ISBLANK(BI344)),"",CONCATENATE(" ",VLOOKUP(BI344,Literatuur!$A:$B,2,FALSE)," "))</f>
        <v/>
      </c>
      <c r="BL344" s="44" t="str">
        <f t="shared" si="280"/>
        <v xml:space="preserve"> </v>
      </c>
      <c r="BM344" s="33" t="str">
        <f>IF(OR(ISBLANK(BK344), ISBLANK(BL344)),"",CONCATENATE(" ",VLOOKUP(BL344,Literatuur!$A:$B,2,FALSE)," "))</f>
        <v/>
      </c>
      <c r="BN344">
        <v>7.4</v>
      </c>
      <c r="BO344" s="4" t="s">
        <v>1666</v>
      </c>
      <c r="BP344" s="33" t="str">
        <f>IF(OR(ISBLANK(BN344), ISBLANK(BO344)),"",CONCATENATE(" ",VLOOKUP(BO344,Literatuur!$A:$B,2,FALSE)," "))</f>
        <v xml:space="preserve"> NA </v>
      </c>
      <c r="BQ344"/>
      <c r="BR344"/>
      <c r="BS344" s="33" t="str">
        <f>IF(OR(ISBLANK(BQ344), ISBLANK(BR344)),"",CONCATENATE(" ",VLOOKUP(BR344,Literatuur!$A:$B,2,FALSE)," "))</f>
        <v/>
      </c>
      <c r="BT344"/>
      <c r="BU344" s="33" t="s">
        <v>1557</v>
      </c>
      <c r="BV344" s="33" t="str">
        <f>IF(OR(ISBLANK(BT344), ISBLANK(BU344)),"",CONCATENATE(" ",VLOOKUP(BU344,Literatuur!$A:$B,2,FALSE)," "))</f>
        <v/>
      </c>
      <c r="BX344" s="33">
        <v>233.7</v>
      </c>
      <c r="CB344" s="33" t="s">
        <v>1557</v>
      </c>
      <c r="CD344" s="33">
        <f t="shared" si="281"/>
        <v>233.7</v>
      </c>
      <c r="CG344" s="33">
        <f t="shared" si="266"/>
        <v>-1.9481822122631214</v>
      </c>
      <c r="CR344" s="33" t="str">
        <f t="shared" si="257"/>
        <v>BDE-126</v>
      </c>
      <c r="CS344" s="33" t="str">
        <f t="shared" si="258"/>
        <v>BDE</v>
      </c>
      <c r="CT344" s="33">
        <f t="shared" si="254"/>
        <v>564.70000000000005</v>
      </c>
      <c r="CU344" s="33" t="str">
        <f t="shared" si="259"/>
        <v xml:space="preserve"> 17 </v>
      </c>
      <c r="CV344" s="33">
        <f t="shared" si="260"/>
        <v>1.1267246292629249E-2</v>
      </c>
      <c r="CW344" s="33" t="str">
        <f t="shared" si="261"/>
        <v xml:space="preserve"> 17 </v>
      </c>
      <c r="CX344" s="33">
        <f t="shared" si="262"/>
        <v>7.4</v>
      </c>
      <c r="CY344" s="33" t="str">
        <f t="shared" si="263"/>
        <v xml:space="preserve"> NA </v>
      </c>
    </row>
    <row r="345" spans="1:103" x14ac:dyDescent="0.2">
      <c r="A345"/>
      <c r="B345">
        <v>-1748</v>
      </c>
      <c r="C345"/>
      <c r="D345" t="s">
        <v>1026</v>
      </c>
      <c r="E345" t="s">
        <v>1026</v>
      </c>
      <c r="I345" s="33">
        <f t="shared" si="256"/>
        <v>328</v>
      </c>
      <c r="J345" s="33">
        <f t="shared" si="264"/>
        <v>0.51984496712724515</v>
      </c>
      <c r="K345" s="44">
        <f t="shared" si="255"/>
        <v>5.2</v>
      </c>
      <c r="L345" s="33">
        <f t="shared" si="251"/>
        <v>189.9</v>
      </c>
      <c r="M345" s="33" t="s">
        <v>1638</v>
      </c>
      <c r="Q345" s="44" t="str">
        <f t="shared" si="268"/>
        <v xml:space="preserve"> </v>
      </c>
      <c r="R345" s="33" t="str">
        <f>IF(OR(ISBLANK(P345), ISBLANK(Q345)),"",CONCATENATE(" ",VLOOKUP(Q345,Literatuur!$A:$B,2,FALSE)," "))</f>
        <v/>
      </c>
      <c r="T345" s="44" t="str">
        <f t="shared" si="269"/>
        <v xml:space="preserve"> </v>
      </c>
      <c r="U345" s="33" t="str">
        <f>IF(OR(ISBLANK(S345), ISBLANK(T345)),"",CONCATENATE(" ",VLOOKUP(T345,Literatuur!$A:$B,2,FALSE)," "))</f>
        <v/>
      </c>
      <c r="W345" s="44" t="str">
        <f t="shared" si="270"/>
        <v xml:space="preserve"> </v>
      </c>
      <c r="X345" s="33" t="str">
        <f>IF(OR(ISBLANK(V345), ISBLANK(W345)),"",CONCATENATE(" ",VLOOKUP(W345,Literatuur!$A:$B,2,FALSE)," "))</f>
        <v/>
      </c>
      <c r="Z345" s="44" t="str">
        <f t="shared" si="271"/>
        <v xml:space="preserve"> </v>
      </c>
      <c r="AA345" s="33" t="str">
        <f>IF(OR(ISBLANK(Y345), ISBLANK(Z345)),"",CONCATENATE(" ",VLOOKUP(Z345,Literatuur!$A:$B,2,FALSE)," "))</f>
        <v/>
      </c>
      <c r="AC345" s="36" t="str">
        <f t="shared" si="272"/>
        <v xml:space="preserve"> </v>
      </c>
      <c r="AD345" s="33" t="str">
        <f>IF(OR(ISBLANK(AB345), ISBLANK(AC345)),"",CONCATENATE(" ",VLOOKUP(AC345,Literatuur!$A:$B,2,FALSE)," "))</f>
        <v/>
      </c>
      <c r="AE345" s="365">
        <v>0.51984496712724515</v>
      </c>
      <c r="AF345" s="33" t="s">
        <v>1557</v>
      </c>
      <c r="AG345" s="33" t="str">
        <f>IF(OR(ISBLANK(AE345), ISBLANK(AF345)),"",CONCATENATE(" ",VLOOKUP(AF345,Literatuur!$A:$B,2,FALSE)," "))</f>
        <v xml:space="preserve"> 17 </v>
      </c>
      <c r="AJ345" s="44" t="str">
        <f t="shared" si="273"/>
        <v xml:space="preserve"> </v>
      </c>
      <c r="AK345" s="33" t="str">
        <f>IF(OR(ISBLANK(AI345), ISBLANK(AJ345)),"",CONCATENATE(" ",VLOOKUP(AJ345,Literatuur!$A:$B,2,FALSE)," "))</f>
        <v/>
      </c>
      <c r="AM345" s="44" t="str">
        <f t="shared" si="274"/>
        <v xml:space="preserve"> </v>
      </c>
      <c r="AN345" s="33" t="str">
        <f>IF(OR(ISBLANK(AL345), ISBLANK(AM345)),"",CONCATENATE(" ",VLOOKUP(AM345,Literatuur!$A:$B,2,FALSE)," "))</f>
        <v/>
      </c>
      <c r="AP345" s="44" t="str">
        <f t="shared" si="275"/>
        <v xml:space="preserve"> </v>
      </c>
      <c r="AQ345" s="33" t="str">
        <f>IF(OR(ISBLANK(AO345), ISBLANK(AP345)),"",CONCATENATE(" ",VLOOKUP(AP345,Literatuur!$A:$B,2,FALSE)," "))</f>
        <v/>
      </c>
      <c r="AS345"/>
      <c r="AT345" s="33" t="str">
        <f>IF(OR(ISBLANK(AR345), ISBLANK(AS345)),"",CONCATENATE(" ",VLOOKUP(AS345,Literatuur!$A:$B,2,FALSE)," "))</f>
        <v/>
      </c>
      <c r="AU345">
        <v>328</v>
      </c>
      <c r="AV345" s="33" t="s">
        <v>1557</v>
      </c>
      <c r="AW345" s="33" t="str">
        <f>IF(OR(ISBLANK(AU345), ISBLANK(AV345)),"",CONCATENATE(" ",VLOOKUP(AV345,Literatuur!$A:$B,2,FALSE)," "))</f>
        <v xml:space="preserve"> 17 </v>
      </c>
      <c r="AZ345" s="44" t="str">
        <f t="shared" si="276"/>
        <v xml:space="preserve"> </v>
      </c>
      <c r="BA345" s="33" t="str">
        <f>IF(OR(ISBLANK(AY345), ISBLANK(AZ345)),"",CONCATENATE(" ",VLOOKUP(AZ345,Literatuur!$A:$B,2,FALSE)," "))</f>
        <v/>
      </c>
      <c r="BC345" s="44" t="str">
        <f t="shared" si="277"/>
        <v xml:space="preserve"> </v>
      </c>
      <c r="BD345" s="33" t="str">
        <f>IF(OR(ISBLANK(BB345), ISBLANK(BC345)),"",CONCATENATE(" ",VLOOKUP(BC345,Literatuur!$A:$B,2,FALSE)," "))</f>
        <v/>
      </c>
      <c r="BF345" s="44" t="str">
        <f t="shared" si="278"/>
        <v xml:space="preserve"> </v>
      </c>
      <c r="BG345" s="33" t="str">
        <f>IF(OR(ISBLANK(BE345), ISBLANK(BF345)),"",CONCATENATE(" ",VLOOKUP(BF345,Literatuur!$A:$B,2,FALSE)," "))</f>
        <v/>
      </c>
      <c r="BI345" s="44" t="str">
        <f t="shared" si="279"/>
        <v xml:space="preserve"> </v>
      </c>
      <c r="BJ345" s="33" t="str">
        <f>IF(OR(ISBLANK(BH345), ISBLANK(BI345)),"",CONCATENATE(" ",VLOOKUP(BI345,Literatuur!$A:$B,2,FALSE)," "))</f>
        <v/>
      </c>
      <c r="BL345" s="44" t="str">
        <f t="shared" si="280"/>
        <v xml:space="preserve"> </v>
      </c>
      <c r="BM345" s="33" t="str">
        <f>IF(OR(ISBLANK(BK345), ISBLANK(BL345)),"",CONCATENATE(" ",VLOOKUP(BL345,Literatuur!$A:$B,2,FALSE)," "))</f>
        <v/>
      </c>
      <c r="BN345">
        <v>5.2</v>
      </c>
      <c r="BO345" s="4" t="s">
        <v>1666</v>
      </c>
      <c r="BP345" s="33" t="str">
        <f>IF(OR(ISBLANK(BN345), ISBLANK(BO345)),"",CONCATENATE(" ",VLOOKUP(BO345,Literatuur!$A:$B,2,FALSE)," "))</f>
        <v xml:space="preserve"> NA </v>
      </c>
      <c r="BQ345"/>
      <c r="BR345"/>
      <c r="BS345" s="33" t="str">
        <f>IF(OR(ISBLANK(BQ345), ISBLANK(BR345)),"",CONCATENATE(" ",VLOOKUP(BR345,Literatuur!$A:$B,2,FALSE)," "))</f>
        <v/>
      </c>
      <c r="BT345"/>
      <c r="BU345" s="33" t="s">
        <v>1557</v>
      </c>
      <c r="BV345" s="33" t="str">
        <f>IF(OR(ISBLANK(BT345), ISBLANK(BU345)),"",CONCATENATE(" ",VLOOKUP(BU345,Literatuur!$A:$B,2,FALSE)," "))</f>
        <v/>
      </c>
      <c r="BX345" s="33">
        <v>189.9</v>
      </c>
      <c r="CB345" s="33" t="s">
        <v>1557</v>
      </c>
      <c r="CD345" s="33">
        <f t="shared" si="281"/>
        <v>189.9</v>
      </c>
      <c r="CG345" s="33">
        <f t="shared" si="266"/>
        <v>-0.284126156288321</v>
      </c>
      <c r="CR345" s="33" t="str">
        <f t="shared" si="257"/>
        <v>BDE-15</v>
      </c>
      <c r="CS345" s="33" t="str">
        <f t="shared" si="258"/>
        <v>BDE</v>
      </c>
      <c r="CT345" s="33">
        <f t="shared" si="254"/>
        <v>328</v>
      </c>
      <c r="CU345" s="33" t="str">
        <f t="shared" si="259"/>
        <v xml:space="preserve"> 17 </v>
      </c>
      <c r="CV345" s="33">
        <f t="shared" si="260"/>
        <v>0.51984496712724515</v>
      </c>
      <c r="CW345" s="33" t="str">
        <f t="shared" si="261"/>
        <v xml:space="preserve"> 17 </v>
      </c>
      <c r="CX345" s="33">
        <f t="shared" si="262"/>
        <v>5.2</v>
      </c>
      <c r="CY345" s="33" t="str">
        <f t="shared" si="263"/>
        <v xml:space="preserve"> NA </v>
      </c>
    </row>
    <row r="346" spans="1:103" x14ac:dyDescent="0.2">
      <c r="A346"/>
      <c r="B346">
        <v>-1758</v>
      </c>
      <c r="C346"/>
      <c r="D346" t="s">
        <v>1036</v>
      </c>
      <c r="E346" t="s">
        <v>1036</v>
      </c>
      <c r="I346" s="33">
        <f t="shared" si="256"/>
        <v>643.6</v>
      </c>
      <c r="J346" s="33">
        <f t="shared" si="264"/>
        <v>4.060841469074517E-3</v>
      </c>
      <c r="K346" s="44">
        <f t="shared" si="255"/>
        <v>8</v>
      </c>
      <c r="L346" s="33">
        <f t="shared" si="251"/>
        <v>246.6</v>
      </c>
      <c r="M346" s="33" t="s">
        <v>1638</v>
      </c>
      <c r="Q346" s="44" t="str">
        <f t="shared" si="268"/>
        <v xml:space="preserve"> </v>
      </c>
      <c r="R346" s="33" t="str">
        <f>IF(OR(ISBLANK(P346), ISBLANK(Q346)),"",CONCATENATE(" ",VLOOKUP(Q346,Literatuur!$A:$B,2,FALSE)," "))</f>
        <v/>
      </c>
      <c r="T346" s="44" t="str">
        <f t="shared" si="269"/>
        <v xml:space="preserve"> </v>
      </c>
      <c r="U346" s="33" t="str">
        <f>IF(OR(ISBLANK(S346), ISBLANK(T346)),"",CONCATENATE(" ",VLOOKUP(T346,Literatuur!$A:$B,2,FALSE)," "))</f>
        <v/>
      </c>
      <c r="W346" s="44" t="str">
        <f t="shared" si="270"/>
        <v xml:space="preserve"> </v>
      </c>
      <c r="X346" s="33" t="str">
        <f>IF(OR(ISBLANK(V346), ISBLANK(W346)),"",CONCATENATE(" ",VLOOKUP(W346,Literatuur!$A:$B,2,FALSE)," "))</f>
        <v/>
      </c>
      <c r="Z346" s="44" t="str">
        <f t="shared" si="271"/>
        <v xml:space="preserve"> </v>
      </c>
      <c r="AA346" s="33" t="str">
        <f>IF(OR(ISBLANK(Y346), ISBLANK(Z346)),"",CONCATENATE(" ",VLOOKUP(Z346,Literatuur!$A:$B,2,FALSE)," "))</f>
        <v/>
      </c>
      <c r="AC346" s="36" t="str">
        <f t="shared" si="272"/>
        <v xml:space="preserve"> </v>
      </c>
      <c r="AD346" s="33" t="str">
        <f>IF(OR(ISBLANK(AB346), ISBLANK(AC346)),"",CONCATENATE(" ",VLOOKUP(AC346,Literatuur!$A:$B,2,FALSE)," "))</f>
        <v/>
      </c>
      <c r="AE346" s="365">
        <v>4.060841469074517E-3</v>
      </c>
      <c r="AF346" s="33" t="s">
        <v>1557</v>
      </c>
      <c r="AG346" s="33" t="str">
        <f>IF(OR(ISBLANK(AE346), ISBLANK(AF346)),"",CONCATENATE(" ",VLOOKUP(AF346,Literatuur!$A:$B,2,FALSE)," "))</f>
        <v xml:space="preserve"> 17 </v>
      </c>
      <c r="AJ346" s="44" t="str">
        <f t="shared" si="273"/>
        <v xml:space="preserve"> </v>
      </c>
      <c r="AK346" s="33" t="str">
        <f>IF(OR(ISBLANK(AI346), ISBLANK(AJ346)),"",CONCATENATE(" ",VLOOKUP(AJ346,Literatuur!$A:$B,2,FALSE)," "))</f>
        <v/>
      </c>
      <c r="AM346" s="44" t="str">
        <f t="shared" si="274"/>
        <v xml:space="preserve"> </v>
      </c>
      <c r="AN346" s="33" t="str">
        <f>IF(OR(ISBLANK(AL346), ISBLANK(AM346)),"",CONCATENATE(" ",VLOOKUP(AM346,Literatuur!$A:$B,2,FALSE)," "))</f>
        <v/>
      </c>
      <c r="AP346" s="44" t="str">
        <f t="shared" si="275"/>
        <v xml:space="preserve"> </v>
      </c>
      <c r="AQ346" s="33" t="str">
        <f>IF(OR(ISBLANK(AO346), ISBLANK(AP346)),"",CONCATENATE(" ",VLOOKUP(AP346,Literatuur!$A:$B,2,FALSE)," "))</f>
        <v/>
      </c>
      <c r="AS346"/>
      <c r="AT346" s="33" t="str">
        <f>IF(OR(ISBLANK(AR346), ISBLANK(AS346)),"",CONCATENATE(" ",VLOOKUP(AS346,Literatuur!$A:$B,2,FALSE)," "))</f>
        <v/>
      </c>
      <c r="AU346">
        <v>643.6</v>
      </c>
      <c r="AV346" s="33" t="s">
        <v>1557</v>
      </c>
      <c r="AW346" s="33" t="str">
        <f>IF(OR(ISBLANK(AU346), ISBLANK(AV346)),"",CONCATENATE(" ",VLOOKUP(AV346,Literatuur!$A:$B,2,FALSE)," "))</f>
        <v xml:space="preserve"> 17 </v>
      </c>
      <c r="AZ346" s="44" t="str">
        <f t="shared" si="276"/>
        <v xml:space="preserve"> </v>
      </c>
      <c r="BA346" s="33" t="str">
        <f>IF(OR(ISBLANK(AY346), ISBLANK(AZ346)),"",CONCATENATE(" ",VLOOKUP(AZ346,Literatuur!$A:$B,2,FALSE)," "))</f>
        <v/>
      </c>
      <c r="BC346" s="44" t="str">
        <f t="shared" si="277"/>
        <v xml:space="preserve"> </v>
      </c>
      <c r="BD346" s="33" t="str">
        <f>IF(OR(ISBLANK(BB346), ISBLANK(BC346)),"",CONCATENATE(" ",VLOOKUP(BC346,Literatuur!$A:$B,2,FALSE)," "))</f>
        <v/>
      </c>
      <c r="BF346" s="44" t="str">
        <f t="shared" si="278"/>
        <v xml:space="preserve"> </v>
      </c>
      <c r="BG346" s="33" t="str">
        <f>IF(OR(ISBLANK(BE346), ISBLANK(BF346)),"",CONCATENATE(" ",VLOOKUP(BF346,Literatuur!$A:$B,2,FALSE)," "))</f>
        <v/>
      </c>
      <c r="BI346" s="44" t="str">
        <f t="shared" si="279"/>
        <v xml:space="preserve"> </v>
      </c>
      <c r="BJ346" s="33" t="str">
        <f>IF(OR(ISBLANK(BH346), ISBLANK(BI346)),"",CONCATENATE(" ",VLOOKUP(BI346,Literatuur!$A:$B,2,FALSE)," "))</f>
        <v/>
      </c>
      <c r="BL346" s="44" t="str">
        <f t="shared" si="280"/>
        <v xml:space="preserve"> </v>
      </c>
      <c r="BM346" s="33" t="str">
        <f>IF(OR(ISBLANK(BK346), ISBLANK(BL346)),"",CONCATENATE(" ",VLOOKUP(BL346,Literatuur!$A:$B,2,FALSE)," "))</f>
        <v/>
      </c>
      <c r="BN346">
        <v>8</v>
      </c>
      <c r="BO346" s="4" t="s">
        <v>1666</v>
      </c>
      <c r="BP346" s="33" t="str">
        <f>IF(OR(ISBLANK(BN346), ISBLANK(BO346)),"",CONCATENATE(" ",VLOOKUP(BO346,Literatuur!$A:$B,2,FALSE)," "))</f>
        <v xml:space="preserve"> NA </v>
      </c>
      <c r="BQ346"/>
      <c r="BR346"/>
      <c r="BS346" s="33" t="str">
        <f>IF(OR(ISBLANK(BQ346), ISBLANK(BR346)),"",CONCATENATE(" ",VLOOKUP(BR346,Literatuur!$A:$B,2,FALSE)," "))</f>
        <v/>
      </c>
      <c r="BT346"/>
      <c r="BU346" s="33" t="s">
        <v>1557</v>
      </c>
      <c r="BV346" s="33" t="str">
        <f>IF(OR(ISBLANK(BT346), ISBLANK(BU346)),"",CONCATENATE(" ",VLOOKUP(BU346,Literatuur!$A:$B,2,FALSE)," "))</f>
        <v/>
      </c>
      <c r="BX346" s="33">
        <v>246.6</v>
      </c>
      <c r="CB346" s="33" t="s">
        <v>1557</v>
      </c>
      <c r="CD346" s="33">
        <f t="shared" si="281"/>
        <v>246.6</v>
      </c>
      <c r="CG346" s="33">
        <f t="shared" si="266"/>
        <v>-2.3913839645730088</v>
      </c>
      <c r="CR346" s="33" t="str">
        <f t="shared" si="257"/>
        <v>BDE-153</v>
      </c>
      <c r="CS346" s="33" t="str">
        <f t="shared" si="258"/>
        <v>BDE</v>
      </c>
      <c r="CT346" s="33">
        <f t="shared" si="254"/>
        <v>643.6</v>
      </c>
      <c r="CU346" s="33" t="str">
        <f t="shared" si="259"/>
        <v xml:space="preserve"> 17 </v>
      </c>
      <c r="CV346" s="33">
        <f t="shared" si="260"/>
        <v>4.060841469074517E-3</v>
      </c>
      <c r="CW346" s="33" t="str">
        <f t="shared" si="261"/>
        <v xml:space="preserve"> 17 </v>
      </c>
      <c r="CX346" s="33">
        <f t="shared" si="262"/>
        <v>8</v>
      </c>
      <c r="CY346" s="33" t="str">
        <f t="shared" si="263"/>
        <v xml:space="preserve"> NA </v>
      </c>
    </row>
    <row r="347" spans="1:103" x14ac:dyDescent="0.2">
      <c r="A347"/>
      <c r="B347">
        <v>-1759</v>
      </c>
      <c r="C347"/>
      <c r="D347" t="s">
        <v>1037</v>
      </c>
      <c r="E347" t="s">
        <v>1037</v>
      </c>
      <c r="I347" s="33">
        <f t="shared" si="256"/>
        <v>643.6</v>
      </c>
      <c r="J347" s="33">
        <f t="shared" si="264"/>
        <v>4.060841469074517E-3</v>
      </c>
      <c r="K347" s="44">
        <f t="shared" si="255"/>
        <v>8</v>
      </c>
      <c r="L347" s="33">
        <f t="shared" si="251"/>
        <v>246.5</v>
      </c>
      <c r="M347" s="33" t="s">
        <v>1638</v>
      </c>
      <c r="Q347" s="44" t="str">
        <f t="shared" si="268"/>
        <v xml:space="preserve"> </v>
      </c>
      <c r="R347" s="33" t="str">
        <f>IF(OR(ISBLANK(P347), ISBLANK(Q347)),"",CONCATENATE(" ",VLOOKUP(Q347,Literatuur!$A:$B,2,FALSE)," "))</f>
        <v/>
      </c>
      <c r="T347" s="44" t="str">
        <f t="shared" si="269"/>
        <v xml:space="preserve"> </v>
      </c>
      <c r="U347" s="33" t="str">
        <f>IF(OR(ISBLANK(S347), ISBLANK(T347)),"",CONCATENATE(" ",VLOOKUP(T347,Literatuur!$A:$B,2,FALSE)," "))</f>
        <v/>
      </c>
      <c r="W347" s="44" t="str">
        <f t="shared" si="270"/>
        <v xml:space="preserve"> </v>
      </c>
      <c r="X347" s="33" t="str">
        <f>IF(OR(ISBLANK(V347), ISBLANK(W347)),"",CONCATENATE(" ",VLOOKUP(W347,Literatuur!$A:$B,2,FALSE)," "))</f>
        <v/>
      </c>
      <c r="Z347" s="44" t="str">
        <f t="shared" si="271"/>
        <v xml:space="preserve"> </v>
      </c>
      <c r="AA347" s="33" t="str">
        <f>IF(OR(ISBLANK(Y347), ISBLANK(Z347)),"",CONCATENATE(" ",VLOOKUP(Z347,Literatuur!$A:$B,2,FALSE)," "))</f>
        <v/>
      </c>
      <c r="AC347" s="36" t="str">
        <f t="shared" si="272"/>
        <v xml:space="preserve"> </v>
      </c>
      <c r="AD347" s="33" t="str">
        <f>IF(OR(ISBLANK(AB347), ISBLANK(AC347)),"",CONCATENATE(" ",VLOOKUP(AC347,Literatuur!$A:$B,2,FALSE)," "))</f>
        <v/>
      </c>
      <c r="AE347" s="365">
        <v>4.060841469074517E-3</v>
      </c>
      <c r="AF347" s="33" t="s">
        <v>1557</v>
      </c>
      <c r="AG347" s="33" t="str">
        <f>IF(OR(ISBLANK(AE347), ISBLANK(AF347)),"",CONCATENATE(" ",VLOOKUP(AF347,Literatuur!$A:$B,2,FALSE)," "))</f>
        <v xml:space="preserve"> 17 </v>
      </c>
      <c r="AJ347" s="44" t="str">
        <f t="shared" si="273"/>
        <v xml:space="preserve"> </v>
      </c>
      <c r="AK347" s="33" t="str">
        <f>IF(OR(ISBLANK(AI347), ISBLANK(AJ347)),"",CONCATENATE(" ",VLOOKUP(AJ347,Literatuur!$A:$B,2,FALSE)," "))</f>
        <v/>
      </c>
      <c r="AM347" s="44" t="str">
        <f t="shared" si="274"/>
        <v xml:space="preserve"> </v>
      </c>
      <c r="AN347" s="33" t="str">
        <f>IF(OR(ISBLANK(AL347), ISBLANK(AM347)),"",CONCATENATE(" ",VLOOKUP(AM347,Literatuur!$A:$B,2,FALSE)," "))</f>
        <v/>
      </c>
      <c r="AP347" s="44" t="str">
        <f t="shared" si="275"/>
        <v xml:space="preserve"> </v>
      </c>
      <c r="AQ347" s="33" t="str">
        <f>IF(OR(ISBLANK(AO347), ISBLANK(AP347)),"",CONCATENATE(" ",VLOOKUP(AP347,Literatuur!$A:$B,2,FALSE)," "))</f>
        <v/>
      </c>
      <c r="AS347"/>
      <c r="AT347" s="33" t="str">
        <f>IF(OR(ISBLANK(AR347), ISBLANK(AS347)),"",CONCATENATE(" ",VLOOKUP(AS347,Literatuur!$A:$B,2,FALSE)," "))</f>
        <v/>
      </c>
      <c r="AU347">
        <v>643.6</v>
      </c>
      <c r="AV347" s="33" t="s">
        <v>1557</v>
      </c>
      <c r="AW347" s="33" t="str">
        <f>IF(OR(ISBLANK(AU347), ISBLANK(AV347)),"",CONCATENATE(" ",VLOOKUP(AV347,Literatuur!$A:$B,2,FALSE)," "))</f>
        <v xml:space="preserve"> 17 </v>
      </c>
      <c r="AZ347" s="44" t="str">
        <f t="shared" si="276"/>
        <v xml:space="preserve"> </v>
      </c>
      <c r="BA347" s="33" t="str">
        <f>IF(OR(ISBLANK(AY347), ISBLANK(AZ347)),"",CONCATENATE(" ",VLOOKUP(AZ347,Literatuur!$A:$B,2,FALSE)," "))</f>
        <v/>
      </c>
      <c r="BC347" s="44" t="str">
        <f t="shared" si="277"/>
        <v xml:space="preserve"> </v>
      </c>
      <c r="BD347" s="33" t="str">
        <f>IF(OR(ISBLANK(BB347), ISBLANK(BC347)),"",CONCATENATE(" ",VLOOKUP(BC347,Literatuur!$A:$B,2,FALSE)," "))</f>
        <v/>
      </c>
      <c r="BF347" s="44" t="str">
        <f t="shared" si="278"/>
        <v xml:space="preserve"> </v>
      </c>
      <c r="BG347" s="33" t="str">
        <f>IF(OR(ISBLANK(BE347), ISBLANK(BF347)),"",CONCATENATE(" ",VLOOKUP(BF347,Literatuur!$A:$B,2,FALSE)," "))</f>
        <v/>
      </c>
      <c r="BI347" s="44" t="str">
        <f t="shared" si="279"/>
        <v xml:space="preserve"> </v>
      </c>
      <c r="BJ347" s="33" t="str">
        <f>IF(OR(ISBLANK(BH347), ISBLANK(BI347)),"",CONCATENATE(" ",VLOOKUP(BI347,Literatuur!$A:$B,2,FALSE)," "))</f>
        <v/>
      </c>
      <c r="BL347" s="44" t="str">
        <f t="shared" si="280"/>
        <v xml:space="preserve"> </v>
      </c>
      <c r="BM347" s="33" t="str">
        <f>IF(OR(ISBLANK(BK347), ISBLANK(BL347)),"",CONCATENATE(" ",VLOOKUP(BL347,Literatuur!$A:$B,2,FALSE)," "))</f>
        <v/>
      </c>
      <c r="BN347">
        <v>8</v>
      </c>
      <c r="BO347" s="4" t="s">
        <v>1666</v>
      </c>
      <c r="BP347" s="33" t="str">
        <f>IF(OR(ISBLANK(BN347), ISBLANK(BO347)),"",CONCATENATE(" ",VLOOKUP(BO347,Literatuur!$A:$B,2,FALSE)," "))</f>
        <v xml:space="preserve"> NA </v>
      </c>
      <c r="BQ347"/>
      <c r="BR347"/>
      <c r="BS347" s="33" t="str">
        <f>IF(OR(ISBLANK(BQ347), ISBLANK(BR347)),"",CONCATENATE(" ",VLOOKUP(BR347,Literatuur!$A:$B,2,FALSE)," "))</f>
        <v/>
      </c>
      <c r="BT347"/>
      <c r="BU347" s="33" t="s">
        <v>1557</v>
      </c>
      <c r="BV347" s="33" t="str">
        <f>IF(OR(ISBLANK(BT347), ISBLANK(BU347)),"",CONCATENATE(" ",VLOOKUP(BU347,Literatuur!$A:$B,2,FALSE)," "))</f>
        <v/>
      </c>
      <c r="BX347" s="33">
        <v>246.5</v>
      </c>
      <c r="CB347" s="33" t="s">
        <v>1557</v>
      </c>
      <c r="CD347" s="33">
        <f t="shared" si="281"/>
        <v>246.5</v>
      </c>
      <c r="CG347" s="33">
        <f t="shared" si="266"/>
        <v>-2.3913839645730088</v>
      </c>
      <c r="CR347" s="33" t="str">
        <f t="shared" si="257"/>
        <v>BDE-154</v>
      </c>
      <c r="CS347" s="33" t="str">
        <f t="shared" si="258"/>
        <v>BDE</v>
      </c>
      <c r="CT347" s="33">
        <f t="shared" si="254"/>
        <v>643.6</v>
      </c>
      <c r="CU347" s="33" t="str">
        <f t="shared" si="259"/>
        <v xml:space="preserve"> 17 </v>
      </c>
      <c r="CV347" s="33">
        <f t="shared" si="260"/>
        <v>4.060841469074517E-3</v>
      </c>
      <c r="CW347" s="33" t="str">
        <f t="shared" si="261"/>
        <v xml:space="preserve"> 17 </v>
      </c>
      <c r="CX347" s="33">
        <f t="shared" si="262"/>
        <v>8</v>
      </c>
      <c r="CY347" s="33" t="str">
        <f t="shared" si="263"/>
        <v xml:space="preserve"> NA </v>
      </c>
    </row>
    <row r="348" spans="1:103" x14ac:dyDescent="0.2">
      <c r="A348"/>
      <c r="B348">
        <v>-1749</v>
      </c>
      <c r="C348"/>
      <c r="D348" t="s">
        <v>1027</v>
      </c>
      <c r="E348" t="s">
        <v>1027</v>
      </c>
      <c r="I348" s="33">
        <f t="shared" si="256"/>
        <v>406.9</v>
      </c>
      <c r="J348" s="33">
        <f t="shared" si="264"/>
        <v>0.203933085362937</v>
      </c>
      <c r="K348" s="44">
        <f t="shared" si="255"/>
        <v>5.8</v>
      </c>
      <c r="L348" s="33">
        <f t="shared" si="251"/>
        <v>202.1</v>
      </c>
      <c r="M348" s="33" t="s">
        <v>1638</v>
      </c>
      <c r="Q348" s="44" t="str">
        <f t="shared" si="268"/>
        <v xml:space="preserve"> </v>
      </c>
      <c r="R348" s="33" t="str">
        <f>IF(OR(ISBLANK(P348), ISBLANK(Q348)),"",CONCATENATE(" ",VLOOKUP(Q348,Literatuur!$A:$B,2,FALSE)," "))</f>
        <v/>
      </c>
      <c r="T348" s="44" t="str">
        <f t="shared" si="269"/>
        <v xml:space="preserve"> </v>
      </c>
      <c r="U348" s="33" t="str">
        <f>IF(OR(ISBLANK(S348), ISBLANK(T348)),"",CONCATENATE(" ",VLOOKUP(T348,Literatuur!$A:$B,2,FALSE)," "))</f>
        <v/>
      </c>
      <c r="W348" s="44" t="str">
        <f t="shared" si="270"/>
        <v xml:space="preserve"> </v>
      </c>
      <c r="X348" s="33" t="str">
        <f>IF(OR(ISBLANK(V348), ISBLANK(W348)),"",CONCATENATE(" ",VLOOKUP(W348,Literatuur!$A:$B,2,FALSE)," "))</f>
        <v/>
      </c>
      <c r="Z348" s="44" t="str">
        <f t="shared" si="271"/>
        <v xml:space="preserve"> </v>
      </c>
      <c r="AA348" s="33" t="str">
        <f>IF(OR(ISBLANK(Y348), ISBLANK(Z348)),"",CONCATENATE(" ",VLOOKUP(Z348,Literatuur!$A:$B,2,FALSE)," "))</f>
        <v/>
      </c>
      <c r="AC348" s="36" t="str">
        <f t="shared" si="272"/>
        <v xml:space="preserve"> </v>
      </c>
      <c r="AD348" s="33" t="str">
        <f>IF(OR(ISBLANK(AB348), ISBLANK(AC348)),"",CONCATENATE(" ",VLOOKUP(AC348,Literatuur!$A:$B,2,FALSE)," "))</f>
        <v/>
      </c>
      <c r="AE348" s="365">
        <v>0.203933085362937</v>
      </c>
      <c r="AF348" s="33" t="s">
        <v>1557</v>
      </c>
      <c r="AG348" s="33" t="str">
        <f>IF(OR(ISBLANK(AE348), ISBLANK(AF348)),"",CONCATENATE(" ",VLOOKUP(AF348,Literatuur!$A:$B,2,FALSE)," "))</f>
        <v xml:space="preserve"> 17 </v>
      </c>
      <c r="AJ348" s="44" t="str">
        <f t="shared" si="273"/>
        <v xml:space="preserve"> </v>
      </c>
      <c r="AK348" s="33" t="str">
        <f>IF(OR(ISBLANK(AI348), ISBLANK(AJ348)),"",CONCATENATE(" ",VLOOKUP(AJ348,Literatuur!$A:$B,2,FALSE)," "))</f>
        <v/>
      </c>
      <c r="AM348" s="44" t="str">
        <f t="shared" si="274"/>
        <v xml:space="preserve"> </v>
      </c>
      <c r="AN348" s="33" t="str">
        <f>IF(OR(ISBLANK(AL348), ISBLANK(AM348)),"",CONCATENATE(" ",VLOOKUP(AM348,Literatuur!$A:$B,2,FALSE)," "))</f>
        <v/>
      </c>
      <c r="AP348" s="44" t="str">
        <f t="shared" si="275"/>
        <v xml:space="preserve"> </v>
      </c>
      <c r="AQ348" s="33" t="str">
        <f>IF(OR(ISBLANK(AO348), ISBLANK(AP348)),"",CONCATENATE(" ",VLOOKUP(AP348,Literatuur!$A:$B,2,FALSE)," "))</f>
        <v/>
      </c>
      <c r="AS348"/>
      <c r="AT348" s="33" t="str">
        <f>IF(OR(ISBLANK(AR348), ISBLANK(AS348)),"",CONCATENATE(" ",VLOOKUP(AS348,Literatuur!$A:$B,2,FALSE)," "))</f>
        <v/>
      </c>
      <c r="AU348">
        <v>406.9</v>
      </c>
      <c r="AV348" s="33" t="s">
        <v>1557</v>
      </c>
      <c r="AW348" s="33" t="str">
        <f>IF(OR(ISBLANK(AU348), ISBLANK(AV348)),"",CONCATENATE(" ",VLOOKUP(AV348,Literatuur!$A:$B,2,FALSE)," "))</f>
        <v xml:space="preserve"> 17 </v>
      </c>
      <c r="AZ348" s="44" t="str">
        <f t="shared" si="276"/>
        <v xml:space="preserve"> </v>
      </c>
      <c r="BA348" s="33" t="str">
        <f>IF(OR(ISBLANK(AY348), ISBLANK(AZ348)),"",CONCATENATE(" ",VLOOKUP(AZ348,Literatuur!$A:$B,2,FALSE)," "))</f>
        <v/>
      </c>
      <c r="BC348" s="44" t="str">
        <f t="shared" si="277"/>
        <v xml:space="preserve"> </v>
      </c>
      <c r="BD348" s="33" t="str">
        <f>IF(OR(ISBLANK(BB348), ISBLANK(BC348)),"",CONCATENATE(" ",VLOOKUP(BC348,Literatuur!$A:$B,2,FALSE)," "))</f>
        <v/>
      </c>
      <c r="BF348" s="44" t="str">
        <f t="shared" si="278"/>
        <v xml:space="preserve"> </v>
      </c>
      <c r="BG348" s="33" t="str">
        <f>IF(OR(ISBLANK(BE348), ISBLANK(BF348)),"",CONCATENATE(" ",VLOOKUP(BF348,Literatuur!$A:$B,2,FALSE)," "))</f>
        <v/>
      </c>
      <c r="BI348" s="44" t="str">
        <f t="shared" si="279"/>
        <v xml:space="preserve"> </v>
      </c>
      <c r="BJ348" s="33" t="str">
        <f>IF(OR(ISBLANK(BH348), ISBLANK(BI348)),"",CONCATENATE(" ",VLOOKUP(BI348,Literatuur!$A:$B,2,FALSE)," "))</f>
        <v/>
      </c>
      <c r="BL348" s="44" t="str">
        <f t="shared" si="280"/>
        <v xml:space="preserve"> </v>
      </c>
      <c r="BM348" s="33" t="str">
        <f>IF(OR(ISBLANK(BK348), ISBLANK(BL348)),"",CONCATENATE(" ",VLOOKUP(BL348,Literatuur!$A:$B,2,FALSE)," "))</f>
        <v/>
      </c>
      <c r="BN348">
        <v>5.8</v>
      </c>
      <c r="BO348" s="4" t="s">
        <v>1666</v>
      </c>
      <c r="BP348" s="33" t="str">
        <f>IF(OR(ISBLANK(BN348), ISBLANK(BO348)),"",CONCATENATE(" ",VLOOKUP(BO348,Literatuur!$A:$B,2,FALSE)," "))</f>
        <v xml:space="preserve"> NA </v>
      </c>
      <c r="BQ348"/>
      <c r="BR348"/>
      <c r="BS348" s="33" t="str">
        <f>IF(OR(ISBLANK(BQ348), ISBLANK(BR348)),"",CONCATENATE(" ",VLOOKUP(BR348,Literatuur!$A:$B,2,FALSE)," "))</f>
        <v/>
      </c>
      <c r="BT348"/>
      <c r="BU348" s="33" t="s">
        <v>1557</v>
      </c>
      <c r="BV348" s="33" t="str">
        <f>IF(OR(ISBLANK(BT348), ISBLANK(BU348)),"",CONCATENATE(" ",VLOOKUP(BU348,Literatuur!$A:$B,2,FALSE)," "))</f>
        <v/>
      </c>
      <c r="BX348" s="33">
        <v>202.1</v>
      </c>
      <c r="CB348" s="33" t="s">
        <v>1557</v>
      </c>
      <c r="CD348" s="33">
        <f t="shared" si="281"/>
        <v>202.1</v>
      </c>
      <c r="CG348" s="33">
        <f t="shared" si="266"/>
        <v>-0.69051231014671499</v>
      </c>
      <c r="CR348" s="33" t="str">
        <f t="shared" si="257"/>
        <v>BDE-17</v>
      </c>
      <c r="CS348" s="33" t="str">
        <f t="shared" si="258"/>
        <v>BDE</v>
      </c>
      <c r="CT348" s="33">
        <f t="shared" si="254"/>
        <v>406.9</v>
      </c>
      <c r="CU348" s="33" t="str">
        <f t="shared" si="259"/>
        <v xml:space="preserve"> 17 </v>
      </c>
      <c r="CV348" s="33">
        <f t="shared" si="260"/>
        <v>0.203933085362937</v>
      </c>
      <c r="CW348" s="33" t="str">
        <f t="shared" si="261"/>
        <v xml:space="preserve"> 17 </v>
      </c>
      <c r="CX348" s="33">
        <f t="shared" si="262"/>
        <v>5.8</v>
      </c>
      <c r="CY348" s="33" t="str">
        <f t="shared" si="263"/>
        <v xml:space="preserve"> NA </v>
      </c>
    </row>
    <row r="349" spans="1:103" x14ac:dyDescent="0.2">
      <c r="A349"/>
      <c r="B349">
        <v>-1747</v>
      </c>
      <c r="C349"/>
      <c r="D349" t="s">
        <v>1025</v>
      </c>
      <c r="E349" t="s">
        <v>1025</v>
      </c>
      <c r="I349" s="33">
        <f t="shared" si="256"/>
        <v>249.1</v>
      </c>
      <c r="J349" s="33">
        <f t="shared" si="264"/>
        <v>1.9786716326981841</v>
      </c>
      <c r="K349" s="44">
        <f t="shared" si="255"/>
        <v>4.5</v>
      </c>
      <c r="L349" s="33">
        <f t="shared" si="251"/>
        <v>173</v>
      </c>
      <c r="M349" s="33" t="s">
        <v>1638</v>
      </c>
      <c r="Q349" s="44" t="str">
        <f t="shared" si="268"/>
        <v xml:space="preserve"> </v>
      </c>
      <c r="R349" s="33" t="str">
        <f>IF(OR(ISBLANK(P349), ISBLANK(Q349)),"",CONCATENATE(" ",VLOOKUP(Q349,Literatuur!$A:$B,2,FALSE)," "))</f>
        <v/>
      </c>
      <c r="T349" s="44" t="str">
        <f t="shared" si="269"/>
        <v xml:space="preserve"> </v>
      </c>
      <c r="U349" s="33" t="str">
        <f>IF(OR(ISBLANK(S349), ISBLANK(T349)),"",CONCATENATE(" ",VLOOKUP(T349,Literatuur!$A:$B,2,FALSE)," "))</f>
        <v/>
      </c>
      <c r="W349" s="44" t="str">
        <f t="shared" si="270"/>
        <v xml:space="preserve"> </v>
      </c>
      <c r="X349" s="33" t="str">
        <f>IF(OR(ISBLANK(V349), ISBLANK(W349)),"",CONCATENATE(" ",VLOOKUP(W349,Literatuur!$A:$B,2,FALSE)," "))</f>
        <v/>
      </c>
      <c r="Z349" s="44" t="str">
        <f t="shared" si="271"/>
        <v xml:space="preserve"> </v>
      </c>
      <c r="AA349" s="33" t="str">
        <f>IF(OR(ISBLANK(Y349), ISBLANK(Z349)),"",CONCATENATE(" ",VLOOKUP(Z349,Literatuur!$A:$B,2,FALSE)," "))</f>
        <v/>
      </c>
      <c r="AC349" s="36" t="str">
        <f t="shared" si="272"/>
        <v xml:space="preserve"> </v>
      </c>
      <c r="AD349" s="33" t="str">
        <f>IF(OR(ISBLANK(AB349), ISBLANK(AC349)),"",CONCATENATE(" ",VLOOKUP(AC349,Literatuur!$A:$B,2,FALSE)," "))</f>
        <v/>
      </c>
      <c r="AE349" s="365">
        <v>1.9786716326981841</v>
      </c>
      <c r="AF349" s="33" t="s">
        <v>1557</v>
      </c>
      <c r="AG349" s="33" t="str">
        <f>IF(OR(ISBLANK(AE349), ISBLANK(AF349)),"",CONCATENATE(" ",VLOOKUP(AF349,Literatuur!$A:$B,2,FALSE)," "))</f>
        <v xml:space="preserve"> 17 </v>
      </c>
      <c r="AJ349" s="44" t="str">
        <f t="shared" si="273"/>
        <v xml:space="preserve"> </v>
      </c>
      <c r="AK349" s="33" t="str">
        <f>IF(OR(ISBLANK(AI349), ISBLANK(AJ349)),"",CONCATENATE(" ",VLOOKUP(AJ349,Literatuur!$A:$B,2,FALSE)," "))</f>
        <v/>
      </c>
      <c r="AM349" s="44" t="str">
        <f t="shared" si="274"/>
        <v xml:space="preserve"> </v>
      </c>
      <c r="AN349" s="33" t="str">
        <f>IF(OR(ISBLANK(AL349), ISBLANK(AM349)),"",CONCATENATE(" ",VLOOKUP(AM349,Literatuur!$A:$B,2,FALSE)," "))</f>
        <v/>
      </c>
      <c r="AP349" s="44" t="str">
        <f t="shared" si="275"/>
        <v xml:space="preserve"> </v>
      </c>
      <c r="AQ349" s="33" t="str">
        <f>IF(OR(ISBLANK(AO349), ISBLANK(AP349)),"",CONCATENATE(" ",VLOOKUP(AP349,Literatuur!$A:$B,2,FALSE)," "))</f>
        <v/>
      </c>
      <c r="AS349"/>
      <c r="AT349" s="33" t="str">
        <f>IF(OR(ISBLANK(AR349), ISBLANK(AS349)),"",CONCATENATE(" ",VLOOKUP(AS349,Literatuur!$A:$B,2,FALSE)," "))</f>
        <v/>
      </c>
      <c r="AU349">
        <v>249.1</v>
      </c>
      <c r="AV349" s="33" t="s">
        <v>1557</v>
      </c>
      <c r="AW349" s="33" t="str">
        <f>IF(OR(ISBLANK(AU349), ISBLANK(AV349)),"",CONCATENATE(" ",VLOOKUP(AV349,Literatuur!$A:$B,2,FALSE)," "))</f>
        <v xml:space="preserve"> 17 </v>
      </c>
      <c r="AZ349" s="44" t="str">
        <f t="shared" si="276"/>
        <v xml:space="preserve"> </v>
      </c>
      <c r="BA349" s="33" t="str">
        <f>IF(OR(ISBLANK(AY349), ISBLANK(AZ349)),"",CONCATENATE(" ",VLOOKUP(AZ349,Literatuur!$A:$B,2,FALSE)," "))</f>
        <v/>
      </c>
      <c r="BC349" s="44" t="str">
        <f t="shared" si="277"/>
        <v xml:space="preserve"> </v>
      </c>
      <c r="BD349" s="33" t="str">
        <f>IF(OR(ISBLANK(BB349), ISBLANK(BC349)),"",CONCATENATE(" ",VLOOKUP(BC349,Literatuur!$A:$B,2,FALSE)," "))</f>
        <v/>
      </c>
      <c r="BF349" s="44" t="str">
        <f t="shared" si="278"/>
        <v xml:space="preserve"> </v>
      </c>
      <c r="BG349" s="33" t="str">
        <f>IF(OR(ISBLANK(BE349), ISBLANK(BF349)),"",CONCATENATE(" ",VLOOKUP(BF349,Literatuur!$A:$B,2,FALSE)," "))</f>
        <v/>
      </c>
      <c r="BI349" s="44" t="str">
        <f t="shared" si="279"/>
        <v xml:space="preserve"> </v>
      </c>
      <c r="BJ349" s="33" t="str">
        <f>IF(OR(ISBLANK(BH349), ISBLANK(BI349)),"",CONCATENATE(" ",VLOOKUP(BI349,Literatuur!$A:$B,2,FALSE)," "))</f>
        <v/>
      </c>
      <c r="BL349" s="44" t="str">
        <f t="shared" si="280"/>
        <v xml:space="preserve"> </v>
      </c>
      <c r="BM349" s="33" t="str">
        <f>IF(OR(ISBLANK(BK349), ISBLANK(BL349)),"",CONCATENATE(" ",VLOOKUP(BL349,Literatuur!$A:$B,2,FALSE)," "))</f>
        <v/>
      </c>
      <c r="BN349">
        <v>4.5</v>
      </c>
      <c r="BO349" s="4" t="s">
        <v>1666</v>
      </c>
      <c r="BP349" s="33" t="str">
        <f>IF(OR(ISBLANK(BN349), ISBLANK(BO349)),"",CONCATENATE(" ",VLOOKUP(BO349,Literatuur!$A:$B,2,FALSE)," "))</f>
        <v xml:space="preserve"> NA </v>
      </c>
      <c r="BQ349"/>
      <c r="BR349"/>
      <c r="BS349" s="33" t="str">
        <f>IF(OR(ISBLANK(BQ349), ISBLANK(BR349)),"",CONCATENATE(" ",VLOOKUP(BR349,Literatuur!$A:$B,2,FALSE)," "))</f>
        <v/>
      </c>
      <c r="BT349"/>
      <c r="BU349" s="33" t="s">
        <v>1557</v>
      </c>
      <c r="BV349" s="33" t="str">
        <f>IF(OR(ISBLANK(BT349), ISBLANK(BU349)),"",CONCATENATE(" ",VLOOKUP(BU349,Literatuur!$A:$B,2,FALSE)," "))</f>
        <v/>
      </c>
      <c r="BX349" s="33">
        <v>173</v>
      </c>
      <c r="CB349" s="33" t="s">
        <v>1557</v>
      </c>
      <c r="CD349" s="33">
        <f t="shared" si="281"/>
        <v>173</v>
      </c>
      <c r="CG349" s="33">
        <f t="shared" si="266"/>
        <v>0.29637372753650626</v>
      </c>
      <c r="CR349" s="33" t="str">
        <f t="shared" si="257"/>
        <v>BDE-2</v>
      </c>
      <c r="CS349" s="33" t="str">
        <f t="shared" si="258"/>
        <v>BDE</v>
      </c>
      <c r="CT349" s="33">
        <f t="shared" si="254"/>
        <v>249.1</v>
      </c>
      <c r="CU349" s="33" t="str">
        <f t="shared" si="259"/>
        <v xml:space="preserve"> 17 </v>
      </c>
      <c r="CV349" s="33">
        <f t="shared" si="260"/>
        <v>1.9786716326981841</v>
      </c>
      <c r="CW349" s="33" t="str">
        <f t="shared" si="261"/>
        <v xml:space="preserve"> 17 </v>
      </c>
      <c r="CX349" s="33">
        <f t="shared" si="262"/>
        <v>4.5</v>
      </c>
      <c r="CY349" s="33" t="str">
        <f t="shared" si="263"/>
        <v xml:space="preserve"> NA </v>
      </c>
    </row>
    <row r="350" spans="1:103" x14ac:dyDescent="0.2">
      <c r="A350"/>
      <c r="B350">
        <v>-1750</v>
      </c>
      <c r="C350"/>
      <c r="D350" t="s">
        <v>1028</v>
      </c>
      <c r="E350" t="s">
        <v>1028</v>
      </c>
      <c r="I350" s="33">
        <f t="shared" si="256"/>
        <v>406.9</v>
      </c>
      <c r="J350" s="33">
        <f t="shared" si="264"/>
        <v>0.16198980769821794</v>
      </c>
      <c r="K350" s="44">
        <f t="shared" si="255"/>
        <v>5.8</v>
      </c>
      <c r="L350" s="33">
        <f t="shared" si="251"/>
        <v>203.8</v>
      </c>
      <c r="M350" s="33" t="s">
        <v>1638</v>
      </c>
      <c r="Q350" s="44" t="str">
        <f t="shared" si="268"/>
        <v xml:space="preserve"> </v>
      </c>
      <c r="R350" s="33" t="str">
        <f>IF(OR(ISBLANK(P350), ISBLANK(Q350)),"",CONCATENATE(" ",VLOOKUP(Q350,Literatuur!$A:$B,2,FALSE)," "))</f>
        <v/>
      </c>
      <c r="T350" s="44" t="str">
        <f t="shared" si="269"/>
        <v xml:space="preserve"> </v>
      </c>
      <c r="U350" s="33" t="str">
        <f>IF(OR(ISBLANK(S350), ISBLANK(T350)),"",CONCATENATE(" ",VLOOKUP(T350,Literatuur!$A:$B,2,FALSE)," "))</f>
        <v/>
      </c>
      <c r="W350" s="44" t="str">
        <f t="shared" si="270"/>
        <v xml:space="preserve"> </v>
      </c>
      <c r="X350" s="33" t="str">
        <f>IF(OR(ISBLANK(V350), ISBLANK(W350)),"",CONCATENATE(" ",VLOOKUP(W350,Literatuur!$A:$B,2,FALSE)," "))</f>
        <v/>
      </c>
      <c r="Z350" s="44" t="str">
        <f t="shared" si="271"/>
        <v xml:space="preserve"> </v>
      </c>
      <c r="AA350" s="33" t="str">
        <f>IF(OR(ISBLANK(Y350), ISBLANK(Z350)),"",CONCATENATE(" ",VLOOKUP(Z350,Literatuur!$A:$B,2,FALSE)," "))</f>
        <v/>
      </c>
      <c r="AC350" s="36" t="str">
        <f t="shared" si="272"/>
        <v xml:space="preserve"> </v>
      </c>
      <c r="AD350" s="33" t="str">
        <f>IF(OR(ISBLANK(AB350), ISBLANK(AC350)),"",CONCATENATE(" ",VLOOKUP(AC350,Literatuur!$A:$B,2,FALSE)," "))</f>
        <v/>
      </c>
      <c r="AE350" s="365">
        <v>0.16198980769821794</v>
      </c>
      <c r="AF350" s="33" t="s">
        <v>1557</v>
      </c>
      <c r="AG350" s="33" t="str">
        <f>IF(OR(ISBLANK(AE350), ISBLANK(AF350)),"",CONCATENATE(" ",VLOOKUP(AF350,Literatuur!$A:$B,2,FALSE)," "))</f>
        <v xml:space="preserve"> 17 </v>
      </c>
      <c r="AJ350" s="44" t="str">
        <f t="shared" si="273"/>
        <v xml:space="preserve"> </v>
      </c>
      <c r="AK350" s="33" t="str">
        <f>IF(OR(ISBLANK(AI350), ISBLANK(AJ350)),"",CONCATENATE(" ",VLOOKUP(AJ350,Literatuur!$A:$B,2,FALSE)," "))</f>
        <v/>
      </c>
      <c r="AM350" s="44" t="str">
        <f t="shared" si="274"/>
        <v xml:space="preserve"> </v>
      </c>
      <c r="AN350" s="33" t="str">
        <f>IF(OR(ISBLANK(AL350), ISBLANK(AM350)),"",CONCATENATE(" ",VLOOKUP(AM350,Literatuur!$A:$B,2,FALSE)," "))</f>
        <v/>
      </c>
      <c r="AP350" s="44" t="str">
        <f t="shared" si="275"/>
        <v xml:space="preserve"> </v>
      </c>
      <c r="AQ350" s="33" t="str">
        <f>IF(OR(ISBLANK(AO350), ISBLANK(AP350)),"",CONCATENATE(" ",VLOOKUP(AP350,Literatuur!$A:$B,2,FALSE)," "))</f>
        <v/>
      </c>
      <c r="AS350"/>
      <c r="AT350" s="33" t="str">
        <f>IF(OR(ISBLANK(AR350), ISBLANK(AS350)),"",CONCATENATE(" ",VLOOKUP(AS350,Literatuur!$A:$B,2,FALSE)," "))</f>
        <v/>
      </c>
      <c r="AU350">
        <v>406.9</v>
      </c>
      <c r="AV350" s="33" t="s">
        <v>1557</v>
      </c>
      <c r="AW350" s="33" t="str">
        <f>IF(OR(ISBLANK(AU350), ISBLANK(AV350)),"",CONCATENATE(" ",VLOOKUP(AV350,Literatuur!$A:$B,2,FALSE)," "))</f>
        <v xml:space="preserve"> 17 </v>
      </c>
      <c r="AZ350" s="44" t="str">
        <f t="shared" si="276"/>
        <v xml:space="preserve"> </v>
      </c>
      <c r="BA350" s="33" t="str">
        <f>IF(OR(ISBLANK(AY350), ISBLANK(AZ350)),"",CONCATENATE(" ",VLOOKUP(AZ350,Literatuur!$A:$B,2,FALSE)," "))</f>
        <v/>
      </c>
      <c r="BC350" s="44" t="str">
        <f t="shared" si="277"/>
        <v xml:space="preserve"> </v>
      </c>
      <c r="BD350" s="33" t="str">
        <f>IF(OR(ISBLANK(BB350), ISBLANK(BC350)),"",CONCATENATE(" ",VLOOKUP(BC350,Literatuur!$A:$B,2,FALSE)," "))</f>
        <v/>
      </c>
      <c r="BF350" s="44" t="str">
        <f t="shared" si="278"/>
        <v xml:space="preserve"> </v>
      </c>
      <c r="BG350" s="33" t="str">
        <f>IF(OR(ISBLANK(BE350), ISBLANK(BF350)),"",CONCATENATE(" ",VLOOKUP(BF350,Literatuur!$A:$B,2,FALSE)," "))</f>
        <v/>
      </c>
      <c r="BI350" s="44" t="str">
        <f t="shared" si="279"/>
        <v xml:space="preserve"> </v>
      </c>
      <c r="BJ350" s="33" t="str">
        <f>IF(OR(ISBLANK(BH350), ISBLANK(BI350)),"",CONCATENATE(" ",VLOOKUP(BI350,Literatuur!$A:$B,2,FALSE)," "))</f>
        <v/>
      </c>
      <c r="BL350" s="44" t="str">
        <f t="shared" si="280"/>
        <v xml:space="preserve"> </v>
      </c>
      <c r="BM350" s="33" t="str">
        <f>IF(OR(ISBLANK(BK350), ISBLANK(BL350)),"",CONCATENATE(" ",VLOOKUP(BL350,Literatuur!$A:$B,2,FALSE)," "))</f>
        <v/>
      </c>
      <c r="BN350">
        <v>5.8</v>
      </c>
      <c r="BO350" s="4" t="s">
        <v>1666</v>
      </c>
      <c r="BP350" s="33" t="str">
        <f>IF(OR(ISBLANK(BN350), ISBLANK(BO350)),"",CONCATENATE(" ",VLOOKUP(BO350,Literatuur!$A:$B,2,FALSE)," "))</f>
        <v xml:space="preserve"> NA </v>
      </c>
      <c r="BQ350"/>
      <c r="BR350"/>
      <c r="BS350" s="33" t="str">
        <f>IF(OR(ISBLANK(BQ350), ISBLANK(BR350)),"",CONCATENATE(" ",VLOOKUP(BR350,Literatuur!$A:$B,2,FALSE)," "))</f>
        <v/>
      </c>
      <c r="BT350"/>
      <c r="BU350" s="33" t="s">
        <v>1557</v>
      </c>
      <c r="BV350" s="33" t="str">
        <f>IF(OR(ISBLANK(BT350), ISBLANK(BU350)),"",CONCATENATE(" ",VLOOKUP(BU350,Literatuur!$A:$B,2,FALSE)," "))</f>
        <v/>
      </c>
      <c r="BX350" s="33">
        <v>203.8</v>
      </c>
      <c r="CB350" s="33" t="s">
        <v>1557</v>
      </c>
      <c r="CD350" s="33">
        <f t="shared" si="281"/>
        <v>203.8</v>
      </c>
      <c r="CG350" s="33">
        <f t="shared" si="266"/>
        <v>-0.79051231014671497</v>
      </c>
      <c r="CR350" s="33" t="str">
        <f t="shared" si="257"/>
        <v>BDE-28</v>
      </c>
      <c r="CS350" s="33" t="str">
        <f t="shared" si="258"/>
        <v>BDE</v>
      </c>
      <c r="CT350" s="33">
        <f t="shared" si="254"/>
        <v>406.9</v>
      </c>
      <c r="CU350" s="33" t="str">
        <f t="shared" si="259"/>
        <v xml:space="preserve"> 17 </v>
      </c>
      <c r="CV350" s="33">
        <f t="shared" si="260"/>
        <v>0.16198980769821794</v>
      </c>
      <c r="CW350" s="33" t="str">
        <f t="shared" si="261"/>
        <v xml:space="preserve"> 17 </v>
      </c>
      <c r="CX350" s="33">
        <f t="shared" si="262"/>
        <v>5.8</v>
      </c>
      <c r="CY350" s="33" t="str">
        <f t="shared" si="263"/>
        <v xml:space="preserve"> NA </v>
      </c>
    </row>
    <row r="351" spans="1:103" x14ac:dyDescent="0.2">
      <c r="A351"/>
      <c r="B351">
        <v>-1751</v>
      </c>
      <c r="C351"/>
      <c r="D351" t="s">
        <v>1029</v>
      </c>
      <c r="E351" t="s">
        <v>1029</v>
      </c>
      <c r="I351" s="33">
        <f t="shared" si="256"/>
        <v>485.8</v>
      </c>
      <c r="J351" s="33">
        <f t="shared" si="264"/>
        <v>4.8580000000000005E-2</v>
      </c>
      <c r="K351" s="44">
        <f t="shared" si="255"/>
        <v>6.5</v>
      </c>
      <c r="L351" s="33">
        <f t="shared" si="251"/>
        <v>217.6</v>
      </c>
      <c r="M351" s="33" t="s">
        <v>1638</v>
      </c>
      <c r="Q351" s="44" t="str">
        <f t="shared" si="268"/>
        <v xml:space="preserve"> </v>
      </c>
      <c r="R351" s="33" t="str">
        <f>IF(OR(ISBLANK(P351), ISBLANK(Q351)),"",CONCATENATE(" ",VLOOKUP(Q351,Literatuur!$A:$B,2,FALSE)," "))</f>
        <v/>
      </c>
      <c r="T351" s="44" t="str">
        <f t="shared" si="269"/>
        <v xml:space="preserve"> </v>
      </c>
      <c r="U351" s="33" t="str">
        <f>IF(OR(ISBLANK(S351), ISBLANK(T351)),"",CONCATENATE(" ",VLOOKUP(T351,Literatuur!$A:$B,2,FALSE)," "))</f>
        <v/>
      </c>
      <c r="W351" s="44" t="str">
        <f t="shared" si="270"/>
        <v xml:space="preserve"> </v>
      </c>
      <c r="X351" s="33" t="str">
        <f>IF(OR(ISBLANK(V351), ISBLANK(W351)),"",CONCATENATE(" ",VLOOKUP(W351,Literatuur!$A:$B,2,FALSE)," "))</f>
        <v/>
      </c>
      <c r="Z351" s="44" t="str">
        <f t="shared" si="271"/>
        <v xml:space="preserve"> </v>
      </c>
      <c r="AA351" s="33" t="str">
        <f>IF(OR(ISBLANK(Y351), ISBLANK(Z351)),"",CONCATENATE(" ",VLOOKUP(Z351,Literatuur!$A:$B,2,FALSE)," "))</f>
        <v/>
      </c>
      <c r="AC351" s="36" t="str">
        <f t="shared" si="272"/>
        <v xml:space="preserve"> </v>
      </c>
      <c r="AD351" s="33" t="str">
        <f>IF(OR(ISBLANK(AB351), ISBLANK(AC351)),"",CONCATENATE(" ",VLOOKUP(AC351,Literatuur!$A:$B,2,FALSE)," "))</f>
        <v/>
      </c>
      <c r="AE351" s="365">
        <v>4.8580000000000005E-2</v>
      </c>
      <c r="AF351" s="33" t="s">
        <v>1557</v>
      </c>
      <c r="AG351" s="33" t="str">
        <f>IF(OR(ISBLANK(AE351), ISBLANK(AF351)),"",CONCATENATE(" ",VLOOKUP(AF351,Literatuur!$A:$B,2,FALSE)," "))</f>
        <v xml:space="preserve"> 17 </v>
      </c>
      <c r="AJ351" s="44" t="str">
        <f t="shared" si="273"/>
        <v xml:space="preserve"> </v>
      </c>
      <c r="AK351" s="33" t="str">
        <f>IF(OR(ISBLANK(AI351), ISBLANK(AJ351)),"",CONCATENATE(" ",VLOOKUP(AJ351,Literatuur!$A:$B,2,FALSE)," "))</f>
        <v/>
      </c>
      <c r="AM351" s="44" t="str">
        <f t="shared" si="274"/>
        <v xml:space="preserve"> </v>
      </c>
      <c r="AN351" s="33" t="str">
        <f>IF(OR(ISBLANK(AL351), ISBLANK(AM351)),"",CONCATENATE(" ",VLOOKUP(AM351,Literatuur!$A:$B,2,FALSE)," "))</f>
        <v/>
      </c>
      <c r="AP351" s="44" t="str">
        <f t="shared" si="275"/>
        <v xml:space="preserve"> </v>
      </c>
      <c r="AQ351" s="33" t="str">
        <f>IF(OR(ISBLANK(AO351), ISBLANK(AP351)),"",CONCATENATE(" ",VLOOKUP(AP351,Literatuur!$A:$B,2,FALSE)," "))</f>
        <v/>
      </c>
      <c r="AS351"/>
      <c r="AT351" s="33" t="str">
        <f>IF(OR(ISBLANK(AR351), ISBLANK(AS351)),"",CONCATENATE(" ",VLOOKUP(AS351,Literatuur!$A:$B,2,FALSE)," "))</f>
        <v/>
      </c>
      <c r="AU351">
        <v>485.8</v>
      </c>
      <c r="AV351" s="33" t="s">
        <v>1557</v>
      </c>
      <c r="AW351" s="33" t="str">
        <f>IF(OR(ISBLANK(AU351), ISBLANK(AV351)),"",CONCATENATE(" ",VLOOKUP(AV351,Literatuur!$A:$B,2,FALSE)," "))</f>
        <v xml:space="preserve"> 17 </v>
      </c>
      <c r="AZ351" s="44" t="str">
        <f t="shared" si="276"/>
        <v xml:space="preserve"> </v>
      </c>
      <c r="BA351" s="33" t="str">
        <f>IF(OR(ISBLANK(AY351), ISBLANK(AZ351)),"",CONCATENATE(" ",VLOOKUP(AZ351,Literatuur!$A:$B,2,FALSE)," "))</f>
        <v/>
      </c>
      <c r="BC351" s="44" t="str">
        <f t="shared" si="277"/>
        <v xml:space="preserve"> </v>
      </c>
      <c r="BD351" s="33" t="str">
        <f>IF(OR(ISBLANK(BB351), ISBLANK(BC351)),"",CONCATENATE(" ",VLOOKUP(BC351,Literatuur!$A:$B,2,FALSE)," "))</f>
        <v/>
      </c>
      <c r="BF351" s="44" t="str">
        <f t="shared" si="278"/>
        <v xml:space="preserve"> </v>
      </c>
      <c r="BG351" s="33" t="str">
        <f>IF(OR(ISBLANK(BE351), ISBLANK(BF351)),"",CONCATENATE(" ",VLOOKUP(BF351,Literatuur!$A:$B,2,FALSE)," "))</f>
        <v/>
      </c>
      <c r="BI351" s="44" t="str">
        <f t="shared" si="279"/>
        <v xml:space="preserve"> </v>
      </c>
      <c r="BJ351" s="33" t="str">
        <f>IF(OR(ISBLANK(BH351), ISBLANK(BI351)),"",CONCATENATE(" ",VLOOKUP(BI351,Literatuur!$A:$B,2,FALSE)," "))</f>
        <v/>
      </c>
      <c r="BL351" s="44" t="str">
        <f t="shared" si="280"/>
        <v xml:space="preserve"> </v>
      </c>
      <c r="BM351" s="33" t="str">
        <f>IF(OR(ISBLANK(BK351), ISBLANK(BL351)),"",CONCATENATE(" ",VLOOKUP(BL351,Literatuur!$A:$B,2,FALSE)," "))</f>
        <v/>
      </c>
      <c r="BN351">
        <v>6.5</v>
      </c>
      <c r="BO351" s="4" t="s">
        <v>1666</v>
      </c>
      <c r="BP351" s="33" t="str">
        <f>IF(OR(ISBLANK(BN351), ISBLANK(BO351)),"",CONCATENATE(" ",VLOOKUP(BO351,Literatuur!$A:$B,2,FALSE)," "))</f>
        <v xml:space="preserve"> NA </v>
      </c>
      <c r="BQ351"/>
      <c r="BR351"/>
      <c r="BS351" s="33" t="str">
        <f>IF(OR(ISBLANK(BQ351), ISBLANK(BR351)),"",CONCATENATE(" ",VLOOKUP(BR351,Literatuur!$A:$B,2,FALSE)," "))</f>
        <v/>
      </c>
      <c r="BT351"/>
      <c r="BU351" s="33" t="s">
        <v>1557</v>
      </c>
      <c r="BV351" s="33" t="str">
        <f>IF(OR(ISBLANK(BT351), ISBLANK(BU351)),"",CONCATENATE(" ",VLOOKUP(BU351,Literatuur!$A:$B,2,FALSE)," "))</f>
        <v/>
      </c>
      <c r="BX351" s="33">
        <v>217.6</v>
      </c>
      <c r="CB351" s="33" t="s">
        <v>1557</v>
      </c>
      <c r="CD351" s="33">
        <f t="shared" si="281"/>
        <v>217.6</v>
      </c>
      <c r="CG351" s="33">
        <f t="shared" si="266"/>
        <v>-1.3135424895308883</v>
      </c>
      <c r="CR351" s="33" t="str">
        <f t="shared" si="257"/>
        <v>BDE-47</v>
      </c>
      <c r="CS351" s="33" t="str">
        <f t="shared" si="258"/>
        <v>BDE</v>
      </c>
      <c r="CT351" s="33">
        <f t="shared" si="254"/>
        <v>485.8</v>
      </c>
      <c r="CU351" s="33" t="str">
        <f t="shared" si="259"/>
        <v xml:space="preserve"> 17 </v>
      </c>
      <c r="CV351" s="33">
        <f t="shared" si="260"/>
        <v>4.8580000000000005E-2</v>
      </c>
      <c r="CW351" s="33" t="str">
        <f t="shared" si="261"/>
        <v xml:space="preserve"> 17 </v>
      </c>
      <c r="CX351" s="33">
        <f t="shared" si="262"/>
        <v>6.5</v>
      </c>
      <c r="CY351" s="33" t="str">
        <f t="shared" si="263"/>
        <v xml:space="preserve"> NA </v>
      </c>
    </row>
    <row r="352" spans="1:103" x14ac:dyDescent="0.2">
      <c r="A352"/>
      <c r="B352">
        <v>-1752</v>
      </c>
      <c r="C352"/>
      <c r="D352" t="s">
        <v>1030</v>
      </c>
      <c r="E352" t="s">
        <v>1030</v>
      </c>
      <c r="I352" s="33">
        <f t="shared" si="256"/>
        <v>485.8</v>
      </c>
      <c r="J352" s="33">
        <f t="shared" si="264"/>
        <v>4.8580000000000005E-2</v>
      </c>
      <c r="K352" s="44">
        <f t="shared" si="255"/>
        <v>6.5</v>
      </c>
      <c r="L352" s="33">
        <f t="shared" si="251"/>
        <v>218.2</v>
      </c>
      <c r="M352" s="33" t="s">
        <v>1638</v>
      </c>
      <c r="Q352" s="44" t="str">
        <f t="shared" si="268"/>
        <v xml:space="preserve"> </v>
      </c>
      <c r="R352" s="33" t="str">
        <f>IF(OR(ISBLANK(P352), ISBLANK(Q352)),"",CONCATENATE(" ",VLOOKUP(Q352,Literatuur!$A:$B,2,FALSE)," "))</f>
        <v/>
      </c>
      <c r="T352" s="44" t="str">
        <f t="shared" si="269"/>
        <v xml:space="preserve"> </v>
      </c>
      <c r="U352" s="33" t="str">
        <f>IF(OR(ISBLANK(S352), ISBLANK(T352)),"",CONCATENATE(" ",VLOOKUP(T352,Literatuur!$A:$B,2,FALSE)," "))</f>
        <v/>
      </c>
      <c r="W352" s="44" t="str">
        <f t="shared" si="270"/>
        <v xml:space="preserve"> </v>
      </c>
      <c r="X352" s="33" t="str">
        <f>IF(OR(ISBLANK(V352), ISBLANK(W352)),"",CONCATENATE(" ",VLOOKUP(W352,Literatuur!$A:$B,2,FALSE)," "))</f>
        <v/>
      </c>
      <c r="Z352" s="44" t="str">
        <f t="shared" si="271"/>
        <v xml:space="preserve"> </v>
      </c>
      <c r="AA352" s="33" t="str">
        <f>IF(OR(ISBLANK(Y352), ISBLANK(Z352)),"",CONCATENATE(" ",VLOOKUP(Z352,Literatuur!$A:$B,2,FALSE)," "))</f>
        <v/>
      </c>
      <c r="AC352" s="36" t="str">
        <f t="shared" si="272"/>
        <v xml:space="preserve"> </v>
      </c>
      <c r="AD352" s="33" t="str">
        <f>IF(OR(ISBLANK(AB352), ISBLANK(AC352)),"",CONCATENATE(" ",VLOOKUP(AC352,Literatuur!$A:$B,2,FALSE)," "))</f>
        <v/>
      </c>
      <c r="AE352" s="365">
        <v>4.8580000000000005E-2</v>
      </c>
      <c r="AF352" s="33" t="s">
        <v>1557</v>
      </c>
      <c r="AG352" s="33" t="str">
        <f>IF(OR(ISBLANK(AE352), ISBLANK(AF352)),"",CONCATENATE(" ",VLOOKUP(AF352,Literatuur!$A:$B,2,FALSE)," "))</f>
        <v xml:space="preserve"> 17 </v>
      </c>
      <c r="AJ352" s="44" t="str">
        <f t="shared" si="273"/>
        <v xml:space="preserve"> </v>
      </c>
      <c r="AK352" s="33" t="str">
        <f>IF(OR(ISBLANK(AI352), ISBLANK(AJ352)),"",CONCATENATE(" ",VLOOKUP(AJ352,Literatuur!$A:$B,2,FALSE)," "))</f>
        <v/>
      </c>
      <c r="AM352" s="44" t="str">
        <f t="shared" si="274"/>
        <v xml:space="preserve"> </v>
      </c>
      <c r="AN352" s="33" t="str">
        <f>IF(OR(ISBLANK(AL352), ISBLANK(AM352)),"",CONCATENATE(" ",VLOOKUP(AM352,Literatuur!$A:$B,2,FALSE)," "))</f>
        <v/>
      </c>
      <c r="AP352" s="44" t="str">
        <f t="shared" si="275"/>
        <v xml:space="preserve"> </v>
      </c>
      <c r="AQ352" s="33" t="str">
        <f>IF(OR(ISBLANK(AO352), ISBLANK(AP352)),"",CONCATENATE(" ",VLOOKUP(AP352,Literatuur!$A:$B,2,FALSE)," "))</f>
        <v/>
      </c>
      <c r="AS352"/>
      <c r="AT352" s="33" t="str">
        <f>IF(OR(ISBLANK(AR352), ISBLANK(AS352)),"",CONCATENATE(" ",VLOOKUP(AS352,Literatuur!$A:$B,2,FALSE)," "))</f>
        <v/>
      </c>
      <c r="AU352">
        <v>485.8</v>
      </c>
      <c r="AV352" s="33" t="s">
        <v>1557</v>
      </c>
      <c r="AW352" s="33" t="str">
        <f>IF(OR(ISBLANK(AU352), ISBLANK(AV352)),"",CONCATENATE(" ",VLOOKUP(AV352,Literatuur!$A:$B,2,FALSE)," "))</f>
        <v xml:space="preserve"> 17 </v>
      </c>
      <c r="AZ352" s="44" t="str">
        <f t="shared" si="276"/>
        <v xml:space="preserve"> </v>
      </c>
      <c r="BA352" s="33" t="str">
        <f>IF(OR(ISBLANK(AY352), ISBLANK(AZ352)),"",CONCATENATE(" ",VLOOKUP(AZ352,Literatuur!$A:$B,2,FALSE)," "))</f>
        <v/>
      </c>
      <c r="BC352" s="44" t="str">
        <f t="shared" si="277"/>
        <v xml:space="preserve"> </v>
      </c>
      <c r="BD352" s="33" t="str">
        <f>IF(OR(ISBLANK(BB352), ISBLANK(BC352)),"",CONCATENATE(" ",VLOOKUP(BC352,Literatuur!$A:$B,2,FALSE)," "))</f>
        <v/>
      </c>
      <c r="BF352" s="44" t="str">
        <f t="shared" si="278"/>
        <v xml:space="preserve"> </v>
      </c>
      <c r="BG352" s="33" t="str">
        <f>IF(OR(ISBLANK(BE352), ISBLANK(BF352)),"",CONCATENATE(" ",VLOOKUP(BF352,Literatuur!$A:$B,2,FALSE)," "))</f>
        <v/>
      </c>
      <c r="BI352" s="44" t="str">
        <f t="shared" si="279"/>
        <v xml:space="preserve"> </v>
      </c>
      <c r="BJ352" s="33" t="str">
        <f>IF(OR(ISBLANK(BH352), ISBLANK(BI352)),"",CONCATENATE(" ",VLOOKUP(BI352,Literatuur!$A:$B,2,FALSE)," "))</f>
        <v/>
      </c>
      <c r="BL352" s="44" t="str">
        <f t="shared" si="280"/>
        <v xml:space="preserve"> </v>
      </c>
      <c r="BM352" s="33" t="str">
        <f>IF(OR(ISBLANK(BK352), ISBLANK(BL352)),"",CONCATENATE(" ",VLOOKUP(BL352,Literatuur!$A:$B,2,FALSE)," "))</f>
        <v/>
      </c>
      <c r="BN352">
        <v>6.5</v>
      </c>
      <c r="BO352" s="4" t="s">
        <v>1666</v>
      </c>
      <c r="BP352" s="33" t="str">
        <f>IF(OR(ISBLANK(BN352), ISBLANK(BO352)),"",CONCATENATE(" ",VLOOKUP(BO352,Literatuur!$A:$B,2,FALSE)," "))</f>
        <v xml:space="preserve"> NA </v>
      </c>
      <c r="BQ352"/>
      <c r="BR352"/>
      <c r="BS352" s="33" t="str">
        <f>IF(OR(ISBLANK(BQ352), ISBLANK(BR352)),"",CONCATENATE(" ",VLOOKUP(BR352,Literatuur!$A:$B,2,FALSE)," "))</f>
        <v/>
      </c>
      <c r="BT352"/>
      <c r="BU352" s="33" t="s">
        <v>1557</v>
      </c>
      <c r="BV352" s="33" t="str">
        <f>IF(OR(ISBLANK(BT352), ISBLANK(BU352)),"",CONCATENATE(" ",VLOOKUP(BU352,Literatuur!$A:$B,2,FALSE)," "))</f>
        <v/>
      </c>
      <c r="BX352" s="33">
        <v>218.2</v>
      </c>
      <c r="CB352" s="33" t="s">
        <v>1557</v>
      </c>
      <c r="CD352" s="33">
        <f t="shared" si="281"/>
        <v>218.2</v>
      </c>
      <c r="CG352" s="33">
        <f t="shared" si="266"/>
        <v>-1.3135424895308883</v>
      </c>
      <c r="CR352" s="33" t="str">
        <f t="shared" si="257"/>
        <v>BDE-66</v>
      </c>
      <c r="CS352" s="33" t="str">
        <f t="shared" si="258"/>
        <v>BDE</v>
      </c>
      <c r="CT352" s="33">
        <f t="shared" si="254"/>
        <v>485.8</v>
      </c>
      <c r="CU352" s="33" t="str">
        <f t="shared" si="259"/>
        <v xml:space="preserve"> 17 </v>
      </c>
      <c r="CV352" s="33">
        <f t="shared" si="260"/>
        <v>4.8580000000000005E-2</v>
      </c>
      <c r="CW352" s="33" t="str">
        <f t="shared" si="261"/>
        <v xml:space="preserve"> 17 </v>
      </c>
      <c r="CX352" s="33">
        <f t="shared" si="262"/>
        <v>6.5</v>
      </c>
      <c r="CY352" s="33" t="str">
        <f t="shared" si="263"/>
        <v xml:space="preserve"> NA </v>
      </c>
    </row>
    <row r="353" spans="1:103" x14ac:dyDescent="0.2">
      <c r="A353"/>
      <c r="B353">
        <v>-1753</v>
      </c>
      <c r="C353"/>
      <c r="D353" t="s">
        <v>1031</v>
      </c>
      <c r="E353" t="s">
        <v>1031</v>
      </c>
      <c r="I353" s="33">
        <f t="shared" si="256"/>
        <v>485.8</v>
      </c>
      <c r="J353" s="33">
        <f t="shared" si="264"/>
        <v>4.8580000000000005E-2</v>
      </c>
      <c r="K353" s="44">
        <f t="shared" ref="K353:K381" si="282">IF(ISNUMBER(AY353),AY353,AVERAGE(BB353,BE353,BH353,BK353,BN353,BQ353,BT353))</f>
        <v>6.6</v>
      </c>
      <c r="L353" s="33">
        <f t="shared" si="251"/>
        <v>217</v>
      </c>
      <c r="M353" s="33" t="s">
        <v>1638</v>
      </c>
      <c r="Q353" s="44" t="str">
        <f t="shared" si="268"/>
        <v xml:space="preserve"> </v>
      </c>
      <c r="R353" s="33" t="str">
        <f>IF(OR(ISBLANK(P353), ISBLANK(Q353)),"",CONCATENATE(" ",VLOOKUP(Q353,Literatuur!$A:$B,2,FALSE)," "))</f>
        <v/>
      </c>
      <c r="T353" s="44" t="str">
        <f t="shared" si="269"/>
        <v xml:space="preserve"> </v>
      </c>
      <c r="U353" s="33" t="str">
        <f>IF(OR(ISBLANK(S353), ISBLANK(T353)),"",CONCATENATE(" ",VLOOKUP(T353,Literatuur!$A:$B,2,FALSE)," "))</f>
        <v/>
      </c>
      <c r="W353" s="44" t="str">
        <f t="shared" si="270"/>
        <v xml:space="preserve"> </v>
      </c>
      <c r="X353" s="33" t="str">
        <f>IF(OR(ISBLANK(V353), ISBLANK(W353)),"",CONCATENATE(" ",VLOOKUP(W353,Literatuur!$A:$B,2,FALSE)," "))</f>
        <v/>
      </c>
      <c r="Z353" s="44" t="str">
        <f t="shared" si="271"/>
        <v xml:space="preserve"> </v>
      </c>
      <c r="AA353" s="33" t="str">
        <f>IF(OR(ISBLANK(Y353), ISBLANK(Z353)),"",CONCATENATE(" ",VLOOKUP(Z353,Literatuur!$A:$B,2,FALSE)," "))</f>
        <v/>
      </c>
      <c r="AC353" s="36" t="str">
        <f t="shared" si="272"/>
        <v xml:space="preserve"> </v>
      </c>
      <c r="AD353" s="33" t="str">
        <f>IF(OR(ISBLANK(AB353), ISBLANK(AC353)),"",CONCATENATE(" ",VLOOKUP(AC353,Literatuur!$A:$B,2,FALSE)," "))</f>
        <v/>
      </c>
      <c r="AE353" s="365">
        <v>4.8580000000000005E-2</v>
      </c>
      <c r="AF353" s="33" t="s">
        <v>1557</v>
      </c>
      <c r="AG353" s="33" t="str">
        <f>IF(OR(ISBLANK(AE353), ISBLANK(AF353)),"",CONCATENATE(" ",VLOOKUP(AF353,Literatuur!$A:$B,2,FALSE)," "))</f>
        <v xml:space="preserve"> 17 </v>
      </c>
      <c r="AJ353" s="44" t="str">
        <f t="shared" si="273"/>
        <v xml:space="preserve"> </v>
      </c>
      <c r="AK353" s="33" t="str">
        <f>IF(OR(ISBLANK(AI353), ISBLANK(AJ353)),"",CONCATENATE(" ",VLOOKUP(AJ353,Literatuur!$A:$B,2,FALSE)," "))</f>
        <v/>
      </c>
      <c r="AM353" s="44" t="str">
        <f t="shared" si="274"/>
        <v xml:space="preserve"> </v>
      </c>
      <c r="AN353" s="33" t="str">
        <f>IF(OR(ISBLANK(AL353), ISBLANK(AM353)),"",CONCATENATE(" ",VLOOKUP(AM353,Literatuur!$A:$B,2,FALSE)," "))</f>
        <v/>
      </c>
      <c r="AP353" s="44" t="str">
        <f t="shared" si="275"/>
        <v xml:space="preserve"> </v>
      </c>
      <c r="AQ353" s="33" t="str">
        <f>IF(OR(ISBLANK(AO353), ISBLANK(AP353)),"",CONCATENATE(" ",VLOOKUP(AP353,Literatuur!$A:$B,2,FALSE)," "))</f>
        <v/>
      </c>
      <c r="AS353"/>
      <c r="AT353" s="33" t="str">
        <f>IF(OR(ISBLANK(AR353), ISBLANK(AS353)),"",CONCATENATE(" ",VLOOKUP(AS353,Literatuur!$A:$B,2,FALSE)," "))</f>
        <v/>
      </c>
      <c r="AU353">
        <v>485.8</v>
      </c>
      <c r="AV353" s="33" t="s">
        <v>1557</v>
      </c>
      <c r="AW353" s="33" t="str">
        <f>IF(OR(ISBLANK(AU353), ISBLANK(AV353)),"",CONCATENATE(" ",VLOOKUP(AV353,Literatuur!$A:$B,2,FALSE)," "))</f>
        <v xml:space="preserve"> 17 </v>
      </c>
      <c r="AZ353" s="44" t="str">
        <f t="shared" si="276"/>
        <v xml:space="preserve"> </v>
      </c>
      <c r="BA353" s="33" t="str">
        <f>IF(OR(ISBLANK(AY353), ISBLANK(AZ353)),"",CONCATENATE(" ",VLOOKUP(AZ353,Literatuur!$A:$B,2,FALSE)," "))</f>
        <v/>
      </c>
      <c r="BC353" s="44" t="str">
        <f t="shared" si="277"/>
        <v xml:space="preserve"> </v>
      </c>
      <c r="BD353" s="33" t="str">
        <f>IF(OR(ISBLANK(BB353), ISBLANK(BC353)),"",CONCATENATE(" ",VLOOKUP(BC353,Literatuur!$A:$B,2,FALSE)," "))</f>
        <v/>
      </c>
      <c r="BF353" s="44" t="str">
        <f t="shared" si="278"/>
        <v xml:space="preserve"> </v>
      </c>
      <c r="BG353" s="33" t="str">
        <f>IF(OR(ISBLANK(BE353), ISBLANK(BF353)),"",CONCATENATE(" ",VLOOKUP(BF353,Literatuur!$A:$B,2,FALSE)," "))</f>
        <v/>
      </c>
      <c r="BI353" s="44" t="str">
        <f t="shared" si="279"/>
        <v xml:space="preserve"> </v>
      </c>
      <c r="BJ353" s="33" t="str">
        <f>IF(OR(ISBLANK(BH353), ISBLANK(BI353)),"",CONCATENATE(" ",VLOOKUP(BI353,Literatuur!$A:$B,2,FALSE)," "))</f>
        <v/>
      </c>
      <c r="BL353" s="44" t="str">
        <f t="shared" si="280"/>
        <v xml:space="preserve"> </v>
      </c>
      <c r="BM353" s="33" t="str">
        <f>IF(OR(ISBLANK(BK353), ISBLANK(BL353)),"",CONCATENATE(" ",VLOOKUP(BL353,Literatuur!$A:$B,2,FALSE)," "))</f>
        <v/>
      </c>
      <c r="BN353">
        <v>6.6</v>
      </c>
      <c r="BO353" s="4" t="s">
        <v>1666</v>
      </c>
      <c r="BP353" s="33" t="str">
        <f>IF(OR(ISBLANK(BN353), ISBLANK(BO353)),"",CONCATENATE(" ",VLOOKUP(BO353,Literatuur!$A:$B,2,FALSE)," "))</f>
        <v xml:space="preserve"> NA </v>
      </c>
      <c r="BQ353"/>
      <c r="BR353"/>
      <c r="BS353" s="33" t="str">
        <f>IF(OR(ISBLANK(BQ353), ISBLANK(BR353)),"",CONCATENATE(" ",VLOOKUP(BR353,Literatuur!$A:$B,2,FALSE)," "))</f>
        <v/>
      </c>
      <c r="BT353"/>
      <c r="BU353" s="33" t="s">
        <v>1557</v>
      </c>
      <c r="BV353" s="33" t="str">
        <f>IF(OR(ISBLANK(BT353), ISBLANK(BU353)),"",CONCATENATE(" ",VLOOKUP(BU353,Literatuur!$A:$B,2,FALSE)," "))</f>
        <v/>
      </c>
      <c r="BX353" s="33">
        <v>217</v>
      </c>
      <c r="CB353" s="33" t="s">
        <v>1557</v>
      </c>
      <c r="CD353" s="33">
        <f t="shared" si="281"/>
        <v>217</v>
      </c>
      <c r="CG353" s="33">
        <f t="shared" si="266"/>
        <v>-1.3135424895308883</v>
      </c>
      <c r="CR353" s="33" t="str">
        <f t="shared" si="257"/>
        <v>BDE-71</v>
      </c>
      <c r="CS353" s="33" t="str">
        <f t="shared" si="258"/>
        <v>BDE</v>
      </c>
      <c r="CT353" s="33">
        <f t="shared" si="254"/>
        <v>485.8</v>
      </c>
      <c r="CU353" s="33" t="str">
        <f t="shared" si="259"/>
        <v xml:space="preserve"> 17 </v>
      </c>
      <c r="CV353" s="33">
        <f t="shared" si="260"/>
        <v>4.8580000000000005E-2</v>
      </c>
      <c r="CW353" s="33" t="str">
        <f t="shared" si="261"/>
        <v xml:space="preserve"> 17 </v>
      </c>
      <c r="CX353" s="33">
        <f t="shared" si="262"/>
        <v>6.6</v>
      </c>
      <c r="CY353" s="33" t="str">
        <f t="shared" si="263"/>
        <v xml:space="preserve"> NA </v>
      </c>
    </row>
    <row r="354" spans="1:103" x14ac:dyDescent="0.2">
      <c r="A354"/>
      <c r="B354">
        <v>-1754</v>
      </c>
      <c r="C354"/>
      <c r="D354" t="s">
        <v>1032</v>
      </c>
      <c r="E354" t="s">
        <v>1032</v>
      </c>
      <c r="I354" s="33">
        <f t="shared" si="256"/>
        <v>564.70000000000005</v>
      </c>
      <c r="J354" s="33">
        <f t="shared" si="264"/>
        <v>1.4184622678734594E-2</v>
      </c>
      <c r="K354" s="44">
        <f t="shared" si="282"/>
        <v>7.2</v>
      </c>
      <c r="L354" s="33">
        <f t="shared" si="251"/>
        <v>231.6</v>
      </c>
      <c r="M354" s="33" t="s">
        <v>1638</v>
      </c>
      <c r="Q354" s="44" t="str">
        <f t="shared" si="268"/>
        <v xml:space="preserve"> </v>
      </c>
      <c r="R354" s="33" t="str">
        <f>IF(OR(ISBLANK(P354), ISBLANK(Q354)),"",CONCATENATE(" ",VLOOKUP(Q354,Literatuur!$A:$B,2,FALSE)," "))</f>
        <v/>
      </c>
      <c r="T354" s="44" t="str">
        <f t="shared" si="269"/>
        <v xml:space="preserve"> </v>
      </c>
      <c r="U354" s="33" t="str">
        <f>IF(OR(ISBLANK(S354), ISBLANK(T354)),"",CONCATENATE(" ",VLOOKUP(T354,Literatuur!$A:$B,2,FALSE)," "))</f>
        <v/>
      </c>
      <c r="W354" s="44" t="str">
        <f t="shared" si="270"/>
        <v xml:space="preserve"> </v>
      </c>
      <c r="X354" s="33" t="str">
        <f>IF(OR(ISBLANK(V354), ISBLANK(W354)),"",CONCATENATE(" ",VLOOKUP(W354,Literatuur!$A:$B,2,FALSE)," "))</f>
        <v/>
      </c>
      <c r="Z354" s="44" t="str">
        <f t="shared" si="271"/>
        <v xml:space="preserve"> </v>
      </c>
      <c r="AA354" s="33" t="str">
        <f>IF(OR(ISBLANK(Y354), ISBLANK(Z354)),"",CONCATENATE(" ",VLOOKUP(Z354,Literatuur!$A:$B,2,FALSE)," "))</f>
        <v/>
      </c>
      <c r="AC354" s="36" t="str">
        <f t="shared" si="272"/>
        <v xml:space="preserve"> </v>
      </c>
      <c r="AD354" s="33" t="str">
        <f>IF(OR(ISBLANK(AB354), ISBLANK(AC354)),"",CONCATENATE(" ",VLOOKUP(AC354,Literatuur!$A:$B,2,FALSE)," "))</f>
        <v/>
      </c>
      <c r="AE354" s="365">
        <v>1.4184622678734594E-2</v>
      </c>
      <c r="AF354" s="33" t="s">
        <v>1557</v>
      </c>
      <c r="AG354" s="33" t="str">
        <f>IF(OR(ISBLANK(AE354), ISBLANK(AF354)),"",CONCATENATE(" ",VLOOKUP(AF354,Literatuur!$A:$B,2,FALSE)," "))</f>
        <v xml:space="preserve"> 17 </v>
      </c>
      <c r="AJ354" s="44" t="str">
        <f t="shared" si="273"/>
        <v xml:space="preserve"> </v>
      </c>
      <c r="AK354" s="33" t="str">
        <f>IF(OR(ISBLANK(AI354), ISBLANK(AJ354)),"",CONCATENATE(" ",VLOOKUP(AJ354,Literatuur!$A:$B,2,FALSE)," "))</f>
        <v/>
      </c>
      <c r="AM354" s="44" t="str">
        <f t="shared" si="274"/>
        <v xml:space="preserve"> </v>
      </c>
      <c r="AN354" s="33" t="str">
        <f>IF(OR(ISBLANK(AL354), ISBLANK(AM354)),"",CONCATENATE(" ",VLOOKUP(AM354,Literatuur!$A:$B,2,FALSE)," "))</f>
        <v/>
      </c>
      <c r="AP354" s="44" t="str">
        <f t="shared" si="275"/>
        <v xml:space="preserve"> </v>
      </c>
      <c r="AQ354" s="33" t="str">
        <f>IF(OR(ISBLANK(AO354), ISBLANK(AP354)),"",CONCATENATE(" ",VLOOKUP(AP354,Literatuur!$A:$B,2,FALSE)," "))</f>
        <v/>
      </c>
      <c r="AS354"/>
      <c r="AT354" s="33" t="str">
        <f>IF(OR(ISBLANK(AR354), ISBLANK(AS354)),"",CONCATENATE(" ",VLOOKUP(AS354,Literatuur!$A:$B,2,FALSE)," "))</f>
        <v/>
      </c>
      <c r="AU354">
        <v>564.70000000000005</v>
      </c>
      <c r="AV354" s="33" t="s">
        <v>1557</v>
      </c>
      <c r="AW354" s="33" t="str">
        <f>IF(OR(ISBLANK(AU354), ISBLANK(AV354)),"",CONCATENATE(" ",VLOOKUP(AV354,Literatuur!$A:$B,2,FALSE)," "))</f>
        <v xml:space="preserve"> 17 </v>
      </c>
      <c r="AZ354" s="44" t="str">
        <f t="shared" si="276"/>
        <v xml:space="preserve"> </v>
      </c>
      <c r="BA354" s="33" t="str">
        <f>IF(OR(ISBLANK(AY354), ISBLANK(AZ354)),"",CONCATENATE(" ",VLOOKUP(AZ354,Literatuur!$A:$B,2,FALSE)," "))</f>
        <v/>
      </c>
      <c r="BC354" s="44" t="str">
        <f t="shared" si="277"/>
        <v xml:space="preserve"> </v>
      </c>
      <c r="BD354" s="33" t="str">
        <f>IF(OR(ISBLANK(BB354), ISBLANK(BC354)),"",CONCATENATE(" ",VLOOKUP(BC354,Literatuur!$A:$B,2,FALSE)," "))</f>
        <v/>
      </c>
      <c r="BF354" s="44" t="str">
        <f t="shared" si="278"/>
        <v xml:space="preserve"> </v>
      </c>
      <c r="BG354" s="33" t="str">
        <f>IF(OR(ISBLANK(BE354), ISBLANK(BF354)),"",CONCATENATE(" ",VLOOKUP(BF354,Literatuur!$A:$B,2,FALSE)," "))</f>
        <v/>
      </c>
      <c r="BI354" s="44" t="str">
        <f t="shared" si="279"/>
        <v xml:space="preserve"> </v>
      </c>
      <c r="BJ354" s="33" t="str">
        <f>IF(OR(ISBLANK(BH354), ISBLANK(BI354)),"",CONCATENATE(" ",VLOOKUP(BI354,Literatuur!$A:$B,2,FALSE)," "))</f>
        <v/>
      </c>
      <c r="BL354" s="44" t="str">
        <f t="shared" si="280"/>
        <v xml:space="preserve"> </v>
      </c>
      <c r="BM354" s="33" t="str">
        <f>IF(OR(ISBLANK(BK354), ISBLANK(BL354)),"",CONCATENATE(" ",VLOOKUP(BL354,Literatuur!$A:$B,2,FALSE)," "))</f>
        <v/>
      </c>
      <c r="BN354">
        <v>7.2</v>
      </c>
      <c r="BO354" s="4" t="s">
        <v>1666</v>
      </c>
      <c r="BP354" s="33" t="str">
        <f>IF(OR(ISBLANK(BN354), ISBLANK(BO354)),"",CONCATENATE(" ",VLOOKUP(BO354,Literatuur!$A:$B,2,FALSE)," "))</f>
        <v xml:space="preserve"> NA </v>
      </c>
      <c r="BQ354"/>
      <c r="BR354"/>
      <c r="BS354" s="33" t="str">
        <f>IF(OR(ISBLANK(BQ354), ISBLANK(BR354)),"",CONCATENATE(" ",VLOOKUP(BR354,Literatuur!$A:$B,2,FALSE)," "))</f>
        <v/>
      </c>
      <c r="BT354"/>
      <c r="BU354" s="33" t="s">
        <v>1557</v>
      </c>
      <c r="BV354" s="33" t="str">
        <f>IF(OR(ISBLANK(BT354), ISBLANK(BU354)),"",CONCATENATE(" ",VLOOKUP(BU354,Literatuur!$A:$B,2,FALSE)," "))</f>
        <v/>
      </c>
      <c r="BX354" s="33">
        <v>231.6</v>
      </c>
      <c r="CB354" s="33" t="s">
        <v>1557</v>
      </c>
      <c r="CD354" s="33">
        <f t="shared" si="281"/>
        <v>231.6</v>
      </c>
      <c r="CG354" s="33">
        <f t="shared" si="266"/>
        <v>-1.8481822122631211</v>
      </c>
      <c r="CR354" s="33" t="str">
        <f t="shared" si="257"/>
        <v>BDE-85</v>
      </c>
      <c r="CS354" s="33" t="str">
        <f t="shared" si="258"/>
        <v>BDE</v>
      </c>
      <c r="CT354" s="33">
        <f t="shared" si="254"/>
        <v>564.70000000000005</v>
      </c>
      <c r="CU354" s="33" t="str">
        <f t="shared" si="259"/>
        <v xml:space="preserve"> 17 </v>
      </c>
      <c r="CV354" s="33">
        <f t="shared" si="260"/>
        <v>1.4184622678734594E-2</v>
      </c>
      <c r="CW354" s="33" t="str">
        <f t="shared" si="261"/>
        <v xml:space="preserve"> 17 </v>
      </c>
      <c r="CX354" s="33">
        <f t="shared" si="262"/>
        <v>7.2</v>
      </c>
      <c r="CY354" s="33" t="str">
        <f t="shared" si="263"/>
        <v xml:space="preserve"> NA </v>
      </c>
    </row>
    <row r="355" spans="1:103" x14ac:dyDescent="0.2">
      <c r="A355"/>
      <c r="B355">
        <v>-1755</v>
      </c>
      <c r="C355"/>
      <c r="D355" t="s">
        <v>1033</v>
      </c>
      <c r="E355" t="s">
        <v>1033</v>
      </c>
      <c r="I355" s="33">
        <f t="shared" si="256"/>
        <v>564.70000000000005</v>
      </c>
      <c r="J355" s="33">
        <f t="shared" si="264"/>
        <v>1.4184622678734594E-2</v>
      </c>
      <c r="K355" s="44">
        <f t="shared" si="282"/>
        <v>7.2</v>
      </c>
      <c r="L355" s="33">
        <f t="shared" si="251"/>
        <v>232.1</v>
      </c>
      <c r="M355" s="33" t="s">
        <v>1638</v>
      </c>
      <c r="Q355" s="44" t="str">
        <f t="shared" si="268"/>
        <v xml:space="preserve"> </v>
      </c>
      <c r="R355" s="33" t="str">
        <f>IF(OR(ISBLANK(P355), ISBLANK(Q355)),"",CONCATENATE(" ",VLOOKUP(Q355,Literatuur!$A:$B,2,FALSE)," "))</f>
        <v/>
      </c>
      <c r="T355" s="44" t="str">
        <f t="shared" si="269"/>
        <v xml:space="preserve"> </v>
      </c>
      <c r="U355" s="33" t="str">
        <f>IF(OR(ISBLANK(S355), ISBLANK(T355)),"",CONCATENATE(" ",VLOOKUP(T355,Literatuur!$A:$B,2,FALSE)," "))</f>
        <v/>
      </c>
      <c r="W355" s="44" t="str">
        <f t="shared" si="270"/>
        <v xml:space="preserve"> </v>
      </c>
      <c r="X355" s="33" t="str">
        <f>IF(OR(ISBLANK(V355), ISBLANK(W355)),"",CONCATENATE(" ",VLOOKUP(W355,Literatuur!$A:$B,2,FALSE)," "))</f>
        <v/>
      </c>
      <c r="Z355" s="44" t="str">
        <f t="shared" si="271"/>
        <v xml:space="preserve"> </v>
      </c>
      <c r="AA355" s="33" t="str">
        <f>IF(OR(ISBLANK(Y355), ISBLANK(Z355)),"",CONCATENATE(" ",VLOOKUP(Z355,Literatuur!$A:$B,2,FALSE)," "))</f>
        <v/>
      </c>
      <c r="AC355" s="36" t="str">
        <f t="shared" si="272"/>
        <v xml:space="preserve"> </v>
      </c>
      <c r="AD355" s="33" t="str">
        <f>IF(OR(ISBLANK(AB355), ISBLANK(AC355)),"",CONCATENATE(" ",VLOOKUP(AC355,Literatuur!$A:$B,2,FALSE)," "))</f>
        <v/>
      </c>
      <c r="AE355" s="365">
        <v>1.4184622678734594E-2</v>
      </c>
      <c r="AF355" s="33" t="s">
        <v>1557</v>
      </c>
      <c r="AG355" s="33" t="str">
        <f>IF(OR(ISBLANK(AE355), ISBLANK(AF355)),"",CONCATENATE(" ",VLOOKUP(AF355,Literatuur!$A:$B,2,FALSE)," "))</f>
        <v xml:space="preserve"> 17 </v>
      </c>
      <c r="AJ355" s="44" t="str">
        <f t="shared" si="273"/>
        <v xml:space="preserve"> </v>
      </c>
      <c r="AK355" s="33" t="str">
        <f>IF(OR(ISBLANK(AI355), ISBLANK(AJ355)),"",CONCATENATE(" ",VLOOKUP(AJ355,Literatuur!$A:$B,2,FALSE)," "))</f>
        <v/>
      </c>
      <c r="AM355" s="44" t="str">
        <f t="shared" si="274"/>
        <v xml:space="preserve"> </v>
      </c>
      <c r="AN355" s="33" t="str">
        <f>IF(OR(ISBLANK(AL355), ISBLANK(AM355)),"",CONCATENATE(" ",VLOOKUP(AM355,Literatuur!$A:$B,2,FALSE)," "))</f>
        <v/>
      </c>
      <c r="AP355" s="44" t="str">
        <f t="shared" si="275"/>
        <v xml:space="preserve"> </v>
      </c>
      <c r="AQ355" s="33" t="str">
        <f>IF(OR(ISBLANK(AO355), ISBLANK(AP355)),"",CONCATENATE(" ",VLOOKUP(AP355,Literatuur!$A:$B,2,FALSE)," "))</f>
        <v/>
      </c>
      <c r="AS355"/>
      <c r="AT355" s="33" t="str">
        <f>IF(OR(ISBLANK(AR355), ISBLANK(AS355)),"",CONCATENATE(" ",VLOOKUP(AS355,Literatuur!$A:$B,2,FALSE)," "))</f>
        <v/>
      </c>
      <c r="AU355">
        <v>564.70000000000005</v>
      </c>
      <c r="AV355" s="33" t="s">
        <v>1557</v>
      </c>
      <c r="AW355" s="33" t="str">
        <f>IF(OR(ISBLANK(AU355), ISBLANK(AV355)),"",CONCATENATE(" ",VLOOKUP(AV355,Literatuur!$A:$B,2,FALSE)," "))</f>
        <v xml:space="preserve"> 17 </v>
      </c>
      <c r="AZ355" s="44" t="str">
        <f t="shared" si="276"/>
        <v xml:space="preserve"> </v>
      </c>
      <c r="BA355" s="33" t="str">
        <f>IF(OR(ISBLANK(AY355), ISBLANK(AZ355)),"",CONCATENATE(" ",VLOOKUP(AZ355,Literatuur!$A:$B,2,FALSE)," "))</f>
        <v/>
      </c>
      <c r="BC355" s="44" t="str">
        <f t="shared" si="277"/>
        <v xml:space="preserve"> </v>
      </c>
      <c r="BD355" s="33" t="str">
        <f>IF(OR(ISBLANK(BB355), ISBLANK(BC355)),"",CONCATENATE(" ",VLOOKUP(BC355,Literatuur!$A:$B,2,FALSE)," "))</f>
        <v/>
      </c>
      <c r="BF355" s="44" t="str">
        <f t="shared" si="278"/>
        <v xml:space="preserve"> </v>
      </c>
      <c r="BG355" s="33" t="str">
        <f>IF(OR(ISBLANK(BE355), ISBLANK(BF355)),"",CONCATENATE(" ",VLOOKUP(BF355,Literatuur!$A:$B,2,FALSE)," "))</f>
        <v/>
      </c>
      <c r="BI355" s="44" t="str">
        <f t="shared" si="279"/>
        <v xml:space="preserve"> </v>
      </c>
      <c r="BJ355" s="33" t="str">
        <f>IF(OR(ISBLANK(BH355), ISBLANK(BI355)),"",CONCATENATE(" ",VLOOKUP(BI355,Literatuur!$A:$B,2,FALSE)," "))</f>
        <v/>
      </c>
      <c r="BL355" s="44" t="str">
        <f t="shared" si="280"/>
        <v xml:space="preserve"> </v>
      </c>
      <c r="BM355" s="33" t="str">
        <f>IF(OR(ISBLANK(BK355), ISBLANK(BL355)),"",CONCATENATE(" ",VLOOKUP(BL355,Literatuur!$A:$B,2,FALSE)," "))</f>
        <v/>
      </c>
      <c r="BN355">
        <v>7.2</v>
      </c>
      <c r="BO355" s="4" t="s">
        <v>1666</v>
      </c>
      <c r="BP355" s="33" t="str">
        <f>IF(OR(ISBLANK(BN355), ISBLANK(BO355)),"",CONCATENATE(" ",VLOOKUP(BO355,Literatuur!$A:$B,2,FALSE)," "))</f>
        <v xml:space="preserve"> NA </v>
      </c>
      <c r="BQ355"/>
      <c r="BR355"/>
      <c r="BS355" s="33" t="str">
        <f>IF(OR(ISBLANK(BQ355), ISBLANK(BR355)),"",CONCATENATE(" ",VLOOKUP(BR355,Literatuur!$A:$B,2,FALSE)," "))</f>
        <v/>
      </c>
      <c r="BT355"/>
      <c r="BU355" s="33" t="s">
        <v>1557</v>
      </c>
      <c r="BV355" s="33" t="str">
        <f>IF(OR(ISBLANK(BT355), ISBLANK(BU355)),"",CONCATENATE(" ",VLOOKUP(BU355,Literatuur!$A:$B,2,FALSE)," "))</f>
        <v/>
      </c>
      <c r="BX355" s="33">
        <v>232.1</v>
      </c>
      <c r="CB355" s="33" t="s">
        <v>1557</v>
      </c>
      <c r="CD355" s="33">
        <f t="shared" si="281"/>
        <v>232.1</v>
      </c>
      <c r="CG355" s="33">
        <f t="shared" si="266"/>
        <v>-1.8481822122631211</v>
      </c>
      <c r="CR355" s="33" t="str">
        <f t="shared" si="257"/>
        <v>BDE-99</v>
      </c>
      <c r="CS355" s="33" t="str">
        <f t="shared" si="258"/>
        <v>BDE</v>
      </c>
      <c r="CT355" s="33">
        <f t="shared" si="254"/>
        <v>564.70000000000005</v>
      </c>
      <c r="CU355" s="33" t="str">
        <f t="shared" si="259"/>
        <v xml:space="preserve"> 17 </v>
      </c>
      <c r="CV355" s="33">
        <f t="shared" si="260"/>
        <v>1.4184622678734594E-2</v>
      </c>
      <c r="CW355" s="33" t="str">
        <f t="shared" si="261"/>
        <v xml:space="preserve"> 17 </v>
      </c>
      <c r="CX355" s="33">
        <f t="shared" si="262"/>
        <v>7.2</v>
      </c>
      <c r="CY355" s="33" t="str">
        <f t="shared" si="263"/>
        <v xml:space="preserve"> NA </v>
      </c>
    </row>
    <row r="356" spans="1:103" x14ac:dyDescent="0.2">
      <c r="B356" s="33">
        <v>-1811</v>
      </c>
      <c r="D356" s="33" t="s">
        <v>1870</v>
      </c>
      <c r="E356" s="33" t="s">
        <v>1870</v>
      </c>
      <c r="I356" s="33" t="e">
        <f t="shared" si="256"/>
        <v>#DIV/0!</v>
      </c>
      <c r="J356" s="33" t="e">
        <f t="shared" si="264"/>
        <v>#DIV/0!</v>
      </c>
      <c r="K356" s="44" t="e">
        <f t="shared" si="282"/>
        <v>#DIV/0!</v>
      </c>
      <c r="M356" s="33" t="s">
        <v>1926</v>
      </c>
      <c r="AW356" s="33" t="str">
        <f>IF(OR(ISBLANK(AU356), ISBLANK(AV356)),"",CONCATENATE(" ",VLOOKUP(AV356,Literatuur!$A:$B,2,FALSE)," "))</f>
        <v/>
      </c>
      <c r="CR356" s="33" t="str">
        <f t="shared" si="257"/>
        <v>gasoline</v>
      </c>
      <c r="CS356" s="33" t="str">
        <f t="shared" si="258"/>
        <v>Arom</v>
      </c>
    </row>
    <row r="357" spans="1:103" x14ac:dyDescent="0.2">
      <c r="B357" s="33">
        <v>-1305</v>
      </c>
      <c r="D357" s="33" t="s">
        <v>281</v>
      </c>
      <c r="E357" s="33" t="s">
        <v>1265</v>
      </c>
      <c r="F357" s="33" t="s">
        <v>1266</v>
      </c>
      <c r="H357" s="34" t="s">
        <v>282</v>
      </c>
      <c r="I357" s="37">
        <f t="shared" si="256"/>
        <v>112.21</v>
      </c>
      <c r="J357" s="33">
        <f t="shared" si="264"/>
        <v>14.2</v>
      </c>
      <c r="K357" s="44">
        <f t="shared" si="282"/>
        <v>4.37</v>
      </c>
      <c r="L357" s="33" t="e">
        <f t="shared" ref="L357:L381" si="283">AVERAGE(BX357:BY357)</f>
        <v>#DIV/0!</v>
      </c>
      <c r="M357" s="33" t="s">
        <v>1890</v>
      </c>
      <c r="Q357" s="44" t="str">
        <f t="shared" ref="Q357:Q381" si="284">IF(ISBLANK(P357)," ","Sanscrit")</f>
        <v xml:space="preserve"> </v>
      </c>
      <c r="R357" s="33" t="str">
        <f>IF(OR(ISBLANK(P357), ISBLANK(Q357)),"",CONCATENATE(" ",VLOOKUP(Q357,Literatuur!$A:$B,2,FALSE)," "))</f>
        <v/>
      </c>
      <c r="S357" s="33">
        <v>26</v>
      </c>
      <c r="T357" s="44" t="str">
        <f t="shared" ref="T357:T381" si="285">IF(ISBLANK(S357)," ","Gestis")</f>
        <v>Gestis</v>
      </c>
      <c r="U357" s="33" t="str">
        <f>IF(OR(ISBLANK(S357), ISBLANK(T357)),"",CONCATENATE(" ",VLOOKUP(T357,Literatuur!$A:$B,2,FALSE)," "))</f>
        <v xml:space="preserve"> A </v>
      </c>
      <c r="W357" s="44" t="str">
        <f t="shared" ref="W357:W381" si="286">IF(ISBLANK(V357)," ","US EPA 1995")</f>
        <v xml:space="preserve"> </v>
      </c>
      <c r="X357" s="33" t="str">
        <f>IF(OR(ISBLANK(V357), ISBLANK(W357)),"",CONCATENATE(" ",VLOOKUP(W357,Literatuur!$A:$B,2,FALSE)," "))</f>
        <v/>
      </c>
      <c r="Z357" s="44" t="str">
        <f t="shared" ref="Z357:Z381" si="287">IF(ISBLANK(Y357)," ","US EPA suite")</f>
        <v xml:space="preserve"> </v>
      </c>
      <c r="AA357" s="33" t="str">
        <f>IF(OR(ISBLANK(Y357), ISBLANK(Z357)),"",CONCATENATE(" ",VLOOKUP(Z357,Literatuur!$A:$B,2,FALSE)," "))</f>
        <v/>
      </c>
      <c r="AB357" s="33">
        <v>2.4</v>
      </c>
      <c r="AC357" s="36" t="str">
        <f t="shared" ref="AC357:AC381" si="288">IF(ISBLANK(AB357)," ","Vonk 1985")</f>
        <v>Vonk 1985</v>
      </c>
      <c r="AD357" s="33" t="str">
        <f>IF(OR(ISBLANK(AB357), ISBLANK(AC357)),"",CONCATENATE(" ",VLOOKUP(AC357,Literatuur!$A:$B,2,FALSE)," "))</f>
        <v xml:space="preserve"> 37 </v>
      </c>
      <c r="AG357" s="33" t="str">
        <f>IF(OR(ISBLANK(AE357), ISBLANK(AF357)),"",CONCATENATE(" ",VLOOKUP(AF357,Literatuur!$A:$B,2,FALSE)," "))</f>
        <v/>
      </c>
      <c r="AI357" s="37"/>
      <c r="AJ357" s="44" t="str">
        <f t="shared" ref="AJ357:AJ381" si="289">IF(ISBLANK(AI357)," ","Sanscrit")</f>
        <v xml:space="preserve"> </v>
      </c>
      <c r="AK357" s="33" t="str">
        <f>IF(OR(ISBLANK(AI357), ISBLANK(AJ357)),"",CONCATENATE(" ",VLOOKUP(AJ357,Literatuur!$A:$B,2,FALSE)," "))</f>
        <v/>
      </c>
      <c r="AL357" s="33">
        <v>112.21</v>
      </c>
      <c r="AM357" s="44" t="str">
        <f t="shared" ref="AM357:AM381" si="290">IF(ISBLANK(AL357)," ","Gestis")</f>
        <v>Gestis</v>
      </c>
      <c r="AN357" s="33" t="str">
        <f>IF(OR(ISBLANK(AL357), ISBLANK(AM357)),"",CONCATENATE(" ",VLOOKUP(AM357,Literatuur!$A:$B,2,FALSE)," "))</f>
        <v xml:space="preserve"> A </v>
      </c>
      <c r="AP357" s="44" t="str">
        <f t="shared" ref="AP357:AP381" si="291">IF(ISBLANK(AO357)," ","US EPA suite")</f>
        <v xml:space="preserve"> </v>
      </c>
      <c r="AQ357" s="33" t="str">
        <f>IF(OR(ISBLANK(AO357), ISBLANK(AP357)),"",CONCATENATE(" ",VLOOKUP(AP357,Literatuur!$A:$B,2,FALSE)," "))</f>
        <v/>
      </c>
      <c r="AT357" s="33" t="str">
        <f>IF(OR(ISBLANK(AR357), ISBLANK(AS357)),"",CONCATENATE(" ",VLOOKUP(AS357,Literatuur!$A:$B,2,FALSE)," "))</f>
        <v/>
      </c>
      <c r="AW357" s="33" t="str">
        <f>IF(OR(ISBLANK(AU357), ISBLANK(AV357)),"",CONCATENATE(" ",VLOOKUP(AV357,Literatuur!$A:$B,2,FALSE)," "))</f>
        <v/>
      </c>
      <c r="AZ357" s="44" t="str">
        <f t="shared" ref="AZ357:AZ381" si="292">IF(ISBLANK(AY357)," ","Sanscrit")</f>
        <v xml:space="preserve"> </v>
      </c>
      <c r="BA357" s="33" t="str">
        <f>IF(OR(ISBLANK(AY357), ISBLANK(AZ357)),"",CONCATENATE(" ",VLOOKUP(AZ357,Literatuur!$A:$B,2,FALSE)," "))</f>
        <v/>
      </c>
      <c r="BC357" s="44" t="str">
        <f t="shared" ref="BC357:BC381" si="293">IF(ISBLANK(BB357)," ","Gestis")</f>
        <v xml:space="preserve"> </v>
      </c>
      <c r="BD357" s="33" t="str">
        <f>IF(OR(ISBLANK(BB357), ISBLANK(BC357)),"",CONCATENATE(" ",VLOOKUP(BC357,Literatuur!$A:$B,2,FALSE)," "))</f>
        <v/>
      </c>
      <c r="BF357" s="44" t="str">
        <f t="shared" ref="BF357:BF381" si="294">IF(ISBLANK(BE357)," ","US EPA 1995")</f>
        <v xml:space="preserve"> </v>
      </c>
      <c r="BG357" s="33" t="str">
        <f>IF(OR(ISBLANK(BE357), ISBLANK(BF357)),"",CONCATENATE(" ",VLOOKUP(BF357,Literatuur!$A:$B,2,FALSE)," "))</f>
        <v/>
      </c>
      <c r="BI357" s="44" t="str">
        <f t="shared" ref="BI357:BI381" si="295">IF(ISBLANK(BH357)," ","US EPA suite")</f>
        <v xml:space="preserve"> </v>
      </c>
      <c r="BJ357" s="33" t="str">
        <f>IF(OR(ISBLANK(BH357), ISBLANK(BI357)),"",CONCATENATE(" ",VLOOKUP(BI357,Literatuur!$A:$B,2,FALSE)," "))</f>
        <v/>
      </c>
      <c r="BL357" s="44" t="str">
        <f t="shared" ref="BL357:BL381" si="296">IF(ISBLANK(BK357)," ","Sangster 1989")</f>
        <v xml:space="preserve"> </v>
      </c>
      <c r="BM357" s="33" t="str">
        <f>IF(OR(ISBLANK(BK357), ISBLANK(BL357)),"",CONCATENATE(" ",VLOOKUP(BL357,Literatuur!$A:$B,2,FALSE)," "))</f>
        <v/>
      </c>
      <c r="BP357" s="33" t="str">
        <f>IF(OR(ISBLANK(BN357), ISBLANK(BO357)),"",CONCATENATE(" ",VLOOKUP(BO357,Literatuur!$A:$B,2,FALSE)," "))</f>
        <v/>
      </c>
      <c r="BS357" s="33" t="str">
        <f>IF(OR(ISBLANK(BQ357), ISBLANK(BR357)),"",CONCATENATE(" ",VLOOKUP(BR357,Literatuur!$A:$B,2,FALSE)," "))</f>
        <v/>
      </c>
      <c r="BT357" s="33">
        <v>4.37</v>
      </c>
      <c r="BU357" s="33" t="s">
        <v>344</v>
      </c>
      <c r="BV357" s="33" t="str">
        <f>IF(OR(ISBLANK(BT357), ISBLANK(BU357)),"",CONCATENATE(" ",VLOOKUP(BU357,Literatuur!$A:$B,2,FALSE)," "))</f>
        <v xml:space="preserve"> G </v>
      </c>
      <c r="CE357" s="37">
        <f t="shared" ref="CE357:CE364" si="297">I357</f>
        <v>112.21</v>
      </c>
      <c r="CG357" s="33">
        <f>LOG(J357)</f>
        <v>1.1522883443830565</v>
      </c>
      <c r="CH357" s="33">
        <f t="shared" ref="CH357:CH372" si="298">K357</f>
        <v>4.37</v>
      </c>
      <c r="CR357" s="33" t="str">
        <f t="shared" si="257"/>
        <v>2,2,4-Trimethylpentane</v>
      </c>
      <c r="CS357" s="33" t="str">
        <f t="shared" si="258"/>
        <v>Alk</v>
      </c>
      <c r="CT357" s="33">
        <f t="shared" ref="CT357:CT381" si="299">IF(OR(ISBLANK(I357),ISERROR(I357)),"",I357)</f>
        <v>112.21</v>
      </c>
      <c r="CU357" s="33" t="str">
        <f t="shared" ref="CU357:CU381" si="300">IF(ISBLANK(AI357),CONCATENATE(AN357,AQ357,AT357,AW357,AX357),AK357)</f>
        <v xml:space="preserve"> A </v>
      </c>
      <c r="CV357" s="33">
        <f t="shared" ref="CV357:CV381" si="301">IF(OR(ISBLANK(J357),ISERROR(J357)),"",J357)</f>
        <v>14.2</v>
      </c>
      <c r="CW357" s="33" t="str">
        <f t="shared" ref="CW357:CW381" si="302">IF(ISBLANK(P357),CONCATENATE(U357,X357,AA357,AD357,AG357),R357)</f>
        <v xml:space="preserve"> A  37 </v>
      </c>
      <c r="CX357" s="33">
        <f t="shared" ref="CX357:CX381" si="303">IF(OR(ISBLANK(K357),ISERROR(K357)),"",K357)</f>
        <v>4.37</v>
      </c>
      <c r="CY357" s="33" t="str">
        <f t="shared" ref="CY357:CY381" si="304">IF(ISBLANK(AY357),CONCATENATE(BD357,BG357,BJ357,BM357,BP357,BS357,BV357,BW357),BA357)</f>
        <v xml:space="preserve"> G </v>
      </c>
    </row>
    <row r="358" spans="1:103" x14ac:dyDescent="0.2">
      <c r="B358" s="33">
        <v>-1516</v>
      </c>
      <c r="D358" s="33" t="s">
        <v>458</v>
      </c>
      <c r="E358" s="33" t="s">
        <v>458</v>
      </c>
      <c r="H358" s="34" t="s">
        <v>459</v>
      </c>
      <c r="I358" s="37">
        <f t="shared" si="256"/>
        <v>86.18</v>
      </c>
      <c r="J358" s="33">
        <f t="shared" si="264"/>
        <v>18</v>
      </c>
      <c r="K358" s="44">
        <f t="shared" si="282"/>
        <v>3.6</v>
      </c>
      <c r="L358" s="33" t="e">
        <f t="shared" si="283"/>
        <v>#DIV/0!</v>
      </c>
      <c r="M358" s="33" t="s">
        <v>1890</v>
      </c>
      <c r="Q358" s="44" t="str">
        <f t="shared" si="284"/>
        <v xml:space="preserve"> </v>
      </c>
      <c r="R358" s="33" t="str">
        <f>IF(OR(ISBLANK(P358), ISBLANK(Q358)),"",CONCATENATE(" ",VLOOKUP(Q358,Literatuur!$A:$B,2,FALSE)," "))</f>
        <v/>
      </c>
      <c r="S358" s="33">
        <v>18</v>
      </c>
      <c r="T358" s="44" t="str">
        <f t="shared" si="285"/>
        <v>Gestis</v>
      </c>
      <c r="U358" s="33" t="str">
        <f>IF(OR(ISBLANK(S358), ISBLANK(T358)),"",CONCATENATE(" ",VLOOKUP(T358,Literatuur!$A:$B,2,FALSE)," "))</f>
        <v xml:space="preserve"> A </v>
      </c>
      <c r="W358" s="44" t="str">
        <f t="shared" si="286"/>
        <v xml:space="preserve"> </v>
      </c>
      <c r="X358" s="33" t="str">
        <f>IF(OR(ISBLANK(V358), ISBLANK(W358)),"",CONCATENATE(" ",VLOOKUP(W358,Literatuur!$A:$B,2,FALSE)," "))</f>
        <v/>
      </c>
      <c r="Z358" s="44" t="str">
        <f t="shared" si="287"/>
        <v xml:space="preserve"> </v>
      </c>
      <c r="AA358" s="33" t="str">
        <f>IF(OR(ISBLANK(Y358), ISBLANK(Z358)),"",CONCATENATE(" ",VLOOKUP(Z358,Literatuur!$A:$B,2,FALSE)," "))</f>
        <v/>
      </c>
      <c r="AC358" s="36" t="str">
        <f t="shared" si="288"/>
        <v xml:space="preserve"> </v>
      </c>
      <c r="AD358" s="33" t="str">
        <f>IF(OR(ISBLANK(AB358), ISBLANK(AC358)),"",CONCATENATE(" ",VLOOKUP(AC358,Literatuur!$A:$B,2,FALSE)," "))</f>
        <v/>
      </c>
      <c r="AG358" s="33" t="str">
        <f>IF(OR(ISBLANK(AE358), ISBLANK(AF358)),"",CONCATENATE(" ",VLOOKUP(AF358,Literatuur!$A:$B,2,FALSE)," "))</f>
        <v/>
      </c>
      <c r="AJ358" s="44" t="str">
        <f t="shared" si="289"/>
        <v xml:space="preserve"> </v>
      </c>
      <c r="AK358" s="33" t="str">
        <f>IF(OR(ISBLANK(AI358), ISBLANK(AJ358)),"",CONCATENATE(" ",VLOOKUP(AJ358,Literatuur!$A:$B,2,FALSE)," "))</f>
        <v/>
      </c>
      <c r="AL358" s="33">
        <v>86.18</v>
      </c>
      <c r="AM358" s="44" t="str">
        <f t="shared" si="290"/>
        <v>Gestis</v>
      </c>
      <c r="AN358" s="33" t="str">
        <f>IF(OR(ISBLANK(AL358), ISBLANK(AM358)),"",CONCATENATE(" ",VLOOKUP(AM358,Literatuur!$A:$B,2,FALSE)," "))</f>
        <v xml:space="preserve"> A </v>
      </c>
      <c r="AP358" s="44" t="str">
        <f t="shared" si="291"/>
        <v xml:space="preserve"> </v>
      </c>
      <c r="AQ358" s="33" t="str">
        <f>IF(OR(ISBLANK(AO358), ISBLANK(AP358)),"",CONCATENATE(" ",VLOOKUP(AP358,Literatuur!$A:$B,2,FALSE)," "))</f>
        <v/>
      </c>
      <c r="AT358" s="33" t="str">
        <f>IF(OR(ISBLANK(AR358), ISBLANK(AS358)),"",CONCATENATE(" ",VLOOKUP(AS358,Literatuur!$A:$B,2,FALSE)," "))</f>
        <v/>
      </c>
      <c r="AW358" s="33" t="str">
        <f>IF(OR(ISBLANK(AU358), ISBLANK(AV358)),"",CONCATENATE(" ",VLOOKUP(AV358,Literatuur!$A:$B,2,FALSE)," "))</f>
        <v/>
      </c>
      <c r="AZ358" s="44" t="str">
        <f t="shared" si="292"/>
        <v xml:space="preserve"> </v>
      </c>
      <c r="BA358" s="33" t="str">
        <f>IF(OR(ISBLANK(AY358), ISBLANK(AZ358)),"",CONCATENATE(" ",VLOOKUP(AZ358,Literatuur!$A:$B,2,FALSE)," "))</f>
        <v/>
      </c>
      <c r="BB358" s="33">
        <v>3.6</v>
      </c>
      <c r="BC358" s="44" t="str">
        <f t="shared" si="293"/>
        <v>Gestis</v>
      </c>
      <c r="BD358" s="33" t="str">
        <f>IF(OR(ISBLANK(BB358), ISBLANK(BC358)),"",CONCATENATE(" ",VLOOKUP(BC358,Literatuur!$A:$B,2,FALSE)," "))</f>
        <v xml:space="preserve"> A </v>
      </c>
      <c r="BF358" s="44" t="str">
        <f t="shared" si="294"/>
        <v xml:space="preserve"> </v>
      </c>
      <c r="BG358" s="33" t="str">
        <f>IF(OR(ISBLANK(BE358), ISBLANK(BF358)),"",CONCATENATE(" ",VLOOKUP(BF358,Literatuur!$A:$B,2,FALSE)," "))</f>
        <v/>
      </c>
      <c r="BI358" s="44" t="str">
        <f t="shared" si="295"/>
        <v xml:space="preserve"> </v>
      </c>
      <c r="BJ358" s="33" t="str">
        <f>IF(OR(ISBLANK(BH358), ISBLANK(BI358)),"",CONCATENATE(" ",VLOOKUP(BI358,Literatuur!$A:$B,2,FALSE)," "))</f>
        <v/>
      </c>
      <c r="BL358" s="44" t="str">
        <f t="shared" si="296"/>
        <v xml:space="preserve"> </v>
      </c>
      <c r="BM358" s="33" t="str">
        <f>IF(OR(ISBLANK(BK358), ISBLANK(BL358)),"",CONCATENATE(" ",VLOOKUP(BL358,Literatuur!$A:$B,2,FALSE)," "))</f>
        <v/>
      </c>
      <c r="BP358" s="33" t="str">
        <f>IF(OR(ISBLANK(BN358), ISBLANK(BO358)),"",CONCATENATE(" ",VLOOKUP(BO358,Literatuur!$A:$B,2,FALSE)," "))</f>
        <v/>
      </c>
      <c r="BS358" s="33" t="str">
        <f>IF(OR(ISBLANK(BQ358), ISBLANK(BR358)),"",CONCATENATE(" ",VLOOKUP(BR358,Literatuur!$A:$B,2,FALSE)," "))</f>
        <v/>
      </c>
      <c r="BV358" s="33" t="str">
        <f>IF(OR(ISBLANK(BT358), ISBLANK(BU358)),"",CONCATENATE(" ",VLOOKUP(BU358,Literatuur!$A:$B,2,FALSE)," "))</f>
        <v/>
      </c>
      <c r="CE358" s="37">
        <f t="shared" si="297"/>
        <v>86.18</v>
      </c>
      <c r="CG358" s="33">
        <f>LOG(J358)</f>
        <v>1.255272505103306</v>
      </c>
      <c r="CH358" s="33">
        <f t="shared" si="298"/>
        <v>3.6</v>
      </c>
      <c r="CR358" s="33" t="str">
        <f t="shared" si="257"/>
        <v>3-Methylpentane</v>
      </c>
      <c r="CS358" s="33" t="str">
        <f t="shared" si="258"/>
        <v>Alk</v>
      </c>
      <c r="CT358" s="33">
        <f t="shared" si="299"/>
        <v>86.18</v>
      </c>
      <c r="CU358" s="33" t="str">
        <f t="shared" si="300"/>
        <v xml:space="preserve"> A </v>
      </c>
      <c r="CV358" s="33">
        <f t="shared" si="301"/>
        <v>18</v>
      </c>
      <c r="CW358" s="33" t="str">
        <f t="shared" si="302"/>
        <v xml:space="preserve"> A </v>
      </c>
      <c r="CX358" s="33">
        <f t="shared" si="303"/>
        <v>3.6</v>
      </c>
      <c r="CY358" s="33" t="str">
        <f t="shared" si="304"/>
        <v xml:space="preserve"> A </v>
      </c>
    </row>
    <row r="359" spans="1:103" x14ac:dyDescent="0.2">
      <c r="B359" s="33">
        <v>-1502</v>
      </c>
      <c r="D359" s="33" t="s">
        <v>437</v>
      </c>
      <c r="E359" s="33" t="s">
        <v>437</v>
      </c>
      <c r="F359" s="33" t="s">
        <v>1365</v>
      </c>
      <c r="G359" s="33">
        <v>-1</v>
      </c>
      <c r="H359" s="34" t="s">
        <v>438</v>
      </c>
      <c r="I359" s="37">
        <f t="shared" si="256"/>
        <v>40.064999999999998</v>
      </c>
      <c r="J359" s="185"/>
      <c r="K359" s="44">
        <f t="shared" si="282"/>
        <v>1.45</v>
      </c>
      <c r="L359" s="33" t="e">
        <f t="shared" si="283"/>
        <v>#DIV/0!</v>
      </c>
      <c r="M359" s="33" t="s">
        <v>1890</v>
      </c>
      <c r="Q359" s="44" t="str">
        <f t="shared" si="284"/>
        <v xml:space="preserve"> </v>
      </c>
      <c r="R359" s="33" t="str">
        <f>IF(OR(ISBLANK(P359), ISBLANK(Q359)),"",CONCATENATE(" ",VLOOKUP(Q359,Literatuur!$A:$B,2,FALSE)," "))</f>
        <v/>
      </c>
      <c r="S359" s="33" t="s">
        <v>439</v>
      </c>
      <c r="T359" s="44" t="str">
        <f t="shared" si="285"/>
        <v>Gestis</v>
      </c>
      <c r="U359" s="33" t="str">
        <f>IF(OR(ISBLANK(S359), ISBLANK(T359)),"",CONCATENATE(" ",VLOOKUP(T359,Literatuur!$A:$B,2,FALSE)," "))</f>
        <v xml:space="preserve"> A </v>
      </c>
      <c r="W359" s="44" t="str">
        <f t="shared" si="286"/>
        <v xml:space="preserve"> </v>
      </c>
      <c r="X359" s="33" t="str">
        <f>IF(OR(ISBLANK(V359), ISBLANK(W359)),"",CONCATENATE(" ",VLOOKUP(W359,Literatuur!$A:$B,2,FALSE)," "))</f>
        <v/>
      </c>
      <c r="Y359" s="94">
        <v>2147</v>
      </c>
      <c r="Z359" s="44" t="str">
        <f t="shared" si="287"/>
        <v>US EPA suite</v>
      </c>
      <c r="AA359" s="33" t="str">
        <f>IF(OR(ISBLANK(Y359), ISBLANK(Z359)),"",CONCATENATE(" ",VLOOKUP(Z359,Literatuur!$A:$B,2,FALSE)," "))</f>
        <v xml:space="preserve"> F </v>
      </c>
      <c r="AC359" s="36" t="str">
        <f t="shared" si="288"/>
        <v xml:space="preserve"> </v>
      </c>
      <c r="AD359" s="33" t="str">
        <f>IF(OR(ISBLANK(AB359), ISBLANK(AC359)),"",CONCATENATE(" ",VLOOKUP(AC359,Literatuur!$A:$B,2,FALSE)," "))</f>
        <v/>
      </c>
      <c r="AE359" s="43"/>
      <c r="AF359" s="43" t="s">
        <v>1366</v>
      </c>
      <c r="AG359" s="33" t="str">
        <f>IF(OR(ISBLANK(AE359), ISBLANK(AF359)),"",CONCATENATE(" ",VLOOKUP(AF359,Literatuur!$A:$B,2,FALSE)," "))</f>
        <v/>
      </c>
      <c r="AJ359" s="44" t="str">
        <f t="shared" si="289"/>
        <v xml:space="preserve"> </v>
      </c>
      <c r="AK359" s="33" t="str">
        <f>IF(OR(ISBLANK(AI359), ISBLANK(AJ359)),"",CONCATENATE(" ",VLOOKUP(AJ359,Literatuur!$A:$B,2,FALSE)," "))</f>
        <v/>
      </c>
      <c r="AL359" s="33">
        <v>40.06</v>
      </c>
      <c r="AM359" s="44" t="str">
        <f t="shared" si="290"/>
        <v>Gestis</v>
      </c>
      <c r="AN359" s="33" t="str">
        <f>IF(OR(ISBLANK(AL359), ISBLANK(AM359)),"",CONCATENATE(" ",VLOOKUP(AM359,Literatuur!$A:$B,2,FALSE)," "))</f>
        <v xml:space="preserve"> A </v>
      </c>
      <c r="AO359" s="33">
        <v>40.07</v>
      </c>
      <c r="AP359" s="44" t="str">
        <f t="shared" si="291"/>
        <v>US EPA suite</v>
      </c>
      <c r="AQ359" s="33" t="str">
        <f>IF(OR(ISBLANK(AO359), ISBLANK(AP359)),"",CONCATENATE(" ",VLOOKUP(AP359,Literatuur!$A:$B,2,FALSE)," "))</f>
        <v xml:space="preserve"> F </v>
      </c>
      <c r="AT359" s="33" t="str">
        <f>IF(OR(ISBLANK(AR359), ISBLANK(AS359)),"",CONCATENATE(" ",VLOOKUP(AS359,Literatuur!$A:$B,2,FALSE)," "))</f>
        <v/>
      </c>
      <c r="AW359" s="33" t="str">
        <f>IF(OR(ISBLANK(AU359), ISBLANK(AV359)),"",CONCATENATE(" ",VLOOKUP(AV359,Literatuur!$A:$B,2,FALSE)," "))</f>
        <v/>
      </c>
      <c r="AZ359" s="44" t="str">
        <f t="shared" si="292"/>
        <v xml:space="preserve"> </v>
      </c>
      <c r="BA359" s="33" t="str">
        <f>IF(OR(ISBLANK(AY359), ISBLANK(AZ359)),"",CONCATENATE(" ",VLOOKUP(AZ359,Literatuur!$A:$B,2,FALSE)," "))</f>
        <v/>
      </c>
      <c r="BB359" s="33">
        <v>1.45</v>
      </c>
      <c r="BC359" s="44" t="str">
        <f t="shared" si="293"/>
        <v>Gestis</v>
      </c>
      <c r="BD359" s="33" t="str">
        <f>IF(OR(ISBLANK(BB359), ISBLANK(BC359)),"",CONCATENATE(" ",VLOOKUP(BC359,Literatuur!$A:$B,2,FALSE)," "))</f>
        <v xml:space="preserve"> A </v>
      </c>
      <c r="BF359" s="44" t="str">
        <f t="shared" si="294"/>
        <v xml:space="preserve"> </v>
      </c>
      <c r="BG359" s="33" t="str">
        <f>IF(OR(ISBLANK(BE359), ISBLANK(BF359)),"",CONCATENATE(" ",VLOOKUP(BF359,Literatuur!$A:$B,2,FALSE)," "))</f>
        <v/>
      </c>
      <c r="BH359" s="33">
        <v>1.45</v>
      </c>
      <c r="BI359" s="44" t="str">
        <f t="shared" si="295"/>
        <v>US EPA suite</v>
      </c>
      <c r="BJ359" s="33" t="str">
        <f>IF(OR(ISBLANK(BH359), ISBLANK(BI359)),"",CONCATENATE(" ",VLOOKUP(BI359,Literatuur!$A:$B,2,FALSE)," "))</f>
        <v xml:space="preserve"> F </v>
      </c>
      <c r="BL359" s="44" t="str">
        <f t="shared" si="296"/>
        <v xml:space="preserve"> </v>
      </c>
      <c r="BM359" s="33" t="str">
        <f>IF(OR(ISBLANK(BK359), ISBLANK(BL359)),"",CONCATENATE(" ",VLOOKUP(BL359,Literatuur!$A:$B,2,FALSE)," "))</f>
        <v/>
      </c>
      <c r="BP359" s="33" t="str">
        <f>IF(OR(ISBLANK(BN359), ISBLANK(BO359)),"",CONCATENATE(" ",VLOOKUP(BO359,Literatuur!$A:$B,2,FALSE)," "))</f>
        <v/>
      </c>
      <c r="BS359" s="33" t="str">
        <f>IF(OR(ISBLANK(BQ359), ISBLANK(BR359)),"",CONCATENATE(" ",VLOOKUP(BR359,Literatuur!$A:$B,2,FALSE)," "))</f>
        <v/>
      </c>
      <c r="BV359" s="33" t="str">
        <f>IF(OR(ISBLANK(BT359), ISBLANK(BU359)),"",CONCATENATE(" ",VLOOKUP(BU359,Literatuur!$A:$B,2,FALSE)," "))</f>
        <v/>
      </c>
      <c r="CE359" s="37">
        <f t="shared" si="297"/>
        <v>40.064999999999998</v>
      </c>
      <c r="CH359" s="33">
        <f t="shared" si="298"/>
        <v>1.45</v>
      </c>
      <c r="CR359" s="33" t="str">
        <f t="shared" si="257"/>
        <v>Allene</v>
      </c>
      <c r="CS359" s="33" t="str">
        <f t="shared" si="258"/>
        <v>Alk</v>
      </c>
      <c r="CT359" s="33">
        <f t="shared" si="299"/>
        <v>40.064999999999998</v>
      </c>
      <c r="CU359" s="33" t="str">
        <f t="shared" si="300"/>
        <v xml:space="preserve"> A  F </v>
      </c>
      <c r="CV359" s="33" t="str">
        <f t="shared" si="301"/>
        <v/>
      </c>
      <c r="CW359" s="33" t="str">
        <f t="shared" si="302"/>
        <v xml:space="preserve"> A  F </v>
      </c>
      <c r="CX359" s="33">
        <f t="shared" si="303"/>
        <v>1.45</v>
      </c>
      <c r="CY359" s="33" t="str">
        <f t="shared" si="304"/>
        <v xml:space="preserve"> A  F </v>
      </c>
    </row>
    <row r="360" spans="1:103" x14ac:dyDescent="0.2">
      <c r="B360" s="33">
        <v>-1302</v>
      </c>
      <c r="D360" s="33" t="s">
        <v>278</v>
      </c>
      <c r="E360" s="33" t="s">
        <v>859</v>
      </c>
      <c r="H360" s="34" t="s">
        <v>279</v>
      </c>
      <c r="I360" s="37">
        <f t="shared" si="256"/>
        <v>84.16</v>
      </c>
      <c r="J360" s="37">
        <f>IF(ISNUMBER(P360),P360,IF(ISNUMBER(AVERAGE(S360:AE360)),AVERAGE(S360:AE360),NA()))</f>
        <v>49</v>
      </c>
      <c r="K360" s="44">
        <f t="shared" si="282"/>
        <v>3.48</v>
      </c>
      <c r="L360" s="33">
        <f t="shared" si="283"/>
        <v>104.7</v>
      </c>
      <c r="M360" s="33" t="s">
        <v>1890</v>
      </c>
      <c r="N360" s="33" t="s">
        <v>1553</v>
      </c>
      <c r="Q360" s="44" t="str">
        <f t="shared" si="284"/>
        <v xml:space="preserve"> </v>
      </c>
      <c r="R360" s="33" t="str">
        <f>IF(OR(ISBLANK(P360), ISBLANK(Q360)),"",CONCATENATE(" ",VLOOKUP(Q360,Literatuur!$A:$B,2,FALSE)," "))</f>
        <v/>
      </c>
      <c r="S360" s="33">
        <v>50</v>
      </c>
      <c r="T360" s="44" t="str">
        <f t="shared" si="285"/>
        <v>Gestis</v>
      </c>
      <c r="U360" s="33" t="str">
        <f>IF(OR(ISBLANK(S360), ISBLANK(T360)),"",CONCATENATE(" ",VLOOKUP(T360,Literatuur!$A:$B,2,FALSE)," "))</f>
        <v xml:space="preserve"> A </v>
      </c>
      <c r="W360" s="44" t="str">
        <f t="shared" si="286"/>
        <v xml:space="preserve"> </v>
      </c>
      <c r="X360" s="33" t="str">
        <f>IF(OR(ISBLANK(V360), ISBLANK(W360)),"",CONCATENATE(" ",VLOOKUP(W360,Literatuur!$A:$B,2,FALSE)," "))</f>
        <v/>
      </c>
      <c r="Z360" s="44" t="str">
        <f t="shared" si="287"/>
        <v xml:space="preserve"> </v>
      </c>
      <c r="AA360" s="33" t="str">
        <f>IF(OR(ISBLANK(Y360), ISBLANK(Z360)),"",CONCATENATE(" ",VLOOKUP(Z360,Literatuur!$A:$B,2,FALSE)," "))</f>
        <v/>
      </c>
      <c r="AB360" s="33">
        <v>55</v>
      </c>
      <c r="AC360" s="36" t="str">
        <f t="shared" si="288"/>
        <v>Vonk 1985</v>
      </c>
      <c r="AD360" s="33" t="str">
        <f>IF(OR(ISBLANK(AB360), ISBLANK(AC360)),"",CONCATENATE(" ",VLOOKUP(AC360,Literatuur!$A:$B,2,FALSE)," "))</f>
        <v xml:space="preserve"> 37 </v>
      </c>
      <c r="AE360" s="33">
        <v>42</v>
      </c>
      <c r="AG360" s="33" t="str">
        <f>IF(OR(ISBLANK(AE360), ISBLANK(AF360)),"",CONCATENATE(" ",VLOOKUP(AF360,Literatuur!$A:$B,2,FALSE)," "))</f>
        <v/>
      </c>
      <c r="AI360" s="37"/>
      <c r="AJ360" s="44" t="str">
        <f t="shared" si="289"/>
        <v xml:space="preserve"> </v>
      </c>
      <c r="AK360" s="33" t="str">
        <f>IF(OR(ISBLANK(AI360), ISBLANK(AJ360)),"",CONCATENATE(" ",VLOOKUP(AJ360,Literatuur!$A:$B,2,FALSE)," "))</f>
        <v/>
      </c>
      <c r="AL360" s="33">
        <v>84.16</v>
      </c>
      <c r="AM360" s="44" t="str">
        <f t="shared" si="290"/>
        <v>Gestis</v>
      </c>
      <c r="AN360" s="33" t="str">
        <f>IF(OR(ISBLANK(AL360), ISBLANK(AM360)),"",CONCATENATE(" ",VLOOKUP(AM360,Literatuur!$A:$B,2,FALSE)," "))</f>
        <v xml:space="preserve"> A </v>
      </c>
      <c r="AP360" s="44" t="str">
        <f t="shared" si="291"/>
        <v xml:space="preserve"> </v>
      </c>
      <c r="AQ360" s="33" t="str">
        <f>IF(OR(ISBLANK(AO360), ISBLANK(AP360)),"",CONCATENATE(" ",VLOOKUP(AP360,Literatuur!$A:$B,2,FALSE)," "))</f>
        <v/>
      </c>
      <c r="AT360" s="33" t="str">
        <f>IF(OR(ISBLANK(AR360), ISBLANK(AS360)),"",CONCATENATE(" ",VLOOKUP(AS360,Literatuur!$A:$B,2,FALSE)," "))</f>
        <v/>
      </c>
      <c r="AW360" s="33" t="str">
        <f>IF(OR(ISBLANK(AU360), ISBLANK(AV360)),"",CONCATENATE(" ",VLOOKUP(AV360,Literatuur!$A:$B,2,FALSE)," "))</f>
        <v/>
      </c>
      <c r="AY360" s="44"/>
      <c r="AZ360" s="44" t="str">
        <f t="shared" si="292"/>
        <v xml:space="preserve"> </v>
      </c>
      <c r="BA360" s="33" t="str">
        <f>IF(OR(ISBLANK(AY360), ISBLANK(AZ360)),"",CONCATENATE(" ",VLOOKUP(AZ360,Literatuur!$A:$B,2,FALSE)," "))</f>
        <v/>
      </c>
      <c r="BB360" s="44">
        <v>3.44</v>
      </c>
      <c r="BC360" s="44" t="str">
        <f t="shared" si="293"/>
        <v>Gestis</v>
      </c>
      <c r="BD360" s="33" t="str">
        <f>IF(OR(ISBLANK(BB360), ISBLANK(BC360)),"",CONCATENATE(" ",VLOOKUP(BC360,Literatuur!$A:$B,2,FALSE)," "))</f>
        <v xml:space="preserve"> A </v>
      </c>
      <c r="BF360" s="44" t="str">
        <f t="shared" si="294"/>
        <v xml:space="preserve"> </v>
      </c>
      <c r="BG360" s="33" t="str">
        <f>IF(OR(ISBLANK(BE360), ISBLANK(BF360)),"",CONCATENATE(" ",VLOOKUP(BF360,Literatuur!$A:$B,2,FALSE)," "))</f>
        <v/>
      </c>
      <c r="BI360" s="44" t="str">
        <f t="shared" si="295"/>
        <v xml:space="preserve"> </v>
      </c>
      <c r="BJ360" s="33" t="str">
        <f>IF(OR(ISBLANK(BH360), ISBLANK(BI360)),"",CONCATENATE(" ",VLOOKUP(BI360,Literatuur!$A:$B,2,FALSE)," "))</f>
        <v/>
      </c>
      <c r="BL360" s="44" t="str">
        <f t="shared" si="296"/>
        <v xml:space="preserve"> </v>
      </c>
      <c r="BM360" s="33" t="str">
        <f>IF(OR(ISBLANK(BK360), ISBLANK(BL360)),"",CONCATENATE(" ",VLOOKUP(BL360,Literatuur!$A:$B,2,FALSE)," "))</f>
        <v/>
      </c>
      <c r="BP360" s="33" t="str">
        <f>IF(OR(ISBLANK(BN360), ISBLANK(BO360)),"",CONCATENATE(" ",VLOOKUP(BO360,Literatuur!$A:$B,2,FALSE)," "))</f>
        <v/>
      </c>
      <c r="BS360" s="33" t="str">
        <f>IF(OR(ISBLANK(BQ360), ISBLANK(BR360)),"",CONCATENATE(" ",VLOOKUP(BR360,Literatuur!$A:$B,2,FALSE)," "))</f>
        <v/>
      </c>
      <c r="BT360" s="33">
        <v>3.52</v>
      </c>
      <c r="BU360" s="33" t="s">
        <v>1902</v>
      </c>
      <c r="BV360" s="33" t="str">
        <f>IF(OR(ISBLANK(BT360), ISBLANK(BU360)),"",CONCATENATE(" ",VLOOKUP(BU360,Literatuur!$A:$B,2,FALSE)," "))</f>
        <v xml:space="preserve"> B </v>
      </c>
      <c r="BY360" s="33">
        <v>104.7</v>
      </c>
      <c r="CB360" s="33" t="s">
        <v>1070</v>
      </c>
      <c r="CD360" s="33">
        <f>L360</f>
        <v>104.7</v>
      </c>
      <c r="CE360" s="37">
        <f t="shared" si="297"/>
        <v>84.16</v>
      </c>
      <c r="CG360" s="33">
        <f t="shared" ref="CG360:CG367" si="305">LOG(J360)</f>
        <v>1.6901960800285136</v>
      </c>
      <c r="CH360" s="33">
        <f t="shared" si="298"/>
        <v>3.48</v>
      </c>
      <c r="CR360" s="33" t="str">
        <f t="shared" si="257"/>
        <v>Cyclohexane</v>
      </c>
      <c r="CS360" s="33" t="str">
        <f t="shared" si="258"/>
        <v>Alk</v>
      </c>
      <c r="CT360" s="33">
        <f t="shared" si="299"/>
        <v>84.16</v>
      </c>
      <c r="CU360" s="33" t="str">
        <f t="shared" si="300"/>
        <v xml:space="preserve"> A </v>
      </c>
      <c r="CV360" s="33">
        <f t="shared" si="301"/>
        <v>49</v>
      </c>
      <c r="CW360" s="33" t="str">
        <f t="shared" si="302"/>
        <v xml:space="preserve"> A  37 </v>
      </c>
      <c r="CX360" s="33">
        <f t="shared" si="303"/>
        <v>3.48</v>
      </c>
      <c r="CY360" s="33" t="str">
        <f t="shared" si="304"/>
        <v xml:space="preserve"> A  B </v>
      </c>
    </row>
    <row r="361" spans="1:103" x14ac:dyDescent="0.2">
      <c r="B361" s="33">
        <v>-1526</v>
      </c>
      <c r="D361" s="33" t="s">
        <v>480</v>
      </c>
      <c r="E361" s="33" t="s">
        <v>480</v>
      </c>
      <c r="H361" s="34" t="s">
        <v>481</v>
      </c>
      <c r="I361" s="37">
        <f t="shared" si="256"/>
        <v>30.07</v>
      </c>
      <c r="J361" s="37">
        <f>IF(ISNUMBER(P361),P361,AVERAGE(S361:AE361))</f>
        <v>62</v>
      </c>
      <c r="K361" s="44">
        <f t="shared" si="282"/>
        <v>1.81</v>
      </c>
      <c r="L361" s="33" t="e">
        <f t="shared" si="283"/>
        <v>#DIV/0!</v>
      </c>
      <c r="M361" s="33" t="s">
        <v>1890</v>
      </c>
      <c r="Q361" s="44" t="str">
        <f t="shared" si="284"/>
        <v xml:space="preserve"> </v>
      </c>
      <c r="R361" s="33" t="str">
        <f>IF(OR(ISBLANK(P361), ISBLANK(Q361)),"",CONCATENATE(" ",VLOOKUP(Q361,Literatuur!$A:$B,2,FALSE)," "))</f>
        <v/>
      </c>
      <c r="T361" s="44" t="str">
        <f t="shared" si="285"/>
        <v xml:space="preserve"> </v>
      </c>
      <c r="U361" s="33" t="str">
        <f>IF(OR(ISBLANK(S361), ISBLANK(T361)),"",CONCATENATE(" ",VLOOKUP(T361,Literatuur!$A:$B,2,FALSE)," "))</f>
        <v/>
      </c>
      <c r="W361" s="44" t="str">
        <f t="shared" si="286"/>
        <v xml:space="preserve"> </v>
      </c>
      <c r="X361" s="33" t="str">
        <f>IF(OR(ISBLANK(V361), ISBLANK(W361)),"",CONCATENATE(" ",VLOOKUP(W361,Literatuur!$A:$B,2,FALSE)," "))</f>
        <v/>
      </c>
      <c r="Y361" s="33">
        <v>62</v>
      </c>
      <c r="Z361" s="44" t="str">
        <f t="shared" si="287"/>
        <v>US EPA suite</v>
      </c>
      <c r="AA361" s="33" t="str">
        <f>IF(OR(ISBLANK(Y361), ISBLANK(Z361)),"",CONCATENATE(" ",VLOOKUP(Z361,Literatuur!$A:$B,2,FALSE)," "))</f>
        <v xml:space="preserve"> F </v>
      </c>
      <c r="AC361" s="36" t="str">
        <f t="shared" si="288"/>
        <v xml:space="preserve"> </v>
      </c>
      <c r="AD361" s="33" t="str">
        <f>IF(OR(ISBLANK(AB361), ISBLANK(AC361)),"",CONCATENATE(" ",VLOOKUP(AC361,Literatuur!$A:$B,2,FALSE)," "))</f>
        <v/>
      </c>
      <c r="AF361" s="43"/>
      <c r="AG361" s="33" t="str">
        <f>IF(OR(ISBLANK(AE361), ISBLANK(AF361)),"",CONCATENATE(" ",VLOOKUP(AF361,Literatuur!$A:$B,2,FALSE)," "))</f>
        <v/>
      </c>
      <c r="AJ361" s="44" t="str">
        <f t="shared" si="289"/>
        <v xml:space="preserve"> </v>
      </c>
      <c r="AK361" s="33" t="str">
        <f>IF(OR(ISBLANK(AI361), ISBLANK(AJ361)),"",CONCATENATE(" ",VLOOKUP(AJ361,Literatuur!$A:$B,2,FALSE)," "))</f>
        <v/>
      </c>
      <c r="AL361" s="33">
        <v>30.07</v>
      </c>
      <c r="AM361" s="44" t="str">
        <f t="shared" si="290"/>
        <v>Gestis</v>
      </c>
      <c r="AN361" s="33" t="str">
        <f>IF(OR(ISBLANK(AL361), ISBLANK(AM361)),"",CONCATENATE(" ",VLOOKUP(AM361,Literatuur!$A:$B,2,FALSE)," "))</f>
        <v xml:space="preserve"> A </v>
      </c>
      <c r="AO361" s="33">
        <v>30.07</v>
      </c>
      <c r="AP361" s="44" t="str">
        <f t="shared" si="291"/>
        <v>US EPA suite</v>
      </c>
      <c r="AQ361" s="33" t="str">
        <f>IF(OR(ISBLANK(AO361), ISBLANK(AP361)),"",CONCATENATE(" ",VLOOKUP(AP361,Literatuur!$A:$B,2,FALSE)," "))</f>
        <v xml:space="preserve"> F </v>
      </c>
      <c r="AT361" s="33" t="str">
        <f>IF(OR(ISBLANK(AR361), ISBLANK(AS361)),"",CONCATENATE(" ",VLOOKUP(AS361,Literatuur!$A:$B,2,FALSE)," "))</f>
        <v/>
      </c>
      <c r="AW361" s="33" t="str">
        <f>IF(OR(ISBLANK(AU361), ISBLANK(AV361)),"",CONCATENATE(" ",VLOOKUP(AV361,Literatuur!$A:$B,2,FALSE)," "))</f>
        <v/>
      </c>
      <c r="AZ361" s="44" t="str">
        <f t="shared" si="292"/>
        <v xml:space="preserve"> </v>
      </c>
      <c r="BA361" s="33" t="str">
        <f>IF(OR(ISBLANK(AY361), ISBLANK(AZ361)),"",CONCATENATE(" ",VLOOKUP(AZ361,Literatuur!$A:$B,2,FALSE)," "))</f>
        <v/>
      </c>
      <c r="BB361" s="33">
        <v>1.81</v>
      </c>
      <c r="BC361" s="44" t="str">
        <f t="shared" si="293"/>
        <v>Gestis</v>
      </c>
      <c r="BD361" s="33" t="str">
        <f>IF(OR(ISBLANK(BB361), ISBLANK(BC361)),"",CONCATENATE(" ",VLOOKUP(BC361,Literatuur!$A:$B,2,FALSE)," "))</f>
        <v xml:space="preserve"> A </v>
      </c>
      <c r="BF361" s="44" t="str">
        <f t="shared" si="294"/>
        <v xml:space="preserve"> </v>
      </c>
      <c r="BG361" s="33" t="str">
        <f>IF(OR(ISBLANK(BE361), ISBLANK(BF361)),"",CONCATENATE(" ",VLOOKUP(BF361,Literatuur!$A:$B,2,FALSE)," "))</f>
        <v/>
      </c>
      <c r="BH361" s="33">
        <v>1.81</v>
      </c>
      <c r="BI361" s="44" t="str">
        <f t="shared" si="295"/>
        <v>US EPA suite</v>
      </c>
      <c r="BJ361" s="33" t="str">
        <f>IF(OR(ISBLANK(BH361), ISBLANK(BI361)),"",CONCATENATE(" ",VLOOKUP(BI361,Literatuur!$A:$B,2,FALSE)," "))</f>
        <v xml:space="preserve"> F </v>
      </c>
      <c r="BL361" s="44" t="str">
        <f t="shared" si="296"/>
        <v xml:space="preserve"> </v>
      </c>
      <c r="BM361" s="33" t="str">
        <f>IF(OR(ISBLANK(BK361), ISBLANK(BL361)),"",CONCATENATE(" ",VLOOKUP(BL361,Literatuur!$A:$B,2,FALSE)," "))</f>
        <v/>
      </c>
      <c r="BP361" s="33" t="str">
        <f>IF(OR(ISBLANK(BN361), ISBLANK(BO361)),"",CONCATENATE(" ",VLOOKUP(BO361,Literatuur!$A:$B,2,FALSE)," "))</f>
        <v/>
      </c>
      <c r="BS361" s="33" t="str">
        <f>IF(OR(ISBLANK(BQ361), ISBLANK(BR361)),"",CONCATENATE(" ",VLOOKUP(BR361,Literatuur!$A:$B,2,FALSE)," "))</f>
        <v/>
      </c>
      <c r="BV361" s="33" t="str">
        <f>IF(OR(ISBLANK(BT361), ISBLANK(BU361)),"",CONCATENATE(" ",VLOOKUP(BU361,Literatuur!$A:$B,2,FALSE)," "))</f>
        <v/>
      </c>
      <c r="CE361" s="37">
        <f t="shared" si="297"/>
        <v>30.07</v>
      </c>
      <c r="CG361" s="33">
        <f t="shared" si="305"/>
        <v>1.7923916894982539</v>
      </c>
      <c r="CH361" s="33">
        <f t="shared" si="298"/>
        <v>1.81</v>
      </c>
      <c r="CR361" s="33" t="str">
        <f t="shared" si="257"/>
        <v>Ethane</v>
      </c>
      <c r="CS361" s="33" t="str">
        <f t="shared" si="258"/>
        <v>Alk</v>
      </c>
      <c r="CT361" s="33">
        <f t="shared" si="299"/>
        <v>30.07</v>
      </c>
      <c r="CU361" s="33" t="str">
        <f t="shared" si="300"/>
        <v xml:space="preserve"> A  F </v>
      </c>
      <c r="CV361" s="33">
        <f t="shared" si="301"/>
        <v>62</v>
      </c>
      <c r="CW361" s="33" t="str">
        <f t="shared" si="302"/>
        <v xml:space="preserve"> F </v>
      </c>
      <c r="CX361" s="33">
        <f t="shared" si="303"/>
        <v>1.81</v>
      </c>
      <c r="CY361" s="33" t="str">
        <f t="shared" si="304"/>
        <v xml:space="preserve"> A  F </v>
      </c>
    </row>
    <row r="362" spans="1:103" x14ac:dyDescent="0.2">
      <c r="B362" s="33">
        <v>-1501</v>
      </c>
      <c r="D362" s="33" t="s">
        <v>432</v>
      </c>
      <c r="E362" s="33" t="s">
        <v>432</v>
      </c>
      <c r="H362" s="34" t="s">
        <v>434</v>
      </c>
      <c r="I362" s="37">
        <f t="shared" si="256"/>
        <v>28.05</v>
      </c>
      <c r="J362" s="37">
        <f>IF(ISNUMBER(P362),P362,AVERAGE(S362:AE362))</f>
        <v>130</v>
      </c>
      <c r="K362" s="44">
        <f t="shared" si="282"/>
        <v>1.1299999999999999</v>
      </c>
      <c r="L362" s="33" t="e">
        <f t="shared" si="283"/>
        <v>#DIV/0!</v>
      </c>
      <c r="M362" s="33" t="s">
        <v>1890</v>
      </c>
      <c r="Q362" s="44" t="str">
        <f t="shared" si="284"/>
        <v xml:space="preserve"> </v>
      </c>
      <c r="R362" s="33" t="str">
        <f>IF(OR(ISBLANK(P362), ISBLANK(Q362)),"",CONCATENATE(" ",VLOOKUP(Q362,Literatuur!$A:$B,2,FALSE)," "))</f>
        <v/>
      </c>
      <c r="S362" s="33">
        <v>130</v>
      </c>
      <c r="T362" s="44" t="str">
        <f t="shared" si="285"/>
        <v>Gestis</v>
      </c>
      <c r="U362" s="33" t="str">
        <f>IF(OR(ISBLANK(S362), ISBLANK(T362)),"",CONCATENATE(" ",VLOOKUP(T362,Literatuur!$A:$B,2,FALSE)," "))</f>
        <v xml:space="preserve"> A </v>
      </c>
      <c r="W362" s="44" t="str">
        <f t="shared" si="286"/>
        <v xml:space="preserve"> </v>
      </c>
      <c r="X362" s="33" t="str">
        <f>IF(OR(ISBLANK(V362), ISBLANK(W362)),"",CONCATENATE(" ",VLOOKUP(W362,Literatuur!$A:$B,2,FALSE)," "))</f>
        <v/>
      </c>
      <c r="Z362" s="44" t="str">
        <f t="shared" si="287"/>
        <v xml:space="preserve"> </v>
      </c>
      <c r="AA362" s="33" t="str">
        <f>IF(OR(ISBLANK(Y362), ISBLANK(Z362)),"",CONCATENATE(" ",VLOOKUP(Z362,Literatuur!$A:$B,2,FALSE)," "))</f>
        <v/>
      </c>
      <c r="AC362" s="36" t="str">
        <f t="shared" si="288"/>
        <v xml:space="preserve"> </v>
      </c>
      <c r="AD362" s="33" t="str">
        <f>IF(OR(ISBLANK(AB362), ISBLANK(AC362)),"",CONCATENATE(" ",VLOOKUP(AC362,Literatuur!$A:$B,2,FALSE)," "))</f>
        <v/>
      </c>
      <c r="AE362" s="43"/>
      <c r="AF362" s="43"/>
      <c r="AG362" s="33" t="str">
        <f>IF(OR(ISBLANK(AE362), ISBLANK(AF362)),"",CONCATENATE(" ",VLOOKUP(AF362,Literatuur!$A:$B,2,FALSE)," "))</f>
        <v/>
      </c>
      <c r="AJ362" s="44" t="str">
        <f t="shared" si="289"/>
        <v xml:space="preserve"> </v>
      </c>
      <c r="AK362" s="33" t="str">
        <f>IF(OR(ISBLANK(AI362), ISBLANK(AJ362)),"",CONCATENATE(" ",VLOOKUP(AJ362,Literatuur!$A:$B,2,FALSE)," "))</f>
        <v/>
      </c>
      <c r="AL362" s="33">
        <v>28.05</v>
      </c>
      <c r="AM362" s="44" t="str">
        <f t="shared" si="290"/>
        <v>Gestis</v>
      </c>
      <c r="AN362" s="33" t="str">
        <f>IF(OR(ISBLANK(AL362), ISBLANK(AM362)),"",CONCATENATE(" ",VLOOKUP(AM362,Literatuur!$A:$B,2,FALSE)," "))</f>
        <v xml:space="preserve"> A </v>
      </c>
      <c r="AP362" s="44" t="str">
        <f t="shared" si="291"/>
        <v xml:space="preserve"> </v>
      </c>
      <c r="AQ362" s="33" t="str">
        <f>IF(OR(ISBLANK(AO362), ISBLANK(AP362)),"",CONCATENATE(" ",VLOOKUP(AP362,Literatuur!$A:$B,2,FALSE)," "))</f>
        <v/>
      </c>
      <c r="AT362" s="33" t="str">
        <f>IF(OR(ISBLANK(AR362), ISBLANK(AS362)),"",CONCATENATE(" ",VLOOKUP(AS362,Literatuur!$A:$B,2,FALSE)," "))</f>
        <v/>
      </c>
      <c r="AW362" s="33" t="str">
        <f>IF(OR(ISBLANK(AU362), ISBLANK(AV362)),"",CONCATENATE(" ",VLOOKUP(AV362,Literatuur!$A:$B,2,FALSE)," "))</f>
        <v/>
      </c>
      <c r="AZ362" s="44" t="str">
        <f t="shared" si="292"/>
        <v xml:space="preserve"> </v>
      </c>
      <c r="BA362" s="33" t="str">
        <f>IF(OR(ISBLANK(AY362), ISBLANK(AZ362)),"",CONCATENATE(" ",VLOOKUP(AZ362,Literatuur!$A:$B,2,FALSE)," "))</f>
        <v/>
      </c>
      <c r="BB362" s="33">
        <v>1.1299999999999999</v>
      </c>
      <c r="BC362" s="44" t="str">
        <f t="shared" si="293"/>
        <v>Gestis</v>
      </c>
      <c r="BD362" s="33" t="str">
        <f>IF(OR(ISBLANK(BB362), ISBLANK(BC362)),"",CONCATENATE(" ",VLOOKUP(BC362,Literatuur!$A:$B,2,FALSE)," "))</f>
        <v xml:space="preserve"> A </v>
      </c>
      <c r="BF362" s="44" t="str">
        <f t="shared" si="294"/>
        <v xml:space="preserve"> </v>
      </c>
      <c r="BG362" s="33" t="str">
        <f>IF(OR(ISBLANK(BE362), ISBLANK(BF362)),"",CONCATENATE(" ",VLOOKUP(BF362,Literatuur!$A:$B,2,FALSE)," "))</f>
        <v/>
      </c>
      <c r="BI362" s="44" t="str">
        <f t="shared" si="295"/>
        <v xml:space="preserve"> </v>
      </c>
      <c r="BJ362" s="33" t="str">
        <f>IF(OR(ISBLANK(BH362), ISBLANK(BI362)),"",CONCATENATE(" ",VLOOKUP(BI362,Literatuur!$A:$B,2,FALSE)," "))</f>
        <v/>
      </c>
      <c r="BL362" s="44" t="str">
        <f t="shared" si="296"/>
        <v xml:space="preserve"> </v>
      </c>
      <c r="BM362" s="33" t="str">
        <f>IF(OR(ISBLANK(BK362), ISBLANK(BL362)),"",CONCATENATE(" ",VLOOKUP(BL362,Literatuur!$A:$B,2,FALSE)," "))</f>
        <v/>
      </c>
      <c r="BP362" s="33" t="str">
        <f>IF(OR(ISBLANK(BN362), ISBLANK(BO362)),"",CONCATENATE(" ",VLOOKUP(BO362,Literatuur!$A:$B,2,FALSE)," "))</f>
        <v/>
      </c>
      <c r="BS362" s="33" t="str">
        <f>IF(OR(ISBLANK(BQ362), ISBLANK(BR362)),"",CONCATENATE(" ",VLOOKUP(BR362,Literatuur!$A:$B,2,FALSE)," "))</f>
        <v/>
      </c>
      <c r="BV362" s="33" t="str">
        <f>IF(OR(ISBLANK(BT362), ISBLANK(BU362)),"",CONCATENATE(" ",VLOOKUP(BU362,Literatuur!$A:$B,2,FALSE)," "))</f>
        <v/>
      </c>
      <c r="CE362" s="37">
        <f t="shared" si="297"/>
        <v>28.05</v>
      </c>
      <c r="CG362" s="33">
        <f t="shared" si="305"/>
        <v>2.1139433523068369</v>
      </c>
      <c r="CH362" s="33">
        <f t="shared" si="298"/>
        <v>1.1299999999999999</v>
      </c>
      <c r="CR362" s="33" t="str">
        <f t="shared" si="257"/>
        <v>Ethylene</v>
      </c>
      <c r="CS362" s="33" t="str">
        <f t="shared" si="258"/>
        <v>Alk</v>
      </c>
      <c r="CT362" s="33">
        <f t="shared" si="299"/>
        <v>28.05</v>
      </c>
      <c r="CU362" s="33" t="str">
        <f t="shared" si="300"/>
        <v xml:space="preserve"> A </v>
      </c>
      <c r="CV362" s="33">
        <f t="shared" si="301"/>
        <v>130</v>
      </c>
      <c r="CW362" s="33" t="str">
        <f t="shared" si="302"/>
        <v xml:space="preserve"> A </v>
      </c>
      <c r="CX362" s="33">
        <f t="shared" si="303"/>
        <v>1.1299999999999999</v>
      </c>
      <c r="CY362" s="33" t="str">
        <f t="shared" si="304"/>
        <v xml:space="preserve"> A </v>
      </c>
    </row>
    <row r="363" spans="1:103" x14ac:dyDescent="0.2">
      <c r="B363" s="33">
        <v>-1303</v>
      </c>
      <c r="D363" s="33" t="s">
        <v>469</v>
      </c>
      <c r="E363" s="33" t="s">
        <v>866</v>
      </c>
      <c r="H363" s="34" t="s">
        <v>280</v>
      </c>
      <c r="I363" s="37">
        <f t="shared" ref="I363:I381" si="306">IF(ISNUMBER(AI363),AI363,AVERAGE(AL363:AU363))</f>
        <v>100.2</v>
      </c>
      <c r="J363" s="37">
        <f>IF(ISNUMBER(P363),P363,IF(ISNUMBER(AVERAGE(S363:AE363)),AVERAGE(S363:AE363),NA()))</f>
        <v>2.6</v>
      </c>
      <c r="K363" s="44">
        <f t="shared" si="282"/>
        <v>4.58</v>
      </c>
      <c r="L363" s="33" t="e">
        <f t="shared" si="283"/>
        <v>#DIV/0!</v>
      </c>
      <c r="M363" s="33" t="s">
        <v>1890</v>
      </c>
      <c r="Q363" s="44" t="str">
        <f t="shared" si="284"/>
        <v xml:space="preserve"> </v>
      </c>
      <c r="R363" s="33" t="str">
        <f>IF(OR(ISBLANK(P363), ISBLANK(Q363)),"",CONCATENATE(" ",VLOOKUP(Q363,Literatuur!$A:$B,2,FALSE)," "))</f>
        <v/>
      </c>
      <c r="S363" s="33">
        <v>2.2000000000000002</v>
      </c>
      <c r="T363" s="44" t="str">
        <f t="shared" si="285"/>
        <v>Gestis</v>
      </c>
      <c r="U363" s="33" t="str">
        <f>IF(OR(ISBLANK(S363), ISBLANK(T363)),"",CONCATENATE(" ",VLOOKUP(T363,Literatuur!$A:$B,2,FALSE)," "))</f>
        <v xml:space="preserve"> A </v>
      </c>
      <c r="W363" s="44" t="str">
        <f t="shared" si="286"/>
        <v xml:space="preserve"> </v>
      </c>
      <c r="X363" s="33" t="str">
        <f>IF(OR(ISBLANK(V363), ISBLANK(W363)),"",CONCATENATE(" ",VLOOKUP(W363,Literatuur!$A:$B,2,FALSE)," "))</f>
        <v/>
      </c>
      <c r="Z363" s="44" t="str">
        <f t="shared" si="287"/>
        <v xml:space="preserve"> </v>
      </c>
      <c r="AA363" s="33" t="str">
        <f>IF(OR(ISBLANK(Y363), ISBLANK(Z363)),"",CONCATENATE(" ",VLOOKUP(Z363,Literatuur!$A:$B,2,FALSE)," "))</f>
        <v/>
      </c>
      <c r="AB363" s="33">
        <v>3</v>
      </c>
      <c r="AC363" s="36" t="str">
        <f t="shared" si="288"/>
        <v>Vonk 1985</v>
      </c>
      <c r="AD363" s="33" t="str">
        <f>IF(OR(ISBLANK(AB363), ISBLANK(AC363)),"",CONCATENATE(" ",VLOOKUP(AC363,Literatuur!$A:$B,2,FALSE)," "))</f>
        <v xml:space="preserve"> 37 </v>
      </c>
      <c r="AG363" s="33" t="str">
        <f>IF(OR(ISBLANK(AE363), ISBLANK(AF363)),"",CONCATENATE(" ",VLOOKUP(AF363,Literatuur!$A:$B,2,FALSE)," "))</f>
        <v/>
      </c>
      <c r="AI363" s="37"/>
      <c r="AJ363" s="44" t="str">
        <f t="shared" si="289"/>
        <v xml:space="preserve"> </v>
      </c>
      <c r="AK363" s="33" t="str">
        <f>IF(OR(ISBLANK(AI363), ISBLANK(AJ363)),"",CONCATENATE(" ",VLOOKUP(AJ363,Literatuur!$A:$B,2,FALSE)," "))</f>
        <v/>
      </c>
      <c r="AL363" s="33">
        <v>100.2</v>
      </c>
      <c r="AM363" s="44" t="str">
        <f t="shared" si="290"/>
        <v>Gestis</v>
      </c>
      <c r="AN363" s="33" t="str">
        <f>IF(OR(ISBLANK(AL363), ISBLANK(AM363)),"",CONCATENATE(" ",VLOOKUP(AM363,Literatuur!$A:$B,2,FALSE)," "))</f>
        <v xml:space="preserve"> A </v>
      </c>
      <c r="AP363" s="44" t="str">
        <f t="shared" si="291"/>
        <v xml:space="preserve"> </v>
      </c>
      <c r="AQ363" s="33" t="str">
        <f>IF(OR(ISBLANK(AO363), ISBLANK(AP363)),"",CONCATENATE(" ",VLOOKUP(AP363,Literatuur!$A:$B,2,FALSE)," "))</f>
        <v/>
      </c>
      <c r="AT363" s="33" t="str">
        <f>IF(OR(ISBLANK(AR363), ISBLANK(AS363)),"",CONCATENATE(" ",VLOOKUP(AS363,Literatuur!$A:$B,2,FALSE)," "))</f>
        <v/>
      </c>
      <c r="AW363" s="33" t="str">
        <f>IF(OR(ISBLANK(AU363), ISBLANK(AV363)),"",CONCATENATE(" ",VLOOKUP(AV363,Literatuur!$A:$B,2,FALSE)," "))</f>
        <v/>
      </c>
      <c r="AY363" s="44"/>
      <c r="AZ363" s="44" t="str">
        <f t="shared" si="292"/>
        <v xml:space="preserve"> </v>
      </c>
      <c r="BA363" s="33" t="str">
        <f>IF(OR(ISBLANK(AY363), ISBLANK(AZ363)),"",CONCATENATE(" ",VLOOKUP(AZ363,Literatuur!$A:$B,2,FALSE)," "))</f>
        <v/>
      </c>
      <c r="BB363" s="44">
        <v>4.66</v>
      </c>
      <c r="BC363" s="44" t="str">
        <f t="shared" si="293"/>
        <v>Gestis</v>
      </c>
      <c r="BD363" s="33" t="str">
        <f>IF(OR(ISBLANK(BB363), ISBLANK(BC363)),"",CONCATENATE(" ",VLOOKUP(BC363,Literatuur!$A:$B,2,FALSE)," "))</f>
        <v xml:space="preserve"> A </v>
      </c>
      <c r="BF363" s="44" t="str">
        <f t="shared" si="294"/>
        <v xml:space="preserve"> </v>
      </c>
      <c r="BG363" s="33" t="str">
        <f>IF(OR(ISBLANK(BE363), ISBLANK(BF363)),"",CONCATENATE(" ",VLOOKUP(BF363,Literatuur!$A:$B,2,FALSE)," "))</f>
        <v/>
      </c>
      <c r="BI363" s="44" t="str">
        <f t="shared" si="295"/>
        <v xml:space="preserve"> </v>
      </c>
      <c r="BJ363" s="33" t="str">
        <f>IF(OR(ISBLANK(BH363), ISBLANK(BI363)),"",CONCATENATE(" ",VLOOKUP(BI363,Literatuur!$A:$B,2,FALSE)," "))</f>
        <v/>
      </c>
      <c r="BK363" s="33">
        <v>4.5</v>
      </c>
      <c r="BL363" s="44" t="str">
        <f t="shared" si="296"/>
        <v>Sangster 1989</v>
      </c>
      <c r="BM363" s="33" t="str">
        <f>IF(OR(ISBLANK(BK363), ISBLANK(BL363)),"",CONCATENATE(" ",VLOOKUP(BL363,Literatuur!$A:$B,2,FALSE)," "))</f>
        <v xml:space="preserve"> 27 </v>
      </c>
      <c r="BP363" s="33" t="str">
        <f>IF(OR(ISBLANK(BN363), ISBLANK(BO363)),"",CONCATENATE(" ",VLOOKUP(BO363,Literatuur!$A:$B,2,FALSE)," "))</f>
        <v/>
      </c>
      <c r="BS363" s="33" t="str">
        <f>IF(OR(ISBLANK(BQ363), ISBLANK(BR363)),"",CONCATENATE(" ",VLOOKUP(BR363,Literatuur!$A:$B,2,FALSE)," "))</f>
        <v/>
      </c>
      <c r="BV363" s="33" t="str">
        <f>IF(OR(ISBLANK(BT363), ISBLANK(BU363)),"",CONCATENATE(" ",VLOOKUP(BU363,Literatuur!$A:$B,2,FALSE)," "))</f>
        <v/>
      </c>
      <c r="CE363" s="37">
        <f t="shared" si="297"/>
        <v>100.2</v>
      </c>
      <c r="CG363" s="33">
        <f t="shared" si="305"/>
        <v>0.41497334797081797</v>
      </c>
      <c r="CH363" s="33">
        <f t="shared" si="298"/>
        <v>4.58</v>
      </c>
      <c r="CR363" s="33" t="str">
        <f t="shared" si="257"/>
        <v>n-Heptane</v>
      </c>
      <c r="CS363" s="33" t="str">
        <f t="shared" si="258"/>
        <v>Alk</v>
      </c>
      <c r="CT363" s="33">
        <f t="shared" si="299"/>
        <v>100.2</v>
      </c>
      <c r="CU363" s="33" t="str">
        <f t="shared" si="300"/>
        <v xml:space="preserve"> A </v>
      </c>
      <c r="CV363" s="33">
        <f t="shared" si="301"/>
        <v>2.6</v>
      </c>
      <c r="CW363" s="33" t="str">
        <f t="shared" si="302"/>
        <v xml:space="preserve"> A  37 </v>
      </c>
      <c r="CX363" s="33">
        <f t="shared" si="303"/>
        <v>4.58</v>
      </c>
      <c r="CY363" s="33" t="str">
        <f t="shared" si="304"/>
        <v xml:space="preserve"> A  27 </v>
      </c>
    </row>
    <row r="364" spans="1:103" x14ac:dyDescent="0.2">
      <c r="B364" s="33">
        <v>-1301</v>
      </c>
      <c r="D364" s="33" t="s">
        <v>277</v>
      </c>
      <c r="E364" s="33" t="s">
        <v>1263</v>
      </c>
      <c r="H364" s="34" t="s">
        <v>1262</v>
      </c>
      <c r="I364" s="37">
        <f t="shared" si="306"/>
        <v>86.18</v>
      </c>
      <c r="J364" s="37">
        <f>IF(ISNUMBER(P364),P364,IF(ISNUMBER(AVERAGE(S364:AE364)),AVERAGE(S364:AE364),NA()))</f>
        <v>23</v>
      </c>
      <c r="K364" s="44">
        <f t="shared" si="282"/>
        <v>3.8879999999999999</v>
      </c>
      <c r="L364" s="33" t="e">
        <f t="shared" si="283"/>
        <v>#DIV/0!</v>
      </c>
      <c r="M364" s="33" t="s">
        <v>1890</v>
      </c>
      <c r="Q364" s="44" t="str">
        <f t="shared" si="284"/>
        <v xml:space="preserve"> </v>
      </c>
      <c r="R364" s="33" t="str">
        <f>IF(OR(ISBLANK(P364), ISBLANK(Q364)),"",CONCATENATE(" ",VLOOKUP(Q364,Literatuur!$A:$B,2,FALSE)," "))</f>
        <v/>
      </c>
      <c r="S364" s="33">
        <v>50</v>
      </c>
      <c r="T364" s="44" t="str">
        <f t="shared" si="285"/>
        <v>Gestis</v>
      </c>
      <c r="U364" s="33" t="str">
        <f>IF(OR(ISBLANK(S364), ISBLANK(T364)),"",CONCATENATE(" ",VLOOKUP(T364,Literatuur!$A:$B,2,FALSE)," "))</f>
        <v xml:space="preserve"> A </v>
      </c>
      <c r="W364" s="44" t="str">
        <f t="shared" si="286"/>
        <v xml:space="preserve"> </v>
      </c>
      <c r="X364" s="33" t="str">
        <f>IF(OR(ISBLANK(V364), ISBLANK(W364)),"",CONCATENATE(" ",VLOOKUP(W364,Literatuur!$A:$B,2,FALSE)," "))</f>
        <v/>
      </c>
      <c r="Z364" s="44" t="str">
        <f t="shared" si="287"/>
        <v xml:space="preserve"> </v>
      </c>
      <c r="AA364" s="33" t="str">
        <f>IF(OR(ISBLANK(Y364), ISBLANK(Z364)),"",CONCATENATE(" ",VLOOKUP(Z364,Literatuur!$A:$B,2,FALSE)," "))</f>
        <v/>
      </c>
      <c r="AB364" s="33">
        <v>9.5</v>
      </c>
      <c r="AC364" s="36" t="str">
        <f t="shared" si="288"/>
        <v>Vonk 1985</v>
      </c>
      <c r="AD364" s="33" t="str">
        <f>IF(OR(ISBLANK(AB364), ISBLANK(AC364)),"",CONCATENATE(" ",VLOOKUP(AC364,Literatuur!$A:$B,2,FALSE)," "))</f>
        <v xml:space="preserve"> 37 </v>
      </c>
      <c r="AE364" s="33">
        <v>9.5</v>
      </c>
      <c r="AF364" s="33" t="s">
        <v>344</v>
      </c>
      <c r="AG364" s="33" t="str">
        <f>IF(OR(ISBLANK(AE364), ISBLANK(AF364)),"",CONCATENATE(" ",VLOOKUP(AF364,Literatuur!$A:$B,2,FALSE)," "))</f>
        <v xml:space="preserve"> G </v>
      </c>
      <c r="AI364" s="37"/>
      <c r="AJ364" s="44" t="str">
        <f t="shared" si="289"/>
        <v xml:space="preserve"> </v>
      </c>
      <c r="AK364" s="33" t="str">
        <f>IF(OR(ISBLANK(AI364), ISBLANK(AJ364)),"",CONCATENATE(" ",VLOOKUP(AJ364,Literatuur!$A:$B,2,FALSE)," "))</f>
        <v/>
      </c>
      <c r="AL364" s="35">
        <v>86.18</v>
      </c>
      <c r="AM364" s="44" t="str">
        <f t="shared" si="290"/>
        <v>Gestis</v>
      </c>
      <c r="AN364" s="33" t="str">
        <f>IF(OR(ISBLANK(AL364), ISBLANK(AM364)),"",CONCATENATE(" ",VLOOKUP(AM364,Literatuur!$A:$B,2,FALSE)," "))</f>
        <v xml:space="preserve"> A </v>
      </c>
      <c r="AP364" s="44" t="str">
        <f t="shared" si="291"/>
        <v xml:space="preserve"> </v>
      </c>
      <c r="AQ364" s="33" t="str">
        <f>IF(OR(ISBLANK(AO364), ISBLANK(AP364)),"",CONCATENATE(" ",VLOOKUP(AP364,Literatuur!$A:$B,2,FALSE)," "))</f>
        <v/>
      </c>
      <c r="AT364" s="33" t="str">
        <f>IF(OR(ISBLANK(AR364), ISBLANK(AS364)),"",CONCATENATE(" ",VLOOKUP(AS364,Literatuur!$A:$B,2,FALSE)," "))</f>
        <v/>
      </c>
      <c r="AW364" s="33" t="str">
        <f>IF(OR(ISBLANK(AU364), ISBLANK(AV364)),"",CONCATENATE(" ",VLOOKUP(AV364,Literatuur!$A:$B,2,FALSE)," "))</f>
        <v/>
      </c>
      <c r="AY364" s="44"/>
      <c r="AZ364" s="44" t="str">
        <f t="shared" si="292"/>
        <v xml:space="preserve"> </v>
      </c>
      <c r="BA364" s="33" t="str">
        <f>IF(OR(ISBLANK(AY364), ISBLANK(AZ364)),"",CONCATENATE(" ",VLOOKUP(AZ364,Literatuur!$A:$B,2,FALSE)," "))</f>
        <v/>
      </c>
      <c r="BB364" s="44">
        <v>3.9</v>
      </c>
      <c r="BC364" s="44" t="str">
        <f t="shared" si="293"/>
        <v>Gestis</v>
      </c>
      <c r="BD364" s="33" t="str">
        <f>IF(OR(ISBLANK(BB364), ISBLANK(BC364)),"",CONCATENATE(" ",VLOOKUP(BC364,Literatuur!$A:$B,2,FALSE)," "))</f>
        <v xml:space="preserve"> A </v>
      </c>
      <c r="BF364" s="44" t="str">
        <f t="shared" si="294"/>
        <v xml:space="preserve"> </v>
      </c>
      <c r="BG364" s="33" t="str">
        <f>IF(OR(ISBLANK(BE364), ISBLANK(BF364)),"",CONCATENATE(" ",VLOOKUP(BF364,Literatuur!$A:$B,2,FALSE)," "))</f>
        <v/>
      </c>
      <c r="BI364" s="44" t="str">
        <f t="shared" si="295"/>
        <v xml:space="preserve"> </v>
      </c>
      <c r="BJ364" s="33" t="str">
        <f>IF(OR(ISBLANK(BH364), ISBLANK(BI364)),"",CONCATENATE(" ",VLOOKUP(BI364,Literatuur!$A:$B,2,FALSE)," "))</f>
        <v/>
      </c>
      <c r="BK364" s="33">
        <v>4</v>
      </c>
      <c r="BL364" s="44" t="str">
        <f t="shared" si="296"/>
        <v>Sangster 1989</v>
      </c>
      <c r="BM364" s="33" t="str">
        <f>IF(OR(ISBLANK(BK364), ISBLANK(BL364)),"",CONCATENATE(" ",VLOOKUP(BL364,Literatuur!$A:$B,2,FALSE)," "))</f>
        <v xml:space="preserve"> 27 </v>
      </c>
      <c r="BP364" s="33" t="str">
        <f>IF(OR(ISBLANK(BN364), ISBLANK(BO364)),"",CONCATENATE(" ",VLOOKUP(BO364,Literatuur!$A:$B,2,FALSE)," "))</f>
        <v/>
      </c>
      <c r="BS364" s="33" t="str">
        <f>IF(OR(ISBLANK(BQ364), ISBLANK(BR364)),"",CONCATENATE(" ",VLOOKUP(BR364,Literatuur!$A:$B,2,FALSE)," "))</f>
        <v/>
      </c>
      <c r="BT364" s="33">
        <v>3.7639999999999998</v>
      </c>
      <c r="BU364" s="33" t="s">
        <v>344</v>
      </c>
      <c r="BV364" s="33" t="str">
        <f>IF(OR(ISBLANK(BT364), ISBLANK(BU364)),"",CONCATENATE(" ",VLOOKUP(BU364,Literatuur!$A:$B,2,FALSE)," "))</f>
        <v xml:space="preserve"> G </v>
      </c>
      <c r="CE364" s="37">
        <f t="shared" si="297"/>
        <v>86.18</v>
      </c>
      <c r="CG364" s="33">
        <f t="shared" si="305"/>
        <v>1.3617278360175928</v>
      </c>
      <c r="CH364" s="33">
        <f t="shared" si="298"/>
        <v>3.8879999999999999</v>
      </c>
      <c r="CR364" s="33" t="str">
        <f t="shared" si="257"/>
        <v>Hexane</v>
      </c>
      <c r="CS364" s="33" t="str">
        <f t="shared" si="258"/>
        <v>Alk</v>
      </c>
      <c r="CT364" s="33">
        <f t="shared" si="299"/>
        <v>86.18</v>
      </c>
      <c r="CU364" s="33" t="str">
        <f t="shared" si="300"/>
        <v xml:space="preserve"> A </v>
      </c>
      <c r="CV364" s="33">
        <f t="shared" si="301"/>
        <v>23</v>
      </c>
      <c r="CW364" s="33" t="str">
        <f t="shared" si="302"/>
        <v xml:space="preserve"> A  37  G </v>
      </c>
      <c r="CX364" s="33">
        <f t="shared" si="303"/>
        <v>3.8879999999999999</v>
      </c>
      <c r="CY364" s="33" t="str">
        <f t="shared" si="304"/>
        <v xml:space="preserve"> A  27  G </v>
      </c>
    </row>
    <row r="365" spans="1:103" x14ac:dyDescent="0.2">
      <c r="B365" s="33">
        <v>-1658</v>
      </c>
      <c r="D365" s="105" t="s">
        <v>1224</v>
      </c>
      <c r="E365" s="105" t="s">
        <v>1224</v>
      </c>
      <c r="H365" s="34" t="s">
        <v>1225</v>
      </c>
      <c r="I365" s="33">
        <f t="shared" si="306"/>
        <v>84.16</v>
      </c>
      <c r="J365" s="33">
        <f>IF(ISNUMBER(P365),P365,AVERAGE(S365:AE365))</f>
        <v>50</v>
      </c>
      <c r="K365" s="44">
        <f t="shared" si="282"/>
        <v>3.07</v>
      </c>
      <c r="L365" s="33" t="e">
        <f t="shared" si="283"/>
        <v>#DIV/0!</v>
      </c>
      <c r="M365" s="33" t="s">
        <v>1890</v>
      </c>
      <c r="Q365" s="44" t="str">
        <f t="shared" si="284"/>
        <v xml:space="preserve"> </v>
      </c>
      <c r="R365" s="33" t="str">
        <f>IF(OR(ISBLANK(P365), ISBLANK(Q365)),"",CONCATENATE(" ",VLOOKUP(Q365,Literatuur!$A:$B,2,FALSE)," "))</f>
        <v/>
      </c>
      <c r="T365" s="44" t="str">
        <f t="shared" si="285"/>
        <v xml:space="preserve"> </v>
      </c>
      <c r="U365" s="33" t="str">
        <f>IF(OR(ISBLANK(S365), ISBLANK(T365)),"",CONCATENATE(" ",VLOOKUP(T365,Literatuur!$A:$B,2,FALSE)," "))</f>
        <v/>
      </c>
      <c r="W365" s="44" t="str">
        <f t="shared" si="286"/>
        <v xml:space="preserve"> </v>
      </c>
      <c r="X365" s="33" t="str">
        <f>IF(OR(ISBLANK(V365), ISBLANK(W365)),"",CONCATENATE(" ",VLOOKUP(W365,Literatuur!$A:$B,2,FALSE)," "))</f>
        <v/>
      </c>
      <c r="Y365" s="33">
        <v>50</v>
      </c>
      <c r="Z365" s="44" t="str">
        <f t="shared" si="287"/>
        <v>US EPA suite</v>
      </c>
      <c r="AA365" s="33" t="str">
        <f>IF(OR(ISBLANK(Y365), ISBLANK(Z365)),"",CONCATENATE(" ",VLOOKUP(Z365,Literatuur!$A:$B,2,FALSE)," "))</f>
        <v xml:space="preserve"> F </v>
      </c>
      <c r="AC365" s="36" t="str">
        <f t="shared" si="288"/>
        <v xml:space="preserve"> </v>
      </c>
      <c r="AD365" s="33" t="str">
        <f>IF(OR(ISBLANK(AB365), ISBLANK(AC365)),"",CONCATENATE(" ",VLOOKUP(AC365,Literatuur!$A:$B,2,FALSE)," "))</f>
        <v/>
      </c>
      <c r="AG365" s="33" t="str">
        <f>IF(OR(ISBLANK(AE365), ISBLANK(AF365)),"",CONCATENATE(" ",VLOOKUP(AF365,Literatuur!$A:$B,2,FALSE)," "))</f>
        <v/>
      </c>
      <c r="AJ365" s="44" t="str">
        <f t="shared" si="289"/>
        <v xml:space="preserve"> </v>
      </c>
      <c r="AK365" s="33" t="str">
        <f>IF(OR(ISBLANK(AI365), ISBLANK(AJ365)),"",CONCATENATE(" ",VLOOKUP(AJ365,Literatuur!$A:$B,2,FALSE)," "))</f>
        <v/>
      </c>
      <c r="AM365" s="44" t="str">
        <f t="shared" si="290"/>
        <v xml:space="preserve"> </v>
      </c>
      <c r="AN365" s="33" t="str">
        <f>IF(OR(ISBLANK(AL365), ISBLANK(AM365)),"",CONCATENATE(" ",VLOOKUP(AM365,Literatuur!$A:$B,2,FALSE)," "))</f>
        <v/>
      </c>
      <c r="AO365" s="33">
        <v>84.16</v>
      </c>
      <c r="AP365" s="44" t="str">
        <f t="shared" si="291"/>
        <v>US EPA suite</v>
      </c>
      <c r="AQ365" s="33" t="str">
        <f>IF(OR(ISBLANK(AO365), ISBLANK(AP365)),"",CONCATENATE(" ",VLOOKUP(AP365,Literatuur!$A:$B,2,FALSE)," "))</f>
        <v xml:space="preserve"> F </v>
      </c>
      <c r="AT365" s="33" t="str">
        <f>IF(OR(ISBLANK(AR365), ISBLANK(AS365)),"",CONCATENATE(" ",VLOOKUP(AS365,Literatuur!$A:$B,2,FALSE)," "))</f>
        <v/>
      </c>
      <c r="AW365" s="33" t="str">
        <f>IF(OR(ISBLANK(AU365), ISBLANK(AV365)),"",CONCATENATE(" ",VLOOKUP(AV365,Literatuur!$A:$B,2,FALSE)," "))</f>
        <v/>
      </c>
      <c r="AZ365" s="44" t="str">
        <f t="shared" si="292"/>
        <v xml:space="preserve"> </v>
      </c>
      <c r="BA365" s="33" t="str">
        <f>IF(OR(ISBLANK(AY365), ISBLANK(AZ365)),"",CONCATENATE(" ",VLOOKUP(AZ365,Literatuur!$A:$B,2,FALSE)," "))</f>
        <v/>
      </c>
      <c r="BC365" s="44" t="str">
        <f t="shared" si="293"/>
        <v xml:space="preserve"> </v>
      </c>
      <c r="BD365" s="33" t="str">
        <f>IF(OR(ISBLANK(BB365), ISBLANK(BC365)),"",CONCATENATE(" ",VLOOKUP(BC365,Literatuur!$A:$B,2,FALSE)," "))</f>
        <v/>
      </c>
      <c r="BF365" s="44" t="str">
        <f t="shared" si="294"/>
        <v xml:space="preserve"> </v>
      </c>
      <c r="BG365" s="33" t="str">
        <f>IF(OR(ISBLANK(BE365), ISBLANK(BF365)),"",CONCATENATE(" ",VLOOKUP(BF365,Literatuur!$A:$B,2,FALSE)," "))</f>
        <v/>
      </c>
      <c r="BH365" s="33">
        <v>3.07</v>
      </c>
      <c r="BI365" s="44" t="str">
        <f t="shared" si="295"/>
        <v>US EPA suite</v>
      </c>
      <c r="BJ365" s="33" t="str">
        <f>IF(OR(ISBLANK(BH365), ISBLANK(BI365)),"",CONCATENATE(" ",VLOOKUP(BI365,Literatuur!$A:$B,2,FALSE)," "))</f>
        <v xml:space="preserve"> F </v>
      </c>
      <c r="BL365" s="44" t="str">
        <f t="shared" si="296"/>
        <v xml:space="preserve"> </v>
      </c>
      <c r="BM365" s="33" t="str">
        <f>IF(OR(ISBLANK(BK365), ISBLANK(BL365)),"",CONCATENATE(" ",VLOOKUP(BL365,Literatuur!$A:$B,2,FALSE)," "))</f>
        <v/>
      </c>
      <c r="BP365" s="33" t="str">
        <f>IF(OR(ISBLANK(BN365), ISBLANK(BO365)),"",CONCATENATE(" ",VLOOKUP(BO365,Literatuur!$A:$B,2,FALSE)," "))</f>
        <v/>
      </c>
      <c r="BS365" s="33" t="str">
        <f>IF(OR(ISBLANK(BQ365), ISBLANK(BR365)),"",CONCATENATE(" ",VLOOKUP(BR365,Literatuur!$A:$B,2,FALSE)," "))</f>
        <v/>
      </c>
      <c r="BV365" s="33" t="str">
        <f>IF(OR(ISBLANK(BT365), ISBLANK(BU365)),"",CONCATENATE(" ",VLOOKUP(BU365,Literatuur!$A:$B,2,FALSE)," "))</f>
        <v/>
      </c>
      <c r="CG365" s="33">
        <f t="shared" si="305"/>
        <v>1.6989700043360187</v>
      </c>
      <c r="CH365" s="33">
        <f t="shared" si="298"/>
        <v>3.07</v>
      </c>
      <c r="CR365" s="33" t="str">
        <f t="shared" si="257"/>
        <v>Hexene</v>
      </c>
      <c r="CS365" s="33" t="str">
        <f t="shared" si="258"/>
        <v>Alk</v>
      </c>
      <c r="CT365" s="33">
        <f t="shared" si="299"/>
        <v>84.16</v>
      </c>
      <c r="CU365" s="33" t="str">
        <f t="shared" si="300"/>
        <v xml:space="preserve"> F </v>
      </c>
      <c r="CV365" s="33">
        <f t="shared" si="301"/>
        <v>50</v>
      </c>
      <c r="CW365" s="33" t="str">
        <f t="shared" si="302"/>
        <v xml:space="preserve"> F </v>
      </c>
      <c r="CX365" s="33">
        <f t="shared" si="303"/>
        <v>3.07</v>
      </c>
      <c r="CY365" s="33" t="str">
        <f t="shared" si="304"/>
        <v xml:space="preserve"> F </v>
      </c>
    </row>
    <row r="366" spans="1:103" x14ac:dyDescent="0.2">
      <c r="B366" s="33">
        <v>-1506</v>
      </c>
      <c r="D366" s="33" t="s">
        <v>446</v>
      </c>
      <c r="E366" s="33" t="s">
        <v>846</v>
      </c>
      <c r="F366" s="33" t="s">
        <v>1376</v>
      </c>
      <c r="H366" s="34" t="s">
        <v>445</v>
      </c>
      <c r="I366" s="37">
        <f t="shared" si="306"/>
        <v>56.11</v>
      </c>
      <c r="J366" s="37">
        <f>IF(ISNUMBER(P366),P366,AVERAGE(S366:AE366))</f>
        <v>388</v>
      </c>
      <c r="K366" s="44">
        <f t="shared" si="282"/>
        <v>2.35</v>
      </c>
      <c r="L366" s="33" t="e">
        <f t="shared" si="283"/>
        <v>#DIV/0!</v>
      </c>
      <c r="M366" s="33" t="s">
        <v>1890</v>
      </c>
      <c r="Q366" s="44" t="str">
        <f t="shared" si="284"/>
        <v xml:space="preserve"> </v>
      </c>
      <c r="R366" s="33" t="str">
        <f>IF(OR(ISBLANK(P366), ISBLANK(Q366)),"",CONCATENATE(" ",VLOOKUP(Q366,Literatuur!$A:$B,2,FALSE)," "))</f>
        <v/>
      </c>
      <c r="S366" s="33">
        <v>388</v>
      </c>
      <c r="T366" s="44" t="str">
        <f t="shared" si="285"/>
        <v>Gestis</v>
      </c>
      <c r="U366" s="33" t="str">
        <f>IF(OR(ISBLANK(S366), ISBLANK(T366)),"",CONCATENATE(" ",VLOOKUP(T366,Literatuur!$A:$B,2,FALSE)," "))</f>
        <v xml:space="preserve"> A </v>
      </c>
      <c r="W366" s="44" t="str">
        <f t="shared" si="286"/>
        <v xml:space="preserve"> </v>
      </c>
      <c r="X366" s="33" t="str">
        <f>IF(OR(ISBLANK(V366), ISBLANK(W366)),"",CONCATENATE(" ",VLOOKUP(W366,Literatuur!$A:$B,2,FALSE)," "))</f>
        <v/>
      </c>
      <c r="Z366" s="44" t="str">
        <f t="shared" si="287"/>
        <v xml:space="preserve"> </v>
      </c>
      <c r="AA366" s="33" t="str">
        <f>IF(OR(ISBLANK(Y366), ISBLANK(Z366)),"",CONCATENATE(" ",VLOOKUP(Z366,Literatuur!$A:$B,2,FALSE)," "))</f>
        <v/>
      </c>
      <c r="AC366" s="36" t="str">
        <f t="shared" si="288"/>
        <v xml:space="preserve"> </v>
      </c>
      <c r="AD366" s="33" t="str">
        <f>IF(OR(ISBLANK(AB366), ISBLANK(AC366)),"",CONCATENATE(" ",VLOOKUP(AC366,Literatuur!$A:$B,2,FALSE)," "))</f>
        <v/>
      </c>
      <c r="AG366" s="33" t="str">
        <f>IF(OR(ISBLANK(AE366), ISBLANK(AF366)),"",CONCATENATE(" ",VLOOKUP(AF366,Literatuur!$A:$B,2,FALSE)," "))</f>
        <v/>
      </c>
      <c r="AJ366" s="44" t="str">
        <f t="shared" si="289"/>
        <v xml:space="preserve"> </v>
      </c>
      <c r="AK366" s="33" t="str">
        <f>IF(OR(ISBLANK(AI366), ISBLANK(AJ366)),"",CONCATENATE(" ",VLOOKUP(AJ366,Literatuur!$A:$B,2,FALSE)," "))</f>
        <v/>
      </c>
      <c r="AL366" s="33">
        <v>56.11</v>
      </c>
      <c r="AM366" s="44" t="str">
        <f t="shared" si="290"/>
        <v>Gestis</v>
      </c>
      <c r="AN366" s="33" t="str">
        <f>IF(OR(ISBLANK(AL366), ISBLANK(AM366)),"",CONCATENATE(" ",VLOOKUP(AM366,Literatuur!$A:$B,2,FALSE)," "))</f>
        <v xml:space="preserve"> A </v>
      </c>
      <c r="AP366" s="44" t="str">
        <f t="shared" si="291"/>
        <v xml:space="preserve"> </v>
      </c>
      <c r="AQ366" s="33" t="str">
        <f>IF(OR(ISBLANK(AO366), ISBLANK(AP366)),"",CONCATENATE(" ",VLOOKUP(AP366,Literatuur!$A:$B,2,FALSE)," "))</f>
        <v/>
      </c>
      <c r="AT366" s="33" t="str">
        <f>IF(OR(ISBLANK(AR366), ISBLANK(AS366)),"",CONCATENATE(" ",VLOOKUP(AS366,Literatuur!$A:$B,2,FALSE)," "))</f>
        <v/>
      </c>
      <c r="AW366" s="33" t="str">
        <f>IF(OR(ISBLANK(AU366), ISBLANK(AV366)),"",CONCATENATE(" ",VLOOKUP(AV366,Literatuur!$A:$B,2,FALSE)," "))</f>
        <v/>
      </c>
      <c r="AZ366" s="44" t="str">
        <f t="shared" si="292"/>
        <v xml:space="preserve"> </v>
      </c>
      <c r="BA366" s="33" t="str">
        <f>IF(OR(ISBLANK(AY366), ISBLANK(AZ366)),"",CONCATENATE(" ",VLOOKUP(AZ366,Literatuur!$A:$B,2,FALSE)," "))</f>
        <v/>
      </c>
      <c r="BB366" s="33">
        <v>2.35</v>
      </c>
      <c r="BC366" s="44" t="str">
        <f t="shared" si="293"/>
        <v>Gestis</v>
      </c>
      <c r="BD366" s="33" t="str">
        <f>IF(OR(ISBLANK(BB366), ISBLANK(BC366)),"",CONCATENATE(" ",VLOOKUP(BC366,Literatuur!$A:$B,2,FALSE)," "))</f>
        <v xml:space="preserve"> A </v>
      </c>
      <c r="BF366" s="44" t="str">
        <f t="shared" si="294"/>
        <v xml:space="preserve"> </v>
      </c>
      <c r="BG366" s="33" t="str">
        <f>IF(OR(ISBLANK(BE366), ISBLANK(BF366)),"",CONCATENATE(" ",VLOOKUP(BF366,Literatuur!$A:$B,2,FALSE)," "))</f>
        <v/>
      </c>
      <c r="BI366" s="44" t="str">
        <f t="shared" si="295"/>
        <v xml:space="preserve"> </v>
      </c>
      <c r="BJ366" s="33" t="str">
        <f>IF(OR(ISBLANK(BH366), ISBLANK(BI366)),"",CONCATENATE(" ",VLOOKUP(BI366,Literatuur!$A:$B,2,FALSE)," "))</f>
        <v/>
      </c>
      <c r="BL366" s="44" t="str">
        <f t="shared" si="296"/>
        <v xml:space="preserve"> </v>
      </c>
      <c r="BM366" s="33" t="str">
        <f>IF(OR(ISBLANK(BK366), ISBLANK(BL366)),"",CONCATENATE(" ",VLOOKUP(BL366,Literatuur!$A:$B,2,FALSE)," "))</f>
        <v/>
      </c>
      <c r="BP366" s="33" t="str">
        <f>IF(OR(ISBLANK(BN366), ISBLANK(BO366)),"",CONCATENATE(" ",VLOOKUP(BO366,Literatuur!$A:$B,2,FALSE)," "))</f>
        <v/>
      </c>
      <c r="BS366" s="33" t="str">
        <f>IF(OR(ISBLANK(BQ366), ISBLANK(BR366)),"",CONCATENATE(" ",VLOOKUP(BR366,Literatuur!$A:$B,2,FALSE)," "))</f>
        <v/>
      </c>
      <c r="BV366" s="33" t="str">
        <f>IF(OR(ISBLANK(BT366), ISBLANK(BU366)),"",CONCATENATE(" ",VLOOKUP(BU366,Literatuur!$A:$B,2,FALSE)," "))</f>
        <v/>
      </c>
      <c r="CE366" s="37">
        <f t="shared" ref="CE366:CE372" si="307">I366</f>
        <v>56.11</v>
      </c>
      <c r="CG366" s="33">
        <f t="shared" si="305"/>
        <v>2.5888317255942073</v>
      </c>
      <c r="CH366" s="33">
        <f t="shared" si="298"/>
        <v>2.35</v>
      </c>
      <c r="CR366" s="33" t="str">
        <f t="shared" si="257"/>
        <v>Isobutylene</v>
      </c>
      <c r="CS366" s="33" t="str">
        <f t="shared" si="258"/>
        <v>Alk</v>
      </c>
      <c r="CT366" s="33">
        <f t="shared" si="299"/>
        <v>56.11</v>
      </c>
      <c r="CU366" s="33" t="str">
        <f t="shared" si="300"/>
        <v xml:space="preserve"> A </v>
      </c>
      <c r="CV366" s="33">
        <f t="shared" si="301"/>
        <v>388</v>
      </c>
      <c r="CW366" s="33" t="str">
        <f t="shared" si="302"/>
        <v xml:space="preserve"> A </v>
      </c>
      <c r="CX366" s="33">
        <f t="shared" si="303"/>
        <v>2.35</v>
      </c>
      <c r="CY366" s="33" t="str">
        <f t="shared" si="304"/>
        <v xml:space="preserve"> A </v>
      </c>
    </row>
    <row r="367" spans="1:103" x14ac:dyDescent="0.2">
      <c r="A367" s="31"/>
      <c r="B367" s="33">
        <v>-1500</v>
      </c>
      <c r="D367" s="33" t="s">
        <v>431</v>
      </c>
      <c r="E367" s="33" t="s">
        <v>796</v>
      </c>
      <c r="H367" s="34" t="s">
        <v>433</v>
      </c>
      <c r="I367" s="37">
        <f t="shared" si="306"/>
        <v>16.05</v>
      </c>
      <c r="J367" s="37">
        <f>IF(ISNUMBER(P367),P367,AVERAGE(S367:AE367))</f>
        <v>26000</v>
      </c>
      <c r="K367" s="44">
        <f t="shared" si="282"/>
        <v>1.0900000000000001</v>
      </c>
      <c r="L367" s="33" t="e">
        <f t="shared" si="283"/>
        <v>#DIV/0!</v>
      </c>
      <c r="M367" s="33" t="s">
        <v>1890</v>
      </c>
      <c r="Q367" s="44" t="str">
        <f t="shared" si="284"/>
        <v xml:space="preserve"> </v>
      </c>
      <c r="R367" s="33" t="str">
        <f>IF(OR(ISBLANK(P367), ISBLANK(Q367)),"",CONCATENATE(" ",VLOOKUP(Q367,Literatuur!$A:$B,2,FALSE)," "))</f>
        <v/>
      </c>
      <c r="S367" s="33">
        <v>26000</v>
      </c>
      <c r="T367" s="44" t="str">
        <f t="shared" si="285"/>
        <v>Gestis</v>
      </c>
      <c r="U367" s="33" t="str">
        <f>IF(OR(ISBLANK(S367), ISBLANK(T367)),"",CONCATENATE(" ",VLOOKUP(T367,Literatuur!$A:$B,2,FALSE)," "))</f>
        <v xml:space="preserve"> A </v>
      </c>
      <c r="W367" s="44" t="str">
        <f t="shared" si="286"/>
        <v xml:space="preserve"> </v>
      </c>
      <c r="X367" s="33" t="str">
        <f>IF(OR(ISBLANK(V367), ISBLANK(W367)),"",CONCATENATE(" ",VLOOKUP(W367,Literatuur!$A:$B,2,FALSE)," "))</f>
        <v/>
      </c>
      <c r="Z367" s="44" t="str">
        <f t="shared" si="287"/>
        <v xml:space="preserve"> </v>
      </c>
      <c r="AA367" s="33" t="str">
        <f>IF(OR(ISBLANK(Y367), ISBLANK(Z367)),"",CONCATENATE(" ",VLOOKUP(Z367,Literatuur!$A:$B,2,FALSE)," "))</f>
        <v/>
      </c>
      <c r="AC367" s="36" t="str">
        <f t="shared" si="288"/>
        <v xml:space="preserve"> </v>
      </c>
      <c r="AD367" s="33" t="str">
        <f>IF(OR(ISBLANK(AB367), ISBLANK(AC367)),"",CONCATENATE(" ",VLOOKUP(AC367,Literatuur!$A:$B,2,FALSE)," "))</f>
        <v/>
      </c>
      <c r="AG367" s="33" t="str">
        <f>IF(OR(ISBLANK(AE367), ISBLANK(AF367)),"",CONCATENATE(" ",VLOOKUP(AF367,Literatuur!$A:$B,2,FALSE)," "))</f>
        <v/>
      </c>
      <c r="AJ367" s="44" t="str">
        <f t="shared" si="289"/>
        <v xml:space="preserve"> </v>
      </c>
      <c r="AK367" s="33" t="str">
        <f>IF(OR(ISBLANK(AI367), ISBLANK(AJ367)),"",CONCATENATE(" ",VLOOKUP(AJ367,Literatuur!$A:$B,2,FALSE)," "))</f>
        <v/>
      </c>
      <c r="AL367" s="33">
        <v>16.05</v>
      </c>
      <c r="AM367" s="44" t="str">
        <f t="shared" si="290"/>
        <v>Gestis</v>
      </c>
      <c r="AN367" s="33" t="str">
        <f>IF(OR(ISBLANK(AL367), ISBLANK(AM367)),"",CONCATENATE(" ",VLOOKUP(AM367,Literatuur!$A:$B,2,FALSE)," "))</f>
        <v xml:space="preserve"> A </v>
      </c>
      <c r="AP367" s="44" t="str">
        <f t="shared" si="291"/>
        <v xml:space="preserve"> </v>
      </c>
      <c r="AQ367" s="33" t="str">
        <f>IF(OR(ISBLANK(AO367), ISBLANK(AP367)),"",CONCATENATE(" ",VLOOKUP(AP367,Literatuur!$A:$B,2,FALSE)," "))</f>
        <v/>
      </c>
      <c r="AT367" s="33" t="str">
        <f>IF(OR(ISBLANK(AR367), ISBLANK(AS367)),"",CONCATENATE(" ",VLOOKUP(AS367,Literatuur!$A:$B,2,FALSE)," "))</f>
        <v/>
      </c>
      <c r="AW367" s="33" t="str">
        <f>IF(OR(ISBLANK(AU367), ISBLANK(AV367)),"",CONCATENATE(" ",VLOOKUP(AV367,Literatuur!$A:$B,2,FALSE)," "))</f>
        <v/>
      </c>
      <c r="AZ367" s="44" t="str">
        <f t="shared" si="292"/>
        <v xml:space="preserve"> </v>
      </c>
      <c r="BA367" s="33" t="str">
        <f>IF(OR(ISBLANK(AY367), ISBLANK(AZ367)),"",CONCATENATE(" ",VLOOKUP(AZ367,Literatuur!$A:$B,2,FALSE)," "))</f>
        <v/>
      </c>
      <c r="BB367" s="33">
        <v>1.0900000000000001</v>
      </c>
      <c r="BC367" s="44" t="str">
        <f t="shared" si="293"/>
        <v>Gestis</v>
      </c>
      <c r="BD367" s="33" t="str">
        <f>IF(OR(ISBLANK(BB367), ISBLANK(BC367)),"",CONCATENATE(" ",VLOOKUP(BC367,Literatuur!$A:$B,2,FALSE)," "))</f>
        <v xml:space="preserve"> A </v>
      </c>
      <c r="BF367" s="44" t="str">
        <f t="shared" si="294"/>
        <v xml:space="preserve"> </v>
      </c>
      <c r="BG367" s="33" t="str">
        <f>IF(OR(ISBLANK(BE367), ISBLANK(BF367)),"",CONCATENATE(" ",VLOOKUP(BF367,Literatuur!$A:$B,2,FALSE)," "))</f>
        <v/>
      </c>
      <c r="BI367" s="44" t="str">
        <f t="shared" si="295"/>
        <v xml:space="preserve"> </v>
      </c>
      <c r="BJ367" s="33" t="str">
        <f>IF(OR(ISBLANK(BH367), ISBLANK(BI367)),"",CONCATENATE(" ",VLOOKUP(BI367,Literatuur!$A:$B,2,FALSE)," "))</f>
        <v/>
      </c>
      <c r="BL367" s="44" t="str">
        <f t="shared" si="296"/>
        <v xml:space="preserve"> </v>
      </c>
      <c r="BM367" s="33" t="str">
        <f>IF(OR(ISBLANK(BK367), ISBLANK(BL367)),"",CONCATENATE(" ",VLOOKUP(BL367,Literatuur!$A:$B,2,FALSE)," "))</f>
        <v/>
      </c>
      <c r="BP367" s="33" t="str">
        <f>IF(OR(ISBLANK(BN367), ISBLANK(BO367)),"",CONCATENATE(" ",VLOOKUP(BO367,Literatuur!$A:$B,2,FALSE)," "))</f>
        <v/>
      </c>
      <c r="BS367" s="33" t="str">
        <f>IF(OR(ISBLANK(BQ367), ISBLANK(BR367)),"",CONCATENATE(" ",VLOOKUP(BR367,Literatuur!$A:$B,2,FALSE)," "))</f>
        <v/>
      </c>
      <c r="BV367" s="33" t="str">
        <f>IF(OR(ISBLANK(BT367), ISBLANK(BU367)),"",CONCATENATE(" ",VLOOKUP(BU367,Literatuur!$A:$B,2,FALSE)," "))</f>
        <v/>
      </c>
      <c r="CE367" s="37">
        <f t="shared" si="307"/>
        <v>16.05</v>
      </c>
      <c r="CG367" s="33">
        <f t="shared" si="305"/>
        <v>4.4149733479708182</v>
      </c>
      <c r="CH367" s="33">
        <f t="shared" si="298"/>
        <v>1.0900000000000001</v>
      </c>
      <c r="CR367" s="33" t="str">
        <f t="shared" si="257"/>
        <v>Methane</v>
      </c>
      <c r="CS367" s="33" t="str">
        <f t="shared" si="258"/>
        <v>Alk</v>
      </c>
      <c r="CT367" s="33">
        <f t="shared" si="299"/>
        <v>16.05</v>
      </c>
      <c r="CU367" s="33" t="str">
        <f t="shared" si="300"/>
        <v xml:space="preserve"> A </v>
      </c>
      <c r="CV367" s="33">
        <f t="shared" si="301"/>
        <v>26000</v>
      </c>
      <c r="CW367" s="33" t="str">
        <f t="shared" si="302"/>
        <v xml:space="preserve"> A </v>
      </c>
      <c r="CX367" s="33">
        <f t="shared" si="303"/>
        <v>1.0900000000000001</v>
      </c>
      <c r="CY367" s="33" t="str">
        <f t="shared" si="304"/>
        <v xml:space="preserve"> A </v>
      </c>
    </row>
    <row r="368" spans="1:103" x14ac:dyDescent="0.2">
      <c r="B368" s="33">
        <v>-1201</v>
      </c>
      <c r="D368" s="34" t="s">
        <v>360</v>
      </c>
      <c r="E368" s="105" t="s">
        <v>1267</v>
      </c>
      <c r="F368" s="34"/>
      <c r="G368" s="34"/>
      <c r="H368" s="33"/>
      <c r="I368" s="37">
        <f t="shared" si="306"/>
        <v>132</v>
      </c>
      <c r="J368" s="37" t="e">
        <f>IF(ISNUMBER(P368),P368,IF(ISNUMBER(AVERAGE(S368:AE368)),AVERAGE(S368:AE368),NA()))</f>
        <v>#N/A</v>
      </c>
      <c r="K368" s="44">
        <f t="shared" si="282"/>
        <v>5</v>
      </c>
      <c r="L368" s="33" t="e">
        <f t="shared" si="283"/>
        <v>#DIV/0!</v>
      </c>
      <c r="M368" s="33" t="s">
        <v>1890</v>
      </c>
      <c r="N368" s="33" t="s">
        <v>1912</v>
      </c>
      <c r="Q368" s="44" t="str">
        <f t="shared" si="284"/>
        <v xml:space="preserve"> </v>
      </c>
      <c r="R368" s="33" t="str">
        <f>IF(OR(ISBLANK(P368), ISBLANK(Q368)),"",CONCATENATE(" ",VLOOKUP(Q368,Literatuur!$A:$B,2,FALSE)," "))</f>
        <v/>
      </c>
      <c r="T368" s="44" t="str">
        <f t="shared" si="285"/>
        <v xml:space="preserve"> </v>
      </c>
      <c r="U368" s="33" t="str">
        <f>IF(OR(ISBLANK(S368), ISBLANK(T368)),"",CONCATENATE(" ",VLOOKUP(T368,Literatuur!$A:$B,2,FALSE)," "))</f>
        <v/>
      </c>
      <c r="W368" s="44" t="str">
        <f t="shared" si="286"/>
        <v xml:space="preserve"> </v>
      </c>
      <c r="X368" s="33" t="str">
        <f>IF(OR(ISBLANK(V368), ISBLANK(W368)),"",CONCATENATE(" ",VLOOKUP(W368,Literatuur!$A:$B,2,FALSE)," "))</f>
        <v/>
      </c>
      <c r="Z368" s="44" t="str">
        <f t="shared" si="287"/>
        <v xml:space="preserve"> </v>
      </c>
      <c r="AA368" s="33" t="str">
        <f>IF(OR(ISBLANK(Y368), ISBLANK(Z368)),"",CONCATENATE(" ",VLOOKUP(Z368,Literatuur!$A:$B,2,FALSE)," "))</f>
        <v/>
      </c>
      <c r="AC368" s="36" t="str">
        <f t="shared" si="288"/>
        <v xml:space="preserve"> </v>
      </c>
      <c r="AD368" s="33" t="str">
        <f>IF(OR(ISBLANK(AB368), ISBLANK(AC368)),"",CONCATENATE(" ",VLOOKUP(AC368,Literatuur!$A:$B,2,FALSE)," "))</f>
        <v/>
      </c>
      <c r="AG368" s="33" t="str">
        <f>IF(OR(ISBLANK(AE368), ISBLANK(AF368)),"",CONCATENATE(" ",VLOOKUP(AF368,Literatuur!$A:$B,2,FALSE)," "))</f>
        <v/>
      </c>
      <c r="AJ368" s="44" t="str">
        <f t="shared" si="289"/>
        <v xml:space="preserve"> </v>
      </c>
      <c r="AK368" s="33" t="str">
        <f>IF(OR(ISBLANK(AI368), ISBLANK(AJ368)),"",CONCATENATE(" ",VLOOKUP(AJ368,Literatuur!$A:$B,2,FALSE)," "))</f>
        <v/>
      </c>
      <c r="AM368" s="44" t="str">
        <f t="shared" si="290"/>
        <v xml:space="preserve"> </v>
      </c>
      <c r="AN368" s="33" t="str">
        <f>IF(OR(ISBLANK(AL368), ISBLANK(AM368)),"",CONCATENATE(" ",VLOOKUP(AM368,Literatuur!$A:$B,2,FALSE)," "))</f>
        <v/>
      </c>
      <c r="AP368" s="44" t="str">
        <f t="shared" si="291"/>
        <v xml:space="preserve"> </v>
      </c>
      <c r="AQ368" s="33" t="str">
        <f>IF(OR(ISBLANK(AO368), ISBLANK(AP368)),"",CONCATENATE(" ",VLOOKUP(AP368,Literatuur!$A:$B,2,FALSE)," "))</f>
        <v/>
      </c>
      <c r="AT368" s="33" t="str">
        <f>IF(OR(ISBLANK(AR368), ISBLANK(AS368)),"",CONCATENATE(" ",VLOOKUP(AS368,Literatuur!$A:$B,2,FALSE)," "))</f>
        <v/>
      </c>
      <c r="AU368" s="33">
        <v>132</v>
      </c>
      <c r="AW368" s="33" t="str">
        <f>IF(OR(ISBLANK(AU368), ISBLANK(AV368)),"",CONCATENATE(" ",VLOOKUP(AV368,Literatuur!$A:$B,2,FALSE)," "))</f>
        <v/>
      </c>
      <c r="AX368" s="33" t="s">
        <v>1916</v>
      </c>
      <c r="AZ368" s="44" t="str">
        <f t="shared" si="292"/>
        <v xml:space="preserve"> </v>
      </c>
      <c r="BA368" s="33" t="str">
        <f>IF(OR(ISBLANK(AY368), ISBLANK(AZ368)),"",CONCATENATE(" ",VLOOKUP(AZ368,Literatuur!$A:$B,2,FALSE)," "))</f>
        <v/>
      </c>
      <c r="BC368" s="44" t="str">
        <f t="shared" si="293"/>
        <v xml:space="preserve"> </v>
      </c>
      <c r="BD368" s="33" t="str">
        <f>IF(OR(ISBLANK(BB368), ISBLANK(BC368)),"",CONCATENATE(" ",VLOOKUP(BC368,Literatuur!$A:$B,2,FALSE)," "))</f>
        <v/>
      </c>
      <c r="BF368" s="44" t="str">
        <f t="shared" si="294"/>
        <v xml:space="preserve"> </v>
      </c>
      <c r="BG368" s="33" t="str">
        <f>IF(OR(ISBLANK(BE368), ISBLANK(BF368)),"",CONCATENATE(" ",VLOOKUP(BF368,Literatuur!$A:$B,2,FALSE)," "))</f>
        <v/>
      </c>
      <c r="BI368" s="44" t="str">
        <f t="shared" si="295"/>
        <v xml:space="preserve"> </v>
      </c>
      <c r="BJ368" s="33" t="str">
        <f>IF(OR(ISBLANK(BH368), ISBLANK(BI368)),"",CONCATENATE(" ",VLOOKUP(BI368,Literatuur!$A:$B,2,FALSE)," "))</f>
        <v/>
      </c>
      <c r="BL368" s="44" t="str">
        <f t="shared" si="296"/>
        <v xml:space="preserve"> </v>
      </c>
      <c r="BM368" s="33" t="str">
        <f>IF(OR(ISBLANK(BK368), ISBLANK(BL368)),"",CONCATENATE(" ",VLOOKUP(BL368,Literatuur!$A:$B,2,FALSE)," "))</f>
        <v/>
      </c>
      <c r="BP368" s="33" t="str">
        <f>IF(OR(ISBLANK(BN368), ISBLANK(BO368)),"",CONCATENATE(" ",VLOOKUP(BO368,Literatuur!$A:$B,2,FALSE)," "))</f>
        <v/>
      </c>
      <c r="BS368" s="33" t="str">
        <f>IF(OR(ISBLANK(BQ368), ISBLANK(BR368)),"",CONCATENATE(" ",VLOOKUP(BR368,Literatuur!$A:$B,2,FALSE)," "))</f>
        <v/>
      </c>
      <c r="BT368" s="33">
        <v>5</v>
      </c>
      <c r="BU368" s="4"/>
      <c r="BV368" s="33" t="str">
        <f>IF(OR(ISBLANK(BT368), ISBLANK(BU368)),"",CONCATENATE(" ",VLOOKUP(BU368,Literatuur!$A:$B,2,FALSE)," "))</f>
        <v/>
      </c>
      <c r="BW368" s="33" t="s">
        <v>1917</v>
      </c>
      <c r="CE368" s="37">
        <f t="shared" si="307"/>
        <v>132</v>
      </c>
      <c r="CH368" s="33">
        <f t="shared" si="298"/>
        <v>5</v>
      </c>
      <c r="CR368" s="33" t="str">
        <f t="shared" si="257"/>
        <v>Mineral oil (C10-C12)</v>
      </c>
      <c r="CS368" s="33" t="str">
        <f t="shared" si="258"/>
        <v>Alk</v>
      </c>
      <c r="CT368" s="33">
        <f t="shared" si="299"/>
        <v>132</v>
      </c>
      <c r="CU368" s="33" t="str">
        <f t="shared" si="300"/>
        <v>est based on nr. C and H atoms</v>
      </c>
      <c r="CV368" s="33" t="str">
        <f t="shared" si="301"/>
        <v/>
      </c>
      <c r="CW368" s="33" t="str">
        <f t="shared" si="302"/>
        <v/>
      </c>
      <c r="CX368" s="33">
        <f t="shared" si="303"/>
        <v>5</v>
      </c>
      <c r="CY368" s="33" t="str">
        <f t="shared" si="304"/>
        <v xml:space="preserve"> Koc derived with Cornelis et al 2006; Kow derived with Appelo Postma 2005 table 10.2. cf van der Schans et al  2014 </v>
      </c>
    </row>
    <row r="369" spans="1:103" x14ac:dyDescent="0.2">
      <c r="B369" s="33">
        <v>-1202</v>
      </c>
      <c r="D369" s="34" t="s">
        <v>361</v>
      </c>
      <c r="E369" s="105" t="s">
        <v>1268</v>
      </c>
      <c r="F369" s="34"/>
      <c r="G369" s="34"/>
      <c r="H369" s="33"/>
      <c r="I369" s="37">
        <f t="shared" si="306"/>
        <v>168</v>
      </c>
      <c r="J369" s="37" t="e">
        <f>IF(ISNUMBER(P369),P369,IF(ISNUMBER(AVERAGE(S369:AE369)),AVERAGE(S369:AE369),NA()))</f>
        <v>#N/A</v>
      </c>
      <c r="K369" s="44">
        <f t="shared" si="282"/>
        <v>6.7299999999999995</v>
      </c>
      <c r="L369" s="33" t="e">
        <f t="shared" si="283"/>
        <v>#DIV/0!</v>
      </c>
      <c r="M369" s="33" t="s">
        <v>1890</v>
      </c>
      <c r="Q369" s="44" t="str">
        <f t="shared" si="284"/>
        <v xml:space="preserve"> </v>
      </c>
      <c r="R369" s="33" t="str">
        <f>IF(OR(ISBLANK(P369), ISBLANK(Q369)),"",CONCATENATE(" ",VLOOKUP(Q369,Literatuur!$A:$B,2,FALSE)," "))</f>
        <v/>
      </c>
      <c r="T369" s="44" t="str">
        <f t="shared" si="285"/>
        <v xml:space="preserve"> </v>
      </c>
      <c r="U369" s="33" t="str">
        <f>IF(OR(ISBLANK(S369), ISBLANK(T369)),"",CONCATENATE(" ",VLOOKUP(T369,Literatuur!$A:$B,2,FALSE)," "))</f>
        <v/>
      </c>
      <c r="W369" s="44" t="str">
        <f t="shared" si="286"/>
        <v xml:space="preserve"> </v>
      </c>
      <c r="X369" s="33" t="str">
        <f>IF(OR(ISBLANK(V369), ISBLANK(W369)),"",CONCATENATE(" ",VLOOKUP(W369,Literatuur!$A:$B,2,FALSE)," "))</f>
        <v/>
      </c>
      <c r="Z369" s="44" t="str">
        <f t="shared" si="287"/>
        <v xml:space="preserve"> </v>
      </c>
      <c r="AA369" s="33" t="str">
        <f>IF(OR(ISBLANK(Y369), ISBLANK(Z369)),"",CONCATENATE(" ",VLOOKUP(Z369,Literatuur!$A:$B,2,FALSE)," "))</f>
        <v/>
      </c>
      <c r="AC369" s="36" t="str">
        <f t="shared" si="288"/>
        <v xml:space="preserve"> </v>
      </c>
      <c r="AD369" s="33" t="str">
        <f>IF(OR(ISBLANK(AB369), ISBLANK(AC369)),"",CONCATENATE(" ",VLOOKUP(AC369,Literatuur!$A:$B,2,FALSE)," "))</f>
        <v/>
      </c>
      <c r="AG369" s="33" t="str">
        <f>IF(OR(ISBLANK(AE369), ISBLANK(AF369)),"",CONCATENATE(" ",VLOOKUP(AF369,Literatuur!$A:$B,2,FALSE)," "))</f>
        <v/>
      </c>
      <c r="AJ369" s="44" t="str">
        <f t="shared" si="289"/>
        <v xml:space="preserve"> </v>
      </c>
      <c r="AK369" s="33" t="str">
        <f>IF(OR(ISBLANK(AI369), ISBLANK(AJ369)),"",CONCATENATE(" ",VLOOKUP(AJ369,Literatuur!$A:$B,2,FALSE)," "))</f>
        <v/>
      </c>
      <c r="AM369" s="44" t="str">
        <f t="shared" si="290"/>
        <v xml:space="preserve"> </v>
      </c>
      <c r="AN369" s="33" t="str">
        <f>IF(OR(ISBLANK(AL369), ISBLANK(AM369)),"",CONCATENATE(" ",VLOOKUP(AM369,Literatuur!$A:$B,2,FALSE)," "))</f>
        <v/>
      </c>
      <c r="AP369" s="44" t="str">
        <f t="shared" si="291"/>
        <v xml:space="preserve"> </v>
      </c>
      <c r="AQ369" s="33" t="str">
        <f>IF(OR(ISBLANK(AO369), ISBLANK(AP369)),"",CONCATENATE(" ",VLOOKUP(AP369,Literatuur!$A:$B,2,FALSE)," "))</f>
        <v/>
      </c>
      <c r="AT369" s="33" t="str">
        <f>IF(OR(ISBLANK(AR369), ISBLANK(AS369)),"",CONCATENATE(" ",VLOOKUP(AS369,Literatuur!$A:$B,2,FALSE)," "))</f>
        <v/>
      </c>
      <c r="AU369" s="33">
        <v>168</v>
      </c>
      <c r="AW369" s="33" t="str">
        <f>IF(OR(ISBLANK(AU369), ISBLANK(AV369)),"",CONCATENATE(" ",VLOOKUP(AV369,Literatuur!$A:$B,2,FALSE)," "))</f>
        <v/>
      </c>
      <c r="AX369" s="33" t="s">
        <v>1920</v>
      </c>
      <c r="AZ369" s="44" t="str">
        <f t="shared" si="292"/>
        <v xml:space="preserve"> </v>
      </c>
      <c r="BA369" s="33" t="str">
        <f>IF(OR(ISBLANK(AY369), ISBLANK(AZ369)),"",CONCATENATE(" ",VLOOKUP(AZ369,Literatuur!$A:$B,2,FALSE)," "))</f>
        <v/>
      </c>
      <c r="BC369" s="44" t="str">
        <f t="shared" si="293"/>
        <v xml:space="preserve"> </v>
      </c>
      <c r="BD369" s="33" t="str">
        <f>IF(OR(ISBLANK(BB369), ISBLANK(BC369)),"",CONCATENATE(" ",VLOOKUP(BC369,Literatuur!$A:$B,2,FALSE)," "))</f>
        <v/>
      </c>
      <c r="BF369" s="44" t="str">
        <f t="shared" si="294"/>
        <v xml:space="preserve"> </v>
      </c>
      <c r="BG369" s="33" t="str">
        <f>IF(OR(ISBLANK(BE369), ISBLANK(BF369)),"",CONCATENATE(" ",VLOOKUP(BF369,Literatuur!$A:$B,2,FALSE)," "))</f>
        <v/>
      </c>
      <c r="BI369" s="44" t="str">
        <f t="shared" si="295"/>
        <v xml:space="preserve"> </v>
      </c>
      <c r="BJ369" s="33" t="str">
        <f>IF(OR(ISBLANK(BH369), ISBLANK(BI369)),"",CONCATENATE(" ",VLOOKUP(BI369,Literatuur!$A:$B,2,FALSE)," "))</f>
        <v/>
      </c>
      <c r="BL369" s="44" t="str">
        <f t="shared" si="296"/>
        <v xml:space="preserve"> </v>
      </c>
      <c r="BM369" s="33" t="str">
        <f>IF(OR(ISBLANK(BK369), ISBLANK(BL369)),"",CONCATENATE(" ",VLOOKUP(BL369,Literatuur!$A:$B,2,FALSE)," "))</f>
        <v/>
      </c>
      <c r="BP369" s="33" t="str">
        <f>IF(OR(ISBLANK(BN369), ISBLANK(BO369)),"",CONCATENATE(" ",VLOOKUP(BO369,Literatuur!$A:$B,2,FALSE)," "))</f>
        <v/>
      </c>
      <c r="BS369" s="33" t="str">
        <f>IF(OR(ISBLANK(BQ369), ISBLANK(BR369)),"",CONCATENATE(" ",VLOOKUP(BR369,Literatuur!$A:$B,2,FALSE)," "))</f>
        <v/>
      </c>
      <c r="BT369" s="33">
        <v>6.7299999999999995</v>
      </c>
      <c r="BU369" s="4"/>
      <c r="BV369" s="33" t="str">
        <f>IF(OR(ISBLANK(BT369), ISBLANK(BU369)),"",CONCATENATE(" ",VLOOKUP(BU369,Literatuur!$A:$B,2,FALSE)," "))</f>
        <v/>
      </c>
      <c r="BW369" s="33" t="s">
        <v>1920</v>
      </c>
      <c r="CE369" s="37">
        <f t="shared" si="307"/>
        <v>168</v>
      </c>
      <c r="CH369" s="33">
        <f t="shared" si="298"/>
        <v>6.7299999999999995</v>
      </c>
      <c r="CR369" s="33" t="str">
        <f t="shared" si="257"/>
        <v>Mineral oil (C12-C16)</v>
      </c>
      <c r="CS369" s="33" t="str">
        <f t="shared" si="258"/>
        <v>Alk</v>
      </c>
      <c r="CT369" s="33">
        <f t="shared" si="299"/>
        <v>168</v>
      </c>
      <c r="CU369" s="33" t="str">
        <f t="shared" si="300"/>
        <v>ibid</v>
      </c>
      <c r="CV369" s="33" t="str">
        <f t="shared" si="301"/>
        <v/>
      </c>
      <c r="CW369" s="33" t="str">
        <f t="shared" si="302"/>
        <v/>
      </c>
      <c r="CX369" s="33">
        <f t="shared" si="303"/>
        <v>6.7299999999999995</v>
      </c>
      <c r="CY369" s="33" t="str">
        <f t="shared" si="304"/>
        <v>ibid</v>
      </c>
    </row>
    <row r="370" spans="1:103" x14ac:dyDescent="0.2">
      <c r="B370" s="33">
        <v>-1203</v>
      </c>
      <c r="D370" s="34" t="s">
        <v>362</v>
      </c>
      <c r="E370" s="105" t="s">
        <v>1269</v>
      </c>
      <c r="F370" s="34"/>
      <c r="G370" s="34"/>
      <c r="H370" s="33"/>
      <c r="I370" s="37">
        <f t="shared" si="306"/>
        <v>300</v>
      </c>
      <c r="J370" s="37" t="e">
        <f>IF(ISNUMBER(P370),P370,IF(ISNUMBER(AVERAGE(S370:AE370)),AVERAGE(S370:AE370),NA()))</f>
        <v>#N/A</v>
      </c>
      <c r="K370" s="44">
        <f t="shared" si="282"/>
        <v>5</v>
      </c>
      <c r="L370" s="33" t="e">
        <f t="shared" si="283"/>
        <v>#DIV/0!</v>
      </c>
      <c r="M370" s="33" t="s">
        <v>1890</v>
      </c>
      <c r="Q370" s="44" t="str">
        <f t="shared" si="284"/>
        <v xml:space="preserve"> </v>
      </c>
      <c r="R370" s="33" t="str">
        <f>IF(OR(ISBLANK(P370), ISBLANK(Q370)),"",CONCATENATE(" ",VLOOKUP(Q370,Literatuur!$A:$B,2,FALSE)," "))</f>
        <v/>
      </c>
      <c r="T370" s="44" t="str">
        <f t="shared" si="285"/>
        <v xml:space="preserve"> </v>
      </c>
      <c r="U370" s="33" t="str">
        <f>IF(OR(ISBLANK(S370), ISBLANK(T370)),"",CONCATENATE(" ",VLOOKUP(T370,Literatuur!$A:$B,2,FALSE)," "))</f>
        <v/>
      </c>
      <c r="W370" s="44" t="str">
        <f t="shared" si="286"/>
        <v xml:space="preserve"> </v>
      </c>
      <c r="X370" s="33" t="str">
        <f>IF(OR(ISBLANK(V370), ISBLANK(W370)),"",CONCATENATE(" ",VLOOKUP(W370,Literatuur!$A:$B,2,FALSE)," "))</f>
        <v/>
      </c>
      <c r="Z370" s="44" t="str">
        <f t="shared" si="287"/>
        <v xml:space="preserve"> </v>
      </c>
      <c r="AA370" s="33" t="str">
        <f>IF(OR(ISBLANK(Y370), ISBLANK(Z370)),"",CONCATENATE(" ",VLOOKUP(Z370,Literatuur!$A:$B,2,FALSE)," "))</f>
        <v/>
      </c>
      <c r="AC370" s="36" t="str">
        <f t="shared" si="288"/>
        <v xml:space="preserve"> </v>
      </c>
      <c r="AD370" s="33" t="str">
        <f>IF(OR(ISBLANK(AB370), ISBLANK(AC370)),"",CONCATENATE(" ",VLOOKUP(AC370,Literatuur!$A:$B,2,FALSE)," "))</f>
        <v/>
      </c>
      <c r="AG370" s="33" t="str">
        <f>IF(OR(ISBLANK(AE370), ISBLANK(AF370)),"",CONCATENATE(" ",VLOOKUP(AF370,Literatuur!$A:$B,2,FALSE)," "))</f>
        <v/>
      </c>
      <c r="AJ370" s="44" t="str">
        <f t="shared" si="289"/>
        <v xml:space="preserve"> </v>
      </c>
      <c r="AK370" s="33" t="str">
        <f>IF(OR(ISBLANK(AI370), ISBLANK(AJ370)),"",CONCATENATE(" ",VLOOKUP(AJ370,Literatuur!$A:$B,2,FALSE)," "))</f>
        <v/>
      </c>
      <c r="AM370" s="44" t="str">
        <f t="shared" si="290"/>
        <v xml:space="preserve"> </v>
      </c>
      <c r="AN370" s="33" t="str">
        <f>IF(OR(ISBLANK(AL370), ISBLANK(AM370)),"",CONCATENATE(" ",VLOOKUP(AM370,Literatuur!$A:$B,2,FALSE)," "))</f>
        <v/>
      </c>
      <c r="AP370" s="44" t="str">
        <f t="shared" si="291"/>
        <v xml:space="preserve"> </v>
      </c>
      <c r="AQ370" s="33" t="str">
        <f>IF(OR(ISBLANK(AO370), ISBLANK(AP370)),"",CONCATENATE(" ",VLOOKUP(AP370,Literatuur!$A:$B,2,FALSE)," "))</f>
        <v/>
      </c>
      <c r="AT370" s="33" t="str">
        <f>IF(OR(ISBLANK(AR370), ISBLANK(AS370)),"",CONCATENATE(" ",VLOOKUP(AS370,Literatuur!$A:$B,2,FALSE)," "))</f>
        <v/>
      </c>
      <c r="AU370" s="33">
        <v>300</v>
      </c>
      <c r="AW370" s="33" t="str">
        <f>IF(OR(ISBLANK(AU370), ISBLANK(AV370)),"",CONCATENATE(" ",VLOOKUP(AV370,Literatuur!$A:$B,2,FALSE)," "))</f>
        <v/>
      </c>
      <c r="AX370" s="33" t="s">
        <v>1920</v>
      </c>
      <c r="AZ370" s="44" t="str">
        <f t="shared" si="292"/>
        <v xml:space="preserve"> </v>
      </c>
      <c r="BA370" s="33" t="str">
        <f>IF(OR(ISBLANK(AY370), ISBLANK(AZ370)),"",CONCATENATE(" ",VLOOKUP(AZ370,Literatuur!$A:$B,2,FALSE)," "))</f>
        <v/>
      </c>
      <c r="BC370" s="44" t="str">
        <f t="shared" si="293"/>
        <v xml:space="preserve"> </v>
      </c>
      <c r="BD370" s="33" t="str">
        <f>IF(OR(ISBLANK(BB370), ISBLANK(BC370)),"",CONCATENATE(" ",VLOOKUP(BC370,Literatuur!$A:$B,2,FALSE)," "))</f>
        <v/>
      </c>
      <c r="BF370" s="44" t="str">
        <f t="shared" si="294"/>
        <v xml:space="preserve"> </v>
      </c>
      <c r="BG370" s="33" t="str">
        <f>IF(OR(ISBLANK(BE370), ISBLANK(BF370)),"",CONCATENATE(" ",VLOOKUP(BF370,Literatuur!$A:$B,2,FALSE)," "))</f>
        <v/>
      </c>
      <c r="BI370" s="44" t="str">
        <f t="shared" si="295"/>
        <v xml:space="preserve"> </v>
      </c>
      <c r="BJ370" s="33" t="str">
        <f>IF(OR(ISBLANK(BH370), ISBLANK(BI370)),"",CONCATENATE(" ",VLOOKUP(BI370,Literatuur!$A:$B,2,FALSE)," "))</f>
        <v/>
      </c>
      <c r="BL370" s="44" t="str">
        <f t="shared" si="296"/>
        <v xml:space="preserve"> </v>
      </c>
      <c r="BM370" s="33" t="str">
        <f>IF(OR(ISBLANK(BK370), ISBLANK(BL370)),"",CONCATENATE(" ",VLOOKUP(BL370,Literatuur!$A:$B,2,FALSE)," "))</f>
        <v/>
      </c>
      <c r="BP370" s="33" t="str">
        <f>IF(OR(ISBLANK(BN370), ISBLANK(BO370)),"",CONCATENATE(" ",VLOOKUP(BO370,Literatuur!$A:$B,2,FALSE)," "))</f>
        <v/>
      </c>
      <c r="BS370" s="33" t="str">
        <f>IF(OR(ISBLANK(BQ370), ISBLANK(BR370)),"",CONCATENATE(" ",VLOOKUP(BR370,Literatuur!$A:$B,2,FALSE)," "))</f>
        <v/>
      </c>
      <c r="BT370" s="33">
        <v>5</v>
      </c>
      <c r="BU370" s="4"/>
      <c r="BV370" s="33" t="str">
        <f>IF(OR(ISBLANK(BT370), ISBLANK(BU370)),"",CONCATENATE(" ",VLOOKUP(BU370,Literatuur!$A:$B,2,FALSE)," "))</f>
        <v/>
      </c>
      <c r="BW370" s="33" t="s">
        <v>1920</v>
      </c>
      <c r="CE370" s="37">
        <f t="shared" si="307"/>
        <v>300</v>
      </c>
      <c r="CH370" s="33">
        <f t="shared" si="298"/>
        <v>5</v>
      </c>
      <c r="CR370" s="33" t="str">
        <f t="shared" si="257"/>
        <v>Mineral oil (C16-C21)</v>
      </c>
      <c r="CS370" s="33" t="str">
        <f t="shared" si="258"/>
        <v>Alk</v>
      </c>
      <c r="CT370" s="33">
        <f t="shared" si="299"/>
        <v>300</v>
      </c>
      <c r="CU370" s="33" t="str">
        <f t="shared" si="300"/>
        <v>ibid</v>
      </c>
      <c r="CV370" s="33" t="str">
        <f t="shared" si="301"/>
        <v/>
      </c>
      <c r="CW370" s="33" t="str">
        <f t="shared" si="302"/>
        <v/>
      </c>
      <c r="CX370" s="33">
        <f t="shared" si="303"/>
        <v>5</v>
      </c>
      <c r="CY370" s="33" t="str">
        <f t="shared" si="304"/>
        <v>ibid</v>
      </c>
    </row>
    <row r="371" spans="1:103" x14ac:dyDescent="0.2">
      <c r="B371" s="33">
        <v>-1204</v>
      </c>
      <c r="D371" s="34" t="s">
        <v>363</v>
      </c>
      <c r="E371" s="105" t="s">
        <v>1270</v>
      </c>
      <c r="F371" s="34"/>
      <c r="G371" s="34"/>
      <c r="H371" s="33"/>
      <c r="I371" s="37">
        <f t="shared" si="306"/>
        <v>390</v>
      </c>
      <c r="J371" s="37" t="e">
        <f>IF(ISNUMBER(P371),P371,IF(ISNUMBER(AVERAGE(S371:AE371)),AVERAGE(S371:AE371),NA()))</f>
        <v>#N/A</v>
      </c>
      <c r="K371" s="44">
        <f t="shared" si="282"/>
        <v>5</v>
      </c>
      <c r="L371" s="33" t="e">
        <f t="shared" si="283"/>
        <v>#DIV/0!</v>
      </c>
      <c r="M371" s="33" t="s">
        <v>1890</v>
      </c>
      <c r="Q371" s="44" t="str">
        <f t="shared" si="284"/>
        <v xml:space="preserve"> </v>
      </c>
      <c r="R371" s="33" t="str">
        <f>IF(OR(ISBLANK(P371), ISBLANK(Q371)),"",CONCATENATE(" ",VLOOKUP(Q371,Literatuur!$A:$B,2,FALSE)," "))</f>
        <v/>
      </c>
      <c r="T371" s="44" t="str">
        <f t="shared" si="285"/>
        <v xml:space="preserve"> </v>
      </c>
      <c r="U371" s="33" t="str">
        <f>IF(OR(ISBLANK(S371), ISBLANK(T371)),"",CONCATENATE(" ",VLOOKUP(T371,Literatuur!$A:$B,2,FALSE)," "))</f>
        <v/>
      </c>
      <c r="W371" s="44" t="str">
        <f t="shared" si="286"/>
        <v xml:space="preserve"> </v>
      </c>
      <c r="X371" s="33" t="str">
        <f>IF(OR(ISBLANK(V371), ISBLANK(W371)),"",CONCATENATE(" ",VLOOKUP(W371,Literatuur!$A:$B,2,FALSE)," "))</f>
        <v/>
      </c>
      <c r="Z371" s="44" t="str">
        <f t="shared" si="287"/>
        <v xml:space="preserve"> </v>
      </c>
      <c r="AA371" s="33" t="str">
        <f>IF(OR(ISBLANK(Y371), ISBLANK(Z371)),"",CONCATENATE(" ",VLOOKUP(Z371,Literatuur!$A:$B,2,FALSE)," "))</f>
        <v/>
      </c>
      <c r="AC371" s="36" t="str">
        <f t="shared" si="288"/>
        <v xml:space="preserve"> </v>
      </c>
      <c r="AD371" s="33" t="str">
        <f>IF(OR(ISBLANK(AB371), ISBLANK(AC371)),"",CONCATENATE(" ",VLOOKUP(AC371,Literatuur!$A:$B,2,FALSE)," "))</f>
        <v/>
      </c>
      <c r="AG371" s="33" t="str">
        <f>IF(OR(ISBLANK(AE371), ISBLANK(AF371)),"",CONCATENATE(" ",VLOOKUP(AF371,Literatuur!$A:$B,2,FALSE)," "))</f>
        <v/>
      </c>
      <c r="AJ371" s="44" t="str">
        <f t="shared" si="289"/>
        <v xml:space="preserve"> </v>
      </c>
      <c r="AK371" s="33" t="str">
        <f>IF(OR(ISBLANK(AI371), ISBLANK(AJ371)),"",CONCATENATE(" ",VLOOKUP(AJ371,Literatuur!$A:$B,2,FALSE)," "))</f>
        <v/>
      </c>
      <c r="AM371" s="44" t="str">
        <f t="shared" si="290"/>
        <v xml:space="preserve"> </v>
      </c>
      <c r="AN371" s="33" t="str">
        <f>IF(OR(ISBLANK(AL371), ISBLANK(AM371)),"",CONCATENATE(" ",VLOOKUP(AM371,Literatuur!$A:$B,2,FALSE)," "))</f>
        <v/>
      </c>
      <c r="AP371" s="44" t="str">
        <f t="shared" si="291"/>
        <v xml:space="preserve"> </v>
      </c>
      <c r="AQ371" s="33" t="str">
        <f>IF(OR(ISBLANK(AO371), ISBLANK(AP371)),"",CONCATENATE(" ",VLOOKUP(AP371,Literatuur!$A:$B,2,FALSE)," "))</f>
        <v/>
      </c>
      <c r="AT371" s="33" t="str">
        <f>IF(OR(ISBLANK(AR371), ISBLANK(AS371)),"",CONCATENATE(" ",VLOOKUP(AS371,Literatuur!$A:$B,2,FALSE)," "))</f>
        <v/>
      </c>
      <c r="AU371" s="33">
        <v>390</v>
      </c>
      <c r="AW371" s="33" t="str">
        <f>IF(OR(ISBLANK(AU371), ISBLANK(AV371)),"",CONCATENATE(" ",VLOOKUP(AV371,Literatuur!$A:$B,2,FALSE)," "))</f>
        <v/>
      </c>
      <c r="AX371" s="33" t="s">
        <v>1920</v>
      </c>
      <c r="AZ371" s="44" t="str">
        <f t="shared" si="292"/>
        <v xml:space="preserve"> </v>
      </c>
      <c r="BA371" s="33" t="str">
        <f>IF(OR(ISBLANK(AY371), ISBLANK(AZ371)),"",CONCATENATE(" ",VLOOKUP(AZ371,Literatuur!$A:$B,2,FALSE)," "))</f>
        <v/>
      </c>
      <c r="BC371" s="44" t="str">
        <f t="shared" si="293"/>
        <v xml:space="preserve"> </v>
      </c>
      <c r="BD371" s="33" t="str">
        <f>IF(OR(ISBLANK(BB371), ISBLANK(BC371)),"",CONCATENATE(" ",VLOOKUP(BC371,Literatuur!$A:$B,2,FALSE)," "))</f>
        <v/>
      </c>
      <c r="BF371" s="44" t="str">
        <f t="shared" si="294"/>
        <v xml:space="preserve"> </v>
      </c>
      <c r="BG371" s="33" t="str">
        <f>IF(OR(ISBLANK(BE371), ISBLANK(BF371)),"",CONCATENATE(" ",VLOOKUP(BF371,Literatuur!$A:$B,2,FALSE)," "))</f>
        <v/>
      </c>
      <c r="BI371" s="44" t="str">
        <f t="shared" si="295"/>
        <v xml:space="preserve"> </v>
      </c>
      <c r="BJ371" s="33" t="str">
        <f>IF(OR(ISBLANK(BH371), ISBLANK(BI371)),"",CONCATENATE(" ",VLOOKUP(BI371,Literatuur!$A:$B,2,FALSE)," "))</f>
        <v/>
      </c>
      <c r="BL371" s="44" t="str">
        <f t="shared" si="296"/>
        <v xml:space="preserve"> </v>
      </c>
      <c r="BM371" s="33" t="str">
        <f>IF(OR(ISBLANK(BK371), ISBLANK(BL371)),"",CONCATENATE(" ",VLOOKUP(BL371,Literatuur!$A:$B,2,FALSE)," "))</f>
        <v/>
      </c>
      <c r="BP371" s="33" t="str">
        <f>IF(OR(ISBLANK(BN371), ISBLANK(BO371)),"",CONCATENATE(" ",VLOOKUP(BO371,Literatuur!$A:$B,2,FALSE)," "))</f>
        <v/>
      </c>
      <c r="BS371" s="33" t="str">
        <f>IF(OR(ISBLANK(BQ371), ISBLANK(BR371)),"",CONCATENATE(" ",VLOOKUP(BR371,Literatuur!$A:$B,2,FALSE)," "))</f>
        <v/>
      </c>
      <c r="BT371" s="33">
        <v>5</v>
      </c>
      <c r="BU371" s="4"/>
      <c r="BV371" s="33" t="str">
        <f>IF(OR(ISBLANK(BT371), ISBLANK(BU371)),"",CONCATENATE(" ",VLOOKUP(BU371,Literatuur!$A:$B,2,FALSE)," "))</f>
        <v/>
      </c>
      <c r="BW371" s="33" t="s">
        <v>1920</v>
      </c>
      <c r="CE371" s="37">
        <f t="shared" si="307"/>
        <v>390</v>
      </c>
      <c r="CH371" s="33">
        <f t="shared" si="298"/>
        <v>5</v>
      </c>
      <c r="CR371" s="33" t="str">
        <f t="shared" si="257"/>
        <v>Mineral oil (C21-C30)</v>
      </c>
      <c r="CS371" s="33" t="str">
        <f t="shared" si="258"/>
        <v>Alk</v>
      </c>
      <c r="CT371" s="33">
        <f t="shared" si="299"/>
        <v>390</v>
      </c>
      <c r="CU371" s="33" t="str">
        <f t="shared" si="300"/>
        <v>ibid</v>
      </c>
      <c r="CV371" s="33" t="str">
        <f t="shared" si="301"/>
        <v/>
      </c>
      <c r="CW371" s="33" t="str">
        <f t="shared" si="302"/>
        <v/>
      </c>
      <c r="CX371" s="33">
        <f t="shared" si="303"/>
        <v>5</v>
      </c>
      <c r="CY371" s="33" t="str">
        <f t="shared" si="304"/>
        <v>ibid</v>
      </c>
    </row>
    <row r="372" spans="1:103" x14ac:dyDescent="0.2">
      <c r="B372" s="33">
        <v>-1508</v>
      </c>
      <c r="D372" s="33" t="s">
        <v>1228</v>
      </c>
      <c r="E372" s="33" t="s">
        <v>847</v>
      </c>
      <c r="H372" s="34" t="s">
        <v>449</v>
      </c>
      <c r="I372" s="37">
        <f t="shared" si="306"/>
        <v>58.12</v>
      </c>
      <c r="J372" s="37">
        <f>IF(ISNUMBER(P372),P372,AVERAGE(S372:AE372))</f>
        <v>61</v>
      </c>
      <c r="K372" s="44">
        <f t="shared" si="282"/>
        <v>2.89</v>
      </c>
      <c r="L372" s="33" t="e">
        <f t="shared" si="283"/>
        <v>#DIV/0!</v>
      </c>
      <c r="M372" s="33" t="s">
        <v>1890</v>
      </c>
      <c r="Q372" s="44" t="str">
        <f t="shared" si="284"/>
        <v xml:space="preserve"> </v>
      </c>
      <c r="R372" s="33" t="str">
        <f>IF(OR(ISBLANK(P372), ISBLANK(Q372)),"",CONCATENATE(" ",VLOOKUP(Q372,Literatuur!$A:$B,2,FALSE)," "))</f>
        <v/>
      </c>
      <c r="S372" s="33">
        <v>61</v>
      </c>
      <c r="T372" s="44" t="str">
        <f t="shared" si="285"/>
        <v>Gestis</v>
      </c>
      <c r="U372" s="33" t="str">
        <f>IF(OR(ISBLANK(S372), ISBLANK(T372)),"",CONCATENATE(" ",VLOOKUP(T372,Literatuur!$A:$B,2,FALSE)," "))</f>
        <v xml:space="preserve"> A </v>
      </c>
      <c r="W372" s="44" t="str">
        <f t="shared" si="286"/>
        <v xml:space="preserve"> </v>
      </c>
      <c r="X372" s="33" t="str">
        <f>IF(OR(ISBLANK(V372), ISBLANK(W372)),"",CONCATENATE(" ",VLOOKUP(W372,Literatuur!$A:$B,2,FALSE)," "))</f>
        <v/>
      </c>
      <c r="Z372" s="44" t="str">
        <f t="shared" si="287"/>
        <v xml:space="preserve"> </v>
      </c>
      <c r="AA372" s="33" t="str">
        <f>IF(OR(ISBLANK(Y372), ISBLANK(Z372)),"",CONCATENATE(" ",VLOOKUP(Z372,Literatuur!$A:$B,2,FALSE)," "))</f>
        <v/>
      </c>
      <c r="AC372" s="36" t="str">
        <f t="shared" si="288"/>
        <v xml:space="preserve"> </v>
      </c>
      <c r="AD372" s="33" t="str">
        <f>IF(OR(ISBLANK(AB372), ISBLANK(AC372)),"",CONCATENATE(" ",VLOOKUP(AC372,Literatuur!$A:$B,2,FALSE)," "))</f>
        <v/>
      </c>
      <c r="AG372" s="33" t="str">
        <f>IF(OR(ISBLANK(AE372), ISBLANK(AF372)),"",CONCATENATE(" ",VLOOKUP(AF372,Literatuur!$A:$B,2,FALSE)," "))</f>
        <v/>
      </c>
      <c r="AJ372" s="44" t="str">
        <f t="shared" si="289"/>
        <v xml:space="preserve"> </v>
      </c>
      <c r="AK372" s="33" t="str">
        <f>IF(OR(ISBLANK(AI372), ISBLANK(AJ372)),"",CONCATENATE(" ",VLOOKUP(AJ372,Literatuur!$A:$B,2,FALSE)," "))</f>
        <v/>
      </c>
      <c r="AL372" s="33">
        <v>58.12</v>
      </c>
      <c r="AM372" s="44" t="str">
        <f t="shared" si="290"/>
        <v>Gestis</v>
      </c>
      <c r="AN372" s="33" t="str">
        <f>IF(OR(ISBLANK(AL372), ISBLANK(AM372)),"",CONCATENATE(" ",VLOOKUP(AM372,Literatuur!$A:$B,2,FALSE)," "))</f>
        <v xml:space="preserve"> A </v>
      </c>
      <c r="AP372" s="44" t="str">
        <f t="shared" si="291"/>
        <v xml:space="preserve"> </v>
      </c>
      <c r="AQ372" s="33" t="str">
        <f>IF(OR(ISBLANK(AO372), ISBLANK(AP372)),"",CONCATENATE(" ",VLOOKUP(AP372,Literatuur!$A:$B,2,FALSE)," "))</f>
        <v/>
      </c>
      <c r="AT372" s="33" t="str">
        <f>IF(OR(ISBLANK(AR372), ISBLANK(AS372)),"",CONCATENATE(" ",VLOOKUP(AS372,Literatuur!$A:$B,2,FALSE)," "))</f>
        <v/>
      </c>
      <c r="AW372" s="33" t="str">
        <f>IF(OR(ISBLANK(AU372), ISBLANK(AV372)),"",CONCATENATE(" ",VLOOKUP(AV372,Literatuur!$A:$B,2,FALSE)," "))</f>
        <v/>
      </c>
      <c r="AZ372" s="44" t="str">
        <f t="shared" si="292"/>
        <v xml:space="preserve"> </v>
      </c>
      <c r="BA372" s="33" t="str">
        <f>IF(OR(ISBLANK(AY372), ISBLANK(AZ372)),"",CONCATENATE(" ",VLOOKUP(AZ372,Literatuur!$A:$B,2,FALSE)," "))</f>
        <v/>
      </c>
      <c r="BB372" s="33">
        <v>2.89</v>
      </c>
      <c r="BC372" s="44" t="str">
        <f t="shared" si="293"/>
        <v>Gestis</v>
      </c>
      <c r="BD372" s="33" t="str">
        <f>IF(OR(ISBLANK(BB372), ISBLANK(BC372)),"",CONCATENATE(" ",VLOOKUP(BC372,Literatuur!$A:$B,2,FALSE)," "))</f>
        <v xml:space="preserve"> A </v>
      </c>
      <c r="BF372" s="44" t="str">
        <f t="shared" si="294"/>
        <v xml:space="preserve"> </v>
      </c>
      <c r="BG372" s="33" t="str">
        <f>IF(OR(ISBLANK(BE372), ISBLANK(BF372)),"",CONCATENATE(" ",VLOOKUP(BF372,Literatuur!$A:$B,2,FALSE)," "))</f>
        <v/>
      </c>
      <c r="BI372" s="44" t="str">
        <f t="shared" si="295"/>
        <v xml:space="preserve"> </v>
      </c>
      <c r="BJ372" s="33" t="str">
        <f>IF(OR(ISBLANK(BH372), ISBLANK(BI372)),"",CONCATENATE(" ",VLOOKUP(BI372,Literatuur!$A:$B,2,FALSE)," "))</f>
        <v/>
      </c>
      <c r="BL372" s="44" t="str">
        <f t="shared" si="296"/>
        <v xml:space="preserve"> </v>
      </c>
      <c r="BM372" s="33" t="str">
        <f>IF(OR(ISBLANK(BK372), ISBLANK(BL372)),"",CONCATENATE(" ",VLOOKUP(BL372,Literatuur!$A:$B,2,FALSE)," "))</f>
        <v/>
      </c>
      <c r="BP372" s="33" t="str">
        <f>IF(OR(ISBLANK(BN372), ISBLANK(BO372)),"",CONCATENATE(" ",VLOOKUP(BO372,Literatuur!$A:$B,2,FALSE)," "))</f>
        <v/>
      </c>
      <c r="BS372" s="33" t="str">
        <f>IF(OR(ISBLANK(BQ372), ISBLANK(BR372)),"",CONCATENATE(" ",VLOOKUP(BR372,Literatuur!$A:$B,2,FALSE)," "))</f>
        <v/>
      </c>
      <c r="BV372" s="33" t="str">
        <f>IF(OR(ISBLANK(BT372), ISBLANK(BU372)),"",CONCATENATE(" ",VLOOKUP(BU372,Literatuur!$A:$B,2,FALSE)," "))</f>
        <v/>
      </c>
      <c r="CE372" s="37">
        <f t="shared" si="307"/>
        <v>58.12</v>
      </c>
      <c r="CG372" s="33">
        <f>LOG(J372)</f>
        <v>1.7853298350107671</v>
      </c>
      <c r="CH372" s="33">
        <f t="shared" si="298"/>
        <v>2.89</v>
      </c>
      <c r="CR372" s="33" t="str">
        <f t="shared" si="257"/>
        <v>Butane</v>
      </c>
      <c r="CS372" s="33" t="str">
        <f t="shared" si="258"/>
        <v>Alk</v>
      </c>
      <c r="CT372" s="33">
        <f t="shared" si="299"/>
        <v>58.12</v>
      </c>
      <c r="CU372" s="33" t="str">
        <f t="shared" si="300"/>
        <v xml:space="preserve"> A </v>
      </c>
      <c r="CV372" s="33">
        <f t="shared" si="301"/>
        <v>61</v>
      </c>
      <c r="CW372" s="33" t="str">
        <f t="shared" si="302"/>
        <v xml:space="preserve"> A </v>
      </c>
      <c r="CX372" s="33">
        <f t="shared" si="303"/>
        <v>2.89</v>
      </c>
      <c r="CY372" s="33" t="str">
        <f t="shared" si="304"/>
        <v xml:space="preserve"> A </v>
      </c>
    </row>
    <row r="373" spans="1:103" x14ac:dyDescent="0.2">
      <c r="B373" s="33">
        <v>-1676</v>
      </c>
      <c r="D373" s="21" t="s">
        <v>820</v>
      </c>
      <c r="E373" s="21" t="s">
        <v>820</v>
      </c>
      <c r="F373" s="4"/>
      <c r="G373" s="4"/>
      <c r="I373" s="33">
        <f t="shared" si="306"/>
        <v>170</v>
      </c>
      <c r="J373" s="33" t="e">
        <f>IF(ISNUMBER(P373),P373,AVERAGE(S373:AE373))</f>
        <v>#DIV/0!</v>
      </c>
      <c r="K373" s="44" t="e">
        <f t="shared" si="282"/>
        <v>#DIV/0!</v>
      </c>
      <c r="L373" s="33" t="e">
        <f t="shared" si="283"/>
        <v>#DIV/0!</v>
      </c>
      <c r="M373" s="33" t="s">
        <v>1890</v>
      </c>
      <c r="Q373" s="44" t="str">
        <f t="shared" si="284"/>
        <v xml:space="preserve"> </v>
      </c>
      <c r="R373" s="33" t="str">
        <f>IF(OR(ISBLANK(P373), ISBLANK(Q373)),"",CONCATENATE(" ",VLOOKUP(Q373,Literatuur!$A:$B,2,FALSE)," "))</f>
        <v/>
      </c>
      <c r="T373" s="44" t="str">
        <f t="shared" si="285"/>
        <v xml:space="preserve"> </v>
      </c>
      <c r="U373" s="33" t="str">
        <f>IF(OR(ISBLANK(S373), ISBLANK(T373)),"",CONCATENATE(" ",VLOOKUP(T373,Literatuur!$A:$B,2,FALSE)," "))</f>
        <v/>
      </c>
      <c r="W373" s="44" t="str">
        <f t="shared" si="286"/>
        <v xml:space="preserve"> </v>
      </c>
      <c r="X373" s="33" t="str">
        <f>IF(OR(ISBLANK(V373), ISBLANK(W373)),"",CONCATENATE(" ",VLOOKUP(W373,Literatuur!$A:$B,2,FALSE)," "))</f>
        <v/>
      </c>
      <c r="Z373" s="44" t="str">
        <f t="shared" si="287"/>
        <v xml:space="preserve"> </v>
      </c>
      <c r="AA373" s="33" t="str">
        <f>IF(OR(ISBLANK(Y373), ISBLANK(Z373)),"",CONCATENATE(" ",VLOOKUP(Z373,Literatuur!$A:$B,2,FALSE)," "))</f>
        <v/>
      </c>
      <c r="AC373" s="36" t="str">
        <f t="shared" si="288"/>
        <v xml:space="preserve"> </v>
      </c>
      <c r="AD373" s="33" t="str">
        <f>IF(OR(ISBLANK(AB373), ISBLANK(AC373)),"",CONCATENATE(" ",VLOOKUP(AC373,Literatuur!$A:$B,2,FALSE)," "))</f>
        <v/>
      </c>
      <c r="AG373" s="33" t="str">
        <f>IF(OR(ISBLANK(AE373), ISBLANK(AF373)),"",CONCATENATE(" ",VLOOKUP(AF373,Literatuur!$A:$B,2,FALSE)," "))</f>
        <v/>
      </c>
      <c r="AJ373" s="44" t="str">
        <f t="shared" si="289"/>
        <v xml:space="preserve"> </v>
      </c>
      <c r="AK373" s="33" t="str">
        <f>IF(OR(ISBLANK(AI373), ISBLANK(AJ373)),"",CONCATENATE(" ",VLOOKUP(AJ373,Literatuur!$A:$B,2,FALSE)," "))</f>
        <v/>
      </c>
      <c r="AM373" s="44" t="str">
        <f t="shared" si="290"/>
        <v xml:space="preserve"> </v>
      </c>
      <c r="AN373" s="33" t="str">
        <f>IF(OR(ISBLANK(AL373), ISBLANK(AM373)),"",CONCATENATE(" ",VLOOKUP(AM373,Literatuur!$A:$B,2,FALSE)," "))</f>
        <v/>
      </c>
      <c r="AP373" s="44" t="str">
        <f t="shared" si="291"/>
        <v xml:space="preserve"> </v>
      </c>
      <c r="AQ373" s="33" t="str">
        <f>IF(OR(ISBLANK(AO373), ISBLANK(AP373)),"",CONCATENATE(" ",VLOOKUP(AP373,Literatuur!$A:$B,2,FALSE)," "))</f>
        <v/>
      </c>
      <c r="AS373"/>
      <c r="AT373" s="33" t="str">
        <f>IF(OR(ISBLANK(AR373), ISBLANK(AS373)),"",CONCATENATE(" ",VLOOKUP(AS373,Literatuur!$A:$B,2,FALSE)," "))</f>
        <v/>
      </c>
      <c r="AU373">
        <v>170</v>
      </c>
      <c r="AV373" s="33" t="s">
        <v>1235</v>
      </c>
      <c r="AW373" s="33" t="str">
        <f>IF(OR(ISBLANK(AU373), ISBLANK(AV373)),"",CONCATENATE(" ",VLOOKUP(AV373,Literatuur!$A:$B,2,FALSE)," "))</f>
        <v xml:space="preserve"> 21 </v>
      </c>
      <c r="AZ373" s="44" t="str">
        <f t="shared" si="292"/>
        <v xml:space="preserve"> </v>
      </c>
      <c r="BA373" s="33" t="str">
        <f>IF(OR(ISBLANK(AY373), ISBLANK(AZ373)),"",CONCATENATE(" ",VLOOKUP(AZ373,Literatuur!$A:$B,2,FALSE)," "))</f>
        <v/>
      </c>
      <c r="BC373" s="44" t="str">
        <f t="shared" si="293"/>
        <v xml:space="preserve"> </v>
      </c>
      <c r="BD373" s="33" t="str">
        <f>IF(OR(ISBLANK(BB373), ISBLANK(BC373)),"",CONCATENATE(" ",VLOOKUP(BC373,Literatuur!$A:$B,2,FALSE)," "))</f>
        <v/>
      </c>
      <c r="BF373" s="44" t="str">
        <f t="shared" si="294"/>
        <v xml:space="preserve"> </v>
      </c>
      <c r="BG373" s="33" t="str">
        <f>IF(OR(ISBLANK(BE373), ISBLANK(BF373)),"",CONCATENATE(" ",VLOOKUP(BF373,Literatuur!$A:$B,2,FALSE)," "))</f>
        <v/>
      </c>
      <c r="BI373" s="44" t="str">
        <f t="shared" si="295"/>
        <v xml:space="preserve"> </v>
      </c>
      <c r="BJ373" s="33" t="str">
        <f>IF(OR(ISBLANK(BH373), ISBLANK(BI373)),"",CONCATENATE(" ",VLOOKUP(BI373,Literatuur!$A:$B,2,FALSE)," "))</f>
        <v/>
      </c>
      <c r="BL373" s="44" t="str">
        <f t="shared" si="296"/>
        <v xml:space="preserve"> </v>
      </c>
      <c r="BM373" s="33" t="str">
        <f>IF(OR(ISBLANK(BK373), ISBLANK(BL373)),"",CONCATENATE(" ",VLOOKUP(BL373,Literatuur!$A:$B,2,FALSE)," "))</f>
        <v/>
      </c>
      <c r="BP373" s="33" t="str">
        <f>IF(OR(ISBLANK(BN373), ISBLANK(BO373)),"",CONCATENATE(" ",VLOOKUP(BO373,Literatuur!$A:$B,2,FALSE)," "))</f>
        <v/>
      </c>
      <c r="BS373" s="33" t="str">
        <f>IF(OR(ISBLANK(BQ373), ISBLANK(BR373)),"",CONCATENATE(" ",VLOOKUP(BR373,Literatuur!$A:$B,2,FALSE)," "))</f>
        <v/>
      </c>
      <c r="BV373" s="33" t="str">
        <f>IF(OR(ISBLANK(BT373), ISBLANK(BU373)),"",CONCATENATE(" ",VLOOKUP(BU373,Literatuur!$A:$B,2,FALSE)," "))</f>
        <v/>
      </c>
      <c r="CR373" s="33" t="str">
        <f t="shared" si="257"/>
        <v>n-Dodecane</v>
      </c>
      <c r="CS373" s="33" t="str">
        <f t="shared" si="258"/>
        <v>Alk</v>
      </c>
      <c r="CT373" s="33">
        <f t="shared" si="299"/>
        <v>170</v>
      </c>
      <c r="CU373" s="33" t="str">
        <f t="shared" si="300"/>
        <v xml:space="preserve"> 21 </v>
      </c>
      <c r="CV373" s="33" t="str">
        <f t="shared" si="301"/>
        <v/>
      </c>
      <c r="CW373" s="33" t="str">
        <f t="shared" si="302"/>
        <v/>
      </c>
      <c r="CX373" s="33" t="str">
        <f t="shared" si="303"/>
        <v/>
      </c>
      <c r="CY373" s="33" t="str">
        <f t="shared" si="304"/>
        <v/>
      </c>
    </row>
    <row r="374" spans="1:103" x14ac:dyDescent="0.2">
      <c r="B374" s="33">
        <v>-1517</v>
      </c>
      <c r="D374" s="33" t="s">
        <v>860</v>
      </c>
      <c r="E374" s="33" t="s">
        <v>860</v>
      </c>
      <c r="F374" s="33" t="s">
        <v>1370</v>
      </c>
      <c r="H374" s="34" t="s">
        <v>460</v>
      </c>
      <c r="I374" s="37">
        <f t="shared" si="306"/>
        <v>86.18</v>
      </c>
      <c r="J374" s="37" t="e">
        <f>IF(ISNUMBER(P374),P374,AVERAGE(S374:AE374))</f>
        <v>#DIV/0!</v>
      </c>
      <c r="K374" s="44">
        <f t="shared" si="282"/>
        <v>3.82</v>
      </c>
      <c r="L374" s="33" t="e">
        <f t="shared" si="283"/>
        <v>#DIV/0!</v>
      </c>
      <c r="M374" s="33" t="s">
        <v>1890</v>
      </c>
      <c r="Q374" s="44" t="str">
        <f t="shared" si="284"/>
        <v xml:space="preserve"> </v>
      </c>
      <c r="R374" s="33" t="str">
        <f>IF(OR(ISBLANK(P374), ISBLANK(Q374)),"",CONCATENATE(" ",VLOOKUP(Q374,Literatuur!$A:$B,2,FALSE)," "))</f>
        <v/>
      </c>
      <c r="S374" s="33" t="s">
        <v>439</v>
      </c>
      <c r="T374" s="44" t="str">
        <f t="shared" si="285"/>
        <v>Gestis</v>
      </c>
      <c r="U374" s="33" t="str">
        <f>IF(OR(ISBLANK(S374), ISBLANK(T374)),"",CONCATENATE(" ",VLOOKUP(T374,Literatuur!$A:$B,2,FALSE)," "))</f>
        <v xml:space="preserve"> A </v>
      </c>
      <c r="W374" s="44" t="str">
        <f t="shared" si="286"/>
        <v xml:space="preserve"> </v>
      </c>
      <c r="X374" s="33" t="str">
        <f>IF(OR(ISBLANK(V374), ISBLANK(W374)),"",CONCATENATE(" ",VLOOKUP(W374,Literatuur!$A:$B,2,FALSE)," "))</f>
        <v/>
      </c>
      <c r="Z374" s="44" t="str">
        <f t="shared" si="287"/>
        <v xml:space="preserve"> </v>
      </c>
      <c r="AA374" s="33" t="str">
        <f>IF(OR(ISBLANK(Y374), ISBLANK(Z374)),"",CONCATENATE(" ",VLOOKUP(Z374,Literatuur!$A:$B,2,FALSE)," "))</f>
        <v/>
      </c>
      <c r="AC374" s="36" t="str">
        <f t="shared" si="288"/>
        <v xml:space="preserve"> </v>
      </c>
      <c r="AD374" s="33" t="str">
        <f>IF(OR(ISBLANK(AB374), ISBLANK(AC374)),"",CONCATENATE(" ",VLOOKUP(AC374,Literatuur!$A:$B,2,FALSE)," "))</f>
        <v/>
      </c>
      <c r="AF374" s="33" t="s">
        <v>1076</v>
      </c>
      <c r="AG374" s="33" t="str">
        <f>IF(OR(ISBLANK(AE374), ISBLANK(AF374)),"",CONCATENATE(" ",VLOOKUP(AF374,Literatuur!$A:$B,2,FALSE)," "))</f>
        <v/>
      </c>
      <c r="AJ374" s="44" t="str">
        <f t="shared" si="289"/>
        <v xml:space="preserve"> </v>
      </c>
      <c r="AK374" s="33" t="str">
        <f>IF(OR(ISBLANK(AI374), ISBLANK(AJ374)),"",CONCATENATE(" ",VLOOKUP(AJ374,Literatuur!$A:$B,2,FALSE)," "))</f>
        <v/>
      </c>
      <c r="AL374" s="33">
        <v>86.18</v>
      </c>
      <c r="AM374" s="44" t="str">
        <f t="shared" si="290"/>
        <v>Gestis</v>
      </c>
      <c r="AN374" s="33" t="str">
        <f>IF(OR(ISBLANK(AL374), ISBLANK(AM374)),"",CONCATENATE(" ",VLOOKUP(AM374,Literatuur!$A:$B,2,FALSE)," "))</f>
        <v xml:space="preserve"> A </v>
      </c>
      <c r="AP374" s="44" t="str">
        <f t="shared" si="291"/>
        <v xml:space="preserve"> </v>
      </c>
      <c r="AQ374" s="33" t="str">
        <f>IF(OR(ISBLANK(AO374), ISBLANK(AP374)),"",CONCATENATE(" ",VLOOKUP(AP374,Literatuur!$A:$B,2,FALSE)," "))</f>
        <v/>
      </c>
      <c r="AT374" s="33" t="str">
        <f>IF(OR(ISBLANK(AR374), ISBLANK(AS374)),"",CONCATENATE(" ",VLOOKUP(AS374,Literatuur!$A:$B,2,FALSE)," "))</f>
        <v/>
      </c>
      <c r="AW374" s="33" t="str">
        <f>IF(OR(ISBLANK(AU374), ISBLANK(AV374)),"",CONCATENATE(" ",VLOOKUP(AV374,Literatuur!$A:$B,2,FALSE)," "))</f>
        <v/>
      </c>
      <c r="AZ374" s="44" t="str">
        <f t="shared" si="292"/>
        <v xml:space="preserve"> </v>
      </c>
      <c r="BA374" s="33" t="str">
        <f>IF(OR(ISBLANK(AY374), ISBLANK(AZ374)),"",CONCATENATE(" ",VLOOKUP(AZ374,Literatuur!$A:$B,2,FALSE)," "))</f>
        <v/>
      </c>
      <c r="BB374" s="33">
        <v>3.82</v>
      </c>
      <c r="BC374" s="44" t="str">
        <f t="shared" si="293"/>
        <v>Gestis</v>
      </c>
      <c r="BD374" s="33" t="str">
        <f>IF(OR(ISBLANK(BB374), ISBLANK(BC374)),"",CONCATENATE(" ",VLOOKUP(BC374,Literatuur!$A:$B,2,FALSE)," "))</f>
        <v xml:space="preserve"> A </v>
      </c>
      <c r="BF374" s="44" t="str">
        <f t="shared" si="294"/>
        <v xml:space="preserve"> </v>
      </c>
      <c r="BG374" s="33" t="str">
        <f>IF(OR(ISBLANK(BE374), ISBLANK(BF374)),"",CONCATENATE(" ",VLOOKUP(BF374,Literatuur!$A:$B,2,FALSE)," "))</f>
        <v/>
      </c>
      <c r="BI374" s="44" t="str">
        <f t="shared" si="295"/>
        <v xml:space="preserve"> </v>
      </c>
      <c r="BJ374" s="33" t="str">
        <f>IF(OR(ISBLANK(BH374), ISBLANK(BI374)),"",CONCATENATE(" ",VLOOKUP(BI374,Literatuur!$A:$B,2,FALSE)," "))</f>
        <v/>
      </c>
      <c r="BL374" s="44" t="str">
        <f t="shared" si="296"/>
        <v xml:space="preserve"> </v>
      </c>
      <c r="BM374" s="33" t="str">
        <f>IF(OR(ISBLANK(BK374), ISBLANK(BL374)),"",CONCATENATE(" ",VLOOKUP(BL374,Literatuur!$A:$B,2,FALSE)," "))</f>
        <v/>
      </c>
      <c r="BP374" s="33" t="str">
        <f>IF(OR(ISBLANK(BN374), ISBLANK(BO374)),"",CONCATENATE(" ",VLOOKUP(BO374,Literatuur!$A:$B,2,FALSE)," "))</f>
        <v/>
      </c>
      <c r="BS374" s="33" t="str">
        <f>IF(OR(ISBLANK(BQ374), ISBLANK(BR374)),"",CONCATENATE(" ",VLOOKUP(BR374,Literatuur!$A:$B,2,FALSE)," "))</f>
        <v/>
      </c>
      <c r="BV374" s="33" t="str">
        <f>IF(OR(ISBLANK(BT374), ISBLANK(BU374)),"",CONCATENATE(" ",VLOOKUP(BU374,Literatuur!$A:$B,2,FALSE)," "))</f>
        <v/>
      </c>
      <c r="CE374" s="37">
        <f>I374</f>
        <v>86.18</v>
      </c>
      <c r="CH374" s="33">
        <f>K374</f>
        <v>3.82</v>
      </c>
      <c r="CR374" s="33" t="str">
        <f t="shared" si="257"/>
        <v>Neohexane</v>
      </c>
      <c r="CS374" s="33" t="str">
        <f t="shared" si="258"/>
        <v>Alk</v>
      </c>
      <c r="CT374" s="33">
        <f t="shared" si="299"/>
        <v>86.18</v>
      </c>
      <c r="CU374" s="33" t="str">
        <f t="shared" si="300"/>
        <v xml:space="preserve"> A </v>
      </c>
      <c r="CV374" s="33" t="str">
        <f t="shared" si="301"/>
        <v/>
      </c>
      <c r="CW374" s="33" t="str">
        <f t="shared" si="302"/>
        <v xml:space="preserve"> A </v>
      </c>
      <c r="CX374" s="33">
        <f t="shared" si="303"/>
        <v>3.82</v>
      </c>
      <c r="CY374" s="33" t="str">
        <f t="shared" si="304"/>
        <v xml:space="preserve"> A </v>
      </c>
    </row>
    <row r="375" spans="1:103" x14ac:dyDescent="0.2">
      <c r="B375" s="33">
        <v>-1509</v>
      </c>
      <c r="D375" s="33" t="s">
        <v>1375</v>
      </c>
      <c r="E375" s="33" t="s">
        <v>849</v>
      </c>
      <c r="F375" s="33" t="s">
        <v>1374</v>
      </c>
      <c r="H375" s="34" t="s">
        <v>449</v>
      </c>
      <c r="I375" s="37">
        <f t="shared" si="306"/>
        <v>72.150000000000006</v>
      </c>
      <c r="J375" s="37">
        <f>IF(ISNUMBER(P375),P375,AVERAGE(S375:AE375))</f>
        <v>33</v>
      </c>
      <c r="K375" s="44">
        <f t="shared" si="282"/>
        <v>3.11</v>
      </c>
      <c r="L375" s="33" t="e">
        <f t="shared" si="283"/>
        <v>#DIV/0!</v>
      </c>
      <c r="M375" s="33" t="s">
        <v>1890</v>
      </c>
      <c r="Q375" s="44" t="str">
        <f t="shared" si="284"/>
        <v xml:space="preserve"> </v>
      </c>
      <c r="R375" s="33" t="str">
        <f>IF(OR(ISBLANK(P375), ISBLANK(Q375)),"",CONCATENATE(" ",VLOOKUP(Q375,Literatuur!$A:$B,2,FALSE)," "))</f>
        <v/>
      </c>
      <c r="S375" s="33">
        <v>33</v>
      </c>
      <c r="T375" s="44" t="str">
        <f t="shared" si="285"/>
        <v>Gestis</v>
      </c>
      <c r="U375" s="33" t="str">
        <f>IF(OR(ISBLANK(S375), ISBLANK(T375)),"",CONCATENATE(" ",VLOOKUP(T375,Literatuur!$A:$B,2,FALSE)," "))</f>
        <v xml:space="preserve"> A </v>
      </c>
      <c r="W375" s="44" t="str">
        <f t="shared" si="286"/>
        <v xml:space="preserve"> </v>
      </c>
      <c r="X375" s="33" t="str">
        <f>IF(OR(ISBLANK(V375), ISBLANK(W375)),"",CONCATENATE(" ",VLOOKUP(W375,Literatuur!$A:$B,2,FALSE)," "))</f>
        <v/>
      </c>
      <c r="Z375" s="44" t="str">
        <f t="shared" si="287"/>
        <v xml:space="preserve"> </v>
      </c>
      <c r="AA375" s="33" t="str">
        <f>IF(OR(ISBLANK(Y375), ISBLANK(Z375)),"",CONCATENATE(" ",VLOOKUP(Z375,Literatuur!$A:$B,2,FALSE)," "))</f>
        <v/>
      </c>
      <c r="AC375" s="36" t="str">
        <f t="shared" si="288"/>
        <v xml:space="preserve"> </v>
      </c>
      <c r="AD375" s="33" t="str">
        <f>IF(OR(ISBLANK(AB375), ISBLANK(AC375)),"",CONCATENATE(" ",VLOOKUP(AC375,Literatuur!$A:$B,2,FALSE)," "))</f>
        <v/>
      </c>
      <c r="AG375" s="33" t="str">
        <f>IF(OR(ISBLANK(AE375), ISBLANK(AF375)),"",CONCATENATE(" ",VLOOKUP(AF375,Literatuur!$A:$B,2,FALSE)," "))</f>
        <v/>
      </c>
      <c r="AJ375" s="44" t="str">
        <f t="shared" si="289"/>
        <v xml:space="preserve"> </v>
      </c>
      <c r="AK375" s="33" t="str">
        <f>IF(OR(ISBLANK(AI375), ISBLANK(AJ375)),"",CONCATENATE(" ",VLOOKUP(AJ375,Literatuur!$A:$B,2,FALSE)," "))</f>
        <v/>
      </c>
      <c r="AL375" s="33">
        <v>72.150000000000006</v>
      </c>
      <c r="AM375" s="44" t="str">
        <f t="shared" si="290"/>
        <v>Gestis</v>
      </c>
      <c r="AN375" s="33" t="str">
        <f>IF(OR(ISBLANK(AL375), ISBLANK(AM375)),"",CONCATENATE(" ",VLOOKUP(AM375,Literatuur!$A:$B,2,FALSE)," "))</f>
        <v xml:space="preserve"> A </v>
      </c>
      <c r="AP375" s="44" t="str">
        <f t="shared" si="291"/>
        <v xml:space="preserve"> </v>
      </c>
      <c r="AQ375" s="33" t="str">
        <f>IF(OR(ISBLANK(AO375), ISBLANK(AP375)),"",CONCATENATE(" ",VLOOKUP(AP375,Literatuur!$A:$B,2,FALSE)," "))</f>
        <v/>
      </c>
      <c r="AT375" s="33" t="str">
        <f>IF(OR(ISBLANK(AR375), ISBLANK(AS375)),"",CONCATENATE(" ",VLOOKUP(AS375,Literatuur!$A:$B,2,FALSE)," "))</f>
        <v/>
      </c>
      <c r="AW375" s="33" t="str">
        <f>IF(OR(ISBLANK(AU375), ISBLANK(AV375)),"",CONCATENATE(" ",VLOOKUP(AV375,Literatuur!$A:$B,2,FALSE)," "))</f>
        <v/>
      </c>
      <c r="AZ375" s="44" t="str">
        <f t="shared" si="292"/>
        <v xml:space="preserve"> </v>
      </c>
      <c r="BA375" s="33" t="str">
        <f>IF(OR(ISBLANK(AY375), ISBLANK(AZ375)),"",CONCATENATE(" ",VLOOKUP(AZ375,Literatuur!$A:$B,2,FALSE)," "))</f>
        <v/>
      </c>
      <c r="BB375" s="33">
        <v>3.11</v>
      </c>
      <c r="BC375" s="44" t="str">
        <f t="shared" si="293"/>
        <v>Gestis</v>
      </c>
      <c r="BD375" s="33" t="str">
        <f>IF(OR(ISBLANK(BB375), ISBLANK(BC375)),"",CONCATENATE(" ",VLOOKUP(BC375,Literatuur!$A:$B,2,FALSE)," "))</f>
        <v xml:space="preserve"> A </v>
      </c>
      <c r="BF375" s="44" t="str">
        <f t="shared" si="294"/>
        <v xml:space="preserve"> </v>
      </c>
      <c r="BG375" s="33" t="str">
        <f>IF(OR(ISBLANK(BE375), ISBLANK(BF375)),"",CONCATENATE(" ",VLOOKUP(BF375,Literatuur!$A:$B,2,FALSE)," "))</f>
        <v/>
      </c>
      <c r="BI375" s="44" t="str">
        <f t="shared" si="295"/>
        <v xml:space="preserve"> </v>
      </c>
      <c r="BJ375" s="33" t="str">
        <f>IF(OR(ISBLANK(BH375), ISBLANK(BI375)),"",CONCATENATE(" ",VLOOKUP(BI375,Literatuur!$A:$B,2,FALSE)," "))</f>
        <v/>
      </c>
      <c r="BL375" s="44" t="str">
        <f t="shared" si="296"/>
        <v xml:space="preserve"> </v>
      </c>
      <c r="BM375" s="33" t="str">
        <f>IF(OR(ISBLANK(BK375), ISBLANK(BL375)),"",CONCATENATE(" ",VLOOKUP(BL375,Literatuur!$A:$B,2,FALSE)," "))</f>
        <v/>
      </c>
      <c r="BP375" s="33" t="str">
        <f>IF(OR(ISBLANK(BN375), ISBLANK(BO375)),"",CONCATENATE(" ",VLOOKUP(BO375,Literatuur!$A:$B,2,FALSE)," "))</f>
        <v/>
      </c>
      <c r="BS375" s="33" t="str">
        <f>IF(OR(ISBLANK(BQ375), ISBLANK(BR375)),"",CONCATENATE(" ",VLOOKUP(BR375,Literatuur!$A:$B,2,FALSE)," "))</f>
        <v/>
      </c>
      <c r="BV375" s="33" t="str">
        <f>IF(OR(ISBLANK(BT375), ISBLANK(BU375)),"",CONCATENATE(" ",VLOOKUP(BU375,Literatuur!$A:$B,2,FALSE)," "))</f>
        <v/>
      </c>
      <c r="CE375" s="37">
        <f>I375</f>
        <v>72.150000000000006</v>
      </c>
      <c r="CG375" s="33">
        <f>LOG(J375)</f>
        <v>1.5185139398778875</v>
      </c>
      <c r="CH375" s="33">
        <f>K375</f>
        <v>3.11</v>
      </c>
      <c r="CR375" s="33" t="str">
        <f t="shared" si="257"/>
        <v>Neopentane</v>
      </c>
      <c r="CS375" s="33" t="str">
        <f t="shared" si="258"/>
        <v>Alk</v>
      </c>
      <c r="CT375" s="33">
        <f t="shared" si="299"/>
        <v>72.150000000000006</v>
      </c>
      <c r="CU375" s="33" t="str">
        <f t="shared" si="300"/>
        <v xml:space="preserve"> A </v>
      </c>
      <c r="CV375" s="33">
        <f t="shared" si="301"/>
        <v>33</v>
      </c>
      <c r="CW375" s="33" t="str">
        <f t="shared" si="302"/>
        <v xml:space="preserve"> A </v>
      </c>
      <c r="CX375" s="33">
        <f t="shared" si="303"/>
        <v>3.11</v>
      </c>
      <c r="CY375" s="33" t="str">
        <f t="shared" si="304"/>
        <v xml:space="preserve"> A </v>
      </c>
    </row>
    <row r="376" spans="1:103" x14ac:dyDescent="0.2">
      <c r="A376" s="31"/>
      <c r="B376" s="33">
        <v>-1300</v>
      </c>
      <c r="D376" s="33" t="s">
        <v>275</v>
      </c>
      <c r="E376" s="33" t="s">
        <v>1261</v>
      </c>
      <c r="F376" s="33" t="s">
        <v>450</v>
      </c>
      <c r="H376" s="34" t="s">
        <v>276</v>
      </c>
      <c r="I376" s="37">
        <f t="shared" si="306"/>
        <v>72.150000000000006</v>
      </c>
      <c r="J376" s="37">
        <f>IF(ISNUMBER(P376),P376,IF(ISNUMBER(AVERAGE(S376:AE376)),AVERAGE(S376:AE376),NA()))</f>
        <v>39.25</v>
      </c>
      <c r="K376" s="44">
        <f t="shared" si="282"/>
        <v>3.42</v>
      </c>
      <c r="L376" s="33" t="e">
        <f t="shared" si="283"/>
        <v>#DIV/0!</v>
      </c>
      <c r="M376" s="33" t="s">
        <v>1890</v>
      </c>
      <c r="Q376" s="44" t="str">
        <f t="shared" si="284"/>
        <v xml:space="preserve"> </v>
      </c>
      <c r="R376" s="33" t="str">
        <f>IF(OR(ISBLANK(P376), ISBLANK(Q376)),"",CONCATENATE(" ",VLOOKUP(Q376,Literatuur!$A:$B,2,FALSE)," "))</f>
        <v/>
      </c>
      <c r="S376" s="33">
        <v>40</v>
      </c>
      <c r="T376" s="44" t="str">
        <f t="shared" si="285"/>
        <v>Gestis</v>
      </c>
      <c r="U376" s="33" t="str">
        <f>IF(OR(ISBLANK(S376), ISBLANK(T376)),"",CONCATENATE(" ",VLOOKUP(T376,Literatuur!$A:$B,2,FALSE)," "))</f>
        <v xml:space="preserve"> A </v>
      </c>
      <c r="W376" s="44" t="str">
        <f t="shared" si="286"/>
        <v xml:space="preserve"> </v>
      </c>
      <c r="X376" s="33" t="str">
        <f>IF(OR(ISBLANK(V376), ISBLANK(W376)),"",CONCATENATE(" ",VLOOKUP(W376,Literatuur!$A:$B,2,FALSE)," "))</f>
        <v/>
      </c>
      <c r="Z376" s="44" t="str">
        <f t="shared" si="287"/>
        <v xml:space="preserve"> </v>
      </c>
      <c r="AA376" s="33" t="str">
        <f>IF(OR(ISBLANK(Y376), ISBLANK(Z376)),"",CONCATENATE(" ",VLOOKUP(Z376,Literatuur!$A:$B,2,FALSE)," "))</f>
        <v/>
      </c>
      <c r="AB376" s="33">
        <v>38.5</v>
      </c>
      <c r="AC376" s="36" t="str">
        <f t="shared" si="288"/>
        <v>Vonk 1985</v>
      </c>
      <c r="AD376" s="33" t="str">
        <f>IF(OR(ISBLANK(AB376), ISBLANK(AC376)),"",CONCATENATE(" ",VLOOKUP(AC376,Literatuur!$A:$B,2,FALSE)," "))</f>
        <v xml:space="preserve"> 37 </v>
      </c>
      <c r="AG376" s="33" t="str">
        <f>IF(OR(ISBLANK(AE376), ISBLANK(AF376)),"",CONCATENATE(" ",VLOOKUP(AF376,Literatuur!$A:$B,2,FALSE)," "))</f>
        <v/>
      </c>
      <c r="AI376" s="37"/>
      <c r="AJ376" s="44" t="str">
        <f t="shared" si="289"/>
        <v xml:space="preserve"> </v>
      </c>
      <c r="AK376" s="33" t="str">
        <f>IF(OR(ISBLANK(AI376), ISBLANK(AJ376)),"",CONCATENATE(" ",VLOOKUP(AJ376,Literatuur!$A:$B,2,FALSE)," "))</f>
        <v/>
      </c>
      <c r="AL376" s="33">
        <v>72.150000000000006</v>
      </c>
      <c r="AM376" s="44" t="str">
        <f t="shared" si="290"/>
        <v>Gestis</v>
      </c>
      <c r="AN376" s="33" t="str">
        <f>IF(OR(ISBLANK(AL376), ISBLANK(AM376)),"",CONCATENATE(" ",VLOOKUP(AM376,Literatuur!$A:$B,2,FALSE)," "))</f>
        <v xml:space="preserve"> A </v>
      </c>
      <c r="AP376" s="44" t="str">
        <f t="shared" si="291"/>
        <v xml:space="preserve"> </v>
      </c>
      <c r="AQ376" s="33" t="str">
        <f>IF(OR(ISBLANK(AO376), ISBLANK(AP376)),"",CONCATENATE(" ",VLOOKUP(AP376,Literatuur!$A:$B,2,FALSE)," "))</f>
        <v/>
      </c>
      <c r="AT376" s="33" t="str">
        <f>IF(OR(ISBLANK(AR376), ISBLANK(AS376)),"",CONCATENATE(" ",VLOOKUP(AS376,Literatuur!$A:$B,2,FALSE)," "))</f>
        <v/>
      </c>
      <c r="AW376" s="33" t="str">
        <f>IF(OR(ISBLANK(AU376), ISBLANK(AV376)),"",CONCATENATE(" ",VLOOKUP(AV376,Literatuur!$A:$B,2,FALSE)," "))</f>
        <v/>
      </c>
      <c r="AY376" s="44"/>
      <c r="AZ376" s="44" t="str">
        <f t="shared" si="292"/>
        <v xml:space="preserve"> </v>
      </c>
      <c r="BA376" s="33" t="str">
        <f>IF(OR(ISBLANK(AY376), ISBLANK(AZ376)),"",CONCATENATE(" ",VLOOKUP(AZ376,Literatuur!$A:$B,2,FALSE)," "))</f>
        <v/>
      </c>
      <c r="BB376" s="44">
        <v>3.39</v>
      </c>
      <c r="BC376" s="44" t="str">
        <f t="shared" si="293"/>
        <v>Gestis</v>
      </c>
      <c r="BD376" s="33" t="str">
        <f>IF(OR(ISBLANK(BB376), ISBLANK(BC376)),"",CONCATENATE(" ",VLOOKUP(BC376,Literatuur!$A:$B,2,FALSE)," "))</f>
        <v xml:space="preserve"> A </v>
      </c>
      <c r="BF376" s="44" t="str">
        <f t="shared" si="294"/>
        <v xml:space="preserve"> </v>
      </c>
      <c r="BG376" s="33" t="str">
        <f>IF(OR(ISBLANK(BE376), ISBLANK(BF376)),"",CONCATENATE(" ",VLOOKUP(BF376,Literatuur!$A:$B,2,FALSE)," "))</f>
        <v/>
      </c>
      <c r="BI376" s="44" t="str">
        <f t="shared" si="295"/>
        <v xml:space="preserve"> </v>
      </c>
      <c r="BJ376" s="33" t="str">
        <f>IF(OR(ISBLANK(BH376), ISBLANK(BI376)),"",CONCATENATE(" ",VLOOKUP(BI376,Literatuur!$A:$B,2,FALSE)," "))</f>
        <v/>
      </c>
      <c r="BK376" s="33">
        <v>3.45</v>
      </c>
      <c r="BL376" s="44" t="str">
        <f t="shared" si="296"/>
        <v>Sangster 1989</v>
      </c>
      <c r="BM376" s="33" t="str">
        <f>IF(OR(ISBLANK(BK376), ISBLANK(BL376)),"",CONCATENATE(" ",VLOOKUP(BL376,Literatuur!$A:$B,2,FALSE)," "))</f>
        <v xml:space="preserve"> 27 </v>
      </c>
      <c r="BP376" s="33" t="str">
        <f>IF(OR(ISBLANK(BN376), ISBLANK(BO376)),"",CONCATENATE(" ",VLOOKUP(BO376,Literatuur!$A:$B,2,FALSE)," "))</f>
        <v/>
      </c>
      <c r="BS376" s="33" t="str">
        <f>IF(OR(ISBLANK(BQ376), ISBLANK(BR376)),"",CONCATENATE(" ",VLOOKUP(BR376,Literatuur!$A:$B,2,FALSE)," "))</f>
        <v/>
      </c>
      <c r="BV376" s="33" t="str">
        <f>IF(OR(ISBLANK(BT376), ISBLANK(BU376)),"",CONCATENATE(" ",VLOOKUP(BU376,Literatuur!$A:$B,2,FALSE)," "))</f>
        <v/>
      </c>
      <c r="CE376" s="37">
        <f>I376</f>
        <v>72.150000000000006</v>
      </c>
      <c r="CG376" s="33">
        <f>LOG(J376)</f>
        <v>1.5938396610812713</v>
      </c>
      <c r="CH376" s="33">
        <f>K376</f>
        <v>3.42</v>
      </c>
      <c r="CR376" s="33" t="str">
        <f t="shared" si="257"/>
        <v>Pentane</v>
      </c>
      <c r="CS376" s="33" t="str">
        <f t="shared" si="258"/>
        <v>Alk</v>
      </c>
      <c r="CT376" s="33">
        <f t="shared" si="299"/>
        <v>72.150000000000006</v>
      </c>
      <c r="CU376" s="33" t="str">
        <f t="shared" si="300"/>
        <v xml:space="preserve"> A </v>
      </c>
      <c r="CV376" s="33">
        <f t="shared" si="301"/>
        <v>39.25</v>
      </c>
      <c r="CW376" s="33" t="str">
        <f t="shared" si="302"/>
        <v xml:space="preserve"> A  37 </v>
      </c>
      <c r="CX376" s="33">
        <f t="shared" si="303"/>
        <v>3.42</v>
      </c>
      <c r="CY376" s="33" t="str">
        <f t="shared" si="304"/>
        <v xml:space="preserve"> A  27 </v>
      </c>
    </row>
    <row r="377" spans="1:103" x14ac:dyDescent="0.2">
      <c r="B377" s="33">
        <v>-1510</v>
      </c>
      <c r="D377" s="33" t="s">
        <v>450</v>
      </c>
      <c r="E377" s="33" t="s">
        <v>450</v>
      </c>
      <c r="H377" s="34" t="s">
        <v>276</v>
      </c>
      <c r="I377" s="37">
        <f t="shared" si="306"/>
        <v>72.150000000000006</v>
      </c>
      <c r="J377" s="37">
        <f>IF(ISNUMBER(P377),P377,AVERAGE(S377:AE377))</f>
        <v>40</v>
      </c>
      <c r="K377" s="44">
        <f t="shared" si="282"/>
        <v>3.39</v>
      </c>
      <c r="L377" s="33" t="e">
        <f t="shared" si="283"/>
        <v>#DIV/0!</v>
      </c>
      <c r="M377" s="33" t="s">
        <v>1890</v>
      </c>
      <c r="Q377" s="44" t="str">
        <f t="shared" si="284"/>
        <v xml:space="preserve"> </v>
      </c>
      <c r="R377" s="33" t="str">
        <f>IF(OR(ISBLANK(P377), ISBLANK(Q377)),"",CONCATENATE(" ",VLOOKUP(Q377,Literatuur!$A:$B,2,FALSE)," "))</f>
        <v/>
      </c>
      <c r="S377" s="33">
        <v>40</v>
      </c>
      <c r="T377" s="44" t="str">
        <f t="shared" si="285"/>
        <v>Gestis</v>
      </c>
      <c r="U377" s="33" t="str">
        <f>IF(OR(ISBLANK(S377), ISBLANK(T377)),"",CONCATENATE(" ",VLOOKUP(T377,Literatuur!$A:$B,2,FALSE)," "))</f>
        <v xml:space="preserve"> A </v>
      </c>
      <c r="W377" s="44" t="str">
        <f t="shared" si="286"/>
        <v xml:space="preserve"> </v>
      </c>
      <c r="X377" s="33" t="str">
        <f>IF(OR(ISBLANK(V377), ISBLANK(W377)),"",CONCATENATE(" ",VLOOKUP(W377,Literatuur!$A:$B,2,FALSE)," "))</f>
        <v/>
      </c>
      <c r="Z377" s="44" t="str">
        <f t="shared" si="287"/>
        <v xml:space="preserve"> </v>
      </c>
      <c r="AA377" s="33" t="str">
        <f>IF(OR(ISBLANK(Y377), ISBLANK(Z377)),"",CONCATENATE(" ",VLOOKUP(Z377,Literatuur!$A:$B,2,FALSE)," "))</f>
        <v/>
      </c>
      <c r="AC377" s="36" t="str">
        <f t="shared" si="288"/>
        <v xml:space="preserve"> </v>
      </c>
      <c r="AD377" s="33" t="str">
        <f>IF(OR(ISBLANK(AB377), ISBLANK(AC377)),"",CONCATENATE(" ",VLOOKUP(AC377,Literatuur!$A:$B,2,FALSE)," "))</f>
        <v/>
      </c>
      <c r="AG377" s="33" t="str">
        <f>IF(OR(ISBLANK(AE377), ISBLANK(AF377)),"",CONCATENATE(" ",VLOOKUP(AF377,Literatuur!$A:$B,2,FALSE)," "))</f>
        <v/>
      </c>
      <c r="AJ377" s="44" t="str">
        <f t="shared" si="289"/>
        <v xml:space="preserve"> </v>
      </c>
      <c r="AK377" s="33" t="str">
        <f>IF(OR(ISBLANK(AI377), ISBLANK(AJ377)),"",CONCATENATE(" ",VLOOKUP(AJ377,Literatuur!$A:$B,2,FALSE)," "))</f>
        <v/>
      </c>
      <c r="AL377" s="33">
        <v>72.150000000000006</v>
      </c>
      <c r="AM377" s="44" t="str">
        <f t="shared" si="290"/>
        <v>Gestis</v>
      </c>
      <c r="AN377" s="33" t="str">
        <f>IF(OR(ISBLANK(AL377), ISBLANK(AM377)),"",CONCATENATE(" ",VLOOKUP(AM377,Literatuur!$A:$B,2,FALSE)," "))</f>
        <v xml:space="preserve"> A </v>
      </c>
      <c r="AP377" s="44" t="str">
        <f t="shared" si="291"/>
        <v xml:space="preserve"> </v>
      </c>
      <c r="AQ377" s="33" t="str">
        <f>IF(OR(ISBLANK(AO377), ISBLANK(AP377)),"",CONCATENATE(" ",VLOOKUP(AP377,Literatuur!$A:$B,2,FALSE)," "))</f>
        <v/>
      </c>
      <c r="AT377" s="33" t="str">
        <f>IF(OR(ISBLANK(AR377), ISBLANK(AS377)),"",CONCATENATE(" ",VLOOKUP(AS377,Literatuur!$A:$B,2,FALSE)," "))</f>
        <v/>
      </c>
      <c r="AW377" s="33" t="str">
        <f>IF(OR(ISBLANK(AU377), ISBLANK(AV377)),"",CONCATENATE(" ",VLOOKUP(AV377,Literatuur!$A:$B,2,FALSE)," "))</f>
        <v/>
      </c>
      <c r="AZ377" s="44" t="str">
        <f t="shared" si="292"/>
        <v xml:space="preserve"> </v>
      </c>
      <c r="BA377" s="33" t="str">
        <f>IF(OR(ISBLANK(AY377), ISBLANK(AZ377)),"",CONCATENATE(" ",VLOOKUP(AZ377,Literatuur!$A:$B,2,FALSE)," "))</f>
        <v/>
      </c>
      <c r="BB377" s="33">
        <v>3.39</v>
      </c>
      <c r="BC377" s="44" t="str">
        <f t="shared" si="293"/>
        <v>Gestis</v>
      </c>
      <c r="BD377" s="33" t="str">
        <f>IF(OR(ISBLANK(BB377), ISBLANK(BC377)),"",CONCATENATE(" ",VLOOKUP(BC377,Literatuur!$A:$B,2,FALSE)," "))</f>
        <v xml:space="preserve"> A </v>
      </c>
      <c r="BF377" s="44" t="str">
        <f t="shared" si="294"/>
        <v xml:space="preserve"> </v>
      </c>
      <c r="BG377" s="33" t="str">
        <f>IF(OR(ISBLANK(BE377), ISBLANK(BF377)),"",CONCATENATE(" ",VLOOKUP(BF377,Literatuur!$A:$B,2,FALSE)," "))</f>
        <v/>
      </c>
      <c r="BI377" s="44" t="str">
        <f t="shared" si="295"/>
        <v xml:space="preserve"> </v>
      </c>
      <c r="BJ377" s="33" t="str">
        <f>IF(OR(ISBLANK(BH377), ISBLANK(BI377)),"",CONCATENATE(" ",VLOOKUP(BI377,Literatuur!$A:$B,2,FALSE)," "))</f>
        <v/>
      </c>
      <c r="BL377" s="44" t="str">
        <f t="shared" si="296"/>
        <v xml:space="preserve"> </v>
      </c>
      <c r="BM377" s="33" t="str">
        <f>IF(OR(ISBLANK(BK377), ISBLANK(BL377)),"",CONCATENATE(" ",VLOOKUP(BL377,Literatuur!$A:$B,2,FALSE)," "))</f>
        <v/>
      </c>
      <c r="BP377" s="33" t="str">
        <f>IF(OR(ISBLANK(BN377), ISBLANK(BO377)),"",CONCATENATE(" ",VLOOKUP(BO377,Literatuur!$A:$B,2,FALSE)," "))</f>
        <v/>
      </c>
      <c r="BS377" s="33" t="str">
        <f>IF(OR(ISBLANK(BQ377), ISBLANK(BR377)),"",CONCATENATE(" ",VLOOKUP(BR377,Literatuur!$A:$B,2,FALSE)," "))</f>
        <v/>
      </c>
      <c r="BV377" s="33" t="str">
        <f>IF(OR(ISBLANK(BT377), ISBLANK(BU377)),"",CONCATENATE(" ",VLOOKUP(BU377,Literatuur!$A:$B,2,FALSE)," "))</f>
        <v/>
      </c>
      <c r="CE377" s="37">
        <f>I377</f>
        <v>72.150000000000006</v>
      </c>
      <c r="CG377" s="33">
        <f>LOG(J377)</f>
        <v>1.6020599913279623</v>
      </c>
      <c r="CH377" s="33">
        <f>K377</f>
        <v>3.39</v>
      </c>
      <c r="CR377" s="33" t="str">
        <f t="shared" si="257"/>
        <v>n-Pentane</v>
      </c>
      <c r="CS377" s="33" t="str">
        <f t="shared" si="258"/>
        <v>Alk</v>
      </c>
      <c r="CT377" s="33">
        <f t="shared" si="299"/>
        <v>72.150000000000006</v>
      </c>
      <c r="CU377" s="33" t="str">
        <f t="shared" si="300"/>
        <v xml:space="preserve"> A </v>
      </c>
      <c r="CV377" s="33">
        <f t="shared" si="301"/>
        <v>40</v>
      </c>
      <c r="CW377" s="33" t="str">
        <f t="shared" si="302"/>
        <v xml:space="preserve"> A </v>
      </c>
      <c r="CX377" s="33">
        <f t="shared" si="303"/>
        <v>3.39</v>
      </c>
      <c r="CY377" s="33" t="str">
        <f t="shared" si="304"/>
        <v xml:space="preserve"> A </v>
      </c>
    </row>
    <row r="378" spans="1:103" x14ac:dyDescent="0.2">
      <c r="B378" s="33">
        <v>-1678</v>
      </c>
      <c r="D378" s="21" t="s">
        <v>822</v>
      </c>
      <c r="E378" s="21" t="s">
        <v>822</v>
      </c>
      <c r="F378" s="4"/>
      <c r="G378" s="4"/>
      <c r="I378" s="33">
        <f t="shared" si="306"/>
        <v>198</v>
      </c>
      <c r="J378" s="33" t="e">
        <f>IF(ISNUMBER(P378),P378,AVERAGE(S378:AE378))</f>
        <v>#DIV/0!</v>
      </c>
      <c r="K378" s="44" t="e">
        <f t="shared" si="282"/>
        <v>#DIV/0!</v>
      </c>
      <c r="L378" s="33" t="e">
        <f t="shared" si="283"/>
        <v>#DIV/0!</v>
      </c>
      <c r="M378" s="33" t="s">
        <v>1890</v>
      </c>
      <c r="Q378" s="44" t="str">
        <f t="shared" si="284"/>
        <v xml:space="preserve"> </v>
      </c>
      <c r="R378" s="33" t="str">
        <f>IF(OR(ISBLANK(P378), ISBLANK(Q378)),"",CONCATENATE(" ",VLOOKUP(Q378,Literatuur!$A:$B,2,FALSE)," "))</f>
        <v/>
      </c>
      <c r="T378" s="44" t="str">
        <f t="shared" si="285"/>
        <v xml:space="preserve"> </v>
      </c>
      <c r="U378" s="33" t="str">
        <f>IF(OR(ISBLANK(S378), ISBLANK(T378)),"",CONCATENATE(" ",VLOOKUP(T378,Literatuur!$A:$B,2,FALSE)," "))</f>
        <v/>
      </c>
      <c r="W378" s="44" t="str">
        <f t="shared" si="286"/>
        <v xml:space="preserve"> </v>
      </c>
      <c r="X378" s="33" t="str">
        <f>IF(OR(ISBLANK(V378), ISBLANK(W378)),"",CONCATENATE(" ",VLOOKUP(W378,Literatuur!$A:$B,2,FALSE)," "))</f>
        <v/>
      </c>
      <c r="Z378" s="44" t="str">
        <f t="shared" si="287"/>
        <v xml:space="preserve"> </v>
      </c>
      <c r="AA378" s="33" t="str">
        <f>IF(OR(ISBLANK(Y378), ISBLANK(Z378)),"",CONCATENATE(" ",VLOOKUP(Z378,Literatuur!$A:$B,2,FALSE)," "))</f>
        <v/>
      </c>
      <c r="AC378" s="36" t="str">
        <f t="shared" si="288"/>
        <v xml:space="preserve"> </v>
      </c>
      <c r="AD378" s="33" t="str">
        <f>IF(OR(ISBLANK(AB378), ISBLANK(AC378)),"",CONCATENATE(" ",VLOOKUP(AC378,Literatuur!$A:$B,2,FALSE)," "))</f>
        <v/>
      </c>
      <c r="AG378" s="33" t="str">
        <f>IF(OR(ISBLANK(AE378), ISBLANK(AF378)),"",CONCATENATE(" ",VLOOKUP(AF378,Literatuur!$A:$B,2,FALSE)," "))</f>
        <v/>
      </c>
      <c r="AJ378" s="44" t="str">
        <f t="shared" si="289"/>
        <v xml:space="preserve"> </v>
      </c>
      <c r="AK378" s="33" t="str">
        <f>IF(OR(ISBLANK(AI378), ISBLANK(AJ378)),"",CONCATENATE(" ",VLOOKUP(AJ378,Literatuur!$A:$B,2,FALSE)," "))</f>
        <v/>
      </c>
      <c r="AM378" s="44" t="str">
        <f t="shared" si="290"/>
        <v xml:space="preserve"> </v>
      </c>
      <c r="AN378" s="33" t="str">
        <f>IF(OR(ISBLANK(AL378), ISBLANK(AM378)),"",CONCATENATE(" ",VLOOKUP(AM378,Literatuur!$A:$B,2,FALSE)," "))</f>
        <v/>
      </c>
      <c r="AP378" s="44" t="str">
        <f t="shared" si="291"/>
        <v xml:space="preserve"> </v>
      </c>
      <c r="AQ378" s="33" t="str">
        <f>IF(OR(ISBLANK(AO378), ISBLANK(AP378)),"",CONCATENATE(" ",VLOOKUP(AP378,Literatuur!$A:$B,2,FALSE)," "))</f>
        <v/>
      </c>
      <c r="AS378"/>
      <c r="AT378" s="33" t="str">
        <f>IF(OR(ISBLANK(AR378), ISBLANK(AS378)),"",CONCATENATE(" ",VLOOKUP(AS378,Literatuur!$A:$B,2,FALSE)," "))</f>
        <v/>
      </c>
      <c r="AU378">
        <v>198</v>
      </c>
      <c r="AV378" s="33" t="s">
        <v>1235</v>
      </c>
      <c r="AW378" s="33" t="str">
        <f>IF(OR(ISBLANK(AU378), ISBLANK(AV378)),"",CONCATENATE(" ",VLOOKUP(AV378,Literatuur!$A:$B,2,FALSE)," "))</f>
        <v xml:space="preserve"> 21 </v>
      </c>
      <c r="AZ378" s="44" t="str">
        <f t="shared" si="292"/>
        <v xml:space="preserve"> </v>
      </c>
      <c r="BA378" s="33" t="str">
        <f>IF(OR(ISBLANK(AY378), ISBLANK(AZ378)),"",CONCATENATE(" ",VLOOKUP(AZ378,Literatuur!$A:$B,2,FALSE)," "))</f>
        <v/>
      </c>
      <c r="BC378" s="44" t="str">
        <f t="shared" si="293"/>
        <v xml:space="preserve"> </v>
      </c>
      <c r="BD378" s="33" t="str">
        <f>IF(OR(ISBLANK(BB378), ISBLANK(BC378)),"",CONCATENATE(" ",VLOOKUP(BC378,Literatuur!$A:$B,2,FALSE)," "))</f>
        <v/>
      </c>
      <c r="BF378" s="44" t="str">
        <f t="shared" si="294"/>
        <v xml:space="preserve"> </v>
      </c>
      <c r="BG378" s="33" t="str">
        <f>IF(OR(ISBLANK(BE378), ISBLANK(BF378)),"",CONCATENATE(" ",VLOOKUP(BF378,Literatuur!$A:$B,2,FALSE)," "))</f>
        <v/>
      </c>
      <c r="BI378" s="44" t="str">
        <f t="shared" si="295"/>
        <v xml:space="preserve"> </v>
      </c>
      <c r="BJ378" s="33" t="str">
        <f>IF(OR(ISBLANK(BH378), ISBLANK(BI378)),"",CONCATENATE(" ",VLOOKUP(BI378,Literatuur!$A:$B,2,FALSE)," "))</f>
        <v/>
      </c>
      <c r="BL378" s="44" t="str">
        <f t="shared" si="296"/>
        <v xml:space="preserve"> </v>
      </c>
      <c r="BM378" s="33" t="str">
        <f>IF(OR(ISBLANK(BK378), ISBLANK(BL378)),"",CONCATENATE(" ",VLOOKUP(BL378,Literatuur!$A:$B,2,FALSE)," "))</f>
        <v/>
      </c>
      <c r="BP378" s="33" t="str">
        <f>IF(OR(ISBLANK(BN378), ISBLANK(BO378)),"",CONCATENATE(" ",VLOOKUP(BO378,Literatuur!$A:$B,2,FALSE)," "))</f>
        <v/>
      </c>
      <c r="BS378" s="33" t="str">
        <f>IF(OR(ISBLANK(BQ378), ISBLANK(BR378)),"",CONCATENATE(" ",VLOOKUP(BR378,Literatuur!$A:$B,2,FALSE)," "))</f>
        <v/>
      </c>
      <c r="BV378" s="33" t="str">
        <f>IF(OR(ISBLANK(BT378), ISBLANK(BU378)),"",CONCATENATE(" ",VLOOKUP(BU378,Literatuur!$A:$B,2,FALSE)," "))</f>
        <v/>
      </c>
      <c r="CR378" s="33" t="str">
        <f t="shared" si="257"/>
        <v>n-Tetradecane</v>
      </c>
      <c r="CS378" s="33" t="str">
        <f t="shared" si="258"/>
        <v>Alk</v>
      </c>
      <c r="CT378" s="33">
        <f t="shared" si="299"/>
        <v>198</v>
      </c>
      <c r="CU378" s="33" t="str">
        <f t="shared" si="300"/>
        <v xml:space="preserve"> 21 </v>
      </c>
      <c r="CV378" s="33" t="str">
        <f t="shared" si="301"/>
        <v/>
      </c>
      <c r="CW378" s="33" t="str">
        <f t="shared" si="302"/>
        <v/>
      </c>
      <c r="CX378" s="33" t="str">
        <f t="shared" si="303"/>
        <v/>
      </c>
      <c r="CY378" s="33" t="str">
        <f t="shared" si="304"/>
        <v/>
      </c>
    </row>
    <row r="379" spans="1:103" x14ac:dyDescent="0.2">
      <c r="B379" s="33">
        <v>-1304</v>
      </c>
      <c r="D379" s="33" t="s">
        <v>31</v>
      </c>
      <c r="E379" s="33" t="s">
        <v>1264</v>
      </c>
      <c r="H379" s="34" t="s">
        <v>32</v>
      </c>
      <c r="I379" s="37">
        <f t="shared" si="306"/>
        <v>114.23</v>
      </c>
      <c r="J379" s="37">
        <f>IF(ISNUMBER(P379),P379,IF(ISNUMBER(AVERAGE(S379:AE379)),AVERAGE(S379:AE379),NA()))</f>
        <v>0.7</v>
      </c>
      <c r="K379" s="44">
        <f t="shared" si="282"/>
        <v>5.15</v>
      </c>
      <c r="L379" s="33" t="e">
        <f t="shared" si="283"/>
        <v>#DIV/0!</v>
      </c>
      <c r="M379" s="33" t="s">
        <v>1890</v>
      </c>
      <c r="Q379" s="44" t="str">
        <f t="shared" si="284"/>
        <v xml:space="preserve"> </v>
      </c>
      <c r="R379" s="33" t="str">
        <f>IF(OR(ISBLANK(P379), ISBLANK(Q379)),"",CONCATENATE(" ",VLOOKUP(Q379,Literatuur!$A:$B,2,FALSE)," "))</f>
        <v/>
      </c>
      <c r="S379" s="33">
        <v>0.7</v>
      </c>
      <c r="T379" s="44" t="str">
        <f t="shared" si="285"/>
        <v>Gestis</v>
      </c>
      <c r="U379" s="33" t="str">
        <f>IF(OR(ISBLANK(S379), ISBLANK(T379)),"",CONCATENATE(" ",VLOOKUP(T379,Literatuur!$A:$B,2,FALSE)," "))</f>
        <v xml:space="preserve"> A </v>
      </c>
      <c r="W379" s="44" t="str">
        <f t="shared" si="286"/>
        <v xml:space="preserve"> </v>
      </c>
      <c r="X379" s="33" t="str">
        <f>IF(OR(ISBLANK(V379), ISBLANK(W379)),"",CONCATENATE(" ",VLOOKUP(W379,Literatuur!$A:$B,2,FALSE)," "))</f>
        <v/>
      </c>
      <c r="Z379" s="44" t="str">
        <f t="shared" si="287"/>
        <v xml:space="preserve"> </v>
      </c>
      <c r="AA379" s="33" t="str">
        <f>IF(OR(ISBLANK(Y379), ISBLANK(Z379)),"",CONCATENATE(" ",VLOOKUP(Z379,Literatuur!$A:$B,2,FALSE)," "))</f>
        <v/>
      </c>
      <c r="AB379" s="33">
        <v>0.7</v>
      </c>
      <c r="AC379" s="36" t="str">
        <f t="shared" si="288"/>
        <v>Vonk 1985</v>
      </c>
      <c r="AD379" s="33" t="str">
        <f>IF(OR(ISBLANK(AB379), ISBLANK(AC379)),"",CONCATENATE(" ",VLOOKUP(AC379,Literatuur!$A:$B,2,FALSE)," "))</f>
        <v xml:space="preserve"> 37 </v>
      </c>
      <c r="AG379" s="33" t="str">
        <f>IF(OR(ISBLANK(AE379), ISBLANK(AF379)),"",CONCATENATE(" ",VLOOKUP(AF379,Literatuur!$A:$B,2,FALSE)," "))</f>
        <v/>
      </c>
      <c r="AI379" s="37"/>
      <c r="AJ379" s="44" t="str">
        <f t="shared" si="289"/>
        <v xml:space="preserve"> </v>
      </c>
      <c r="AK379" s="33" t="str">
        <f>IF(OR(ISBLANK(AI379), ISBLANK(AJ379)),"",CONCATENATE(" ",VLOOKUP(AJ379,Literatuur!$A:$B,2,FALSE)," "))</f>
        <v/>
      </c>
      <c r="AL379" s="33">
        <v>114.23</v>
      </c>
      <c r="AM379" s="44" t="str">
        <f t="shared" si="290"/>
        <v>Gestis</v>
      </c>
      <c r="AN379" s="33" t="str">
        <f>IF(OR(ISBLANK(AL379), ISBLANK(AM379)),"",CONCATENATE(" ",VLOOKUP(AM379,Literatuur!$A:$B,2,FALSE)," "))</f>
        <v xml:space="preserve"> A </v>
      </c>
      <c r="AP379" s="44" t="str">
        <f t="shared" si="291"/>
        <v xml:space="preserve"> </v>
      </c>
      <c r="AQ379" s="33" t="str">
        <f>IF(OR(ISBLANK(AO379), ISBLANK(AP379)),"",CONCATENATE(" ",VLOOKUP(AP379,Literatuur!$A:$B,2,FALSE)," "))</f>
        <v/>
      </c>
      <c r="AT379" s="33" t="str">
        <f>IF(OR(ISBLANK(AR379), ISBLANK(AS379)),"",CONCATENATE(" ",VLOOKUP(AS379,Literatuur!$A:$B,2,FALSE)," "))</f>
        <v/>
      </c>
      <c r="AW379" s="33" t="str">
        <f>IF(OR(ISBLANK(AU379), ISBLANK(AV379)),"",CONCATENATE(" ",VLOOKUP(AV379,Literatuur!$A:$B,2,FALSE)," "))</f>
        <v/>
      </c>
      <c r="AY379" s="44"/>
      <c r="AZ379" s="44" t="str">
        <f t="shared" si="292"/>
        <v xml:space="preserve"> </v>
      </c>
      <c r="BA379" s="33" t="str">
        <f>IF(OR(ISBLANK(AY379), ISBLANK(AZ379)),"",CONCATENATE(" ",VLOOKUP(AZ379,Literatuur!$A:$B,2,FALSE)," "))</f>
        <v/>
      </c>
      <c r="BB379" s="44">
        <v>5.15</v>
      </c>
      <c r="BC379" s="44" t="str">
        <f t="shared" si="293"/>
        <v>Gestis</v>
      </c>
      <c r="BD379" s="33" t="str">
        <f>IF(OR(ISBLANK(BB379), ISBLANK(BC379)),"",CONCATENATE(" ",VLOOKUP(BC379,Literatuur!$A:$B,2,FALSE)," "))</f>
        <v xml:space="preserve"> A </v>
      </c>
      <c r="BF379" s="44" t="str">
        <f t="shared" si="294"/>
        <v xml:space="preserve"> </v>
      </c>
      <c r="BG379" s="33" t="str">
        <f>IF(OR(ISBLANK(BE379), ISBLANK(BF379)),"",CONCATENATE(" ",VLOOKUP(BF379,Literatuur!$A:$B,2,FALSE)," "))</f>
        <v/>
      </c>
      <c r="BI379" s="44" t="str">
        <f t="shared" si="295"/>
        <v xml:space="preserve"> </v>
      </c>
      <c r="BJ379" s="33" t="str">
        <f>IF(OR(ISBLANK(BH379), ISBLANK(BI379)),"",CONCATENATE(" ",VLOOKUP(BI379,Literatuur!$A:$B,2,FALSE)," "))</f>
        <v/>
      </c>
      <c r="BK379" s="33">
        <v>5.15</v>
      </c>
      <c r="BL379" s="44" t="str">
        <f t="shared" si="296"/>
        <v>Sangster 1989</v>
      </c>
      <c r="BM379" s="33" t="str">
        <f>IF(OR(ISBLANK(BK379), ISBLANK(BL379)),"",CONCATENATE(" ",VLOOKUP(BL379,Literatuur!$A:$B,2,FALSE)," "))</f>
        <v xml:space="preserve"> 27 </v>
      </c>
      <c r="BP379" s="33" t="str">
        <f>IF(OR(ISBLANK(BN379), ISBLANK(BO379)),"",CONCATENATE(" ",VLOOKUP(BO379,Literatuur!$A:$B,2,FALSE)," "))</f>
        <v/>
      </c>
      <c r="BS379" s="33" t="str">
        <f>IF(OR(ISBLANK(BQ379), ISBLANK(BR379)),"",CONCATENATE(" ",VLOOKUP(BR379,Literatuur!$A:$B,2,FALSE)," "))</f>
        <v/>
      </c>
      <c r="BV379" s="33" t="str">
        <f>IF(OR(ISBLANK(BT379), ISBLANK(BU379)),"",CONCATENATE(" ",VLOOKUP(BU379,Literatuur!$A:$B,2,FALSE)," "))</f>
        <v/>
      </c>
      <c r="CE379" s="37">
        <f>I379</f>
        <v>114.23</v>
      </c>
      <c r="CG379" s="33">
        <f>LOG(J379)</f>
        <v>-0.15490195998574319</v>
      </c>
      <c r="CH379" s="33">
        <f>K379</f>
        <v>5.15</v>
      </c>
      <c r="CR379" s="33" t="str">
        <f t="shared" si="257"/>
        <v>Octane</v>
      </c>
      <c r="CS379" s="33" t="str">
        <f t="shared" si="258"/>
        <v>Alk</v>
      </c>
      <c r="CT379" s="33">
        <f t="shared" si="299"/>
        <v>114.23</v>
      </c>
      <c r="CU379" s="33" t="str">
        <f t="shared" si="300"/>
        <v xml:space="preserve"> A </v>
      </c>
      <c r="CV379" s="33">
        <f t="shared" si="301"/>
        <v>0.7</v>
      </c>
      <c r="CW379" s="33" t="str">
        <f t="shared" si="302"/>
        <v xml:space="preserve"> A  37 </v>
      </c>
      <c r="CX379" s="33">
        <f t="shared" si="303"/>
        <v>5.15</v>
      </c>
      <c r="CY379" s="33" t="str">
        <f t="shared" si="304"/>
        <v xml:space="preserve"> A  27 </v>
      </c>
    </row>
    <row r="380" spans="1:103" x14ac:dyDescent="0.2">
      <c r="B380" s="33">
        <v>-1504</v>
      </c>
      <c r="D380" s="33" t="s">
        <v>441</v>
      </c>
      <c r="E380" s="33" t="s">
        <v>799</v>
      </c>
      <c r="H380" s="34" t="s">
        <v>442</v>
      </c>
      <c r="I380" s="37">
        <f t="shared" si="306"/>
        <v>44.1</v>
      </c>
      <c r="J380" s="37">
        <f>IF(ISNUMBER(P380),P380,AVERAGE(S380:AE380))</f>
        <v>75</v>
      </c>
      <c r="K380" s="44">
        <f t="shared" si="282"/>
        <v>2.36</v>
      </c>
      <c r="L380" s="33" t="e">
        <f t="shared" si="283"/>
        <v>#DIV/0!</v>
      </c>
      <c r="M380" s="33" t="s">
        <v>1890</v>
      </c>
      <c r="Q380" s="44" t="str">
        <f t="shared" si="284"/>
        <v xml:space="preserve"> </v>
      </c>
      <c r="R380" s="33" t="str">
        <f>IF(OR(ISBLANK(P380), ISBLANK(Q380)),"",CONCATENATE(" ",VLOOKUP(Q380,Literatuur!$A:$B,2,FALSE)," "))</f>
        <v/>
      </c>
      <c r="S380" s="33">
        <v>75</v>
      </c>
      <c r="T380" s="44" t="str">
        <f t="shared" si="285"/>
        <v>Gestis</v>
      </c>
      <c r="U380" s="33" t="str">
        <f>IF(OR(ISBLANK(S380), ISBLANK(T380)),"",CONCATENATE(" ",VLOOKUP(T380,Literatuur!$A:$B,2,FALSE)," "))</f>
        <v xml:space="preserve"> A </v>
      </c>
      <c r="W380" s="44" t="str">
        <f t="shared" si="286"/>
        <v xml:space="preserve"> </v>
      </c>
      <c r="X380" s="33" t="str">
        <f>IF(OR(ISBLANK(V380), ISBLANK(W380)),"",CONCATENATE(" ",VLOOKUP(W380,Literatuur!$A:$B,2,FALSE)," "))</f>
        <v/>
      </c>
      <c r="Z380" s="44" t="str">
        <f t="shared" si="287"/>
        <v xml:space="preserve"> </v>
      </c>
      <c r="AA380" s="33" t="str">
        <f>IF(OR(ISBLANK(Y380), ISBLANK(Z380)),"",CONCATENATE(" ",VLOOKUP(Z380,Literatuur!$A:$B,2,FALSE)," "))</f>
        <v/>
      </c>
      <c r="AC380" s="36" t="str">
        <f t="shared" si="288"/>
        <v xml:space="preserve"> </v>
      </c>
      <c r="AD380" s="33" t="str">
        <f>IF(OR(ISBLANK(AB380), ISBLANK(AC380)),"",CONCATENATE(" ",VLOOKUP(AC380,Literatuur!$A:$B,2,FALSE)," "))</f>
        <v/>
      </c>
      <c r="AG380" s="33" t="str">
        <f>IF(OR(ISBLANK(AE380), ISBLANK(AF380)),"",CONCATENATE(" ",VLOOKUP(AF380,Literatuur!$A:$B,2,FALSE)," "))</f>
        <v/>
      </c>
      <c r="AJ380" s="44" t="str">
        <f t="shared" si="289"/>
        <v xml:space="preserve"> </v>
      </c>
      <c r="AK380" s="33" t="str">
        <f>IF(OR(ISBLANK(AI380), ISBLANK(AJ380)),"",CONCATENATE(" ",VLOOKUP(AJ380,Literatuur!$A:$B,2,FALSE)," "))</f>
        <v/>
      </c>
      <c r="AL380" s="33">
        <v>44.1</v>
      </c>
      <c r="AM380" s="44" t="str">
        <f t="shared" si="290"/>
        <v>Gestis</v>
      </c>
      <c r="AN380" s="33" t="str">
        <f>IF(OR(ISBLANK(AL380), ISBLANK(AM380)),"",CONCATENATE(" ",VLOOKUP(AM380,Literatuur!$A:$B,2,FALSE)," "))</f>
        <v xml:space="preserve"> A </v>
      </c>
      <c r="AP380" s="44" t="str">
        <f t="shared" si="291"/>
        <v xml:space="preserve"> </v>
      </c>
      <c r="AQ380" s="33" t="str">
        <f>IF(OR(ISBLANK(AO380), ISBLANK(AP380)),"",CONCATENATE(" ",VLOOKUP(AP380,Literatuur!$A:$B,2,FALSE)," "))</f>
        <v/>
      </c>
      <c r="AT380" s="33" t="str">
        <f>IF(OR(ISBLANK(AR380), ISBLANK(AS380)),"",CONCATENATE(" ",VLOOKUP(AS380,Literatuur!$A:$B,2,FALSE)," "))</f>
        <v/>
      </c>
      <c r="AW380" s="33" t="str">
        <f>IF(OR(ISBLANK(AU380), ISBLANK(AV380)),"",CONCATENATE(" ",VLOOKUP(AV380,Literatuur!$A:$B,2,FALSE)," "))</f>
        <v/>
      </c>
      <c r="AZ380" s="44" t="str">
        <f t="shared" si="292"/>
        <v xml:space="preserve"> </v>
      </c>
      <c r="BA380" s="33" t="str">
        <f>IF(OR(ISBLANK(AY380), ISBLANK(AZ380)),"",CONCATENATE(" ",VLOOKUP(AZ380,Literatuur!$A:$B,2,FALSE)," "))</f>
        <v/>
      </c>
      <c r="BB380" s="33">
        <v>2.36</v>
      </c>
      <c r="BC380" s="44" t="str">
        <f t="shared" si="293"/>
        <v>Gestis</v>
      </c>
      <c r="BD380" s="33" t="str">
        <f>IF(OR(ISBLANK(BB380), ISBLANK(BC380)),"",CONCATENATE(" ",VLOOKUP(BC380,Literatuur!$A:$B,2,FALSE)," "))</f>
        <v xml:space="preserve"> A </v>
      </c>
      <c r="BF380" s="44" t="str">
        <f t="shared" si="294"/>
        <v xml:space="preserve"> </v>
      </c>
      <c r="BG380" s="33" t="str">
        <f>IF(OR(ISBLANK(BE380), ISBLANK(BF380)),"",CONCATENATE(" ",VLOOKUP(BF380,Literatuur!$A:$B,2,FALSE)," "))</f>
        <v/>
      </c>
      <c r="BI380" s="44" t="str">
        <f t="shared" si="295"/>
        <v xml:space="preserve"> </v>
      </c>
      <c r="BJ380" s="33" t="str">
        <f>IF(OR(ISBLANK(BH380), ISBLANK(BI380)),"",CONCATENATE(" ",VLOOKUP(BI380,Literatuur!$A:$B,2,FALSE)," "))</f>
        <v/>
      </c>
      <c r="BL380" s="44" t="str">
        <f t="shared" si="296"/>
        <v xml:space="preserve"> </v>
      </c>
      <c r="BM380" s="33" t="str">
        <f>IF(OR(ISBLANK(BK380), ISBLANK(BL380)),"",CONCATENATE(" ",VLOOKUP(BL380,Literatuur!$A:$B,2,FALSE)," "))</f>
        <v/>
      </c>
      <c r="BP380" s="33" t="str">
        <f>IF(OR(ISBLANK(BN380), ISBLANK(BO380)),"",CONCATENATE(" ",VLOOKUP(BO380,Literatuur!$A:$B,2,FALSE)," "))</f>
        <v/>
      </c>
      <c r="BS380" s="33" t="str">
        <f>IF(OR(ISBLANK(BQ380), ISBLANK(BR380)),"",CONCATENATE(" ",VLOOKUP(BR380,Literatuur!$A:$B,2,FALSE)," "))</f>
        <v/>
      </c>
      <c r="BV380" s="33" t="str">
        <f>IF(OR(ISBLANK(BT380), ISBLANK(BU380)),"",CONCATENATE(" ",VLOOKUP(BU380,Literatuur!$A:$B,2,FALSE)," "))</f>
        <v/>
      </c>
      <c r="CE380" s="37">
        <f>I380</f>
        <v>44.1</v>
      </c>
      <c r="CG380" s="33">
        <f>LOG(J380)</f>
        <v>1.8750612633917001</v>
      </c>
      <c r="CH380" s="33">
        <f>K380</f>
        <v>2.36</v>
      </c>
      <c r="CR380" s="33" t="str">
        <f t="shared" si="257"/>
        <v>Propane</v>
      </c>
      <c r="CS380" s="33" t="str">
        <f t="shared" si="258"/>
        <v>Alk</v>
      </c>
      <c r="CT380" s="33">
        <f t="shared" si="299"/>
        <v>44.1</v>
      </c>
      <c r="CU380" s="33" t="str">
        <f t="shared" si="300"/>
        <v xml:space="preserve"> A </v>
      </c>
      <c r="CV380" s="33">
        <f t="shared" si="301"/>
        <v>75</v>
      </c>
      <c r="CW380" s="33" t="str">
        <f t="shared" si="302"/>
        <v xml:space="preserve"> A </v>
      </c>
      <c r="CX380" s="33">
        <f t="shared" si="303"/>
        <v>2.36</v>
      </c>
      <c r="CY380" s="33" t="str">
        <f t="shared" si="304"/>
        <v xml:space="preserve"> A </v>
      </c>
    </row>
    <row r="381" spans="1:103" x14ac:dyDescent="0.2">
      <c r="B381" s="33">
        <v>-1503</v>
      </c>
      <c r="D381" s="33" t="s">
        <v>440</v>
      </c>
      <c r="E381" s="33" t="s">
        <v>839</v>
      </c>
      <c r="F381" s="33" t="s">
        <v>1367</v>
      </c>
      <c r="H381" s="34" t="s">
        <v>1368</v>
      </c>
      <c r="I381" s="37">
        <f t="shared" si="306"/>
        <v>42.08</v>
      </c>
      <c r="J381" s="37">
        <f>IF(ISNUMBER(P381),P381,AVERAGE(S381:AE381))</f>
        <v>292</v>
      </c>
      <c r="K381" s="44">
        <f t="shared" si="282"/>
        <v>1.77</v>
      </c>
      <c r="L381" s="33" t="e">
        <f t="shared" si="283"/>
        <v>#DIV/0!</v>
      </c>
      <c r="M381" s="33" t="s">
        <v>1890</v>
      </c>
      <c r="Q381" s="44" t="str">
        <f t="shared" si="284"/>
        <v xml:space="preserve"> </v>
      </c>
      <c r="R381" s="33" t="str">
        <f>IF(OR(ISBLANK(P381), ISBLANK(Q381)),"",CONCATENATE(" ",VLOOKUP(Q381,Literatuur!$A:$B,2,FALSE)," "))</f>
        <v/>
      </c>
      <c r="S381" s="33">
        <v>384</v>
      </c>
      <c r="T381" s="44" t="str">
        <f t="shared" si="285"/>
        <v>Gestis</v>
      </c>
      <c r="U381" s="33" t="str">
        <f>IF(OR(ISBLANK(S381), ISBLANK(T381)),"",CONCATENATE(" ",VLOOKUP(T381,Literatuur!$A:$B,2,FALSE)," "))</f>
        <v xml:space="preserve"> A </v>
      </c>
      <c r="W381" s="44" t="str">
        <f t="shared" si="286"/>
        <v xml:space="preserve"> </v>
      </c>
      <c r="X381" s="33" t="str">
        <f>IF(OR(ISBLANK(V381), ISBLANK(W381)),"",CONCATENATE(" ",VLOOKUP(W381,Literatuur!$A:$B,2,FALSE)," "))</f>
        <v/>
      </c>
      <c r="Y381" s="33">
        <v>200</v>
      </c>
      <c r="Z381" s="44" t="str">
        <f t="shared" si="287"/>
        <v>US EPA suite</v>
      </c>
      <c r="AA381" s="33" t="str">
        <f>IF(OR(ISBLANK(Y381), ISBLANK(Z381)),"",CONCATENATE(" ",VLOOKUP(Z381,Literatuur!$A:$B,2,FALSE)," "))</f>
        <v xml:space="preserve"> F </v>
      </c>
      <c r="AC381" s="36" t="str">
        <f t="shared" si="288"/>
        <v xml:space="preserve"> </v>
      </c>
      <c r="AD381" s="33" t="str">
        <f>IF(OR(ISBLANK(AB381), ISBLANK(AC381)),"",CONCATENATE(" ",VLOOKUP(AC381,Literatuur!$A:$B,2,FALSE)," "))</f>
        <v/>
      </c>
      <c r="AE381" s="43"/>
      <c r="AF381" s="43"/>
      <c r="AG381" s="33" t="str">
        <f>IF(OR(ISBLANK(AE381), ISBLANK(AF381)),"",CONCATENATE(" ",VLOOKUP(AF381,Literatuur!$A:$B,2,FALSE)," "))</f>
        <v/>
      </c>
      <c r="AJ381" s="44" t="str">
        <f t="shared" si="289"/>
        <v xml:space="preserve"> </v>
      </c>
      <c r="AK381" s="33" t="str">
        <f>IF(OR(ISBLANK(AI381), ISBLANK(AJ381)),"",CONCATENATE(" ",VLOOKUP(AJ381,Literatuur!$A:$B,2,FALSE)," "))</f>
        <v/>
      </c>
      <c r="AL381" s="33">
        <v>42.08</v>
      </c>
      <c r="AM381" s="44" t="str">
        <f t="shared" si="290"/>
        <v>Gestis</v>
      </c>
      <c r="AN381" s="33" t="str">
        <f>IF(OR(ISBLANK(AL381), ISBLANK(AM381)),"",CONCATENATE(" ",VLOOKUP(AM381,Literatuur!$A:$B,2,FALSE)," "))</f>
        <v xml:space="preserve"> A </v>
      </c>
      <c r="AO381" s="33">
        <v>42.08</v>
      </c>
      <c r="AP381" s="44" t="str">
        <f t="shared" si="291"/>
        <v>US EPA suite</v>
      </c>
      <c r="AQ381" s="33" t="str">
        <f>IF(OR(ISBLANK(AO381), ISBLANK(AP381)),"",CONCATENATE(" ",VLOOKUP(AP381,Literatuur!$A:$B,2,FALSE)," "))</f>
        <v xml:space="preserve"> F </v>
      </c>
      <c r="AT381" s="33" t="str">
        <f>IF(OR(ISBLANK(AR381), ISBLANK(AS381)),"",CONCATENATE(" ",VLOOKUP(AS381,Literatuur!$A:$B,2,FALSE)," "))</f>
        <v/>
      </c>
      <c r="AW381" s="33" t="str">
        <f>IF(OR(ISBLANK(AU381), ISBLANK(AV381)),"",CONCATENATE(" ",VLOOKUP(AV381,Literatuur!$A:$B,2,FALSE)," "))</f>
        <v/>
      </c>
      <c r="AZ381" s="44" t="str">
        <f t="shared" si="292"/>
        <v xml:space="preserve"> </v>
      </c>
      <c r="BA381" s="33" t="str">
        <f>IF(OR(ISBLANK(AY381), ISBLANK(AZ381)),"",CONCATENATE(" ",VLOOKUP(AZ381,Literatuur!$A:$B,2,FALSE)," "))</f>
        <v/>
      </c>
      <c r="BB381" s="33">
        <v>1.77</v>
      </c>
      <c r="BC381" s="44" t="str">
        <f t="shared" si="293"/>
        <v>Gestis</v>
      </c>
      <c r="BD381" s="33" t="str">
        <f>IF(OR(ISBLANK(BB381), ISBLANK(BC381)),"",CONCATENATE(" ",VLOOKUP(BC381,Literatuur!$A:$B,2,FALSE)," "))</f>
        <v xml:space="preserve"> A </v>
      </c>
      <c r="BF381" s="44" t="str">
        <f t="shared" si="294"/>
        <v xml:space="preserve"> </v>
      </c>
      <c r="BG381" s="33" t="str">
        <f>IF(OR(ISBLANK(BE381), ISBLANK(BF381)),"",CONCATENATE(" ",VLOOKUP(BF381,Literatuur!$A:$B,2,FALSE)," "))</f>
        <v/>
      </c>
      <c r="BH381" s="33">
        <v>1.77</v>
      </c>
      <c r="BI381" s="44" t="str">
        <f t="shared" si="295"/>
        <v>US EPA suite</v>
      </c>
      <c r="BJ381" s="33" t="str">
        <f>IF(OR(ISBLANK(BH381), ISBLANK(BI381)),"",CONCATENATE(" ",VLOOKUP(BI381,Literatuur!$A:$B,2,FALSE)," "))</f>
        <v xml:space="preserve"> F </v>
      </c>
      <c r="BL381" s="44" t="str">
        <f t="shared" si="296"/>
        <v xml:space="preserve"> </v>
      </c>
      <c r="BM381" s="33" t="str">
        <f>IF(OR(ISBLANK(BK381), ISBLANK(BL381)),"",CONCATENATE(" ",VLOOKUP(BL381,Literatuur!$A:$B,2,FALSE)," "))</f>
        <v/>
      </c>
      <c r="BP381" s="33" t="str">
        <f>IF(OR(ISBLANK(BN381), ISBLANK(BO381)),"",CONCATENATE(" ",VLOOKUP(BO381,Literatuur!$A:$B,2,FALSE)," "))</f>
        <v/>
      </c>
      <c r="BS381" s="33" t="str">
        <f>IF(OR(ISBLANK(BQ381), ISBLANK(BR381)),"",CONCATENATE(" ",VLOOKUP(BR381,Literatuur!$A:$B,2,FALSE)," "))</f>
        <v/>
      </c>
      <c r="BV381" s="33" t="str">
        <f>IF(OR(ISBLANK(BT381), ISBLANK(BU381)),"",CONCATENATE(" ",VLOOKUP(BU381,Literatuur!$A:$B,2,FALSE)," "))</f>
        <v/>
      </c>
      <c r="CE381" s="37">
        <f>I381</f>
        <v>42.08</v>
      </c>
      <c r="CG381" s="33">
        <f>LOG(J381)</f>
        <v>2.4653828514484184</v>
      </c>
      <c r="CH381" s="33">
        <f>K381</f>
        <v>1.77</v>
      </c>
      <c r="CR381" s="33" t="str">
        <f t="shared" si="257"/>
        <v>Propylene</v>
      </c>
      <c r="CS381" s="33" t="str">
        <f t="shared" si="258"/>
        <v>Alk</v>
      </c>
      <c r="CT381" s="33">
        <f t="shared" si="299"/>
        <v>42.08</v>
      </c>
      <c r="CU381" s="33" t="str">
        <f t="shared" si="300"/>
        <v xml:space="preserve"> A  F </v>
      </c>
      <c r="CV381" s="33">
        <f t="shared" si="301"/>
        <v>292</v>
      </c>
      <c r="CW381" s="33" t="str">
        <f t="shared" si="302"/>
        <v xml:space="preserve"> A  F </v>
      </c>
      <c r="CX381" s="33">
        <f t="shared" si="303"/>
        <v>1.77</v>
      </c>
      <c r="CY381" s="33" t="str">
        <f t="shared" si="304"/>
        <v xml:space="preserve"> A  F </v>
      </c>
    </row>
  </sheetData>
  <autoFilter ref="A7:CF381" xr:uid="{00000000-0009-0000-0000-00000A000000}"/>
  <sortState xmlns:xlrd2="http://schemas.microsoft.com/office/spreadsheetml/2017/richdata2" ref="A14:DB392">
    <sortCondition descending="1" ref="M14:M392"/>
    <sortCondition ref="D14:D392"/>
  </sortState>
  <pageMargins left="0.75" right="0.75" top="1" bottom="1" header="0.5" footer="0.5"/>
  <pageSetup paperSize="9" orientation="portrait"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D62"/>
  <sheetViews>
    <sheetView workbookViewId="0">
      <selection activeCell="B60" sqref="A4:B60"/>
    </sheetView>
  </sheetViews>
  <sheetFormatPr defaultRowHeight="12.75" x14ac:dyDescent="0.2"/>
  <cols>
    <col min="1" max="1" width="29.42578125" customWidth="1"/>
  </cols>
  <sheetData>
    <row r="1" spans="1:4" x14ac:dyDescent="0.2">
      <c r="A1" s="4" t="s">
        <v>2074</v>
      </c>
      <c r="B1" s="4" t="s">
        <v>2075</v>
      </c>
    </row>
    <row r="2" spans="1:4" x14ac:dyDescent="0.2">
      <c r="A2" s="4" t="s">
        <v>1899</v>
      </c>
      <c r="B2" s="4" t="str">
        <f>" "</f>
        <v xml:space="preserve"> </v>
      </c>
      <c r="C2" s="4" t="s">
        <v>1901</v>
      </c>
    </row>
    <row r="4" spans="1:4" x14ac:dyDescent="0.2">
      <c r="A4" t="s">
        <v>1547</v>
      </c>
      <c r="B4" s="4">
        <v>2</v>
      </c>
    </row>
    <row r="5" spans="1:4" x14ac:dyDescent="0.2">
      <c r="A5" s="33" t="s">
        <v>1744</v>
      </c>
      <c r="B5" s="4">
        <v>1</v>
      </c>
    </row>
    <row r="6" spans="1:4" x14ac:dyDescent="0.2">
      <c r="A6" t="s">
        <v>1935</v>
      </c>
      <c r="B6" s="4">
        <v>4</v>
      </c>
    </row>
    <row r="7" spans="1:4" x14ac:dyDescent="0.2">
      <c r="A7" s="4" t="s">
        <v>1938</v>
      </c>
      <c r="B7" s="4">
        <v>3</v>
      </c>
    </row>
    <row r="8" spans="1:4" x14ac:dyDescent="0.2">
      <c r="A8" t="s">
        <v>1645</v>
      </c>
      <c r="B8" s="4">
        <v>5</v>
      </c>
    </row>
    <row r="9" spans="1:4" x14ac:dyDescent="0.2">
      <c r="A9" s="4" t="s">
        <v>1546</v>
      </c>
      <c r="B9" s="4">
        <v>6</v>
      </c>
      <c r="D9" s="4"/>
    </row>
    <row r="10" spans="1:4" x14ac:dyDescent="0.2">
      <c r="A10" s="33" t="s">
        <v>1906</v>
      </c>
      <c r="B10" s="4">
        <v>33</v>
      </c>
    </row>
    <row r="11" spans="1:4" x14ac:dyDescent="0.2">
      <c r="A11" s="4" t="s">
        <v>1936</v>
      </c>
      <c r="B11" s="4">
        <v>7</v>
      </c>
    </row>
    <row r="12" spans="1:4" x14ac:dyDescent="0.2">
      <c r="A12" s="33" t="s">
        <v>2066</v>
      </c>
      <c r="B12" s="4">
        <v>8</v>
      </c>
    </row>
    <row r="13" spans="1:4" x14ac:dyDescent="0.2">
      <c r="A13" s="4" t="s">
        <v>2114</v>
      </c>
      <c r="B13" s="4">
        <v>43</v>
      </c>
    </row>
    <row r="14" spans="1:4" x14ac:dyDescent="0.2">
      <c r="A14" s="4" t="s">
        <v>1593</v>
      </c>
      <c r="B14" s="4">
        <v>9</v>
      </c>
    </row>
    <row r="15" spans="1:4" x14ac:dyDescent="0.2">
      <c r="A15" s="4" t="s">
        <v>1594</v>
      </c>
      <c r="B15" s="4">
        <v>10</v>
      </c>
    </row>
    <row r="16" spans="1:4" x14ac:dyDescent="0.2">
      <c r="A16" t="s">
        <v>1597</v>
      </c>
      <c r="B16" s="4">
        <v>11</v>
      </c>
    </row>
    <row r="17" spans="1:4" x14ac:dyDescent="0.2">
      <c r="A17" s="4" t="s">
        <v>1226</v>
      </c>
      <c r="B17" s="4">
        <v>12</v>
      </c>
    </row>
    <row r="18" spans="1:4" x14ac:dyDescent="0.2">
      <c r="A18" s="4" t="s">
        <v>1691</v>
      </c>
      <c r="B18" s="4">
        <v>13</v>
      </c>
    </row>
    <row r="19" spans="1:4" x14ac:dyDescent="0.2">
      <c r="A19" s="4" t="s">
        <v>1859</v>
      </c>
      <c r="B19" s="4">
        <v>14</v>
      </c>
    </row>
    <row r="20" spans="1:4" x14ac:dyDescent="0.2">
      <c r="A20" s="4" t="s">
        <v>1939</v>
      </c>
      <c r="B20" s="4">
        <v>15</v>
      </c>
    </row>
    <row r="21" spans="1:4" x14ac:dyDescent="0.2">
      <c r="A21" s="4" t="s">
        <v>2099</v>
      </c>
      <c r="B21" s="4">
        <v>41</v>
      </c>
    </row>
    <row r="22" spans="1:4" x14ac:dyDescent="0.2">
      <c r="A22" s="33" t="s">
        <v>1557</v>
      </c>
      <c r="B22" s="4">
        <v>17</v>
      </c>
    </row>
    <row r="23" spans="1:4" x14ac:dyDescent="0.2">
      <c r="A23" t="s">
        <v>1940</v>
      </c>
      <c r="B23" s="4">
        <v>16</v>
      </c>
    </row>
    <row r="24" spans="1:4" x14ac:dyDescent="0.2">
      <c r="A24" s="4" t="s">
        <v>2112</v>
      </c>
      <c r="B24" s="4">
        <v>44</v>
      </c>
    </row>
    <row r="25" spans="1:4" x14ac:dyDescent="0.2">
      <c r="A25" s="4" t="s">
        <v>2098</v>
      </c>
      <c r="B25" s="4">
        <v>40</v>
      </c>
      <c r="C25" t="s">
        <v>1798</v>
      </c>
    </row>
    <row r="26" spans="1:4" x14ac:dyDescent="0.2">
      <c r="A26" t="s">
        <v>1817</v>
      </c>
      <c r="B26" s="4">
        <v>18</v>
      </c>
    </row>
    <row r="27" spans="1:4" x14ac:dyDescent="0.2">
      <c r="A27" t="s">
        <v>1231</v>
      </c>
      <c r="B27" s="4">
        <v>19</v>
      </c>
    </row>
    <row r="28" spans="1:4" x14ac:dyDescent="0.2">
      <c r="A28" t="s">
        <v>1596</v>
      </c>
      <c r="B28" s="4">
        <v>20</v>
      </c>
    </row>
    <row r="29" spans="1:4" x14ac:dyDescent="0.2">
      <c r="A29" s="33" t="s">
        <v>1235</v>
      </c>
      <c r="B29" s="4">
        <v>21</v>
      </c>
    </row>
    <row r="30" spans="1:4" x14ac:dyDescent="0.2">
      <c r="A30" t="s">
        <v>1984</v>
      </c>
      <c r="B30" s="4">
        <v>22</v>
      </c>
    </row>
    <row r="31" spans="1:4" x14ac:dyDescent="0.2">
      <c r="A31" s="4" t="s">
        <v>1680</v>
      </c>
      <c r="B31" s="4">
        <v>23</v>
      </c>
      <c r="D31" s="4"/>
    </row>
    <row r="32" spans="1:4" x14ac:dyDescent="0.2">
      <c r="A32" s="4" t="s">
        <v>1602</v>
      </c>
      <c r="B32" s="4">
        <v>24</v>
      </c>
    </row>
    <row r="33" spans="1:3" x14ac:dyDescent="0.2">
      <c r="A33" t="s">
        <v>2067</v>
      </c>
      <c r="B33" s="4">
        <v>25</v>
      </c>
    </row>
    <row r="34" spans="1:3" x14ac:dyDescent="0.2">
      <c r="A34" t="s">
        <v>1493</v>
      </c>
      <c r="B34" s="4">
        <v>45</v>
      </c>
    </row>
    <row r="35" spans="1:3" x14ac:dyDescent="0.2">
      <c r="A35" t="s">
        <v>1236</v>
      </c>
      <c r="B35" s="4">
        <v>26</v>
      </c>
    </row>
    <row r="36" spans="1:3" x14ac:dyDescent="0.2">
      <c r="A36" t="s">
        <v>266</v>
      </c>
      <c r="B36" s="4">
        <v>27</v>
      </c>
    </row>
    <row r="37" spans="1:3" x14ac:dyDescent="0.2">
      <c r="A37" t="s">
        <v>956</v>
      </c>
      <c r="B37" s="4">
        <v>28</v>
      </c>
    </row>
    <row r="38" spans="1:3" x14ac:dyDescent="0.2">
      <c r="A38" s="4" t="s">
        <v>1595</v>
      </c>
      <c r="B38" s="4">
        <v>29</v>
      </c>
    </row>
    <row r="39" spans="1:3" x14ac:dyDescent="0.2">
      <c r="A39" s="4" t="s">
        <v>1909</v>
      </c>
      <c r="B39" s="4">
        <v>30</v>
      </c>
    </row>
    <row r="40" spans="1:3" x14ac:dyDescent="0.2">
      <c r="A40" s="46" t="s">
        <v>1911</v>
      </c>
      <c r="B40" s="4">
        <v>31</v>
      </c>
    </row>
    <row r="41" spans="1:3" x14ac:dyDescent="0.2">
      <c r="A41" s="33" t="s">
        <v>1908</v>
      </c>
      <c r="B41" s="4">
        <v>32</v>
      </c>
    </row>
    <row r="42" spans="1:3" x14ac:dyDescent="0.2">
      <c r="A42" s="4" t="s">
        <v>1918</v>
      </c>
      <c r="B42" s="4">
        <v>36</v>
      </c>
      <c r="C42" s="4" t="s">
        <v>1919</v>
      </c>
    </row>
    <row r="43" spans="1:3" x14ac:dyDescent="0.2">
      <c r="A43" t="s">
        <v>1903</v>
      </c>
      <c r="B43" s="4">
        <v>34</v>
      </c>
    </row>
    <row r="44" spans="1:3" x14ac:dyDescent="0.2">
      <c r="A44" s="46" t="s">
        <v>1905</v>
      </c>
      <c r="B44" s="4">
        <v>35</v>
      </c>
    </row>
    <row r="45" spans="1:3" x14ac:dyDescent="0.2">
      <c r="A45" t="s">
        <v>430</v>
      </c>
      <c r="B45" s="4">
        <v>37</v>
      </c>
    </row>
    <row r="46" spans="1:3" x14ac:dyDescent="0.2">
      <c r="A46" t="s">
        <v>1402</v>
      </c>
      <c r="B46" s="4">
        <v>38</v>
      </c>
    </row>
    <row r="47" spans="1:3" x14ac:dyDescent="0.2">
      <c r="A47" s="4" t="s">
        <v>1875</v>
      </c>
      <c r="B47" s="4">
        <v>39</v>
      </c>
    </row>
    <row r="48" spans="1:3" x14ac:dyDescent="0.2">
      <c r="A48" s="4" t="s">
        <v>2113</v>
      </c>
      <c r="B48" s="4">
        <v>42</v>
      </c>
    </row>
    <row r="49" spans="1:3" x14ac:dyDescent="0.2">
      <c r="A49" s="4"/>
      <c r="B49" s="4"/>
    </row>
    <row r="50" spans="1:3" x14ac:dyDescent="0.2">
      <c r="A50" s="4" t="s">
        <v>1934</v>
      </c>
    </row>
    <row r="51" spans="1:3" x14ac:dyDescent="0.2">
      <c r="A51" s="1"/>
    </row>
    <row r="52" spans="1:3" x14ac:dyDescent="0.2">
      <c r="A52" s="44" t="s">
        <v>1900</v>
      </c>
      <c r="B52" s="4" t="s">
        <v>1561</v>
      </c>
    </row>
    <row r="53" spans="1:3" x14ac:dyDescent="0.2">
      <c r="A53" s="4" t="s">
        <v>1902</v>
      </c>
      <c r="B53" s="4" t="s">
        <v>1562</v>
      </c>
      <c r="C53" s="4" t="s">
        <v>364</v>
      </c>
    </row>
    <row r="54" spans="1:3" x14ac:dyDescent="0.2">
      <c r="A54" s="4" t="s">
        <v>1904</v>
      </c>
      <c r="B54" s="4" t="s">
        <v>753</v>
      </c>
      <c r="C54" s="4" t="s">
        <v>347</v>
      </c>
    </row>
    <row r="55" spans="1:3" x14ac:dyDescent="0.2">
      <c r="A55" t="s">
        <v>2096</v>
      </c>
      <c r="B55" s="4" t="s">
        <v>60</v>
      </c>
      <c r="C55" s="4" t="s">
        <v>2097</v>
      </c>
    </row>
    <row r="56" spans="1:3" x14ac:dyDescent="0.2">
      <c r="A56" s="4" t="s">
        <v>1898</v>
      </c>
      <c r="B56" s="4" t="s">
        <v>398</v>
      </c>
    </row>
    <row r="57" spans="1:3" x14ac:dyDescent="0.2">
      <c r="A57" s="33" t="s">
        <v>1907</v>
      </c>
      <c r="B57" s="4" t="s">
        <v>1461</v>
      </c>
    </row>
    <row r="58" spans="1:3" x14ac:dyDescent="0.2">
      <c r="A58" s="4" t="s">
        <v>1910</v>
      </c>
      <c r="B58" s="4" t="s">
        <v>1570</v>
      </c>
    </row>
    <row r="59" spans="1:3" x14ac:dyDescent="0.2">
      <c r="A59" s="33" t="s">
        <v>344</v>
      </c>
      <c r="B59" s="4" t="s">
        <v>1571</v>
      </c>
    </row>
    <row r="60" spans="1:3" x14ac:dyDescent="0.2">
      <c r="A60" s="4" t="s">
        <v>1666</v>
      </c>
      <c r="B60" s="4" t="s">
        <v>511</v>
      </c>
    </row>
    <row r="62" spans="1:3" x14ac:dyDescent="0.2">
      <c r="A62" s="4"/>
    </row>
  </sheetData>
  <sortState xmlns:xlrd2="http://schemas.microsoft.com/office/spreadsheetml/2017/richdata2" ref="A52:C59">
    <sortCondition ref="A52:A59"/>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99"/>
  <sheetViews>
    <sheetView workbookViewId="0">
      <pane xSplit="4" ySplit="1" topLeftCell="E123" activePane="bottomRight" state="frozen"/>
      <selection activeCell="Z42" sqref="Z42"/>
      <selection pane="topRight" activeCell="Z42" sqref="Z42"/>
      <selection pane="bottomLeft" activeCell="Z42" sqref="Z42"/>
      <selection pane="bottomRight" activeCell="D134" sqref="D134"/>
    </sheetView>
  </sheetViews>
  <sheetFormatPr defaultRowHeight="12.75" x14ac:dyDescent="0.2"/>
  <cols>
    <col min="1" max="1" width="9" style="25" bestFit="1" customWidth="1"/>
    <col min="2" max="2" width="7" style="25" bestFit="1" customWidth="1"/>
    <col min="3" max="3" width="7.7109375" style="25" bestFit="1" customWidth="1"/>
    <col min="4" max="4" width="40.140625" style="25" bestFit="1" customWidth="1"/>
    <col min="5" max="5" width="4.42578125" style="25" bestFit="1" customWidth="1"/>
    <col min="6" max="8" width="12.140625" style="25" bestFit="1" customWidth="1"/>
    <col min="9" max="9" width="7.5703125" style="25" bestFit="1" customWidth="1"/>
    <col min="10" max="10" width="6.85546875" style="25" bestFit="1" customWidth="1"/>
    <col min="11" max="11" width="5" style="25" bestFit="1" customWidth="1"/>
    <col min="12" max="12" width="12.140625" style="25" bestFit="1" customWidth="1"/>
    <col min="13" max="13" width="6.28515625" style="25" bestFit="1" customWidth="1"/>
    <col min="14" max="14" width="10" style="25" bestFit="1" customWidth="1"/>
    <col min="15" max="15" width="4" style="25" bestFit="1" customWidth="1"/>
    <col min="16" max="16" width="8.140625" style="25" bestFit="1" customWidth="1"/>
    <col min="17" max="17" width="10.140625" style="25" bestFit="1" customWidth="1"/>
    <col min="18" max="18" width="9.140625" style="25"/>
    <col min="19" max="19" width="6" style="25" bestFit="1" customWidth="1"/>
    <col min="20" max="20" width="11" style="25" bestFit="1" customWidth="1"/>
    <col min="21" max="21" width="12.7109375" style="25" bestFit="1" customWidth="1"/>
    <col min="22" max="22" width="12.140625" style="25" bestFit="1" customWidth="1"/>
    <col min="23" max="23" width="2.28515625" style="25" bestFit="1" customWidth="1"/>
    <col min="24" max="24" width="5" style="25" bestFit="1" customWidth="1"/>
    <col min="25" max="26" width="9.140625" style="25"/>
    <col min="27" max="27" width="7.7109375" style="25" bestFit="1" customWidth="1"/>
    <col min="28" max="16384" width="9.140625" style="25"/>
  </cols>
  <sheetData>
    <row r="1" spans="1:27" ht="15" x14ac:dyDescent="0.25">
      <c r="A1" s="24" t="s">
        <v>38</v>
      </c>
      <c r="B1" s="24" t="s">
        <v>39</v>
      </c>
      <c r="C1" s="24" t="s">
        <v>40</v>
      </c>
      <c r="D1" s="24" t="s">
        <v>41</v>
      </c>
      <c r="E1" s="24" t="s">
        <v>42</v>
      </c>
      <c r="F1" s="24" t="s">
        <v>43</v>
      </c>
      <c r="G1" s="24" t="s">
        <v>44</v>
      </c>
      <c r="H1" s="24" t="s">
        <v>45</v>
      </c>
      <c r="I1" s="24" t="s">
        <v>46</v>
      </c>
      <c r="J1" s="24" t="s">
        <v>47</v>
      </c>
      <c r="K1" s="24" t="s">
        <v>48</v>
      </c>
      <c r="L1" s="24" t="s">
        <v>49</v>
      </c>
      <c r="M1" s="24" t="s">
        <v>50</v>
      </c>
      <c r="N1" s="24" t="s">
        <v>51</v>
      </c>
      <c r="O1" s="24" t="s">
        <v>52</v>
      </c>
      <c r="P1" s="24" t="s">
        <v>53</v>
      </c>
      <c r="Q1" s="24" t="s">
        <v>54</v>
      </c>
      <c r="R1" s="24" t="s">
        <v>55</v>
      </c>
      <c r="S1" s="24" t="s">
        <v>56</v>
      </c>
      <c r="T1" s="24" t="s">
        <v>57</v>
      </c>
      <c r="U1" s="24" t="s">
        <v>58</v>
      </c>
      <c r="V1" s="24" t="s">
        <v>59</v>
      </c>
      <c r="W1" s="24" t="s">
        <v>60</v>
      </c>
      <c r="X1" s="24" t="s">
        <v>61</v>
      </c>
      <c r="AA1" s="24" t="s">
        <v>40</v>
      </c>
    </row>
    <row r="2" spans="1:27" ht="15" x14ac:dyDescent="0.25">
      <c r="A2" s="30"/>
      <c r="B2" s="27">
        <v>-17</v>
      </c>
      <c r="C2" s="27">
        <v>408</v>
      </c>
      <c r="D2" s="28" t="s">
        <v>26</v>
      </c>
      <c r="E2" s="27">
        <v>0</v>
      </c>
      <c r="F2" s="27">
        <v>133.4</v>
      </c>
      <c r="G2" s="27">
        <v>800.4</v>
      </c>
      <c r="H2" s="27">
        <v>8215</v>
      </c>
      <c r="I2" s="27">
        <v>2.8000000000000003</v>
      </c>
      <c r="J2" s="27">
        <v>1.97</v>
      </c>
      <c r="K2" s="30"/>
      <c r="L2" s="27">
        <v>1.9999999999999999E-6</v>
      </c>
      <c r="M2" s="27">
        <v>0</v>
      </c>
      <c r="N2" s="27">
        <v>0</v>
      </c>
      <c r="O2" s="27">
        <v>0</v>
      </c>
      <c r="P2" s="30"/>
      <c r="Q2" s="30"/>
      <c r="R2" s="28" t="s">
        <v>68</v>
      </c>
      <c r="S2" s="30"/>
      <c r="T2" s="27">
        <v>3.8000000000000002E-4</v>
      </c>
      <c r="U2" s="27">
        <v>0.9</v>
      </c>
      <c r="V2" s="27">
        <v>0.08</v>
      </c>
      <c r="W2" s="30"/>
      <c r="X2" s="30"/>
      <c r="AA2" s="27">
        <v>1</v>
      </c>
    </row>
    <row r="3" spans="1:27" ht="15" x14ac:dyDescent="0.25">
      <c r="A3" s="30"/>
      <c r="B3" s="27">
        <v>-18</v>
      </c>
      <c r="C3" s="27">
        <v>409</v>
      </c>
      <c r="D3" s="28" t="s">
        <v>121</v>
      </c>
      <c r="E3" s="27">
        <v>0</v>
      </c>
      <c r="F3" s="27">
        <v>133.4</v>
      </c>
      <c r="G3" s="27">
        <v>3055</v>
      </c>
      <c r="H3" s="27">
        <v>1590</v>
      </c>
      <c r="I3" s="27">
        <v>1.8900000000000001</v>
      </c>
      <c r="J3" s="27">
        <v>1.97</v>
      </c>
      <c r="K3" s="30"/>
      <c r="L3" s="27">
        <v>1.9999999999999999E-6</v>
      </c>
      <c r="M3" s="27">
        <v>0</v>
      </c>
      <c r="N3" s="27">
        <v>0</v>
      </c>
      <c r="O3" s="27">
        <v>0</v>
      </c>
      <c r="P3" s="30"/>
      <c r="Q3" s="30"/>
      <c r="R3" s="28" t="s">
        <v>68</v>
      </c>
      <c r="S3" s="30"/>
      <c r="T3" s="27">
        <v>1.7E-5</v>
      </c>
      <c r="U3" s="30"/>
      <c r="V3" s="27">
        <v>4.0000000000000001E-3</v>
      </c>
      <c r="W3" s="30"/>
      <c r="X3" s="30"/>
      <c r="AA3" s="27">
        <v>2</v>
      </c>
    </row>
    <row r="4" spans="1:27" ht="15" x14ac:dyDescent="0.25">
      <c r="A4" s="27">
        <v>75342</v>
      </c>
      <c r="B4" s="27">
        <v>-13</v>
      </c>
      <c r="C4" s="27">
        <v>407</v>
      </c>
      <c r="D4" s="28" t="s">
        <v>120</v>
      </c>
      <c r="E4" s="27">
        <v>0</v>
      </c>
      <c r="F4" s="27">
        <v>98.964999873692747</v>
      </c>
      <c r="G4" s="27">
        <v>5223.690292919664</v>
      </c>
      <c r="H4" s="27">
        <v>24700.418760931483</v>
      </c>
      <c r="I4" s="27">
        <v>1.79</v>
      </c>
      <c r="J4" s="27">
        <v>1.54</v>
      </c>
      <c r="K4" s="30"/>
      <c r="L4" s="27">
        <v>4.9999999999999998E-7</v>
      </c>
      <c r="M4" s="27">
        <v>0</v>
      </c>
      <c r="N4" s="27">
        <v>0</v>
      </c>
      <c r="O4" s="27">
        <v>0</v>
      </c>
      <c r="P4" s="30"/>
      <c r="Q4" s="30"/>
      <c r="R4" s="28" t="s">
        <v>68</v>
      </c>
      <c r="S4" s="30"/>
      <c r="T4" s="27">
        <v>3.6999999999999999E-4</v>
      </c>
      <c r="U4" s="27">
        <v>0.6</v>
      </c>
      <c r="V4" s="27">
        <v>0.08</v>
      </c>
      <c r="W4" s="30"/>
      <c r="X4" s="30"/>
      <c r="AA4" s="27">
        <v>3</v>
      </c>
    </row>
    <row r="5" spans="1:27" ht="15" x14ac:dyDescent="0.25">
      <c r="A5" s="27">
        <v>75354</v>
      </c>
      <c r="B5" s="27">
        <v>28</v>
      </c>
      <c r="C5" s="27">
        <v>417</v>
      </c>
      <c r="D5" s="28" t="s">
        <v>24</v>
      </c>
      <c r="E5" s="27">
        <v>0</v>
      </c>
      <c r="F5" s="27">
        <v>97</v>
      </c>
      <c r="G5" s="27">
        <v>1824</v>
      </c>
      <c r="H5" s="27">
        <v>37947</v>
      </c>
      <c r="I5" s="27">
        <v>2.13</v>
      </c>
      <c r="J5" s="27">
        <v>1.78</v>
      </c>
      <c r="K5" s="30"/>
      <c r="L5" s="27">
        <v>1.0000000000000001E-5</v>
      </c>
      <c r="M5" s="27">
        <v>0</v>
      </c>
      <c r="N5" s="27">
        <v>0</v>
      </c>
      <c r="O5" s="27">
        <v>0</v>
      </c>
      <c r="P5" s="30"/>
      <c r="Q5" s="30"/>
      <c r="R5" s="28" t="s">
        <v>68</v>
      </c>
      <c r="S5" s="30"/>
      <c r="T5" s="27">
        <v>1.4E-5</v>
      </c>
      <c r="U5" s="30"/>
      <c r="V5" s="27">
        <v>3.0000000000000001E-3</v>
      </c>
      <c r="W5" s="30"/>
      <c r="X5" s="30"/>
      <c r="AA5" s="27">
        <v>4</v>
      </c>
    </row>
    <row r="6" spans="1:27" ht="15" x14ac:dyDescent="0.25">
      <c r="A6" s="27">
        <v>67562394</v>
      </c>
      <c r="B6" s="27">
        <v>-60</v>
      </c>
      <c r="C6" s="27">
        <v>818</v>
      </c>
      <c r="D6" s="28" t="s">
        <v>231</v>
      </c>
      <c r="E6" s="27">
        <v>0</v>
      </c>
      <c r="F6" s="27">
        <v>409.31</v>
      </c>
      <c r="G6" s="27">
        <v>1.35E-6</v>
      </c>
      <c r="H6" s="27">
        <v>3.0800000000000001E-7</v>
      </c>
      <c r="I6" s="27">
        <v>7.92</v>
      </c>
      <c r="J6" s="27">
        <v>6.5200000000000005</v>
      </c>
      <c r="K6" s="30"/>
      <c r="L6" s="27">
        <v>9.9999999999999995E-8</v>
      </c>
      <c r="M6" s="27">
        <v>0</v>
      </c>
      <c r="N6" s="27">
        <v>0</v>
      </c>
      <c r="O6" s="27">
        <v>0</v>
      </c>
      <c r="P6" s="30"/>
      <c r="Q6" s="30"/>
      <c r="R6" s="28" t="s">
        <v>68</v>
      </c>
      <c r="S6" s="30"/>
      <c r="T6" s="30"/>
      <c r="U6" s="30"/>
      <c r="V6" s="27">
        <v>2.0000000000000001E-9</v>
      </c>
      <c r="W6" s="30"/>
      <c r="X6" s="30"/>
      <c r="AA6" s="27">
        <v>5</v>
      </c>
    </row>
    <row r="7" spans="1:27" ht="15" x14ac:dyDescent="0.25">
      <c r="A7" s="27">
        <v>55673897</v>
      </c>
      <c r="B7" s="27">
        <v>-61</v>
      </c>
      <c r="C7" s="27">
        <v>819</v>
      </c>
      <c r="D7" s="28" t="s">
        <v>232</v>
      </c>
      <c r="E7" s="27">
        <v>0</v>
      </c>
      <c r="F7" s="27">
        <v>409.31</v>
      </c>
      <c r="G7" s="27">
        <v>3.5899999999999998E-5</v>
      </c>
      <c r="H7" s="27">
        <v>3.8500000000000002E-7</v>
      </c>
      <c r="I7" s="27">
        <v>7.66</v>
      </c>
      <c r="J7" s="27">
        <v>6.3100000000000005</v>
      </c>
      <c r="K7" s="30"/>
      <c r="L7" s="27">
        <v>9.9999999999999995E-8</v>
      </c>
      <c r="M7" s="27">
        <v>0</v>
      </c>
      <c r="N7" s="27">
        <v>0</v>
      </c>
      <c r="O7" s="27">
        <v>0</v>
      </c>
      <c r="P7" s="30"/>
      <c r="Q7" s="30"/>
      <c r="R7" s="28" t="s">
        <v>68</v>
      </c>
      <c r="S7" s="30"/>
      <c r="T7" s="30"/>
      <c r="U7" s="30"/>
      <c r="V7" s="27">
        <v>2.0000000000000001E-9</v>
      </c>
      <c r="W7" s="30"/>
      <c r="X7" s="30"/>
      <c r="AA7" s="27">
        <v>6</v>
      </c>
    </row>
    <row r="8" spans="1:27" ht="15" x14ac:dyDescent="0.25">
      <c r="A8" s="27">
        <v>70648269</v>
      </c>
      <c r="B8" s="27">
        <v>8985</v>
      </c>
      <c r="C8" s="27">
        <v>814</v>
      </c>
      <c r="D8" s="28" t="s">
        <v>227</v>
      </c>
      <c r="E8" s="27">
        <v>0</v>
      </c>
      <c r="F8" s="27">
        <v>374.87</v>
      </c>
      <c r="G8" s="27">
        <v>8.2500000000000006E-6</v>
      </c>
      <c r="H8" s="27">
        <v>8.0900000000000005E-6</v>
      </c>
      <c r="I8" s="27">
        <v>7.8100000000000005</v>
      </c>
      <c r="J8" s="27">
        <v>6.43</v>
      </c>
      <c r="K8" s="30"/>
      <c r="L8" s="27">
        <v>9.9999999999999995E-8</v>
      </c>
      <c r="M8" s="27">
        <v>0</v>
      </c>
      <c r="N8" s="27">
        <v>0</v>
      </c>
      <c r="O8" s="27">
        <v>0</v>
      </c>
      <c r="P8" s="30"/>
      <c r="Q8" s="30"/>
      <c r="R8" s="28" t="s">
        <v>68</v>
      </c>
      <c r="S8" s="30"/>
      <c r="T8" s="30"/>
      <c r="U8" s="30"/>
      <c r="V8" s="27">
        <v>2.0000000000000001E-9</v>
      </c>
      <c r="W8" s="30"/>
      <c r="X8" s="30"/>
      <c r="AA8" s="27">
        <v>7</v>
      </c>
    </row>
    <row r="9" spans="1:27" ht="15" x14ac:dyDescent="0.25">
      <c r="A9" s="27">
        <v>634662</v>
      </c>
      <c r="B9" s="27">
        <v>30</v>
      </c>
      <c r="C9" s="27">
        <v>503</v>
      </c>
      <c r="D9" s="28" t="s">
        <v>130</v>
      </c>
      <c r="E9" s="27">
        <v>0</v>
      </c>
      <c r="F9" s="27">
        <v>215.9</v>
      </c>
      <c r="G9" s="27">
        <v>3.3992733636203223</v>
      </c>
      <c r="H9" s="27">
        <v>0.67831965521688686</v>
      </c>
      <c r="I9" s="27">
        <v>4.6399999999999997</v>
      </c>
      <c r="J9" s="27">
        <v>3.91</v>
      </c>
      <c r="K9" s="30"/>
      <c r="L9" s="27">
        <v>9.9999999999999995E-7</v>
      </c>
      <c r="M9" s="27">
        <v>0</v>
      </c>
      <c r="N9" s="27">
        <v>0</v>
      </c>
      <c r="O9" s="27">
        <v>0</v>
      </c>
      <c r="P9" s="30"/>
      <c r="Q9" s="30"/>
      <c r="R9" s="28" t="s">
        <v>68</v>
      </c>
      <c r="S9" s="30"/>
      <c r="T9" s="30"/>
      <c r="U9" s="27">
        <v>7.0000000000000001E-3</v>
      </c>
      <c r="V9" s="27">
        <v>5.0000000000000001E-4</v>
      </c>
      <c r="W9" s="30"/>
      <c r="X9" s="30"/>
      <c r="AA9" s="27">
        <v>8</v>
      </c>
    </row>
    <row r="10" spans="1:27" ht="15" x14ac:dyDescent="0.25">
      <c r="A10" s="27">
        <v>634902</v>
      </c>
      <c r="B10" s="27">
        <v>1495</v>
      </c>
      <c r="C10" s="27">
        <v>533</v>
      </c>
      <c r="D10" s="28" t="s">
        <v>150</v>
      </c>
      <c r="E10" s="27">
        <v>0</v>
      </c>
      <c r="F10" s="27">
        <v>215.9</v>
      </c>
      <c r="G10" s="27">
        <v>2.6149575622040455</v>
      </c>
      <c r="H10" s="27">
        <v>1.2898942762629544</v>
      </c>
      <c r="I10" s="27">
        <v>4.66</v>
      </c>
      <c r="J10" s="27">
        <v>3.5700000000000003</v>
      </c>
      <c r="K10" s="30"/>
      <c r="L10" s="27">
        <v>9.9999999999999995E-7</v>
      </c>
      <c r="M10" s="27">
        <v>0</v>
      </c>
      <c r="N10" s="27">
        <v>0</v>
      </c>
      <c r="O10" s="27">
        <v>0</v>
      </c>
      <c r="P10" s="30"/>
      <c r="Q10" s="30"/>
      <c r="R10" s="28" t="s">
        <v>68</v>
      </c>
      <c r="S10" s="30"/>
      <c r="T10" s="30"/>
      <c r="U10" s="27">
        <v>7.0000000000000001E-3</v>
      </c>
      <c r="V10" s="27">
        <v>5.0000000000000001E-4</v>
      </c>
      <c r="W10" s="30"/>
      <c r="X10" s="30"/>
      <c r="AA10" s="27">
        <v>9</v>
      </c>
    </row>
    <row r="11" spans="1:27" ht="15" x14ac:dyDescent="0.25">
      <c r="A11" s="27">
        <v>57117449</v>
      </c>
      <c r="B11" s="27">
        <v>8635</v>
      </c>
      <c r="C11" s="27">
        <v>815</v>
      </c>
      <c r="D11" s="28" t="s">
        <v>228</v>
      </c>
      <c r="E11" s="27">
        <v>0</v>
      </c>
      <c r="F11" s="27">
        <v>374.87</v>
      </c>
      <c r="G11" s="27">
        <v>1.77E-5</v>
      </c>
      <c r="H11" s="27">
        <v>1.49E-5</v>
      </c>
      <c r="I11" s="27">
        <v>7.92</v>
      </c>
      <c r="J11" s="27">
        <v>6.5200000000000005</v>
      </c>
      <c r="K11" s="30"/>
      <c r="L11" s="27">
        <v>9.9999999999999995E-8</v>
      </c>
      <c r="M11" s="27">
        <v>0</v>
      </c>
      <c r="N11" s="27">
        <v>0</v>
      </c>
      <c r="O11" s="27">
        <v>0</v>
      </c>
      <c r="P11" s="30"/>
      <c r="Q11" s="30"/>
      <c r="R11" s="28" t="s">
        <v>68</v>
      </c>
      <c r="S11" s="30"/>
      <c r="T11" s="30"/>
      <c r="U11" s="30"/>
      <c r="V11" s="27">
        <v>2.0000000000000001E-9</v>
      </c>
      <c r="W11" s="30"/>
      <c r="X11" s="30"/>
      <c r="AA11" s="27">
        <v>10</v>
      </c>
    </row>
    <row r="12" spans="1:27" ht="15" x14ac:dyDescent="0.25">
      <c r="A12" s="27">
        <v>72918388</v>
      </c>
      <c r="B12" s="27">
        <v>-58</v>
      </c>
      <c r="C12" s="27">
        <v>816</v>
      </c>
      <c r="D12" s="28" t="s">
        <v>229</v>
      </c>
      <c r="E12" s="27">
        <v>0</v>
      </c>
      <c r="F12" s="27">
        <v>374.86</v>
      </c>
      <c r="G12" s="27">
        <v>1.1400000000000001E-4</v>
      </c>
      <c r="H12" s="27">
        <v>1.03E-5</v>
      </c>
      <c r="I12" s="27">
        <v>7.58</v>
      </c>
      <c r="J12" s="27">
        <v>6.24</v>
      </c>
      <c r="K12" s="30"/>
      <c r="L12" s="27">
        <v>9.9999999999999995E-8</v>
      </c>
      <c r="M12" s="27">
        <v>0</v>
      </c>
      <c r="N12" s="27">
        <v>0</v>
      </c>
      <c r="O12" s="27">
        <v>0</v>
      </c>
      <c r="P12" s="30"/>
      <c r="Q12" s="30"/>
      <c r="R12" s="28" t="s">
        <v>68</v>
      </c>
      <c r="S12" s="30"/>
      <c r="T12" s="30"/>
      <c r="U12" s="30"/>
      <c r="V12" s="27">
        <v>2.0000000000000001E-9</v>
      </c>
      <c r="W12" s="30"/>
      <c r="X12" s="30"/>
      <c r="AA12" s="27">
        <v>11</v>
      </c>
    </row>
    <row r="13" spans="1:27" ht="15" x14ac:dyDescent="0.25">
      <c r="A13" s="27">
        <v>57117416</v>
      </c>
      <c r="B13" s="27">
        <v>8632</v>
      </c>
      <c r="C13" s="27">
        <v>812</v>
      </c>
      <c r="D13" s="28" t="s">
        <v>225</v>
      </c>
      <c r="E13" s="27">
        <v>0</v>
      </c>
      <c r="F13" s="27">
        <v>340.42</v>
      </c>
      <c r="G13" s="27">
        <v>8.7299999999999997E-4</v>
      </c>
      <c r="H13" s="27">
        <v>4.6100000000000002E-5</v>
      </c>
      <c r="I13" s="27">
        <v>6.8500000000000005</v>
      </c>
      <c r="J13" s="27">
        <v>5.65</v>
      </c>
      <c r="K13" s="30"/>
      <c r="L13" s="27">
        <v>9.9999999999999995E-8</v>
      </c>
      <c r="M13" s="27">
        <v>0</v>
      </c>
      <c r="N13" s="27">
        <v>0</v>
      </c>
      <c r="O13" s="27">
        <v>0</v>
      </c>
      <c r="P13" s="30"/>
      <c r="Q13" s="30"/>
      <c r="R13" s="28" t="s">
        <v>68</v>
      </c>
      <c r="S13" s="30"/>
      <c r="T13" s="30"/>
      <c r="U13" s="30"/>
      <c r="V13" s="27">
        <v>2.0000000000000001E-9</v>
      </c>
      <c r="W13" s="30"/>
      <c r="X13" s="30"/>
      <c r="AA13" s="27">
        <v>12</v>
      </c>
    </row>
    <row r="14" spans="1:27" ht="15" x14ac:dyDescent="0.25">
      <c r="A14" s="27">
        <v>87616</v>
      </c>
      <c r="B14" s="27">
        <v>31</v>
      </c>
      <c r="C14" s="27">
        <v>530</v>
      </c>
      <c r="D14" s="28" t="s">
        <v>147</v>
      </c>
      <c r="E14" s="27">
        <v>0</v>
      </c>
      <c r="F14" s="27">
        <v>181.43999503992538</v>
      </c>
      <c r="G14" s="27">
        <v>13.623987011866511</v>
      </c>
      <c r="H14" s="27">
        <v>24.734567601345915</v>
      </c>
      <c r="I14" s="27">
        <v>4.1399999999999997</v>
      </c>
      <c r="J14" s="27">
        <v>3.23</v>
      </c>
      <c r="K14" s="30"/>
      <c r="L14" s="27">
        <v>9.9999999999999995E-7</v>
      </c>
      <c r="M14" s="27">
        <v>0</v>
      </c>
      <c r="N14" s="27">
        <v>0</v>
      </c>
      <c r="O14" s="27">
        <v>0</v>
      </c>
      <c r="P14" s="30"/>
      <c r="Q14" s="30"/>
      <c r="R14" s="28" t="s">
        <v>68</v>
      </c>
      <c r="S14" s="30"/>
      <c r="T14" s="27">
        <v>5.0000000000000002E-5</v>
      </c>
      <c r="U14" s="27">
        <v>7.0000000000000001E-3</v>
      </c>
      <c r="V14" s="27">
        <v>8.0000000000000002E-3</v>
      </c>
      <c r="W14" s="30"/>
      <c r="X14" s="30"/>
      <c r="AA14" s="27">
        <v>13</v>
      </c>
    </row>
    <row r="15" spans="1:27" ht="15" x14ac:dyDescent="0.25">
      <c r="A15" s="27">
        <v>95943</v>
      </c>
      <c r="B15" s="27">
        <v>34</v>
      </c>
      <c r="C15" s="27">
        <v>532</v>
      </c>
      <c r="D15" s="28" t="s">
        <v>149</v>
      </c>
      <c r="E15" s="27">
        <v>0</v>
      </c>
      <c r="F15" s="27">
        <v>215.9</v>
      </c>
      <c r="G15" s="27">
        <v>0.68248084955349564</v>
      </c>
      <c r="H15" s="27">
        <v>3.9975657004867577</v>
      </c>
      <c r="I15" s="27">
        <v>4.6000000000000005</v>
      </c>
      <c r="J15" s="27">
        <v>3.77</v>
      </c>
      <c r="K15" s="30"/>
      <c r="L15" s="27">
        <v>9.9999999999999995E-7</v>
      </c>
      <c r="M15" s="27">
        <v>0</v>
      </c>
      <c r="N15" s="27">
        <v>0</v>
      </c>
      <c r="O15" s="27">
        <v>0</v>
      </c>
      <c r="P15" s="30"/>
      <c r="Q15" s="30"/>
      <c r="R15" s="28" t="s">
        <v>68</v>
      </c>
      <c r="S15" s="30"/>
      <c r="T15" s="30"/>
      <c r="U15" s="27">
        <v>7.0000000000000001E-3</v>
      </c>
      <c r="V15" s="27">
        <v>5.0000000000000001E-4</v>
      </c>
      <c r="W15" s="30"/>
      <c r="X15" s="30"/>
      <c r="AA15" s="27">
        <v>14</v>
      </c>
    </row>
    <row r="16" spans="1:27" ht="15" x14ac:dyDescent="0.25">
      <c r="A16" s="27">
        <v>120821</v>
      </c>
      <c r="B16" s="27">
        <v>35</v>
      </c>
      <c r="C16" s="27">
        <v>502</v>
      </c>
      <c r="D16" s="28" t="s">
        <v>129</v>
      </c>
      <c r="E16" s="27">
        <v>0</v>
      </c>
      <c r="F16" s="27">
        <v>181.43999503992538</v>
      </c>
      <c r="G16" s="27">
        <v>28.808020153910686</v>
      </c>
      <c r="H16" s="27">
        <v>40.675733175500589</v>
      </c>
      <c r="I16" s="27">
        <v>4.05</v>
      </c>
      <c r="J16" s="27">
        <v>3.2800000000000002</v>
      </c>
      <c r="K16" s="30"/>
      <c r="L16" s="27">
        <v>9.9999999999999995E-7</v>
      </c>
      <c r="M16" s="27">
        <v>0</v>
      </c>
      <c r="N16" s="27">
        <v>0</v>
      </c>
      <c r="O16" s="27">
        <v>0</v>
      </c>
      <c r="P16" s="30"/>
      <c r="Q16" s="30"/>
      <c r="R16" s="28" t="s">
        <v>68</v>
      </c>
      <c r="S16" s="30"/>
      <c r="T16" s="27">
        <v>5.0000000000000002E-5</v>
      </c>
      <c r="U16" s="27">
        <v>7.0000000000000001E-3</v>
      </c>
      <c r="V16" s="27">
        <v>8.0000000000000002E-3</v>
      </c>
      <c r="W16" s="30"/>
      <c r="X16" s="30"/>
      <c r="AA16" s="27">
        <v>17</v>
      </c>
    </row>
    <row r="17" spans="1:27" ht="15" x14ac:dyDescent="0.25">
      <c r="A17" s="27">
        <v>95501</v>
      </c>
      <c r="B17" s="27">
        <v>39</v>
      </c>
      <c r="C17" s="27">
        <v>528</v>
      </c>
      <c r="D17" s="28" t="s">
        <v>146</v>
      </c>
      <c r="E17" s="27">
        <v>0</v>
      </c>
      <c r="F17" s="27">
        <v>147.002499936227</v>
      </c>
      <c r="G17" s="27">
        <v>140.21858602054385</v>
      </c>
      <c r="H17" s="27">
        <v>130.25489464612838</v>
      </c>
      <c r="I17" s="27">
        <v>3.43</v>
      </c>
      <c r="J17" s="27">
        <v>2.6</v>
      </c>
      <c r="K17" s="30"/>
      <c r="L17" s="27">
        <v>1.9999999999999999E-6</v>
      </c>
      <c r="M17" s="27">
        <v>0</v>
      </c>
      <c r="N17" s="27">
        <v>0</v>
      </c>
      <c r="O17" s="27">
        <v>0</v>
      </c>
      <c r="P17" s="30"/>
      <c r="Q17" s="30"/>
      <c r="R17" s="28" t="s">
        <v>68</v>
      </c>
      <c r="S17" s="30"/>
      <c r="T17" s="27">
        <v>5.9999999999999995E-4</v>
      </c>
      <c r="U17" s="27">
        <v>7.0000000000000001E-3</v>
      </c>
      <c r="V17" s="27">
        <v>0.43</v>
      </c>
      <c r="W17" s="30"/>
      <c r="X17" s="30"/>
      <c r="AA17" s="27">
        <v>17</v>
      </c>
    </row>
    <row r="18" spans="1:27" ht="15" x14ac:dyDescent="0.25">
      <c r="A18" s="27">
        <v>107062</v>
      </c>
      <c r="B18" s="27">
        <v>3</v>
      </c>
      <c r="C18" s="27">
        <v>400</v>
      </c>
      <c r="D18" s="28" t="s">
        <v>22</v>
      </c>
      <c r="E18" s="27">
        <v>0</v>
      </c>
      <c r="F18" s="27">
        <v>98.973331537275584</v>
      </c>
      <c r="G18" s="27">
        <v>10188.832473485421</v>
      </c>
      <c r="H18" s="27">
        <v>7387.6144268998078</v>
      </c>
      <c r="I18" s="27">
        <v>1.47</v>
      </c>
      <c r="J18" s="27">
        <v>1.49</v>
      </c>
      <c r="K18" s="30"/>
      <c r="L18" s="27">
        <v>2.9999999999999999E-7</v>
      </c>
      <c r="M18" s="27">
        <v>0</v>
      </c>
      <c r="N18" s="27">
        <v>0</v>
      </c>
      <c r="O18" s="27">
        <v>0</v>
      </c>
      <c r="P18" s="30"/>
      <c r="Q18" s="30"/>
      <c r="R18" s="28" t="s">
        <v>68</v>
      </c>
      <c r="S18" s="30"/>
      <c r="T18" s="27">
        <v>4.8000000000000001E-5</v>
      </c>
      <c r="U18" s="27">
        <v>0.1</v>
      </c>
      <c r="V18" s="27">
        <v>1.4E-2</v>
      </c>
      <c r="W18" s="30"/>
      <c r="X18" s="27">
        <v>6.26</v>
      </c>
      <c r="AA18" s="27">
        <v>18</v>
      </c>
    </row>
    <row r="19" spans="1:27" ht="15" x14ac:dyDescent="0.25">
      <c r="A19" s="27">
        <v>156592</v>
      </c>
      <c r="B19" s="27">
        <v>-14</v>
      </c>
      <c r="C19" s="27">
        <v>410</v>
      </c>
      <c r="D19" s="28" t="s">
        <v>122</v>
      </c>
      <c r="E19" s="27">
        <v>0</v>
      </c>
      <c r="F19" s="27">
        <v>96.95</v>
      </c>
      <c r="G19" s="27">
        <v>775.6</v>
      </c>
      <c r="H19" s="27">
        <v>15461</v>
      </c>
      <c r="I19" s="27">
        <v>1.27</v>
      </c>
      <c r="J19" s="27">
        <v>1.82</v>
      </c>
      <c r="K19" s="30"/>
      <c r="L19" s="27">
        <v>4.0000000000000001E-8</v>
      </c>
      <c r="M19" s="27">
        <v>0</v>
      </c>
      <c r="N19" s="27">
        <v>0</v>
      </c>
      <c r="O19" s="27">
        <v>0</v>
      </c>
      <c r="P19" s="30"/>
      <c r="Q19" s="30"/>
      <c r="R19" s="28" t="s">
        <v>68</v>
      </c>
      <c r="S19" s="30"/>
      <c r="T19" s="27">
        <v>2.9999999999999997E-5</v>
      </c>
      <c r="U19" s="30"/>
      <c r="V19" s="27">
        <v>6.0000000000000001E-3</v>
      </c>
      <c r="W19" s="30"/>
      <c r="X19" s="30"/>
      <c r="AA19" s="27">
        <v>19</v>
      </c>
    </row>
    <row r="20" spans="1:27" ht="15" x14ac:dyDescent="0.25">
      <c r="A20" s="27">
        <v>540590</v>
      </c>
      <c r="B20" s="27">
        <v>1516</v>
      </c>
      <c r="C20" s="27">
        <v>412</v>
      </c>
      <c r="D20" s="28" t="s">
        <v>124</v>
      </c>
      <c r="E20" s="27">
        <v>0</v>
      </c>
      <c r="F20" s="27">
        <v>96.95</v>
      </c>
      <c r="G20" s="27">
        <v>775.6</v>
      </c>
      <c r="H20" s="27">
        <v>15461</v>
      </c>
      <c r="I20" s="27">
        <v>1.27</v>
      </c>
      <c r="J20" s="27">
        <v>1.82</v>
      </c>
      <c r="K20" s="30"/>
      <c r="L20" s="27">
        <v>4.0000000000000001E-8</v>
      </c>
      <c r="M20" s="27">
        <v>0</v>
      </c>
      <c r="N20" s="27">
        <v>0</v>
      </c>
      <c r="O20" s="27">
        <v>0</v>
      </c>
      <c r="P20" s="30"/>
      <c r="Q20" s="30"/>
      <c r="R20" s="28" t="s">
        <v>68</v>
      </c>
      <c r="S20" s="30"/>
      <c r="T20" s="27">
        <v>3.0000000000000001E-5</v>
      </c>
      <c r="U20" s="30"/>
      <c r="V20" s="27">
        <v>6.0000000000000001E-3</v>
      </c>
      <c r="W20" s="30"/>
      <c r="X20" s="30"/>
      <c r="AA20" s="27">
        <v>21</v>
      </c>
    </row>
    <row r="21" spans="1:27" ht="15" x14ac:dyDescent="0.25">
      <c r="A21" s="27">
        <v>156605</v>
      </c>
      <c r="B21" s="27">
        <v>3446</v>
      </c>
      <c r="C21" s="27">
        <v>411</v>
      </c>
      <c r="D21" s="28" t="s">
        <v>123</v>
      </c>
      <c r="E21" s="27">
        <v>0</v>
      </c>
      <c r="F21" s="27">
        <v>96.95</v>
      </c>
      <c r="G21" s="27">
        <v>581.70000000000005</v>
      </c>
      <c r="H21" s="27">
        <v>20973</v>
      </c>
      <c r="I21" s="27">
        <v>1.0900000000000001</v>
      </c>
      <c r="J21" s="27">
        <v>1.81</v>
      </c>
      <c r="K21" s="30"/>
      <c r="L21" s="27">
        <v>4.0000000000000001E-8</v>
      </c>
      <c r="M21" s="27">
        <v>0</v>
      </c>
      <c r="N21" s="27">
        <v>0</v>
      </c>
      <c r="O21" s="27">
        <v>0</v>
      </c>
      <c r="P21" s="30"/>
      <c r="Q21" s="30"/>
      <c r="R21" s="28" t="s">
        <v>68</v>
      </c>
      <c r="S21" s="30"/>
      <c r="T21" s="27">
        <v>6.0000000000000002E-5</v>
      </c>
      <c r="U21" s="30"/>
      <c r="V21" s="27">
        <v>1.7000000000000001E-2</v>
      </c>
      <c r="W21" s="30"/>
      <c r="X21" s="30"/>
      <c r="AA21" s="27">
        <v>22</v>
      </c>
    </row>
    <row r="22" spans="1:27" ht="15" x14ac:dyDescent="0.25">
      <c r="A22" s="30"/>
      <c r="B22" s="27">
        <v>-15</v>
      </c>
      <c r="C22" s="27">
        <v>415</v>
      </c>
      <c r="D22" s="28" t="s">
        <v>125</v>
      </c>
      <c r="E22" s="27">
        <v>0</v>
      </c>
      <c r="F22" s="27">
        <v>113</v>
      </c>
      <c r="G22" s="27">
        <v>1469</v>
      </c>
      <c r="H22" s="27">
        <v>2475</v>
      </c>
      <c r="I22" s="27">
        <v>1.99</v>
      </c>
      <c r="J22" s="27">
        <v>1.58</v>
      </c>
      <c r="K22" s="30"/>
      <c r="L22" s="27">
        <v>9.9999999999999995E-7</v>
      </c>
      <c r="M22" s="27">
        <v>0</v>
      </c>
      <c r="N22" s="27">
        <v>0</v>
      </c>
      <c r="O22" s="27">
        <v>0</v>
      </c>
      <c r="P22" s="30"/>
      <c r="Q22" s="30"/>
      <c r="R22" s="28" t="s">
        <v>68</v>
      </c>
      <c r="S22" s="30"/>
      <c r="T22" s="27">
        <v>1.2E-5</v>
      </c>
      <c r="U22" s="27">
        <v>0.01</v>
      </c>
      <c r="V22" s="27">
        <v>7.0000000000000007E-2</v>
      </c>
      <c r="W22" s="30"/>
      <c r="X22" s="30"/>
      <c r="AA22" s="27">
        <v>102</v>
      </c>
    </row>
    <row r="23" spans="1:27" ht="15" x14ac:dyDescent="0.25">
      <c r="A23" s="27">
        <v>108703</v>
      </c>
      <c r="B23" s="27">
        <v>46</v>
      </c>
      <c r="C23" s="27">
        <v>531</v>
      </c>
      <c r="D23" s="28" t="s">
        <v>148</v>
      </c>
      <c r="E23" s="27">
        <v>0</v>
      </c>
      <c r="F23" s="27">
        <v>181.42499827752513</v>
      </c>
      <c r="G23" s="27">
        <v>4.7119534067902347</v>
      </c>
      <c r="H23" s="27">
        <v>280.05578567509076</v>
      </c>
      <c r="I23" s="27">
        <v>4.1900000000000004</v>
      </c>
      <c r="J23" s="27">
        <v>3.98</v>
      </c>
      <c r="K23" s="30"/>
      <c r="L23" s="27">
        <v>9.9999999999999995E-7</v>
      </c>
      <c r="M23" s="27">
        <v>0</v>
      </c>
      <c r="N23" s="27">
        <v>0</v>
      </c>
      <c r="O23" s="27">
        <v>0</v>
      </c>
      <c r="P23" s="30"/>
      <c r="Q23" s="30"/>
      <c r="R23" s="28" t="s">
        <v>68</v>
      </c>
      <c r="S23" s="30"/>
      <c r="T23" s="27">
        <v>5.0000000000000002E-5</v>
      </c>
      <c r="U23" s="27">
        <v>7.0000000000000001E-3</v>
      </c>
      <c r="V23" s="27">
        <v>8.0000000000000002E-3</v>
      </c>
      <c r="W23" s="30"/>
      <c r="X23" s="30"/>
      <c r="AA23" s="27">
        <v>103</v>
      </c>
    </row>
    <row r="24" spans="1:27" ht="15" x14ac:dyDescent="0.25">
      <c r="A24" s="30"/>
      <c r="B24" s="27">
        <v>-16</v>
      </c>
      <c r="C24" s="27">
        <v>416</v>
      </c>
      <c r="D24" s="28" t="s">
        <v>126</v>
      </c>
      <c r="E24" s="27">
        <v>0</v>
      </c>
      <c r="F24" s="27">
        <v>113</v>
      </c>
      <c r="G24" s="27">
        <v>1469</v>
      </c>
      <c r="H24" s="27">
        <v>2475</v>
      </c>
      <c r="I24" s="27">
        <v>1.99</v>
      </c>
      <c r="J24" s="27">
        <v>1.58</v>
      </c>
      <c r="K24" s="30"/>
      <c r="L24" s="27">
        <v>9.9999999999999995E-7</v>
      </c>
      <c r="M24" s="27">
        <v>0</v>
      </c>
      <c r="N24" s="27">
        <v>0</v>
      </c>
      <c r="O24" s="27">
        <v>0</v>
      </c>
      <c r="P24" s="30"/>
      <c r="Q24" s="30"/>
      <c r="R24" s="28" t="s">
        <v>68</v>
      </c>
      <c r="S24" s="30"/>
      <c r="T24" s="27">
        <v>1.2E-5</v>
      </c>
      <c r="U24" s="27">
        <v>0.01</v>
      </c>
      <c r="V24" s="27">
        <v>0.05</v>
      </c>
      <c r="W24" s="30"/>
      <c r="X24" s="30"/>
      <c r="AA24" s="27">
        <v>107</v>
      </c>
    </row>
    <row r="25" spans="1:27" ht="15" x14ac:dyDescent="0.25">
      <c r="A25" s="27">
        <v>106467</v>
      </c>
      <c r="B25" s="27">
        <v>4205</v>
      </c>
      <c r="C25" s="27">
        <v>501</v>
      </c>
      <c r="D25" s="28" t="s">
        <v>128</v>
      </c>
      <c r="E25" s="27">
        <v>0</v>
      </c>
      <c r="F25" s="27">
        <v>147.00199994558051</v>
      </c>
      <c r="G25" s="27">
        <v>60.526307160070552</v>
      </c>
      <c r="H25" s="27">
        <v>90.58085437819598</v>
      </c>
      <c r="I25" s="27">
        <v>3.44</v>
      </c>
      <c r="J25" s="27">
        <v>2.82</v>
      </c>
      <c r="K25" s="30"/>
      <c r="L25" s="27">
        <v>1.9999999999999999E-6</v>
      </c>
      <c r="M25" s="27">
        <v>0</v>
      </c>
      <c r="N25" s="27">
        <v>0</v>
      </c>
      <c r="O25" s="27">
        <v>0</v>
      </c>
      <c r="P25" s="30"/>
      <c r="Q25" s="30"/>
      <c r="R25" s="28" t="s">
        <v>68</v>
      </c>
      <c r="S25" s="30"/>
      <c r="T25" s="27">
        <v>6.7000000000000002E-4</v>
      </c>
      <c r="U25" s="27">
        <v>7.0000000000000001E-3</v>
      </c>
      <c r="V25" s="27">
        <v>0.1</v>
      </c>
      <c r="W25" s="30"/>
      <c r="X25" s="30"/>
      <c r="AA25" s="27">
        <v>200</v>
      </c>
    </row>
    <row r="26" spans="1:27" ht="15" x14ac:dyDescent="0.25">
      <c r="A26" s="27">
        <v>90131</v>
      </c>
      <c r="B26" s="27">
        <v>61</v>
      </c>
      <c r="C26" s="27">
        <v>511</v>
      </c>
      <c r="D26" s="28" t="s">
        <v>138</v>
      </c>
      <c r="E26" s="27">
        <v>0</v>
      </c>
      <c r="F26" s="27">
        <v>162.60599980321081</v>
      </c>
      <c r="G26" s="27">
        <v>16.801468519552433</v>
      </c>
      <c r="H26" s="27">
        <v>4.2458774398218866</v>
      </c>
      <c r="I26" s="27">
        <v>4.0999999999999996</v>
      </c>
      <c r="J26" s="27">
        <v>3.42</v>
      </c>
      <c r="K26" s="30"/>
      <c r="L26" s="27">
        <v>4.9999999999999998E-7</v>
      </c>
      <c r="M26" s="27">
        <v>0</v>
      </c>
      <c r="N26" s="27">
        <v>0</v>
      </c>
      <c r="O26" s="27">
        <v>0</v>
      </c>
      <c r="P26" s="30"/>
      <c r="Q26" s="30"/>
      <c r="R26" s="28" t="s">
        <v>68</v>
      </c>
      <c r="S26" s="30"/>
      <c r="T26" s="27">
        <v>9.9999999999999995E-7</v>
      </c>
      <c r="U26" s="30"/>
      <c r="V26" s="27">
        <v>0.08</v>
      </c>
      <c r="W26" s="30"/>
      <c r="X26" s="30"/>
      <c r="AA26" s="27">
        <v>201</v>
      </c>
    </row>
    <row r="27" spans="1:27" ht="15" x14ac:dyDescent="0.25">
      <c r="A27" s="27">
        <v>4901513</v>
      </c>
      <c r="B27" s="27">
        <v>281</v>
      </c>
      <c r="C27" s="27">
        <v>509</v>
      </c>
      <c r="D27" s="28" t="s">
        <v>136</v>
      </c>
      <c r="E27" s="27">
        <v>0</v>
      </c>
      <c r="F27" s="27">
        <v>231.9</v>
      </c>
      <c r="G27" s="27">
        <v>3.61</v>
      </c>
      <c r="H27" s="27">
        <v>3.9399999999999998E-2</v>
      </c>
      <c r="I27" s="27">
        <v>4.21</v>
      </c>
      <c r="J27" s="27">
        <v>3.87</v>
      </c>
      <c r="K27" s="27">
        <v>6.07</v>
      </c>
      <c r="L27" s="27">
        <v>9.9999999999999995E-7</v>
      </c>
      <c r="M27" s="30"/>
      <c r="N27" s="27">
        <v>3.0000000000000001E-3</v>
      </c>
      <c r="O27" s="27">
        <v>12</v>
      </c>
      <c r="P27" s="30"/>
      <c r="Q27" s="30"/>
      <c r="R27" s="28" t="s">
        <v>63</v>
      </c>
      <c r="S27" s="30"/>
      <c r="T27" s="30"/>
      <c r="U27" s="27">
        <v>4.0000000000000002E-4</v>
      </c>
      <c r="V27" s="27">
        <v>3.0000000000000001E-3</v>
      </c>
      <c r="W27" s="30"/>
      <c r="X27" s="30"/>
      <c r="AA27" s="27">
        <v>202</v>
      </c>
    </row>
    <row r="28" spans="1:27" ht="15" x14ac:dyDescent="0.25">
      <c r="A28" s="27">
        <v>60851345</v>
      </c>
      <c r="B28" s="27">
        <v>-59</v>
      </c>
      <c r="C28" s="27">
        <v>817</v>
      </c>
      <c r="D28" s="28" t="s">
        <v>230</v>
      </c>
      <c r="E28" s="27">
        <v>0</v>
      </c>
      <c r="F28" s="27">
        <v>374.87</v>
      </c>
      <c r="G28" s="27">
        <v>5.8900000000000002E-5</v>
      </c>
      <c r="H28" s="27">
        <v>1.49E-5</v>
      </c>
      <c r="I28" s="27">
        <v>7.92</v>
      </c>
      <c r="J28" s="27">
        <v>6.5200000000000005</v>
      </c>
      <c r="K28" s="30"/>
      <c r="L28" s="27">
        <v>9.9999999999999995E-8</v>
      </c>
      <c r="M28" s="27">
        <v>0</v>
      </c>
      <c r="N28" s="27">
        <v>0</v>
      </c>
      <c r="O28" s="27">
        <v>0</v>
      </c>
      <c r="P28" s="30"/>
      <c r="Q28" s="30"/>
      <c r="R28" s="28" t="s">
        <v>68</v>
      </c>
      <c r="S28" s="30"/>
      <c r="T28" s="30"/>
      <c r="U28" s="30"/>
      <c r="V28" s="27">
        <v>2.0000000000000001E-9</v>
      </c>
      <c r="W28" s="30"/>
      <c r="X28" s="30"/>
      <c r="AA28" s="27">
        <v>203</v>
      </c>
    </row>
    <row r="29" spans="1:27" ht="15" x14ac:dyDescent="0.25">
      <c r="A29" s="27">
        <v>58902</v>
      </c>
      <c r="B29" s="27">
        <v>282</v>
      </c>
      <c r="C29" s="27">
        <v>546</v>
      </c>
      <c r="D29" s="28" t="s">
        <v>163</v>
      </c>
      <c r="E29" s="27">
        <v>0</v>
      </c>
      <c r="F29" s="27">
        <v>231.9</v>
      </c>
      <c r="G29" s="27">
        <v>14.7</v>
      </c>
      <c r="H29" s="27">
        <v>6.0299999999999999E-2</v>
      </c>
      <c r="I29" s="27">
        <v>4.12</v>
      </c>
      <c r="J29" s="27">
        <v>3.1</v>
      </c>
      <c r="K29" s="27">
        <v>5.29</v>
      </c>
      <c r="L29" s="27">
        <v>9.9999999999999995E-7</v>
      </c>
      <c r="M29" s="30"/>
      <c r="N29" s="27">
        <v>3.0000000000000001E-3</v>
      </c>
      <c r="O29" s="27">
        <v>21</v>
      </c>
      <c r="P29" s="30"/>
      <c r="Q29" s="30"/>
      <c r="R29" s="28" t="s">
        <v>63</v>
      </c>
      <c r="S29" s="30"/>
      <c r="T29" s="30"/>
      <c r="U29" s="27">
        <v>4.0000000000000002E-4</v>
      </c>
      <c r="V29" s="27">
        <v>3.0000000000000001E-3</v>
      </c>
      <c r="W29" s="30"/>
      <c r="X29" s="30"/>
      <c r="AA29" s="27">
        <v>204</v>
      </c>
    </row>
    <row r="30" spans="1:27" ht="15" x14ac:dyDescent="0.25">
      <c r="A30" s="27">
        <v>57117314</v>
      </c>
      <c r="B30" s="27">
        <v>8622</v>
      </c>
      <c r="C30" s="27">
        <v>813</v>
      </c>
      <c r="D30" s="28" t="s">
        <v>226</v>
      </c>
      <c r="E30" s="27">
        <v>0</v>
      </c>
      <c r="F30" s="27">
        <v>340.42</v>
      </c>
      <c r="G30" s="27">
        <v>2.3599999999999999E-4</v>
      </c>
      <c r="H30" s="27">
        <v>2.1699999999999999E-5</v>
      </c>
      <c r="I30" s="27">
        <v>6.8500000000000005</v>
      </c>
      <c r="J30" s="27">
        <v>5.65</v>
      </c>
      <c r="K30" s="30"/>
      <c r="L30" s="27">
        <v>9.9999999999999995E-8</v>
      </c>
      <c r="M30" s="27">
        <v>0</v>
      </c>
      <c r="N30" s="27">
        <v>0</v>
      </c>
      <c r="O30" s="27">
        <v>0</v>
      </c>
      <c r="P30" s="30"/>
      <c r="Q30" s="30"/>
      <c r="R30" s="28" t="s">
        <v>68</v>
      </c>
      <c r="S30" s="30"/>
      <c r="T30" s="30"/>
      <c r="U30" s="30"/>
      <c r="V30" s="27">
        <v>2.0000000000000001E-9</v>
      </c>
      <c r="W30" s="30"/>
      <c r="X30" s="30"/>
      <c r="AA30" s="27">
        <v>205</v>
      </c>
    </row>
    <row r="31" spans="1:27" ht="15" x14ac:dyDescent="0.25">
      <c r="A31" s="27">
        <v>15950660</v>
      </c>
      <c r="B31" s="27">
        <v>179</v>
      </c>
      <c r="C31" s="27">
        <v>508</v>
      </c>
      <c r="D31" s="28" t="s">
        <v>135</v>
      </c>
      <c r="E31" s="27">
        <v>0</v>
      </c>
      <c r="F31" s="27">
        <v>197.5</v>
      </c>
      <c r="G31" s="27">
        <v>71.099999999999994</v>
      </c>
      <c r="H31" s="27">
        <v>0.79300000000000004</v>
      </c>
      <c r="I31" s="27">
        <v>3.46</v>
      </c>
      <c r="J31" s="27">
        <v>3.08</v>
      </c>
      <c r="K31" s="27">
        <v>7.01</v>
      </c>
      <c r="L31" s="27">
        <v>4.9999999999999998E-7</v>
      </c>
      <c r="M31" s="30"/>
      <c r="N31" s="27">
        <v>3.0000000000000001E-3</v>
      </c>
      <c r="O31" s="27">
        <v>22</v>
      </c>
      <c r="P31" s="30"/>
      <c r="Q31" s="30"/>
      <c r="R31" s="28" t="s">
        <v>63</v>
      </c>
      <c r="S31" s="30"/>
      <c r="T31" s="30"/>
      <c r="U31" s="27">
        <v>4.0000000000000002E-4</v>
      </c>
      <c r="V31" s="27">
        <v>3.0000000000000001E-3</v>
      </c>
      <c r="W31" s="30"/>
      <c r="X31" s="30"/>
      <c r="AA31" s="27">
        <v>206</v>
      </c>
    </row>
    <row r="32" spans="1:27" ht="15" x14ac:dyDescent="0.25">
      <c r="A32" s="27">
        <v>935955</v>
      </c>
      <c r="B32" s="27">
        <v>284</v>
      </c>
      <c r="C32" s="27">
        <v>547</v>
      </c>
      <c r="D32" s="28" t="s">
        <v>164</v>
      </c>
      <c r="E32" s="27">
        <v>0</v>
      </c>
      <c r="F32" s="27">
        <v>231.9</v>
      </c>
      <c r="G32" s="27">
        <v>4.79</v>
      </c>
      <c r="H32" s="27">
        <v>3.9399999999999998E-2</v>
      </c>
      <c r="I32" s="27">
        <v>3.88</v>
      </c>
      <c r="J32" s="27">
        <v>3.34</v>
      </c>
      <c r="K32" s="27">
        <v>5.21</v>
      </c>
      <c r="L32" s="27">
        <v>9.9999999999999995E-7</v>
      </c>
      <c r="M32" s="30"/>
      <c r="N32" s="27">
        <v>3.0000000000000001E-3</v>
      </c>
      <c r="O32" s="27">
        <v>21</v>
      </c>
      <c r="P32" s="30"/>
      <c r="Q32" s="30"/>
      <c r="R32" s="28" t="s">
        <v>63</v>
      </c>
      <c r="S32" s="30"/>
      <c r="T32" s="30"/>
      <c r="U32" s="27">
        <v>4.0000000000000002E-4</v>
      </c>
      <c r="V32" s="27">
        <v>3.0000000000000001E-3</v>
      </c>
      <c r="W32" s="30"/>
      <c r="X32" s="30"/>
      <c r="AA32" s="27">
        <v>207</v>
      </c>
    </row>
    <row r="33" spans="1:27" ht="15" x14ac:dyDescent="0.25">
      <c r="A33" s="27">
        <v>933788</v>
      </c>
      <c r="B33" s="27">
        <v>180</v>
      </c>
      <c r="C33" s="27">
        <v>541</v>
      </c>
      <c r="D33" s="28" t="s">
        <v>158</v>
      </c>
      <c r="E33" s="27">
        <v>0</v>
      </c>
      <c r="F33" s="27">
        <v>197.45</v>
      </c>
      <c r="G33" s="27">
        <v>126</v>
      </c>
      <c r="H33" s="27">
        <v>0.20200000000000001</v>
      </c>
      <c r="I33" s="27">
        <v>3.58</v>
      </c>
      <c r="J33" s="27">
        <v>3.16</v>
      </c>
      <c r="K33" s="27">
        <v>6.79</v>
      </c>
      <c r="L33" s="27">
        <v>4.9999999999999998E-7</v>
      </c>
      <c r="M33" s="30"/>
      <c r="N33" s="27">
        <v>3.0000000000000001E-3</v>
      </c>
      <c r="O33" s="27">
        <v>22</v>
      </c>
      <c r="P33" s="30"/>
      <c r="Q33" s="30"/>
      <c r="R33" s="28" t="s">
        <v>63</v>
      </c>
      <c r="S33" s="30"/>
      <c r="T33" s="30"/>
      <c r="U33" s="27">
        <v>4.0000000000000002E-4</v>
      </c>
      <c r="V33" s="27">
        <v>3.0000000000000001E-3</v>
      </c>
      <c r="W33" s="30"/>
      <c r="X33" s="30"/>
      <c r="AA33" s="27">
        <v>208</v>
      </c>
    </row>
    <row r="34" spans="1:27" ht="15" x14ac:dyDescent="0.25">
      <c r="A34" s="27">
        <v>933755</v>
      </c>
      <c r="B34" s="27">
        <v>285</v>
      </c>
      <c r="C34" s="27">
        <v>542</v>
      </c>
      <c r="D34" s="28" t="s">
        <v>159</v>
      </c>
      <c r="E34" s="27">
        <v>0</v>
      </c>
      <c r="F34" s="27">
        <v>197.45</v>
      </c>
      <c r="G34" s="27">
        <v>125.6</v>
      </c>
      <c r="H34" s="27">
        <v>0.20200000000000001</v>
      </c>
      <c r="I34" s="27">
        <v>3.77</v>
      </c>
      <c r="J34" s="27">
        <v>3.28</v>
      </c>
      <c r="K34" s="27">
        <v>5.95</v>
      </c>
      <c r="L34" s="27">
        <v>4.9999999999999998E-7</v>
      </c>
      <c r="M34" s="30"/>
      <c r="N34" s="27">
        <v>3.0000000000000001E-3</v>
      </c>
      <c r="O34" s="27">
        <v>22</v>
      </c>
      <c r="P34" s="30"/>
      <c r="Q34" s="30"/>
      <c r="R34" s="28" t="s">
        <v>63</v>
      </c>
      <c r="S34" s="30"/>
      <c r="T34" s="30"/>
      <c r="U34" s="27">
        <v>4.0000000000000002E-4</v>
      </c>
      <c r="V34" s="27">
        <v>3.0000000000000001E-3</v>
      </c>
      <c r="W34" s="30"/>
      <c r="X34" s="30"/>
      <c r="AA34" s="27">
        <v>209</v>
      </c>
    </row>
    <row r="35" spans="1:27" ht="15" x14ac:dyDescent="0.25">
      <c r="A35" s="30"/>
      <c r="B35" s="27">
        <v>-54</v>
      </c>
      <c r="C35" s="27">
        <v>800</v>
      </c>
      <c r="D35" s="28" t="s">
        <v>219</v>
      </c>
      <c r="E35" s="27">
        <v>0</v>
      </c>
      <c r="F35" s="27">
        <v>322</v>
      </c>
      <c r="G35" s="27">
        <v>2.9999999999999997E-4</v>
      </c>
      <c r="H35" s="27">
        <v>1.3999999999999999E-6</v>
      </c>
      <c r="I35" s="27">
        <v>6.8</v>
      </c>
      <c r="J35" s="27">
        <v>5.6079999999999997</v>
      </c>
      <c r="K35" s="30"/>
      <c r="L35" s="27">
        <v>9.9999999999999995E-8</v>
      </c>
      <c r="M35" s="27">
        <v>0</v>
      </c>
      <c r="N35" s="27">
        <v>0</v>
      </c>
      <c r="O35" s="27">
        <v>0</v>
      </c>
      <c r="P35" s="30"/>
      <c r="Q35" s="30"/>
      <c r="R35" s="28" t="s">
        <v>68</v>
      </c>
      <c r="S35" s="30"/>
      <c r="T35" s="30"/>
      <c r="U35" s="30"/>
      <c r="V35" s="27">
        <v>2.0000000000000001E-9</v>
      </c>
      <c r="W35" s="30"/>
      <c r="X35" s="30"/>
      <c r="AA35" s="27">
        <v>216</v>
      </c>
    </row>
    <row r="36" spans="1:27" ht="15" x14ac:dyDescent="0.25">
      <c r="A36" s="27">
        <v>51207319</v>
      </c>
      <c r="B36" s="27">
        <v>460</v>
      </c>
      <c r="C36" s="27">
        <v>811</v>
      </c>
      <c r="D36" s="28" t="s">
        <v>224</v>
      </c>
      <c r="E36" s="27">
        <v>0</v>
      </c>
      <c r="F36" s="27">
        <v>305.98</v>
      </c>
      <c r="G36" s="27">
        <v>4.1300000000000001E-4</v>
      </c>
      <c r="H36" s="27">
        <v>7.8900000000000007E-6</v>
      </c>
      <c r="I36" s="27">
        <v>6.53</v>
      </c>
      <c r="J36" s="27">
        <v>5.39</v>
      </c>
      <c r="K36" s="30"/>
      <c r="L36" s="27">
        <v>9.9999999999999995E-8</v>
      </c>
      <c r="M36" s="27">
        <v>0</v>
      </c>
      <c r="N36" s="27">
        <v>0</v>
      </c>
      <c r="O36" s="27">
        <v>0</v>
      </c>
      <c r="P36" s="30"/>
      <c r="Q36" s="30"/>
      <c r="R36" s="28" t="s">
        <v>68</v>
      </c>
      <c r="S36" s="30"/>
      <c r="T36" s="30"/>
      <c r="U36" s="30"/>
      <c r="V36" s="27">
        <v>2.0000000000000001E-9</v>
      </c>
      <c r="W36" s="30"/>
      <c r="X36" s="30"/>
      <c r="AA36" s="27">
        <v>217</v>
      </c>
    </row>
    <row r="37" spans="1:27" ht="15" x14ac:dyDescent="0.25">
      <c r="A37" s="27">
        <v>576249</v>
      </c>
      <c r="B37" s="27">
        <v>182</v>
      </c>
      <c r="C37" s="27">
        <v>536</v>
      </c>
      <c r="D37" s="28" t="s">
        <v>153</v>
      </c>
      <c r="E37" s="27">
        <v>0</v>
      </c>
      <c r="F37" s="27">
        <v>163</v>
      </c>
      <c r="G37" s="27">
        <v>904.53133842388684</v>
      </c>
      <c r="H37" s="27">
        <v>12.745847164714094</v>
      </c>
      <c r="I37" s="27">
        <v>2.84</v>
      </c>
      <c r="J37" s="27">
        <v>2.56</v>
      </c>
      <c r="K37" s="27">
        <v>7.66</v>
      </c>
      <c r="L37" s="27">
        <v>9.9999999999999995E-8</v>
      </c>
      <c r="M37" s="27">
        <v>0</v>
      </c>
      <c r="N37" s="27">
        <v>0</v>
      </c>
      <c r="O37" s="27">
        <v>0</v>
      </c>
      <c r="P37" s="30"/>
      <c r="Q37" s="30"/>
      <c r="R37" s="28" t="s">
        <v>68</v>
      </c>
      <c r="S37" s="30"/>
      <c r="T37" s="30"/>
      <c r="U37" s="27">
        <v>4.0000000000000002E-4</v>
      </c>
      <c r="V37" s="27">
        <v>3.0000000000000001E-3</v>
      </c>
      <c r="W37" s="30"/>
      <c r="X37" s="30"/>
      <c r="AA37" s="27">
        <v>218</v>
      </c>
    </row>
    <row r="38" spans="1:27" ht="15" x14ac:dyDescent="0.25">
      <c r="A38" s="27">
        <v>95954</v>
      </c>
      <c r="B38" s="27">
        <v>186</v>
      </c>
      <c r="C38" s="27">
        <v>545</v>
      </c>
      <c r="D38" s="28" t="s">
        <v>162</v>
      </c>
      <c r="E38" s="27">
        <v>0</v>
      </c>
      <c r="F38" s="27">
        <v>197.46</v>
      </c>
      <c r="G38" s="27">
        <v>380</v>
      </c>
      <c r="H38" s="27">
        <v>1</v>
      </c>
      <c r="I38" s="27">
        <v>3.72</v>
      </c>
      <c r="J38" s="27">
        <v>3.36</v>
      </c>
      <c r="K38" s="27">
        <v>7.07</v>
      </c>
      <c r="L38" s="27">
        <v>4.9999999999999998E-7</v>
      </c>
      <c r="M38" s="30"/>
      <c r="N38" s="27">
        <v>3.0000000000000001E-3</v>
      </c>
      <c r="O38" s="27">
        <v>22</v>
      </c>
      <c r="P38" s="30"/>
      <c r="Q38" s="30"/>
      <c r="R38" s="28" t="s">
        <v>63</v>
      </c>
      <c r="S38" s="30"/>
      <c r="T38" s="30"/>
      <c r="U38" s="27">
        <v>4.0000000000000002E-4</v>
      </c>
      <c r="V38" s="27">
        <v>3.0000000000000001E-3</v>
      </c>
      <c r="W38" s="30"/>
      <c r="X38" s="30"/>
      <c r="AA38" s="27">
        <v>219</v>
      </c>
    </row>
    <row r="39" spans="1:27" ht="15" x14ac:dyDescent="0.25">
      <c r="A39" s="27">
        <v>88062</v>
      </c>
      <c r="B39" s="27">
        <v>188</v>
      </c>
      <c r="C39" s="27">
        <v>544</v>
      </c>
      <c r="D39" s="28" t="s">
        <v>161</v>
      </c>
      <c r="E39" s="27">
        <v>0</v>
      </c>
      <c r="F39" s="27">
        <v>197.46</v>
      </c>
      <c r="G39" s="27">
        <v>243</v>
      </c>
      <c r="H39" s="27">
        <v>0.98299999999999998</v>
      </c>
      <c r="I39" s="27">
        <v>3.69</v>
      </c>
      <c r="J39" s="27">
        <v>3.47</v>
      </c>
      <c r="K39" s="27">
        <v>6.22</v>
      </c>
      <c r="L39" s="27">
        <v>4.9999999999999998E-7</v>
      </c>
      <c r="M39" s="30"/>
      <c r="N39" s="27">
        <v>3.0000000000000001E-3</v>
      </c>
      <c r="O39" s="27">
        <v>22</v>
      </c>
      <c r="P39" s="30"/>
      <c r="Q39" s="30"/>
      <c r="R39" s="28" t="s">
        <v>63</v>
      </c>
      <c r="S39" s="30"/>
      <c r="T39" s="30"/>
      <c r="U39" s="27">
        <v>4.0000000000000002E-4</v>
      </c>
      <c r="V39" s="27">
        <v>3.0000000000000001E-3</v>
      </c>
      <c r="W39" s="30"/>
      <c r="X39" s="30"/>
      <c r="AA39" s="27">
        <v>300</v>
      </c>
    </row>
    <row r="40" spans="1:27" ht="15" x14ac:dyDescent="0.25">
      <c r="A40" s="27">
        <v>120832</v>
      </c>
      <c r="B40" s="27">
        <v>194</v>
      </c>
      <c r="C40" s="27">
        <v>507</v>
      </c>
      <c r="D40" s="28" t="s">
        <v>134</v>
      </c>
      <c r="E40" s="27">
        <v>0</v>
      </c>
      <c r="F40" s="27">
        <v>163</v>
      </c>
      <c r="G40" s="27">
        <v>1907.1079276450459</v>
      </c>
      <c r="H40" s="27">
        <v>4.0880753765727453</v>
      </c>
      <c r="I40" s="27">
        <v>3.06</v>
      </c>
      <c r="J40" s="27">
        <v>2.54</v>
      </c>
      <c r="K40" s="27">
        <v>7.81</v>
      </c>
      <c r="L40" s="27">
        <v>9.9999999999999995E-8</v>
      </c>
      <c r="M40" s="27">
        <v>0</v>
      </c>
      <c r="N40" s="27">
        <v>0</v>
      </c>
      <c r="O40" s="27">
        <v>0</v>
      </c>
      <c r="P40" s="30"/>
      <c r="Q40" s="30"/>
      <c r="R40" s="28" t="s">
        <v>68</v>
      </c>
      <c r="S40" s="30"/>
      <c r="T40" s="30"/>
      <c r="U40" s="27">
        <v>4.0000000000000002E-4</v>
      </c>
      <c r="V40" s="27">
        <v>3.0000000000000001E-3</v>
      </c>
      <c r="W40" s="30"/>
      <c r="X40" s="30"/>
      <c r="AA40" s="27">
        <v>301</v>
      </c>
    </row>
    <row r="41" spans="1:27" ht="15" x14ac:dyDescent="0.25">
      <c r="A41" s="27">
        <v>583788</v>
      </c>
      <c r="B41" s="27">
        <v>196</v>
      </c>
      <c r="C41" s="27">
        <v>537</v>
      </c>
      <c r="D41" s="28" t="s">
        <v>154</v>
      </c>
      <c r="E41" s="27">
        <v>0</v>
      </c>
      <c r="F41" s="27">
        <v>163</v>
      </c>
      <c r="G41" s="27">
        <v>420.90824830626849</v>
      </c>
      <c r="H41" s="27">
        <v>10.382578508939647</v>
      </c>
      <c r="I41" s="27">
        <v>3.06</v>
      </c>
      <c r="J41" s="27">
        <v>2.83</v>
      </c>
      <c r="K41" s="27">
        <v>7.54</v>
      </c>
      <c r="L41" s="27">
        <v>9.9999999999999995E-8</v>
      </c>
      <c r="M41" s="27">
        <v>0</v>
      </c>
      <c r="N41" s="27">
        <v>0</v>
      </c>
      <c r="O41" s="27">
        <v>0</v>
      </c>
      <c r="P41" s="30"/>
      <c r="Q41" s="30"/>
      <c r="R41" s="28" t="s">
        <v>68</v>
      </c>
      <c r="S41" s="30"/>
      <c r="T41" s="30"/>
      <c r="U41" s="27">
        <v>4.0000000000000002E-4</v>
      </c>
      <c r="V41" s="27">
        <v>3.0000000000000001E-3</v>
      </c>
      <c r="W41" s="30"/>
      <c r="X41" s="30"/>
      <c r="AA41" s="27">
        <v>302</v>
      </c>
    </row>
    <row r="42" spans="1:27" ht="15" x14ac:dyDescent="0.25">
      <c r="A42" s="27">
        <v>87650</v>
      </c>
      <c r="B42" s="27">
        <v>200</v>
      </c>
      <c r="C42" s="27">
        <v>538</v>
      </c>
      <c r="D42" s="28" t="s">
        <v>155</v>
      </c>
      <c r="E42" s="27">
        <v>0</v>
      </c>
      <c r="F42" s="27">
        <v>163</v>
      </c>
      <c r="G42" s="27">
        <v>534.10653400444698</v>
      </c>
      <c r="H42" s="27">
        <v>7.1431641166745079</v>
      </c>
      <c r="I42" s="27">
        <v>2.75</v>
      </c>
      <c r="J42" s="27">
        <v>2.63</v>
      </c>
      <c r="K42" s="27">
        <v>6.84</v>
      </c>
      <c r="L42" s="27">
        <v>9.9999999999999995E-8</v>
      </c>
      <c r="M42" s="27">
        <v>0</v>
      </c>
      <c r="N42" s="27">
        <v>0</v>
      </c>
      <c r="O42" s="27">
        <v>0</v>
      </c>
      <c r="P42" s="30"/>
      <c r="Q42" s="30"/>
      <c r="R42" s="28" t="s">
        <v>68</v>
      </c>
      <c r="S42" s="30"/>
      <c r="T42" s="30"/>
      <c r="U42" s="27">
        <v>4.0000000000000002E-4</v>
      </c>
      <c r="V42" s="27">
        <v>3.0000000000000001E-3</v>
      </c>
      <c r="W42" s="30"/>
      <c r="X42" s="30"/>
      <c r="AA42" s="27">
        <v>303</v>
      </c>
    </row>
    <row r="43" spans="1:27" ht="15" x14ac:dyDescent="0.25">
      <c r="A43" s="27">
        <v>95578</v>
      </c>
      <c r="B43" s="27">
        <v>208</v>
      </c>
      <c r="C43" s="27">
        <v>506</v>
      </c>
      <c r="D43" s="28" t="s">
        <v>133</v>
      </c>
      <c r="E43" s="27">
        <v>0</v>
      </c>
      <c r="F43" s="27">
        <v>128.58999883338083</v>
      </c>
      <c r="G43" s="27">
        <v>8708.9543340573437</v>
      </c>
      <c r="H43" s="27">
        <v>224.8927923961804</v>
      </c>
      <c r="I43" s="27">
        <v>2.15</v>
      </c>
      <c r="J43" s="27">
        <v>1.97</v>
      </c>
      <c r="K43" s="27">
        <v>8.43</v>
      </c>
      <c r="L43" s="27">
        <v>5.0000000000000001E-9</v>
      </c>
      <c r="M43" s="27">
        <v>0</v>
      </c>
      <c r="N43" s="27">
        <v>0</v>
      </c>
      <c r="O43" s="27">
        <v>0</v>
      </c>
      <c r="P43" s="30"/>
      <c r="Q43" s="30"/>
      <c r="R43" s="28" t="s">
        <v>68</v>
      </c>
      <c r="S43" s="30"/>
      <c r="T43" s="30"/>
      <c r="U43" s="27">
        <v>4.0000000000000002E-4</v>
      </c>
      <c r="V43" s="27">
        <v>3.0000000000000001E-3</v>
      </c>
      <c r="W43" s="30"/>
      <c r="X43" s="30"/>
      <c r="AA43" s="27">
        <v>304</v>
      </c>
    </row>
    <row r="44" spans="1:27" ht="15" x14ac:dyDescent="0.25">
      <c r="A44" s="27">
        <v>91587</v>
      </c>
      <c r="B44" s="27">
        <v>3942</v>
      </c>
      <c r="C44" s="27">
        <v>550</v>
      </c>
      <c r="D44" s="28" t="s">
        <v>167</v>
      </c>
      <c r="E44" s="27">
        <v>0</v>
      </c>
      <c r="F44" s="27">
        <v>162.60999969251586</v>
      </c>
      <c r="G44" s="27">
        <v>9.71436826955326</v>
      </c>
      <c r="H44" s="27">
        <v>1.0043148379839184</v>
      </c>
      <c r="I44" s="27">
        <v>4.1399999999999997</v>
      </c>
      <c r="J44" s="27">
        <v>3.42</v>
      </c>
      <c r="K44" s="30"/>
      <c r="L44" s="27">
        <v>4.9999999999999998E-7</v>
      </c>
      <c r="M44" s="27">
        <v>0</v>
      </c>
      <c r="N44" s="27">
        <v>0</v>
      </c>
      <c r="O44" s="27">
        <v>0</v>
      </c>
      <c r="P44" s="30"/>
      <c r="Q44" s="30"/>
      <c r="R44" s="28" t="s">
        <v>68</v>
      </c>
      <c r="S44" s="30"/>
      <c r="T44" s="27">
        <v>9.9999999999999995E-7</v>
      </c>
      <c r="U44" s="30"/>
      <c r="V44" s="27">
        <v>0.08</v>
      </c>
      <c r="W44" s="30"/>
      <c r="X44" s="30"/>
      <c r="AA44" s="27">
        <v>305</v>
      </c>
    </row>
    <row r="45" spans="1:27" ht="15" x14ac:dyDescent="0.25">
      <c r="A45" s="27">
        <v>609198</v>
      </c>
      <c r="B45" s="27">
        <v>217</v>
      </c>
      <c r="C45" s="27">
        <v>543</v>
      </c>
      <c r="D45" s="28" t="s">
        <v>160</v>
      </c>
      <c r="E45" s="27">
        <v>0</v>
      </c>
      <c r="F45" s="27">
        <v>197.45</v>
      </c>
      <c r="G45" s="27">
        <v>34.6</v>
      </c>
      <c r="H45" s="27">
        <v>0.20200000000000001</v>
      </c>
      <c r="I45" s="27">
        <v>4.01</v>
      </c>
      <c r="J45" s="27">
        <v>3.54</v>
      </c>
      <c r="K45" s="27">
        <v>7.46</v>
      </c>
      <c r="L45" s="27">
        <v>4.9999999999999998E-7</v>
      </c>
      <c r="M45" s="30"/>
      <c r="N45" s="27">
        <v>3.0000000000000001E-3</v>
      </c>
      <c r="O45" s="27">
        <v>22</v>
      </c>
      <c r="P45" s="30"/>
      <c r="Q45" s="30"/>
      <c r="R45" s="28" t="s">
        <v>63</v>
      </c>
      <c r="S45" s="30"/>
      <c r="T45" s="30"/>
      <c r="U45" s="27">
        <v>4.0000000000000002E-4</v>
      </c>
      <c r="V45" s="27">
        <v>3.0000000000000001E-3</v>
      </c>
      <c r="W45" s="30"/>
      <c r="X45" s="30"/>
      <c r="AA45" s="27">
        <v>306</v>
      </c>
    </row>
    <row r="46" spans="1:27" ht="15" x14ac:dyDescent="0.25">
      <c r="A46" s="27">
        <v>95772</v>
      </c>
      <c r="B46" s="27">
        <v>219</v>
      </c>
      <c r="C46" s="27">
        <v>539</v>
      </c>
      <c r="D46" s="28" t="s">
        <v>156</v>
      </c>
      <c r="E46" s="27">
        <v>0</v>
      </c>
      <c r="F46" s="27">
        <v>163</v>
      </c>
      <c r="G46" s="27">
        <v>30.171572348999462</v>
      </c>
      <c r="H46" s="27">
        <v>0.44037020774513119</v>
      </c>
      <c r="I46" s="27">
        <v>3.33</v>
      </c>
      <c r="J46" s="27">
        <v>2.9</v>
      </c>
      <c r="K46" s="27">
        <v>8.6</v>
      </c>
      <c r="L46" s="27">
        <v>9.9999999999999995E-8</v>
      </c>
      <c r="M46" s="27">
        <v>0</v>
      </c>
      <c r="N46" s="27">
        <v>0</v>
      </c>
      <c r="O46" s="27">
        <v>0</v>
      </c>
      <c r="P46" s="30"/>
      <c r="Q46" s="30"/>
      <c r="R46" s="28" t="s">
        <v>68</v>
      </c>
      <c r="S46" s="30"/>
      <c r="T46" s="30"/>
      <c r="U46" s="27">
        <v>4.0000000000000002E-4</v>
      </c>
      <c r="V46" s="27">
        <v>3.0000000000000001E-3</v>
      </c>
      <c r="W46" s="30"/>
      <c r="X46" s="30"/>
      <c r="AA46" s="27">
        <v>307</v>
      </c>
    </row>
    <row r="47" spans="1:27" ht="15" x14ac:dyDescent="0.25">
      <c r="A47" s="27">
        <v>591355</v>
      </c>
      <c r="B47" s="27">
        <v>224</v>
      </c>
      <c r="C47" s="27">
        <v>540</v>
      </c>
      <c r="D47" s="28" t="s">
        <v>157</v>
      </c>
      <c r="E47" s="27">
        <v>0</v>
      </c>
      <c r="F47" s="27">
        <v>163</v>
      </c>
      <c r="G47" s="27">
        <v>39.936080566490205</v>
      </c>
      <c r="H47" s="27">
        <v>2.4575747363550624</v>
      </c>
      <c r="I47" s="27">
        <v>3.52</v>
      </c>
      <c r="J47" s="27">
        <v>2.34</v>
      </c>
      <c r="K47" s="27">
        <v>8.17</v>
      </c>
      <c r="L47" s="27">
        <v>9.9999999999999995E-8</v>
      </c>
      <c r="M47" s="27">
        <v>0</v>
      </c>
      <c r="N47" s="27">
        <v>0</v>
      </c>
      <c r="O47" s="27">
        <v>0</v>
      </c>
      <c r="P47" s="30"/>
      <c r="Q47" s="30"/>
      <c r="R47" s="28" t="s">
        <v>68</v>
      </c>
      <c r="S47" s="30"/>
      <c r="T47" s="30"/>
      <c r="U47" s="27">
        <v>4.0000000000000002E-4</v>
      </c>
      <c r="V47" s="27">
        <v>3.0000000000000001E-3</v>
      </c>
      <c r="W47" s="30"/>
      <c r="X47" s="30"/>
      <c r="AA47" s="27">
        <v>308</v>
      </c>
    </row>
    <row r="48" spans="1:27" ht="15" x14ac:dyDescent="0.25">
      <c r="A48" s="27">
        <v>108430</v>
      </c>
      <c r="B48" s="27">
        <v>228</v>
      </c>
      <c r="C48" s="27">
        <v>534</v>
      </c>
      <c r="D48" s="28" t="s">
        <v>151</v>
      </c>
      <c r="E48" s="27">
        <v>0</v>
      </c>
      <c r="F48" s="27">
        <v>128.58999883338083</v>
      </c>
      <c r="G48" s="27">
        <v>7969.6603218977416</v>
      </c>
      <c r="H48" s="27">
        <v>19.325984755476529</v>
      </c>
      <c r="I48" s="27">
        <v>2.5</v>
      </c>
      <c r="J48" s="27">
        <v>2.56</v>
      </c>
      <c r="K48" s="27">
        <v>9.06</v>
      </c>
      <c r="L48" s="27">
        <v>5.0000000000000001E-9</v>
      </c>
      <c r="M48" s="27">
        <v>0</v>
      </c>
      <c r="N48" s="27">
        <v>0</v>
      </c>
      <c r="O48" s="27">
        <v>0</v>
      </c>
      <c r="P48" s="30"/>
      <c r="Q48" s="30"/>
      <c r="R48" s="28" t="s">
        <v>68</v>
      </c>
      <c r="S48" s="30"/>
      <c r="T48" s="30"/>
      <c r="U48" s="27">
        <v>4.0000000000000002E-4</v>
      </c>
      <c r="V48" s="27">
        <v>3.0000000000000001E-3</v>
      </c>
      <c r="W48" s="30"/>
      <c r="X48" s="30"/>
      <c r="AA48" s="27">
        <v>309</v>
      </c>
    </row>
    <row r="49" spans="1:27" ht="15" x14ac:dyDescent="0.25">
      <c r="A49" s="30"/>
      <c r="B49" s="27">
        <v>-53</v>
      </c>
      <c r="C49" s="27">
        <v>1134</v>
      </c>
      <c r="D49" s="28" t="s">
        <v>249</v>
      </c>
      <c r="E49" s="27">
        <v>0</v>
      </c>
      <c r="F49" s="27">
        <v>142.6</v>
      </c>
      <c r="G49" s="27">
        <v>342</v>
      </c>
      <c r="H49" s="27">
        <v>5.3</v>
      </c>
      <c r="I49" s="27">
        <v>2.87</v>
      </c>
      <c r="J49" s="27">
        <v>1.86</v>
      </c>
      <c r="K49" s="30"/>
      <c r="L49" s="27">
        <v>9.9999999999999995E-8</v>
      </c>
      <c r="M49" s="27">
        <v>0</v>
      </c>
      <c r="N49" s="27">
        <v>0</v>
      </c>
      <c r="O49" s="27">
        <v>0</v>
      </c>
      <c r="P49" s="30"/>
      <c r="Q49" s="30"/>
      <c r="R49" s="28" t="s">
        <v>68</v>
      </c>
      <c r="S49" s="30"/>
      <c r="T49" s="27">
        <v>8.9999999999999992E-5</v>
      </c>
      <c r="U49" s="30"/>
      <c r="V49" s="27">
        <v>0.02</v>
      </c>
      <c r="W49" s="30"/>
      <c r="X49" s="30"/>
      <c r="AA49" s="27">
        <v>310</v>
      </c>
    </row>
    <row r="50" spans="1:27" ht="15" x14ac:dyDescent="0.25">
      <c r="A50" s="27">
        <v>106489</v>
      </c>
      <c r="B50" s="27">
        <v>247</v>
      </c>
      <c r="C50" s="27">
        <v>535</v>
      </c>
      <c r="D50" s="28" t="s">
        <v>152</v>
      </c>
      <c r="E50" s="27">
        <v>0</v>
      </c>
      <c r="F50" s="27">
        <v>128.58999883338083</v>
      </c>
      <c r="G50" s="27">
        <v>7667.192706704257</v>
      </c>
      <c r="H50" s="27">
        <v>11.268071098961325</v>
      </c>
      <c r="I50" s="27">
        <v>2.39</v>
      </c>
      <c r="J50" s="27">
        <v>1.93</v>
      </c>
      <c r="K50" s="27">
        <v>9.23</v>
      </c>
      <c r="L50" s="27">
        <v>5.0000000000000001E-9</v>
      </c>
      <c r="M50" s="27">
        <v>0</v>
      </c>
      <c r="N50" s="27">
        <v>0</v>
      </c>
      <c r="O50" s="27">
        <v>0</v>
      </c>
      <c r="P50" s="30"/>
      <c r="Q50" s="30"/>
      <c r="R50" s="28" t="s">
        <v>68</v>
      </c>
      <c r="S50" s="30"/>
      <c r="T50" s="30"/>
      <c r="U50" s="27">
        <v>4.0000000000000002E-4</v>
      </c>
      <c r="V50" s="27">
        <v>3.0000000000000001E-3</v>
      </c>
      <c r="W50" s="30"/>
      <c r="X50" s="30"/>
      <c r="AA50" s="27">
        <v>311</v>
      </c>
    </row>
    <row r="51" spans="1:27" ht="15" x14ac:dyDescent="0.25">
      <c r="A51" s="30"/>
      <c r="B51" s="27">
        <v>-9</v>
      </c>
      <c r="C51" s="27">
        <v>315</v>
      </c>
      <c r="D51" s="28" t="s">
        <v>114</v>
      </c>
      <c r="E51" s="27">
        <v>0</v>
      </c>
      <c r="F51" s="27">
        <v>166.22</v>
      </c>
      <c r="G51" s="27">
        <v>1.3226</v>
      </c>
      <c r="H51" s="27">
        <v>0.1158</v>
      </c>
      <c r="I51" s="27">
        <v>4.18</v>
      </c>
      <c r="J51" s="27">
        <v>3.77</v>
      </c>
      <c r="K51" s="30"/>
      <c r="L51" s="27">
        <v>4.9999999999999998E-7</v>
      </c>
      <c r="M51" s="27">
        <v>0</v>
      </c>
      <c r="N51" s="27">
        <v>0</v>
      </c>
      <c r="O51" s="27">
        <v>0</v>
      </c>
      <c r="P51" s="30"/>
      <c r="Q51" s="30"/>
      <c r="R51" s="28" t="s">
        <v>68</v>
      </c>
      <c r="S51" s="30"/>
      <c r="T51" s="30"/>
      <c r="U51" s="30"/>
      <c r="V51" s="27">
        <v>0.04</v>
      </c>
      <c r="W51" s="30"/>
      <c r="X51" s="30"/>
      <c r="AA51" s="27">
        <v>312</v>
      </c>
    </row>
    <row r="52" spans="1:27" ht="15" x14ac:dyDescent="0.25">
      <c r="A52" s="30"/>
      <c r="B52" s="27">
        <v>-8</v>
      </c>
      <c r="C52" s="27">
        <v>311</v>
      </c>
      <c r="D52" s="28" t="s">
        <v>110</v>
      </c>
      <c r="E52" s="27">
        <v>0</v>
      </c>
      <c r="F52" s="27">
        <v>154.21</v>
      </c>
      <c r="G52" s="27">
        <v>2.569</v>
      </c>
      <c r="H52" s="27">
        <v>0.4219</v>
      </c>
      <c r="I52" s="27">
        <v>3.92</v>
      </c>
      <c r="J52" s="27">
        <v>3.5300000000000002</v>
      </c>
      <c r="K52" s="30"/>
      <c r="L52" s="27">
        <v>4.9999999999999998E-7</v>
      </c>
      <c r="M52" s="27">
        <v>0</v>
      </c>
      <c r="N52" s="27">
        <v>0</v>
      </c>
      <c r="O52" s="27">
        <v>0</v>
      </c>
      <c r="P52" s="30"/>
      <c r="Q52" s="30"/>
      <c r="R52" s="28" t="s">
        <v>68</v>
      </c>
      <c r="S52" s="30"/>
      <c r="T52" s="30"/>
      <c r="U52" s="30"/>
      <c r="V52" s="27">
        <v>0.5</v>
      </c>
      <c r="W52" s="30"/>
      <c r="X52" s="30"/>
      <c r="AA52" s="27">
        <v>313</v>
      </c>
    </row>
    <row r="53" spans="1:27" ht="15" x14ac:dyDescent="0.25">
      <c r="A53" s="30"/>
      <c r="B53" s="27">
        <v>-7</v>
      </c>
      <c r="C53" s="27">
        <v>316</v>
      </c>
      <c r="D53" s="28" t="s">
        <v>115</v>
      </c>
      <c r="E53" s="27">
        <v>0</v>
      </c>
      <c r="F53" s="27">
        <v>152.20000000000002</v>
      </c>
      <c r="G53" s="27">
        <v>4.01</v>
      </c>
      <c r="H53" s="27">
        <v>0.17899999999999999</v>
      </c>
      <c r="I53" s="27">
        <v>3.94</v>
      </c>
      <c r="J53" s="27">
        <v>3.47</v>
      </c>
      <c r="K53" s="30"/>
      <c r="L53" s="27">
        <v>4.9999999999999998E-7</v>
      </c>
      <c r="M53" s="27">
        <v>0</v>
      </c>
      <c r="N53" s="27">
        <v>0</v>
      </c>
      <c r="O53" s="27">
        <v>0</v>
      </c>
      <c r="P53" s="30"/>
      <c r="Q53" s="30"/>
      <c r="R53" s="28" t="s">
        <v>68</v>
      </c>
      <c r="S53" s="30"/>
      <c r="T53" s="30"/>
      <c r="U53" s="30"/>
      <c r="V53" s="27">
        <v>0.05</v>
      </c>
      <c r="W53" s="30"/>
      <c r="X53" s="30"/>
      <c r="AA53" s="27">
        <v>314</v>
      </c>
    </row>
    <row r="54" spans="1:27" ht="15" x14ac:dyDescent="0.25">
      <c r="A54" s="30"/>
      <c r="B54" s="27">
        <v>-42</v>
      </c>
      <c r="C54" s="27">
        <v>1105</v>
      </c>
      <c r="D54" s="28" t="s">
        <v>239</v>
      </c>
      <c r="E54" s="27">
        <v>0</v>
      </c>
      <c r="F54" s="27">
        <v>53.1</v>
      </c>
      <c r="G54" s="27">
        <v>52100</v>
      </c>
      <c r="H54" s="27">
        <v>7890</v>
      </c>
      <c r="I54" s="27">
        <v>-0.3</v>
      </c>
      <c r="J54" s="27">
        <v>1</v>
      </c>
      <c r="K54" s="30"/>
      <c r="L54" s="27">
        <v>9.9999999999999995E-8</v>
      </c>
      <c r="M54" s="27">
        <v>0</v>
      </c>
      <c r="N54" s="27">
        <v>0</v>
      </c>
      <c r="O54" s="27">
        <v>0</v>
      </c>
      <c r="P54" s="30"/>
      <c r="Q54" s="30"/>
      <c r="R54" s="28" t="s">
        <v>68</v>
      </c>
      <c r="S54" s="30"/>
      <c r="T54" s="27">
        <v>1.0000000000000001E-5</v>
      </c>
      <c r="U54" s="30"/>
      <c r="V54" s="27">
        <v>1E-4</v>
      </c>
      <c r="W54" s="30"/>
      <c r="X54" s="30"/>
      <c r="AA54" s="27">
        <v>315</v>
      </c>
    </row>
    <row r="55" spans="1:27" ht="15" x14ac:dyDescent="0.25">
      <c r="A55" s="27">
        <v>309002</v>
      </c>
      <c r="B55" s="27">
        <v>455</v>
      </c>
      <c r="C55" s="27">
        <v>602</v>
      </c>
      <c r="D55" s="28" t="s">
        <v>174</v>
      </c>
      <c r="E55" s="27">
        <v>0</v>
      </c>
      <c r="F55" s="27">
        <v>365.08</v>
      </c>
      <c r="G55" s="27">
        <v>2.46E-2</v>
      </c>
      <c r="H55" s="27">
        <v>2.33E-3</v>
      </c>
      <c r="I55" s="27">
        <v>6.5</v>
      </c>
      <c r="J55" s="27">
        <v>3.94</v>
      </c>
      <c r="K55" s="30"/>
      <c r="L55" s="27">
        <v>4.9999999999999998E-7</v>
      </c>
      <c r="M55" s="30"/>
      <c r="N55" s="27">
        <v>6.0000000000000002E-5</v>
      </c>
      <c r="O55" s="30"/>
      <c r="P55" s="30"/>
      <c r="Q55" s="30"/>
      <c r="R55" s="28" t="s">
        <v>63</v>
      </c>
      <c r="S55" s="30"/>
      <c r="T55" s="27">
        <v>3.4999999999999998E-7</v>
      </c>
      <c r="U55" s="30"/>
      <c r="V55" s="27">
        <v>1E-4</v>
      </c>
      <c r="W55" s="30"/>
      <c r="X55" s="30"/>
      <c r="AA55" s="27">
        <v>316</v>
      </c>
    </row>
    <row r="56" spans="1:27" ht="15" x14ac:dyDescent="0.25">
      <c r="A56" s="27">
        <v>115297</v>
      </c>
      <c r="B56" s="27">
        <v>461</v>
      </c>
      <c r="C56" s="27">
        <v>626</v>
      </c>
      <c r="D56" s="28" t="s">
        <v>191</v>
      </c>
      <c r="E56" s="27">
        <v>0</v>
      </c>
      <c r="F56" s="27">
        <v>407</v>
      </c>
      <c r="G56" s="27">
        <v>0.28000000000000003</v>
      </c>
      <c r="H56" s="27">
        <v>7.4899999999999999E-4</v>
      </c>
      <c r="I56" s="27">
        <v>3.73</v>
      </c>
      <c r="J56" s="27">
        <v>3.11</v>
      </c>
      <c r="K56" s="30"/>
      <c r="L56" s="27">
        <v>4.9999999999999998E-7</v>
      </c>
      <c r="M56" s="30"/>
      <c r="N56" s="27">
        <v>3.0000000000000001E-3</v>
      </c>
      <c r="O56" s="30"/>
      <c r="P56" s="30"/>
      <c r="Q56" s="30"/>
      <c r="R56" s="28" t="s">
        <v>68</v>
      </c>
      <c r="S56" s="30"/>
      <c r="T56" s="30"/>
      <c r="U56" s="30"/>
      <c r="V56" s="27">
        <v>6.0000000000000001E-3</v>
      </c>
      <c r="W56" s="30"/>
      <c r="X56" s="30"/>
      <c r="AA56" s="27">
        <v>400</v>
      </c>
    </row>
    <row r="57" spans="1:27" ht="15" x14ac:dyDescent="0.25">
      <c r="A57" s="27">
        <v>319846</v>
      </c>
      <c r="B57" s="27">
        <v>451</v>
      </c>
      <c r="C57" s="27">
        <v>605</v>
      </c>
      <c r="D57" s="28" t="s">
        <v>177</v>
      </c>
      <c r="E57" s="27">
        <v>0</v>
      </c>
      <c r="F57" s="27">
        <v>290.81249919411499</v>
      </c>
      <c r="G57" s="27">
        <v>1.63</v>
      </c>
      <c r="H57" s="27">
        <v>3.5000000000000003E-2</v>
      </c>
      <c r="I57" s="27">
        <v>3.72</v>
      </c>
      <c r="J57" s="27">
        <v>3.33</v>
      </c>
      <c r="K57" s="30"/>
      <c r="L57" s="27">
        <v>4.9999999999999998E-7</v>
      </c>
      <c r="M57" s="30"/>
      <c r="N57" s="27">
        <v>9.7000000000000005E-4</v>
      </c>
      <c r="O57" s="27">
        <v>17</v>
      </c>
      <c r="P57" s="30"/>
      <c r="Q57" s="30"/>
      <c r="R57" s="28" t="s">
        <v>63</v>
      </c>
      <c r="S57" s="30"/>
      <c r="T57" s="27">
        <v>2.4999999999999999E-7</v>
      </c>
      <c r="U57" s="30"/>
      <c r="V57" s="27">
        <v>1E-3</v>
      </c>
      <c r="W57" s="30"/>
      <c r="X57" s="27">
        <v>443</v>
      </c>
      <c r="AA57" s="27">
        <v>401</v>
      </c>
    </row>
    <row r="58" spans="1:27" ht="15" x14ac:dyDescent="0.25">
      <c r="A58" s="27">
        <v>120127</v>
      </c>
      <c r="B58" s="27">
        <v>119</v>
      </c>
      <c r="C58" s="27">
        <v>300</v>
      </c>
      <c r="D58" s="28" t="s">
        <v>100</v>
      </c>
      <c r="E58" s="27">
        <v>0</v>
      </c>
      <c r="F58" s="27">
        <v>178.21</v>
      </c>
      <c r="G58" s="27">
        <v>7.1300000000000002E-2</v>
      </c>
      <c r="H58" s="27">
        <v>9.3099999999999997E-4</v>
      </c>
      <c r="I58" s="27">
        <v>4.45</v>
      </c>
      <c r="J58" s="27">
        <v>4.3</v>
      </c>
      <c r="K58" s="30"/>
      <c r="L58" s="27">
        <v>4.9999999999999998E-7</v>
      </c>
      <c r="M58" s="30"/>
      <c r="N58" s="27">
        <v>0.04</v>
      </c>
      <c r="O58" s="30"/>
      <c r="P58" s="30"/>
      <c r="Q58" s="30"/>
      <c r="R58" s="28" t="s">
        <v>63</v>
      </c>
      <c r="S58" s="30"/>
      <c r="T58" s="30"/>
      <c r="U58" s="30"/>
      <c r="V58" s="27">
        <v>0.04</v>
      </c>
      <c r="W58" s="30"/>
      <c r="X58" s="30"/>
      <c r="AA58" s="27">
        <v>402</v>
      </c>
    </row>
    <row r="59" spans="1:27" ht="15" x14ac:dyDescent="0.25">
      <c r="A59" s="27">
        <v>7440360</v>
      </c>
      <c r="B59" s="27">
        <v>1178</v>
      </c>
      <c r="C59" s="27">
        <v>17</v>
      </c>
      <c r="D59" s="28" t="s">
        <v>80</v>
      </c>
      <c r="E59" s="27">
        <v>1</v>
      </c>
      <c r="F59" s="27">
        <v>121.75</v>
      </c>
      <c r="G59" s="27">
        <v>3000</v>
      </c>
      <c r="H59" s="27">
        <v>0</v>
      </c>
      <c r="I59" s="27">
        <v>0</v>
      </c>
      <c r="J59" s="27">
        <v>0</v>
      </c>
      <c r="K59" s="27">
        <v>0</v>
      </c>
      <c r="L59" s="27">
        <v>0</v>
      </c>
      <c r="M59" s="27">
        <v>0</v>
      </c>
      <c r="N59" s="27">
        <v>5.8E-4</v>
      </c>
      <c r="O59" s="27">
        <v>15</v>
      </c>
      <c r="P59" s="27">
        <v>0.6</v>
      </c>
      <c r="Q59" s="27">
        <v>0.9</v>
      </c>
      <c r="R59" s="28" t="s">
        <v>81</v>
      </c>
      <c r="S59" s="27">
        <v>85</v>
      </c>
      <c r="T59" s="30"/>
      <c r="U59" s="30"/>
      <c r="V59" s="27">
        <v>8.5999999999999998E-4</v>
      </c>
      <c r="W59" s="30"/>
      <c r="X59" s="30"/>
      <c r="AA59" s="27">
        <v>403</v>
      </c>
    </row>
    <row r="60" spans="1:27" ht="15" x14ac:dyDescent="0.25">
      <c r="A60" s="27">
        <v>7440382</v>
      </c>
      <c r="B60" s="27">
        <v>1184</v>
      </c>
      <c r="C60" s="27">
        <v>1</v>
      </c>
      <c r="D60" s="28" t="s">
        <v>62</v>
      </c>
      <c r="E60" s="27">
        <v>1</v>
      </c>
      <c r="F60" s="27">
        <v>74.900000000000006</v>
      </c>
      <c r="G60" s="27">
        <v>3000</v>
      </c>
      <c r="H60" s="30"/>
      <c r="I60" s="30"/>
      <c r="J60" s="30"/>
      <c r="K60" s="30"/>
      <c r="L60" s="30"/>
      <c r="M60" s="30"/>
      <c r="N60" s="27">
        <v>6.9999999999999999E-4</v>
      </c>
      <c r="O60" s="27">
        <v>76</v>
      </c>
      <c r="P60" s="27">
        <v>1.1000000000000001E-3</v>
      </c>
      <c r="Q60" s="27">
        <v>1.6E-2</v>
      </c>
      <c r="R60" s="28" t="s">
        <v>63</v>
      </c>
      <c r="S60" s="27">
        <v>1800</v>
      </c>
      <c r="T60" s="27">
        <v>9.9999999999999995E-7</v>
      </c>
      <c r="U60" s="30"/>
      <c r="V60" s="27">
        <v>1E-3</v>
      </c>
      <c r="W60" s="30"/>
      <c r="X60" s="30"/>
      <c r="AA60" s="27">
        <v>404</v>
      </c>
    </row>
    <row r="61" spans="1:27" ht="15" x14ac:dyDescent="0.25">
      <c r="A61" s="27">
        <v>1912249</v>
      </c>
      <c r="B61" s="27">
        <v>576</v>
      </c>
      <c r="C61" s="27">
        <v>614</v>
      </c>
      <c r="D61" s="28" t="s">
        <v>184</v>
      </c>
      <c r="E61" s="27">
        <v>0</v>
      </c>
      <c r="F61" s="27">
        <v>215.69666661515356</v>
      </c>
      <c r="G61" s="27">
        <v>38.132366615521448</v>
      </c>
      <c r="H61" s="27">
        <v>2.7031647117145364E-5</v>
      </c>
      <c r="I61" s="27">
        <v>2.61</v>
      </c>
      <c r="J61" s="27">
        <v>2.2000000000000002</v>
      </c>
      <c r="K61" s="30"/>
      <c r="L61" s="27">
        <v>1.9999999999999999E-7</v>
      </c>
      <c r="M61" s="27">
        <v>0</v>
      </c>
      <c r="N61" s="27">
        <v>0</v>
      </c>
      <c r="O61" s="27">
        <v>0</v>
      </c>
      <c r="P61" s="30"/>
      <c r="Q61" s="30"/>
      <c r="R61" s="28" t="s">
        <v>68</v>
      </c>
      <c r="S61" s="30"/>
      <c r="T61" s="30"/>
      <c r="U61" s="30"/>
      <c r="V61" s="27">
        <v>5.0000000000000001E-3</v>
      </c>
      <c r="W61" s="30"/>
      <c r="X61" s="30"/>
      <c r="AA61" s="27">
        <v>405</v>
      </c>
    </row>
    <row r="62" spans="1:27" ht="15" x14ac:dyDescent="0.25">
      <c r="A62" s="30"/>
      <c r="B62" s="27">
        <v>-24</v>
      </c>
      <c r="C62" s="27">
        <v>1098</v>
      </c>
      <c r="D62" s="28" t="s">
        <v>235</v>
      </c>
      <c r="E62" s="27">
        <v>0</v>
      </c>
      <c r="F62" s="27">
        <v>317</v>
      </c>
      <c r="G62" s="27">
        <v>28.3</v>
      </c>
      <c r="H62" s="27">
        <v>3.3799999999999998E-4</v>
      </c>
      <c r="I62" s="27">
        <v>2.75</v>
      </c>
      <c r="J62" s="27">
        <v>3.18</v>
      </c>
      <c r="K62" s="30"/>
      <c r="L62" s="27">
        <v>4.9999999999999998E-7</v>
      </c>
      <c r="M62" s="27">
        <v>0</v>
      </c>
      <c r="N62" s="27">
        <v>0</v>
      </c>
      <c r="O62" s="27">
        <v>0</v>
      </c>
      <c r="P62" s="30"/>
      <c r="Q62" s="30"/>
      <c r="R62" s="28" t="s">
        <v>68</v>
      </c>
      <c r="S62" s="30"/>
      <c r="T62" s="27">
        <v>2.0000000000000002E-7</v>
      </c>
      <c r="U62" s="30"/>
      <c r="V62" s="27">
        <v>5.0000000000000001E-3</v>
      </c>
      <c r="W62" s="30"/>
      <c r="X62" s="30"/>
      <c r="AA62" s="27">
        <v>406</v>
      </c>
    </row>
    <row r="63" spans="1:27" ht="15" x14ac:dyDescent="0.25">
      <c r="A63" s="27">
        <v>7440393</v>
      </c>
      <c r="B63" s="27">
        <v>1192</v>
      </c>
      <c r="C63" s="27">
        <v>2</v>
      </c>
      <c r="D63" s="28" t="s">
        <v>64</v>
      </c>
      <c r="E63" s="27">
        <v>1</v>
      </c>
      <c r="F63" s="27">
        <v>137.30000000000001</v>
      </c>
      <c r="G63" s="27">
        <v>3000</v>
      </c>
      <c r="H63" s="30"/>
      <c r="I63" s="30"/>
      <c r="J63" s="30"/>
      <c r="K63" s="30"/>
      <c r="L63" s="30"/>
      <c r="M63" s="30"/>
      <c r="N63" s="27">
        <v>1.0999999999999999E-2</v>
      </c>
      <c r="O63" s="27">
        <v>920</v>
      </c>
      <c r="P63" s="27">
        <v>4.7000000000000002E-3</v>
      </c>
      <c r="Q63" s="27">
        <v>4.5499999999999999E-2</v>
      </c>
      <c r="R63" s="28" t="s">
        <v>63</v>
      </c>
      <c r="S63" s="27">
        <v>2500</v>
      </c>
      <c r="T63" s="30"/>
      <c r="U63" s="30"/>
      <c r="V63" s="27">
        <v>0.02</v>
      </c>
      <c r="W63" s="30"/>
      <c r="X63" s="30"/>
      <c r="AA63" s="27">
        <v>406</v>
      </c>
    </row>
    <row r="64" spans="1:27" ht="15" x14ac:dyDescent="0.25">
      <c r="A64" s="27">
        <v>71432</v>
      </c>
      <c r="B64" s="27">
        <v>121</v>
      </c>
      <c r="C64" s="27">
        <v>200</v>
      </c>
      <c r="D64" s="28" t="s">
        <v>0</v>
      </c>
      <c r="E64" s="27">
        <v>0</v>
      </c>
      <c r="F64" s="27">
        <v>78.106666524406961</v>
      </c>
      <c r="G64" s="27">
        <v>1988.89882593368</v>
      </c>
      <c r="H64" s="27">
        <v>9505.5578369193699</v>
      </c>
      <c r="I64" s="27">
        <v>2.13</v>
      </c>
      <c r="J64" s="27">
        <v>1.87</v>
      </c>
      <c r="K64" s="30"/>
      <c r="L64" s="27">
        <v>1.3999999999999999E-6</v>
      </c>
      <c r="M64" s="27">
        <v>0</v>
      </c>
      <c r="N64" s="27">
        <v>0</v>
      </c>
      <c r="O64" s="27">
        <v>0</v>
      </c>
      <c r="P64" s="30"/>
      <c r="Q64" s="30"/>
      <c r="R64" s="28" t="s">
        <v>68</v>
      </c>
      <c r="S64" s="30"/>
      <c r="T64" s="27">
        <v>2.0000000000000002E-5</v>
      </c>
      <c r="U64" s="27">
        <v>0.08</v>
      </c>
      <c r="V64" s="27">
        <v>3.3E-3</v>
      </c>
      <c r="W64" s="30"/>
      <c r="X64" s="27">
        <v>21.2</v>
      </c>
      <c r="AA64" s="27">
        <v>407</v>
      </c>
    </row>
    <row r="65" spans="1:27" ht="15" x14ac:dyDescent="0.25">
      <c r="A65" s="27">
        <v>56553</v>
      </c>
      <c r="B65" s="27">
        <v>122</v>
      </c>
      <c r="C65" s="27">
        <v>301</v>
      </c>
      <c r="D65" s="28" t="s">
        <v>101</v>
      </c>
      <c r="E65" s="27">
        <v>0</v>
      </c>
      <c r="F65" s="27">
        <v>228.3</v>
      </c>
      <c r="G65" s="27">
        <v>1.1599999999999999E-2</v>
      </c>
      <c r="H65" s="27">
        <v>2.0699999999999999E-7</v>
      </c>
      <c r="I65" s="27">
        <v>5.54</v>
      </c>
      <c r="J65" s="27">
        <v>5.79</v>
      </c>
      <c r="K65" s="30"/>
      <c r="L65" s="27">
        <v>1.9999999999999999E-7</v>
      </c>
      <c r="M65" s="30"/>
      <c r="N65" s="27">
        <v>5.0000000000000002E-5</v>
      </c>
      <c r="O65" s="30"/>
      <c r="P65" s="30"/>
      <c r="Q65" s="30"/>
      <c r="R65" s="28" t="s">
        <v>63</v>
      </c>
      <c r="S65" s="30"/>
      <c r="T65" s="30"/>
      <c r="U65" s="30"/>
      <c r="V65" s="27">
        <v>5.0000000000000001E-3</v>
      </c>
      <c r="W65" s="30"/>
      <c r="X65" s="30"/>
      <c r="AA65" s="27">
        <v>408</v>
      </c>
    </row>
    <row r="66" spans="1:27" ht="15" x14ac:dyDescent="0.25">
      <c r="A66" s="27">
        <v>50328</v>
      </c>
      <c r="B66" s="27">
        <v>123</v>
      </c>
      <c r="C66" s="27">
        <v>303</v>
      </c>
      <c r="D66" s="28" t="s">
        <v>103</v>
      </c>
      <c r="E66" s="27">
        <v>0</v>
      </c>
      <c r="F66" s="27">
        <v>252.3</v>
      </c>
      <c r="G66" s="27">
        <v>8.4199999999999998E-4</v>
      </c>
      <c r="H66" s="27">
        <v>1.2499999999999999E-7</v>
      </c>
      <c r="I66" s="27">
        <v>6.13</v>
      </c>
      <c r="J66" s="27">
        <v>5.82</v>
      </c>
      <c r="K66" s="30"/>
      <c r="L66" s="27">
        <v>1.9999999999999999E-7</v>
      </c>
      <c r="M66" s="30"/>
      <c r="N66" s="27">
        <v>5.0000000000000004E-6</v>
      </c>
      <c r="O66" s="30"/>
      <c r="P66" s="30"/>
      <c r="Q66" s="30"/>
      <c r="R66" s="28" t="s">
        <v>63</v>
      </c>
      <c r="S66" s="30"/>
      <c r="T66" s="30"/>
      <c r="U66" s="30"/>
      <c r="V66" s="27">
        <v>5.0000000000000001E-4</v>
      </c>
      <c r="W66" s="30"/>
      <c r="X66" s="30"/>
      <c r="AA66" s="27">
        <v>409</v>
      </c>
    </row>
    <row r="67" spans="1:27" ht="15" x14ac:dyDescent="0.25">
      <c r="A67" s="30"/>
      <c r="B67" s="27">
        <v>2424</v>
      </c>
      <c r="C67" s="27">
        <v>312</v>
      </c>
      <c r="D67" s="28" t="s">
        <v>111</v>
      </c>
      <c r="E67" s="27">
        <v>0</v>
      </c>
      <c r="F67" s="27">
        <v>252.32</v>
      </c>
      <c r="G67" s="27">
        <v>1.6799999999999999E-2</v>
      </c>
      <c r="H67" s="27">
        <v>1.818E-6</v>
      </c>
      <c r="I67" s="27">
        <v>5.78</v>
      </c>
      <c r="J67" s="27">
        <v>5.34</v>
      </c>
      <c r="K67" s="30"/>
      <c r="L67" s="27">
        <v>4.9999999999999998E-7</v>
      </c>
      <c r="M67" s="27">
        <v>0</v>
      </c>
      <c r="N67" s="27">
        <v>0</v>
      </c>
      <c r="O67" s="27">
        <v>0</v>
      </c>
      <c r="P67" s="30"/>
      <c r="Q67" s="30"/>
      <c r="R67" s="28" t="s">
        <v>68</v>
      </c>
      <c r="S67" s="30"/>
      <c r="T67" s="30"/>
      <c r="U67" s="30"/>
      <c r="V67" s="27">
        <v>5.0000000000000001E-3</v>
      </c>
      <c r="W67" s="30"/>
      <c r="X67" s="30"/>
      <c r="AA67" s="27">
        <v>410</v>
      </c>
    </row>
    <row r="68" spans="1:27" ht="15" x14ac:dyDescent="0.25">
      <c r="A68" s="27">
        <v>191242</v>
      </c>
      <c r="B68" s="27">
        <v>4653</v>
      </c>
      <c r="C68" s="27">
        <v>308</v>
      </c>
      <c r="D68" s="28" t="s">
        <v>108</v>
      </c>
      <c r="E68" s="27">
        <v>0</v>
      </c>
      <c r="F68" s="27">
        <v>276.31</v>
      </c>
      <c r="G68" s="27">
        <v>1.8599999999999999E-4</v>
      </c>
      <c r="H68" s="27">
        <v>5.04E-9</v>
      </c>
      <c r="I68" s="27">
        <v>6.22</v>
      </c>
      <c r="J68" s="27">
        <v>6.43</v>
      </c>
      <c r="K68" s="30"/>
      <c r="L68" s="27">
        <v>1.9999999999999999E-7</v>
      </c>
      <c r="M68" s="30"/>
      <c r="N68" s="27">
        <v>0.03</v>
      </c>
      <c r="O68" s="30"/>
      <c r="P68" s="30"/>
      <c r="Q68" s="30"/>
      <c r="R68" s="28" t="s">
        <v>63</v>
      </c>
      <c r="S68" s="30"/>
      <c r="T68" s="30"/>
      <c r="U68" s="30"/>
      <c r="V68" s="27">
        <v>0.03</v>
      </c>
      <c r="W68" s="30"/>
      <c r="X68" s="30"/>
      <c r="AA68" s="27">
        <v>411</v>
      </c>
    </row>
    <row r="69" spans="1:27" ht="15" x14ac:dyDescent="0.25">
      <c r="A69" s="30"/>
      <c r="B69" s="27">
        <v>-11</v>
      </c>
      <c r="C69" s="27">
        <v>313</v>
      </c>
      <c r="D69" s="28" t="s">
        <v>112</v>
      </c>
      <c r="E69" s="27">
        <v>0</v>
      </c>
      <c r="F69" s="27">
        <v>252.32</v>
      </c>
      <c r="G69" s="27">
        <v>8.8050000000000003E-3</v>
      </c>
      <c r="H69" s="27">
        <v>1.818E-6</v>
      </c>
      <c r="I69" s="27">
        <v>6.11</v>
      </c>
      <c r="J69" s="27">
        <v>5.48</v>
      </c>
      <c r="K69" s="30"/>
      <c r="L69" s="27">
        <v>4.9999999999999998E-7</v>
      </c>
      <c r="M69" s="27">
        <v>0</v>
      </c>
      <c r="N69" s="27">
        <v>0</v>
      </c>
      <c r="O69" s="27">
        <v>0</v>
      </c>
      <c r="P69" s="30"/>
      <c r="Q69" s="30"/>
      <c r="R69" s="28" t="s">
        <v>68</v>
      </c>
      <c r="S69" s="30"/>
      <c r="T69" s="30"/>
      <c r="U69" s="30"/>
      <c r="V69" s="27">
        <v>5.0000000000000001E-3</v>
      </c>
      <c r="W69" s="30"/>
      <c r="X69" s="30"/>
      <c r="AA69" s="27">
        <v>412</v>
      </c>
    </row>
    <row r="70" spans="1:27" ht="15" x14ac:dyDescent="0.25">
      <c r="A70" s="27">
        <v>207089</v>
      </c>
      <c r="B70" s="27">
        <v>4692</v>
      </c>
      <c r="C70" s="27">
        <v>302</v>
      </c>
      <c r="D70" s="28" t="s">
        <v>102</v>
      </c>
      <c r="E70" s="27">
        <v>0</v>
      </c>
      <c r="F70" s="27">
        <v>252.30666649051699</v>
      </c>
      <c r="G70" s="27">
        <v>4.84E-4</v>
      </c>
      <c r="H70" s="27">
        <v>1.24E-8</v>
      </c>
      <c r="I70" s="27">
        <v>6.11</v>
      </c>
      <c r="J70" s="27">
        <v>6.24</v>
      </c>
      <c r="K70" s="30"/>
      <c r="L70" s="27">
        <v>1.9999999999999999E-7</v>
      </c>
      <c r="M70" s="30"/>
      <c r="N70" s="27">
        <v>5.0000000000000002E-5</v>
      </c>
      <c r="O70" s="30"/>
      <c r="P70" s="30"/>
      <c r="Q70" s="30"/>
      <c r="R70" s="28" t="s">
        <v>63</v>
      </c>
      <c r="S70" s="30"/>
      <c r="T70" s="30"/>
      <c r="U70" s="30"/>
      <c r="V70" s="27">
        <v>5.0000000000000001E-3</v>
      </c>
      <c r="W70" s="30"/>
      <c r="X70" s="30"/>
      <c r="AA70" s="27">
        <v>415</v>
      </c>
    </row>
    <row r="71" spans="1:27" ht="15" x14ac:dyDescent="0.25">
      <c r="A71" s="27">
        <v>7440417</v>
      </c>
      <c r="B71" s="27">
        <v>-1</v>
      </c>
      <c r="C71" s="27">
        <v>22</v>
      </c>
      <c r="D71" s="28" t="s">
        <v>85</v>
      </c>
      <c r="E71" s="27">
        <v>1</v>
      </c>
      <c r="F71" s="27">
        <v>9.01</v>
      </c>
      <c r="G71" s="27">
        <v>3000</v>
      </c>
      <c r="H71" s="30"/>
      <c r="I71" s="30"/>
      <c r="J71" s="30"/>
      <c r="K71" s="30"/>
      <c r="L71" s="30"/>
      <c r="M71" s="30"/>
      <c r="N71" s="27">
        <v>2.5000000000000001E-4</v>
      </c>
      <c r="O71" s="27">
        <v>30</v>
      </c>
      <c r="P71" s="27">
        <v>0.01</v>
      </c>
      <c r="Q71" s="27">
        <v>5.0000000000000001E-3</v>
      </c>
      <c r="R71" s="28" t="s">
        <v>81</v>
      </c>
      <c r="S71" s="27">
        <v>38</v>
      </c>
      <c r="T71" s="30"/>
      <c r="U71" s="30"/>
      <c r="V71" s="27">
        <v>5.0000000000000001E-4</v>
      </c>
      <c r="W71" s="30"/>
      <c r="X71" s="30"/>
      <c r="AA71" s="27">
        <v>416</v>
      </c>
    </row>
    <row r="72" spans="1:27" ht="15" x14ac:dyDescent="0.25">
      <c r="A72" s="27">
        <v>319857</v>
      </c>
      <c r="B72" s="27">
        <v>456</v>
      </c>
      <c r="C72" s="27">
        <v>606</v>
      </c>
      <c r="D72" s="28" t="s">
        <v>178</v>
      </c>
      <c r="E72" s="27">
        <v>0</v>
      </c>
      <c r="F72" s="27">
        <v>290.83</v>
      </c>
      <c r="G72" s="27">
        <v>0.93799999999999994</v>
      </c>
      <c r="H72" s="27">
        <v>1.9800000000000002E-2</v>
      </c>
      <c r="I72" s="27">
        <v>3.72</v>
      </c>
      <c r="J72" s="27">
        <v>3.37</v>
      </c>
      <c r="K72" s="30"/>
      <c r="L72" s="27">
        <v>4.9999999999999998E-7</v>
      </c>
      <c r="M72" s="30"/>
      <c r="N72" s="27">
        <v>1.0000000000000001E-5</v>
      </c>
      <c r="O72" s="27">
        <v>1.6</v>
      </c>
      <c r="P72" s="30"/>
      <c r="Q72" s="30"/>
      <c r="R72" s="28" t="s">
        <v>63</v>
      </c>
      <c r="S72" s="30"/>
      <c r="T72" s="30"/>
      <c r="U72" s="30"/>
      <c r="V72" s="27">
        <v>2.0000000000000002E-5</v>
      </c>
      <c r="W72" s="30"/>
      <c r="X72" s="27">
        <v>454</v>
      </c>
      <c r="AA72" s="27">
        <v>417</v>
      </c>
    </row>
    <row r="73" spans="1:27" ht="15" x14ac:dyDescent="0.25">
      <c r="A73" s="30"/>
      <c r="B73" s="27">
        <v>-43</v>
      </c>
      <c r="C73" s="27">
        <v>1108</v>
      </c>
      <c r="D73" s="28" t="s">
        <v>242</v>
      </c>
      <c r="E73" s="27">
        <v>0</v>
      </c>
      <c r="F73" s="27">
        <v>74.100000000000009</v>
      </c>
      <c r="G73" s="27">
        <v>45400</v>
      </c>
      <c r="H73" s="27">
        <v>300</v>
      </c>
      <c r="I73" s="27">
        <v>0.9</v>
      </c>
      <c r="J73" s="27">
        <v>0.76</v>
      </c>
      <c r="K73" s="30"/>
      <c r="L73" s="27">
        <v>9.9999999999999995E-8</v>
      </c>
      <c r="M73" s="27">
        <v>0</v>
      </c>
      <c r="N73" s="27">
        <v>0</v>
      </c>
      <c r="O73" s="27">
        <v>0</v>
      </c>
      <c r="P73" s="30"/>
      <c r="Q73" s="30"/>
      <c r="R73" s="28" t="s">
        <v>68</v>
      </c>
      <c r="S73" s="30"/>
      <c r="T73" s="27">
        <v>5.5000000000000003E-4</v>
      </c>
      <c r="U73" s="30"/>
      <c r="V73" s="27">
        <v>0.125</v>
      </c>
      <c r="W73" s="30"/>
      <c r="X73" s="30"/>
      <c r="AA73" s="27">
        <v>500</v>
      </c>
    </row>
    <row r="74" spans="1:27" ht="15" x14ac:dyDescent="0.25">
      <c r="A74" s="30"/>
      <c r="B74" s="27">
        <v>-44</v>
      </c>
      <c r="C74" s="27">
        <v>1109</v>
      </c>
      <c r="D74" s="28" t="s">
        <v>243</v>
      </c>
      <c r="E74" s="27">
        <v>0</v>
      </c>
      <c r="F74" s="27">
        <v>116.2</v>
      </c>
      <c r="G74" s="27">
        <v>10600</v>
      </c>
      <c r="H74" s="27">
        <v>796</v>
      </c>
      <c r="I74" s="27">
        <v>1.78</v>
      </c>
      <c r="J74" s="27">
        <v>1.58</v>
      </c>
      <c r="K74" s="30"/>
      <c r="L74" s="27">
        <v>9.9999999999999995E-8</v>
      </c>
      <c r="M74" s="27">
        <v>0</v>
      </c>
      <c r="N74" s="27">
        <v>0</v>
      </c>
      <c r="O74" s="27">
        <v>0</v>
      </c>
      <c r="P74" s="30"/>
      <c r="Q74" s="30"/>
      <c r="R74" s="28" t="s">
        <v>68</v>
      </c>
      <c r="S74" s="30"/>
      <c r="T74" s="27">
        <v>1E-3</v>
      </c>
      <c r="U74" s="30"/>
      <c r="V74" s="27">
        <v>0.2</v>
      </c>
      <c r="W74" s="30"/>
      <c r="X74" s="30"/>
      <c r="AA74" s="27">
        <v>501</v>
      </c>
    </row>
    <row r="75" spans="1:27" ht="15" x14ac:dyDescent="0.25">
      <c r="A75" s="27">
        <v>85687</v>
      </c>
      <c r="B75" s="27">
        <v>485</v>
      </c>
      <c r="C75" s="27">
        <v>701</v>
      </c>
      <c r="D75" s="28" t="s">
        <v>195</v>
      </c>
      <c r="E75" s="27">
        <v>0</v>
      </c>
      <c r="F75" s="27">
        <v>312.39666663109881</v>
      </c>
      <c r="G75" s="27">
        <v>4.2186304377949035</v>
      </c>
      <c r="H75" s="27">
        <v>6.5341619308605851E-4</v>
      </c>
      <c r="I75" s="27">
        <v>4.91</v>
      </c>
      <c r="J75" s="27">
        <v>3.91</v>
      </c>
      <c r="K75" s="30"/>
      <c r="L75" s="27">
        <v>1.9999999999999999E-6</v>
      </c>
      <c r="M75" s="27">
        <v>0</v>
      </c>
      <c r="N75" s="27">
        <v>0</v>
      </c>
      <c r="O75" s="27">
        <v>0</v>
      </c>
      <c r="P75" s="30"/>
      <c r="Q75" s="30"/>
      <c r="R75" s="28" t="s">
        <v>68</v>
      </c>
      <c r="S75" s="30"/>
      <c r="T75" s="30"/>
      <c r="U75" s="30"/>
      <c r="V75" s="27">
        <v>0.5</v>
      </c>
      <c r="W75" s="30"/>
      <c r="X75" s="30"/>
      <c r="AA75" s="27">
        <v>502</v>
      </c>
    </row>
    <row r="76" spans="1:27" ht="15" x14ac:dyDescent="0.25">
      <c r="A76" s="27">
        <v>7440439</v>
      </c>
      <c r="B76" s="27">
        <v>1199</v>
      </c>
      <c r="C76" s="27">
        <v>3</v>
      </c>
      <c r="D76" s="28" t="s">
        <v>65</v>
      </c>
      <c r="E76" s="27">
        <v>1</v>
      </c>
      <c r="F76" s="27">
        <v>112.4</v>
      </c>
      <c r="G76" s="27">
        <v>3000</v>
      </c>
      <c r="H76" s="30"/>
      <c r="I76" s="30"/>
      <c r="J76" s="30"/>
      <c r="K76" s="30"/>
      <c r="L76" s="30"/>
      <c r="M76" s="30"/>
      <c r="N76" s="27">
        <v>2.7999999999999998E-4</v>
      </c>
      <c r="O76" s="27">
        <v>13</v>
      </c>
      <c r="P76" s="27">
        <v>7.2999999999999995E-2</v>
      </c>
      <c r="Q76" s="27">
        <v>0.36699999999999999</v>
      </c>
      <c r="R76" s="28" t="s">
        <v>63</v>
      </c>
      <c r="S76" s="27">
        <v>2560</v>
      </c>
      <c r="T76" s="30"/>
      <c r="U76" s="30"/>
      <c r="V76" s="27">
        <v>5.0000000000000001E-4</v>
      </c>
      <c r="W76" s="30"/>
      <c r="X76" s="30"/>
      <c r="AA76" s="27">
        <v>503</v>
      </c>
    </row>
    <row r="77" spans="1:27" ht="15" x14ac:dyDescent="0.25">
      <c r="A77" s="27">
        <v>63252</v>
      </c>
      <c r="B77" s="27">
        <v>427</v>
      </c>
      <c r="C77" s="27">
        <v>610</v>
      </c>
      <c r="D77" s="28" t="s">
        <v>180</v>
      </c>
      <c r="E77" s="27">
        <v>0</v>
      </c>
      <c r="F77" s="27">
        <v>201.20666644578199</v>
      </c>
      <c r="G77" s="27">
        <v>81.563283820232328</v>
      </c>
      <c r="H77" s="27">
        <v>0.14266107803289432</v>
      </c>
      <c r="I77" s="27">
        <v>2.36</v>
      </c>
      <c r="J77" s="27">
        <v>2.27</v>
      </c>
      <c r="K77" s="30"/>
      <c r="L77" s="27">
        <v>1.9999999999999999E-7</v>
      </c>
      <c r="M77" s="27">
        <v>0</v>
      </c>
      <c r="N77" s="27">
        <v>0</v>
      </c>
      <c r="O77" s="27">
        <v>0</v>
      </c>
      <c r="P77" s="30"/>
      <c r="Q77" s="30"/>
      <c r="R77" s="28" t="s">
        <v>68</v>
      </c>
      <c r="S77" s="30"/>
      <c r="T77" s="27">
        <v>1.0000000000000001E-5</v>
      </c>
      <c r="U77" s="30"/>
      <c r="V77" s="27">
        <v>3.0000000000000001E-3</v>
      </c>
      <c r="W77" s="30"/>
      <c r="X77" s="30"/>
      <c r="AA77" s="27">
        <v>504</v>
      </c>
    </row>
    <row r="78" spans="1:27" ht="15" x14ac:dyDescent="0.25">
      <c r="A78" s="27">
        <v>1563662</v>
      </c>
      <c r="B78" s="27">
        <v>433</v>
      </c>
      <c r="C78" s="27">
        <v>611</v>
      </c>
      <c r="D78" s="28" t="s">
        <v>181</v>
      </c>
      <c r="E78" s="27">
        <v>0</v>
      </c>
      <c r="F78" s="27">
        <v>221.28999932211562</v>
      </c>
      <c r="G78" s="27">
        <v>376.09665932493334</v>
      </c>
      <c r="H78" s="27">
        <v>2.0290229122867784E-3</v>
      </c>
      <c r="I78" s="27">
        <v>1.6300000000000001</v>
      </c>
      <c r="J78" s="27">
        <v>1.6400000000000001</v>
      </c>
      <c r="K78" s="30"/>
      <c r="L78" s="27">
        <v>1.9999999999999999E-7</v>
      </c>
      <c r="M78" s="27">
        <v>0</v>
      </c>
      <c r="N78" s="27">
        <v>0</v>
      </c>
      <c r="O78" s="27">
        <v>0</v>
      </c>
      <c r="P78" s="30"/>
      <c r="Q78" s="30"/>
      <c r="R78" s="28" t="s">
        <v>68</v>
      </c>
      <c r="S78" s="30"/>
      <c r="T78" s="30"/>
      <c r="U78" s="30"/>
      <c r="V78" s="27">
        <v>2E-3</v>
      </c>
      <c r="W78" s="30"/>
      <c r="X78" s="30"/>
      <c r="AA78" s="27">
        <v>505</v>
      </c>
    </row>
    <row r="79" spans="1:27" ht="15" x14ac:dyDescent="0.25">
      <c r="A79" s="27">
        <v>120809</v>
      </c>
      <c r="B79" s="27">
        <v>1508</v>
      </c>
      <c r="C79" s="27">
        <v>206</v>
      </c>
      <c r="D79" s="28" t="s">
        <v>92</v>
      </c>
      <c r="E79" s="27">
        <v>0</v>
      </c>
      <c r="F79" s="27">
        <v>110.10333323242008</v>
      </c>
      <c r="G79" s="27">
        <v>124076.28035878204</v>
      </c>
      <c r="H79" s="27">
        <v>3.3909255267461731</v>
      </c>
      <c r="I79" s="27">
        <v>0.88</v>
      </c>
      <c r="J79" s="27">
        <v>1.85</v>
      </c>
      <c r="K79" s="27">
        <v>10.6</v>
      </c>
      <c r="L79" s="27">
        <v>9.9999999999999995E-8</v>
      </c>
      <c r="M79" s="27">
        <v>0</v>
      </c>
      <c r="N79" s="27">
        <v>0</v>
      </c>
      <c r="O79" s="27">
        <v>0</v>
      </c>
      <c r="P79" s="30"/>
      <c r="Q79" s="30"/>
      <c r="R79" s="28" t="s">
        <v>68</v>
      </c>
      <c r="S79" s="30"/>
      <c r="T79" s="30"/>
      <c r="U79" s="30"/>
      <c r="V79" s="27">
        <v>0.04</v>
      </c>
      <c r="W79" s="30"/>
      <c r="X79" s="30"/>
      <c r="AA79" s="27">
        <v>506</v>
      </c>
    </row>
    <row r="80" spans="1:27" ht="15" x14ac:dyDescent="0.25">
      <c r="A80" s="27">
        <v>57749</v>
      </c>
      <c r="B80" s="27">
        <v>457</v>
      </c>
      <c r="C80" s="27">
        <v>624</v>
      </c>
      <c r="D80" s="28" t="s">
        <v>189</v>
      </c>
      <c r="E80" s="27">
        <v>0</v>
      </c>
      <c r="F80" s="27">
        <v>410</v>
      </c>
      <c r="G80" s="27">
        <v>0.14000000000000001</v>
      </c>
      <c r="H80" s="27">
        <v>2.2899999999999999E-3</v>
      </c>
      <c r="I80" s="27">
        <v>5.8</v>
      </c>
      <c r="J80" s="27">
        <v>4.5999999999999996</v>
      </c>
      <c r="K80" s="30"/>
      <c r="L80" s="27">
        <v>4.9999999999999998E-7</v>
      </c>
      <c r="M80" s="30"/>
      <c r="N80" s="27">
        <v>2.5000000000000001E-4</v>
      </c>
      <c r="O80" s="30"/>
      <c r="P80" s="30"/>
      <c r="Q80" s="30"/>
      <c r="R80" s="28" t="s">
        <v>68</v>
      </c>
      <c r="S80" s="30"/>
      <c r="T80" s="30"/>
      <c r="U80" s="30"/>
      <c r="V80" s="27">
        <v>5.0000000000000001E-4</v>
      </c>
      <c r="W80" s="30"/>
      <c r="X80" s="30"/>
      <c r="AA80" s="27">
        <v>507</v>
      </c>
    </row>
    <row r="81" spans="1:27" ht="15" x14ac:dyDescent="0.25">
      <c r="A81" s="27">
        <v>7440473</v>
      </c>
      <c r="B81" s="27">
        <v>1214</v>
      </c>
      <c r="C81" s="27">
        <v>4</v>
      </c>
      <c r="D81" s="28" t="s">
        <v>66</v>
      </c>
      <c r="E81" s="27">
        <v>1</v>
      </c>
      <c r="F81" s="27">
        <v>52</v>
      </c>
      <c r="G81" s="27">
        <v>3000</v>
      </c>
      <c r="H81" s="30"/>
      <c r="I81" s="30"/>
      <c r="J81" s="30"/>
      <c r="K81" s="30"/>
      <c r="L81" s="30"/>
      <c r="M81" s="30"/>
      <c r="N81" s="27">
        <v>4.0000000000000001E-3</v>
      </c>
      <c r="O81" s="27">
        <v>180</v>
      </c>
      <c r="P81" s="27">
        <v>1.0999999999999999E-2</v>
      </c>
      <c r="Q81" s="27">
        <v>1.0999999999999999E-2</v>
      </c>
      <c r="R81" s="28" t="s">
        <v>63</v>
      </c>
      <c r="S81" s="27">
        <v>4800</v>
      </c>
      <c r="T81" s="27">
        <v>5.9999999999999995E-5</v>
      </c>
      <c r="U81" s="30"/>
      <c r="V81" s="27">
        <v>5.0000000000000001E-3</v>
      </c>
      <c r="W81" s="30"/>
      <c r="X81" s="30"/>
      <c r="AA81" s="27">
        <v>508</v>
      </c>
    </row>
    <row r="82" spans="1:27" ht="15" x14ac:dyDescent="0.25">
      <c r="A82" s="27">
        <v>18450299</v>
      </c>
      <c r="B82" s="27">
        <v>-2</v>
      </c>
      <c r="C82" s="27">
        <v>5</v>
      </c>
      <c r="D82" s="28" t="s">
        <v>67</v>
      </c>
      <c r="E82" s="27">
        <v>1</v>
      </c>
      <c r="F82" s="27">
        <v>52</v>
      </c>
      <c r="G82" s="27">
        <v>3000</v>
      </c>
      <c r="H82" s="30"/>
      <c r="I82" s="30"/>
      <c r="J82" s="30"/>
      <c r="K82" s="30"/>
      <c r="L82" s="30"/>
      <c r="M82" s="27">
        <v>0</v>
      </c>
      <c r="N82" s="27">
        <v>0</v>
      </c>
      <c r="O82" s="27">
        <v>0</v>
      </c>
      <c r="P82" s="27">
        <v>1.0999999999999999E-2</v>
      </c>
      <c r="Q82" s="27">
        <v>1.0999999999999999E-2</v>
      </c>
      <c r="R82" s="28" t="s">
        <v>68</v>
      </c>
      <c r="S82" s="27">
        <v>4800</v>
      </c>
      <c r="T82" s="27">
        <v>2.5000000000000001E-9</v>
      </c>
      <c r="U82" s="30"/>
      <c r="V82" s="27">
        <v>5.0000000000000001E-3</v>
      </c>
      <c r="W82" s="30"/>
      <c r="X82" s="30"/>
      <c r="AA82" s="27">
        <v>509</v>
      </c>
    </row>
    <row r="83" spans="1:27" ht="15" x14ac:dyDescent="0.25">
      <c r="A83" s="27">
        <v>218019</v>
      </c>
      <c r="B83" s="27">
        <v>132</v>
      </c>
      <c r="C83" s="27">
        <v>304</v>
      </c>
      <c r="D83" s="28" t="s">
        <v>104</v>
      </c>
      <c r="E83" s="27">
        <v>0</v>
      </c>
      <c r="F83" s="27">
        <v>228.27</v>
      </c>
      <c r="G83" s="27">
        <v>1.7899999999999999E-3</v>
      </c>
      <c r="H83" s="27">
        <v>8.7400000000000002E-8</v>
      </c>
      <c r="I83" s="27">
        <v>5.81</v>
      </c>
      <c r="J83" s="27">
        <v>5.72</v>
      </c>
      <c r="K83" s="30"/>
      <c r="L83" s="27">
        <v>1.9999999999999999E-7</v>
      </c>
      <c r="M83" s="30"/>
      <c r="N83" s="27">
        <v>5.0000000000000001E-4</v>
      </c>
      <c r="O83" s="30"/>
      <c r="P83" s="30"/>
      <c r="Q83" s="30"/>
      <c r="R83" s="28" t="s">
        <v>63</v>
      </c>
      <c r="S83" s="30"/>
      <c r="T83" s="30"/>
      <c r="U83" s="30"/>
      <c r="V83" s="27">
        <v>0.05</v>
      </c>
      <c r="W83" s="30"/>
      <c r="X83" s="30"/>
      <c r="AA83" s="27">
        <v>510</v>
      </c>
    </row>
    <row r="84" spans="1:27" ht="15" x14ac:dyDescent="0.25">
      <c r="A84" s="30"/>
      <c r="B84" s="27">
        <v>-5</v>
      </c>
      <c r="C84" s="27">
        <v>103</v>
      </c>
      <c r="D84" s="28" t="s">
        <v>87</v>
      </c>
      <c r="E84" s="27">
        <v>2</v>
      </c>
      <c r="F84" s="27">
        <v>26</v>
      </c>
      <c r="G84" s="27">
        <v>3000</v>
      </c>
      <c r="H84" s="30"/>
      <c r="I84" s="30"/>
      <c r="J84" s="30"/>
      <c r="K84" s="30"/>
      <c r="L84" s="30"/>
      <c r="M84" s="27">
        <v>0</v>
      </c>
      <c r="N84" s="27">
        <v>0</v>
      </c>
      <c r="O84" s="27">
        <v>0</v>
      </c>
      <c r="P84" s="30"/>
      <c r="Q84" s="30"/>
      <c r="R84" s="28" t="s">
        <v>68</v>
      </c>
      <c r="S84" s="27">
        <v>0.1</v>
      </c>
      <c r="T84" s="30"/>
      <c r="U84" s="30"/>
      <c r="V84" s="27">
        <v>0.8</v>
      </c>
      <c r="W84" s="30"/>
      <c r="X84" s="30"/>
      <c r="AA84" s="27">
        <v>511</v>
      </c>
    </row>
    <row r="85" spans="1:27" ht="15" x14ac:dyDescent="0.25">
      <c r="A85" s="30"/>
      <c r="B85" s="27">
        <v>-4</v>
      </c>
      <c r="C85" s="27">
        <v>102</v>
      </c>
      <c r="D85" s="28" t="s">
        <v>86</v>
      </c>
      <c r="E85" s="27">
        <v>2</v>
      </c>
      <c r="F85" s="27">
        <v>26</v>
      </c>
      <c r="G85" s="27">
        <v>3000</v>
      </c>
      <c r="H85" s="27">
        <v>98931</v>
      </c>
      <c r="I85" s="27">
        <v>-0.25</v>
      </c>
      <c r="J85" s="27">
        <v>-0.63600000000000001</v>
      </c>
      <c r="K85" s="27">
        <v>9.1999999999999993</v>
      </c>
      <c r="L85" s="27">
        <v>9.9999999999999995E-7</v>
      </c>
      <c r="M85" s="27">
        <v>0</v>
      </c>
      <c r="N85" s="27">
        <v>0</v>
      </c>
      <c r="O85" s="27">
        <v>0</v>
      </c>
      <c r="P85" s="30"/>
      <c r="Q85" s="30"/>
      <c r="R85" s="28" t="s">
        <v>68</v>
      </c>
      <c r="S85" s="27">
        <v>0.1</v>
      </c>
      <c r="T85" s="27">
        <v>2.5000000000000001E-5</v>
      </c>
      <c r="U85" s="27">
        <v>2E-3</v>
      </c>
      <c r="V85" s="27">
        <v>0.05</v>
      </c>
      <c r="W85" s="30"/>
      <c r="X85" s="30"/>
      <c r="AA85" s="27">
        <v>521</v>
      </c>
    </row>
    <row r="86" spans="1:27" ht="15" x14ac:dyDescent="0.25">
      <c r="A86" s="27">
        <v>108941</v>
      </c>
      <c r="B86" s="27">
        <v>135</v>
      </c>
      <c r="C86" s="27">
        <v>700</v>
      </c>
      <c r="D86" s="28" t="s">
        <v>194</v>
      </c>
      <c r="E86" s="27">
        <v>0</v>
      </c>
      <c r="F86" s="27">
        <v>98.144995627650303</v>
      </c>
      <c r="G86" s="27">
        <v>18990.750951624501</v>
      </c>
      <c r="H86" s="27">
        <v>489.69253650309054</v>
      </c>
      <c r="I86" s="27">
        <v>0.81</v>
      </c>
      <c r="J86" s="27">
        <v>0.99</v>
      </c>
      <c r="K86" s="30"/>
      <c r="L86" s="27">
        <v>9.9999999999999995E-8</v>
      </c>
      <c r="M86" s="27">
        <v>0</v>
      </c>
      <c r="N86" s="27">
        <v>0</v>
      </c>
      <c r="O86" s="27">
        <v>0</v>
      </c>
      <c r="P86" s="30"/>
      <c r="Q86" s="30"/>
      <c r="R86" s="28" t="s">
        <v>68</v>
      </c>
      <c r="S86" s="30"/>
      <c r="T86" s="27">
        <v>1.36E-4</v>
      </c>
      <c r="U86" s="27">
        <v>0.01</v>
      </c>
      <c r="V86" s="27">
        <v>4.6000000000000005</v>
      </c>
      <c r="W86" s="30"/>
      <c r="X86" s="30"/>
      <c r="AA86" s="27">
        <v>522</v>
      </c>
    </row>
    <row r="87" spans="1:27" ht="15" x14ac:dyDescent="0.25">
      <c r="A87" s="27">
        <v>53190</v>
      </c>
      <c r="B87" s="27">
        <v>542</v>
      </c>
      <c r="C87" s="27">
        <v>629</v>
      </c>
      <c r="D87" s="28" t="s">
        <v>193</v>
      </c>
      <c r="E87" s="27">
        <v>0</v>
      </c>
      <c r="F87" s="27">
        <v>320.05</v>
      </c>
      <c r="G87" s="27">
        <v>6.2300000000000001E-2</v>
      </c>
      <c r="H87" s="27">
        <v>1.9300000000000002E-5</v>
      </c>
      <c r="I87" s="27">
        <v>6.22</v>
      </c>
      <c r="J87" s="27">
        <v>5.18</v>
      </c>
      <c r="K87" s="30"/>
      <c r="L87" s="27">
        <v>4.9999999999999998E-7</v>
      </c>
      <c r="M87" s="30"/>
      <c r="N87" s="27">
        <v>4.0000000000000002E-4</v>
      </c>
      <c r="O87" s="27">
        <v>34</v>
      </c>
      <c r="P87" s="30"/>
      <c r="Q87" s="30"/>
      <c r="R87" s="28" t="s">
        <v>63</v>
      </c>
      <c r="S87" s="30"/>
      <c r="T87" s="30"/>
      <c r="U87" s="30"/>
      <c r="V87" s="27">
        <v>5.0000000000000001E-4</v>
      </c>
      <c r="W87" s="30"/>
      <c r="X87" s="30"/>
      <c r="AA87" s="27">
        <v>523</v>
      </c>
    </row>
    <row r="88" spans="1:27" ht="15" x14ac:dyDescent="0.25">
      <c r="A88" s="27">
        <v>72559</v>
      </c>
      <c r="B88" s="27">
        <v>543</v>
      </c>
      <c r="C88" s="27">
        <v>601</v>
      </c>
      <c r="D88" s="28" t="s">
        <v>173</v>
      </c>
      <c r="E88" s="27">
        <v>0</v>
      </c>
      <c r="F88" s="27">
        <v>318</v>
      </c>
      <c r="G88" s="27">
        <v>4.0899999999999999E-2</v>
      </c>
      <c r="H88" s="27">
        <v>4.2899999999999999E-5</v>
      </c>
      <c r="I88" s="27">
        <v>6.96</v>
      </c>
      <c r="J88" s="27">
        <v>5.35</v>
      </c>
      <c r="K88" s="30"/>
      <c r="L88" s="27">
        <v>4.9999999999999998E-7</v>
      </c>
      <c r="M88" s="30"/>
      <c r="N88" s="27">
        <v>4.0000000000000002E-4</v>
      </c>
      <c r="O88" s="27">
        <v>1.3</v>
      </c>
      <c r="P88" s="30"/>
      <c r="Q88" s="30"/>
      <c r="R88" s="28" t="s">
        <v>63</v>
      </c>
      <c r="S88" s="30"/>
      <c r="T88" s="30"/>
      <c r="U88" s="30"/>
      <c r="V88" s="27">
        <v>5.0000000000000001E-4</v>
      </c>
      <c r="W88" s="30"/>
      <c r="X88" s="30"/>
      <c r="AA88" s="27">
        <v>524</v>
      </c>
    </row>
    <row r="89" spans="1:27" ht="15" x14ac:dyDescent="0.25">
      <c r="A89" s="27">
        <v>50293</v>
      </c>
      <c r="B89" s="27">
        <v>541</v>
      </c>
      <c r="C89" s="27">
        <v>600</v>
      </c>
      <c r="D89" s="28" t="s">
        <v>172</v>
      </c>
      <c r="E89" s="27">
        <v>0</v>
      </c>
      <c r="F89" s="27">
        <v>354.5</v>
      </c>
      <c r="G89" s="27">
        <v>6.4799999999999996E-3</v>
      </c>
      <c r="H89" s="27">
        <v>1.22E-5</v>
      </c>
      <c r="I89" s="27">
        <v>6.91</v>
      </c>
      <c r="J89" s="27">
        <v>5.58</v>
      </c>
      <c r="K89" s="30"/>
      <c r="L89" s="27">
        <v>4.9999999999999998E-7</v>
      </c>
      <c r="M89" s="30"/>
      <c r="N89" s="27">
        <v>4.0000000000000002E-4</v>
      </c>
      <c r="O89" s="27">
        <v>1</v>
      </c>
      <c r="P89" s="30"/>
      <c r="Q89" s="30"/>
      <c r="R89" s="28" t="s">
        <v>63</v>
      </c>
      <c r="S89" s="30"/>
      <c r="T89" s="30"/>
      <c r="U89" s="30"/>
      <c r="V89" s="27">
        <v>5.0000000000000001E-4</v>
      </c>
      <c r="W89" s="30"/>
      <c r="X89" s="30"/>
      <c r="AA89" s="27">
        <v>525</v>
      </c>
    </row>
    <row r="90" spans="1:27" ht="15" x14ac:dyDescent="0.25">
      <c r="A90" s="27">
        <v>117817</v>
      </c>
      <c r="B90" s="27">
        <v>484</v>
      </c>
      <c r="C90" s="27">
        <v>702</v>
      </c>
      <c r="D90" s="28" t="s">
        <v>196</v>
      </c>
      <c r="E90" s="27">
        <v>0</v>
      </c>
      <c r="F90" s="27">
        <v>390.58666621150059</v>
      </c>
      <c r="G90" s="27">
        <v>4.5738942200188336E-2</v>
      </c>
      <c r="H90" s="27">
        <v>2.7219849224375338E-4</v>
      </c>
      <c r="I90" s="27">
        <v>7.45</v>
      </c>
      <c r="J90" s="27">
        <v>5.37</v>
      </c>
      <c r="K90" s="30"/>
      <c r="L90" s="27">
        <v>1.9999999999999999E-6</v>
      </c>
      <c r="M90" s="27">
        <v>0</v>
      </c>
      <c r="N90" s="27">
        <v>0</v>
      </c>
      <c r="O90" s="27">
        <v>0</v>
      </c>
      <c r="P90" s="30"/>
      <c r="Q90" s="30"/>
      <c r="R90" s="28" t="s">
        <v>68</v>
      </c>
      <c r="S90" s="30"/>
      <c r="T90" s="30"/>
      <c r="U90" s="30"/>
      <c r="V90" s="27">
        <v>4.0000000000000001E-3</v>
      </c>
      <c r="W90" s="30"/>
      <c r="X90" s="30"/>
      <c r="AA90" s="27">
        <v>526</v>
      </c>
    </row>
    <row r="91" spans="1:27" ht="15" x14ac:dyDescent="0.25">
      <c r="A91" s="30"/>
      <c r="B91" s="27">
        <v>-12</v>
      </c>
      <c r="C91" s="27">
        <v>314</v>
      </c>
      <c r="D91" s="28" t="s">
        <v>113</v>
      </c>
      <c r="E91" s="27">
        <v>0</v>
      </c>
      <c r="F91" s="27">
        <v>278.36</v>
      </c>
      <c r="G91" s="27">
        <v>8.275E-4</v>
      </c>
      <c r="H91" s="27">
        <v>2.6660000000000002E-7</v>
      </c>
      <c r="I91" s="27">
        <v>7.11</v>
      </c>
      <c r="J91" s="27">
        <v>6.1400000000000006</v>
      </c>
      <c r="K91" s="30"/>
      <c r="L91" s="27">
        <v>4.9999999999999998E-7</v>
      </c>
      <c r="M91" s="27">
        <v>0</v>
      </c>
      <c r="N91" s="27">
        <v>0</v>
      </c>
      <c r="O91" s="27">
        <v>0</v>
      </c>
      <c r="P91" s="30"/>
      <c r="Q91" s="30"/>
      <c r="R91" s="28" t="s">
        <v>68</v>
      </c>
      <c r="S91" s="30"/>
      <c r="T91" s="30"/>
      <c r="U91" s="30"/>
      <c r="V91" s="27">
        <v>5.0000000000000001E-4</v>
      </c>
      <c r="W91" s="30"/>
      <c r="X91" s="30"/>
      <c r="AA91" s="27">
        <v>527</v>
      </c>
    </row>
    <row r="92" spans="1:27" ht="15" x14ac:dyDescent="0.25">
      <c r="A92" s="27">
        <v>84742</v>
      </c>
      <c r="B92" s="27">
        <v>486</v>
      </c>
      <c r="C92" s="27">
        <v>732</v>
      </c>
      <c r="D92" s="28" t="s">
        <v>203</v>
      </c>
      <c r="E92" s="27">
        <v>0</v>
      </c>
      <c r="F92" s="27">
        <v>278.35000000000002</v>
      </c>
      <c r="G92" s="27">
        <v>2.351</v>
      </c>
      <c r="H92" s="27">
        <v>3.3999914999999999E-2</v>
      </c>
      <c r="I92" s="27">
        <v>4.72</v>
      </c>
      <c r="J92" s="27">
        <v>2.98</v>
      </c>
      <c r="K92" s="30"/>
      <c r="L92" s="27">
        <v>1.9999999999999999E-6</v>
      </c>
      <c r="M92" s="27">
        <v>0</v>
      </c>
      <c r="N92" s="27">
        <v>0</v>
      </c>
      <c r="O92" s="27">
        <v>0</v>
      </c>
      <c r="P92" s="30"/>
      <c r="Q92" s="30"/>
      <c r="R92" s="28" t="s">
        <v>68</v>
      </c>
      <c r="S92" s="30"/>
      <c r="T92" s="30"/>
      <c r="U92" s="30"/>
      <c r="V92" s="27">
        <v>5.1999999999999998E-2</v>
      </c>
      <c r="W92" s="30"/>
      <c r="X92" s="30"/>
      <c r="AA92" s="27">
        <v>528</v>
      </c>
    </row>
    <row r="93" spans="1:27" ht="15" x14ac:dyDescent="0.25">
      <c r="A93" s="30"/>
      <c r="B93" s="27">
        <v>-20</v>
      </c>
      <c r="C93" s="27">
        <v>1130</v>
      </c>
      <c r="D93" s="28" t="s">
        <v>245</v>
      </c>
      <c r="E93" s="27">
        <v>0</v>
      </c>
      <c r="F93" s="27">
        <v>162</v>
      </c>
      <c r="G93" s="27">
        <v>486</v>
      </c>
      <c r="H93" s="27">
        <v>1.2</v>
      </c>
      <c r="I93" s="27">
        <v>2.79</v>
      </c>
      <c r="J93" s="27">
        <v>2.85</v>
      </c>
      <c r="K93" s="30"/>
      <c r="L93" s="27">
        <v>9.9999999999999995E-7</v>
      </c>
      <c r="M93" s="27">
        <v>0</v>
      </c>
      <c r="N93" s="27">
        <v>0</v>
      </c>
      <c r="O93" s="27">
        <v>0</v>
      </c>
      <c r="P93" s="30"/>
      <c r="Q93" s="30"/>
      <c r="R93" s="28" t="s">
        <v>68</v>
      </c>
      <c r="S93" s="30"/>
      <c r="T93" s="30"/>
      <c r="U93" s="30"/>
      <c r="V93" s="30"/>
      <c r="W93" s="30"/>
      <c r="X93" s="30"/>
      <c r="AA93" s="27">
        <v>530</v>
      </c>
    </row>
    <row r="94" spans="1:27" ht="15" x14ac:dyDescent="0.25">
      <c r="A94" s="27">
        <v>75092</v>
      </c>
      <c r="B94" s="27">
        <v>149</v>
      </c>
      <c r="C94" s="27">
        <v>401</v>
      </c>
      <c r="D94" s="28" t="s">
        <v>116</v>
      </c>
      <c r="E94" s="27">
        <v>0</v>
      </c>
      <c r="F94" s="27">
        <v>84.909998822374817</v>
      </c>
      <c r="G94" s="27">
        <v>18013.465624982568</v>
      </c>
      <c r="H94" s="27">
        <v>42975.232763883665</v>
      </c>
      <c r="I94" s="27">
        <v>1.25</v>
      </c>
      <c r="J94" s="27">
        <v>1.22</v>
      </c>
      <c r="K94" s="30"/>
      <c r="L94" s="27">
        <v>4.9999999999999998E-7</v>
      </c>
      <c r="M94" s="27">
        <v>0</v>
      </c>
      <c r="N94" s="27">
        <v>0</v>
      </c>
      <c r="O94" s="27">
        <v>0</v>
      </c>
      <c r="P94" s="30"/>
      <c r="Q94" s="30"/>
      <c r="R94" s="28" t="s">
        <v>68</v>
      </c>
      <c r="S94" s="30"/>
      <c r="T94" s="27">
        <v>3.0000000000000001E-3</v>
      </c>
      <c r="U94" s="27">
        <v>0.3</v>
      </c>
      <c r="V94" s="27">
        <v>0.06</v>
      </c>
      <c r="W94" s="30"/>
      <c r="X94" s="27">
        <v>4.21</v>
      </c>
      <c r="AA94" s="27">
        <v>531</v>
      </c>
    </row>
    <row r="95" spans="1:27" ht="15" x14ac:dyDescent="0.25">
      <c r="A95" s="27">
        <v>60571</v>
      </c>
      <c r="B95" s="27">
        <v>452</v>
      </c>
      <c r="C95" s="27">
        <v>603</v>
      </c>
      <c r="D95" s="28" t="s">
        <v>175</v>
      </c>
      <c r="E95" s="27">
        <v>0</v>
      </c>
      <c r="F95" s="27">
        <v>380.93</v>
      </c>
      <c r="G95" s="27">
        <v>0.29899999999999999</v>
      </c>
      <c r="H95" s="27">
        <v>2.94E-5</v>
      </c>
      <c r="I95" s="27">
        <v>4.55</v>
      </c>
      <c r="J95" s="27">
        <v>3.99</v>
      </c>
      <c r="K95" s="30"/>
      <c r="L95" s="27">
        <v>4.9999999999999998E-7</v>
      </c>
      <c r="M95" s="30"/>
      <c r="N95" s="27">
        <v>6.0000000000000002E-5</v>
      </c>
      <c r="O95" s="30"/>
      <c r="P95" s="30"/>
      <c r="Q95" s="30"/>
      <c r="R95" s="28" t="s">
        <v>63</v>
      </c>
      <c r="S95" s="30"/>
      <c r="T95" s="27">
        <v>3.4999999999999998E-7</v>
      </c>
      <c r="U95" s="30"/>
      <c r="V95" s="27">
        <v>1E-4</v>
      </c>
      <c r="W95" s="30"/>
      <c r="X95" s="30"/>
      <c r="AA95" s="27">
        <v>532</v>
      </c>
    </row>
    <row r="96" spans="1:27" ht="15" x14ac:dyDescent="0.25">
      <c r="A96" s="29"/>
      <c r="B96" s="27">
        <v>-46</v>
      </c>
      <c r="C96" s="27">
        <v>1104</v>
      </c>
      <c r="D96" s="28" t="s">
        <v>238</v>
      </c>
      <c r="E96" s="27">
        <v>0</v>
      </c>
      <c r="F96" s="27">
        <v>106.10000000000001</v>
      </c>
      <c r="G96" s="27">
        <v>5090000</v>
      </c>
      <c r="H96" s="27">
        <v>1.33</v>
      </c>
      <c r="I96" s="27">
        <v>-1.8</v>
      </c>
      <c r="J96" s="27">
        <v>-999</v>
      </c>
      <c r="K96" s="30"/>
      <c r="L96" s="27">
        <v>9.9999999999999995E-8</v>
      </c>
      <c r="M96" s="27">
        <v>0</v>
      </c>
      <c r="N96" s="27">
        <v>0</v>
      </c>
      <c r="O96" s="27">
        <v>0</v>
      </c>
      <c r="P96" s="30"/>
      <c r="Q96" s="30"/>
      <c r="R96" s="28" t="s">
        <v>68</v>
      </c>
      <c r="S96" s="30"/>
      <c r="T96" s="30"/>
      <c r="U96" s="30"/>
      <c r="V96" s="27">
        <v>0.4</v>
      </c>
      <c r="W96" s="30"/>
      <c r="X96" s="30"/>
      <c r="AA96" s="27">
        <v>533</v>
      </c>
    </row>
    <row r="97" spans="1:27" ht="15" x14ac:dyDescent="0.25">
      <c r="A97" s="26">
        <v>84662</v>
      </c>
      <c r="B97" s="27">
        <v>487</v>
      </c>
      <c r="C97" s="27">
        <v>733</v>
      </c>
      <c r="D97" s="28" t="s">
        <v>204</v>
      </c>
      <c r="E97" s="27">
        <v>0</v>
      </c>
      <c r="F97" s="27">
        <v>222.24</v>
      </c>
      <c r="G97" s="27">
        <v>287.2</v>
      </c>
      <c r="H97" s="27">
        <v>0.66799832999999997</v>
      </c>
      <c r="I97" s="27">
        <v>2.4700000000000002</v>
      </c>
      <c r="J97" s="27">
        <v>2.64</v>
      </c>
      <c r="K97" s="30"/>
      <c r="L97" s="27">
        <v>1.9999999999999999E-6</v>
      </c>
      <c r="M97" s="27">
        <v>0</v>
      </c>
      <c r="N97" s="27">
        <v>0</v>
      </c>
      <c r="O97" s="27">
        <v>0</v>
      </c>
      <c r="P97" s="30"/>
      <c r="Q97" s="30"/>
      <c r="R97" s="28" t="s">
        <v>68</v>
      </c>
      <c r="S97" s="30"/>
      <c r="T97" s="30"/>
      <c r="U97" s="30"/>
      <c r="V97" s="27">
        <v>0.2</v>
      </c>
      <c r="W97" s="30"/>
      <c r="X97" s="30"/>
      <c r="AA97" s="27">
        <v>534</v>
      </c>
    </row>
    <row r="98" spans="1:27" ht="15" x14ac:dyDescent="0.25">
      <c r="A98" s="27">
        <v>84753</v>
      </c>
      <c r="B98" s="27">
        <v>483</v>
      </c>
      <c r="C98" s="27">
        <v>729</v>
      </c>
      <c r="D98" s="28" t="s">
        <v>201</v>
      </c>
      <c r="E98" s="27">
        <v>0</v>
      </c>
      <c r="F98" s="27">
        <v>334.5</v>
      </c>
      <c r="G98" s="27">
        <v>1.1509999999999999E-2</v>
      </c>
      <c r="H98" s="27">
        <v>1.6133292999999998E-3</v>
      </c>
      <c r="I98" s="27">
        <v>6.8500000000000005</v>
      </c>
      <c r="J98" s="27">
        <v>4.6500000000000004</v>
      </c>
      <c r="K98" s="30"/>
      <c r="L98" s="27">
        <v>1.9999999999999999E-6</v>
      </c>
      <c r="M98" s="27">
        <v>0</v>
      </c>
      <c r="N98" s="27">
        <v>0</v>
      </c>
      <c r="O98" s="27">
        <v>0</v>
      </c>
      <c r="P98" s="30"/>
      <c r="Q98" s="30"/>
      <c r="R98" s="28" t="s">
        <v>68</v>
      </c>
      <c r="S98" s="30"/>
      <c r="T98" s="30"/>
      <c r="U98" s="30"/>
      <c r="V98" s="27">
        <v>4.0000000000000001E-3</v>
      </c>
      <c r="W98" s="30"/>
      <c r="X98" s="30"/>
      <c r="AA98" s="27">
        <v>535</v>
      </c>
    </row>
    <row r="99" spans="1:27" ht="15" x14ac:dyDescent="0.25">
      <c r="A99" s="30"/>
      <c r="B99" s="27">
        <v>-26</v>
      </c>
      <c r="C99" s="27">
        <v>747</v>
      </c>
      <c r="D99" s="28" t="s">
        <v>218</v>
      </c>
      <c r="E99" s="27">
        <v>0</v>
      </c>
      <c r="F99" s="27">
        <v>278.35000000000002</v>
      </c>
      <c r="G99" s="27">
        <v>9.6</v>
      </c>
      <c r="H99" s="27">
        <v>1.37E-2</v>
      </c>
      <c r="I99" s="27">
        <v>4.46</v>
      </c>
      <c r="J99" s="27">
        <v>3.24</v>
      </c>
      <c r="K99" s="30"/>
      <c r="L99" s="27">
        <v>1.9999999999999999E-6</v>
      </c>
      <c r="M99" s="27">
        <v>0</v>
      </c>
      <c r="N99" s="27">
        <v>0</v>
      </c>
      <c r="O99" s="27">
        <v>0</v>
      </c>
      <c r="P99" s="30"/>
      <c r="Q99" s="30"/>
      <c r="R99" s="28" t="s">
        <v>68</v>
      </c>
      <c r="S99" s="30"/>
      <c r="T99" s="30"/>
      <c r="U99" s="30"/>
      <c r="V99" s="27">
        <v>4.0000000000000001E-3</v>
      </c>
      <c r="W99" s="30"/>
      <c r="X99" s="30"/>
      <c r="AA99" s="27">
        <v>536</v>
      </c>
    </row>
    <row r="100" spans="1:27" ht="15" x14ac:dyDescent="0.25">
      <c r="A100" s="27">
        <v>131113</v>
      </c>
      <c r="B100" s="27">
        <v>489</v>
      </c>
      <c r="C100" s="27">
        <v>731</v>
      </c>
      <c r="D100" s="28" t="s">
        <v>202</v>
      </c>
      <c r="E100" s="27">
        <v>0</v>
      </c>
      <c r="F100" s="27">
        <v>194.19</v>
      </c>
      <c r="G100" s="27">
        <v>2014</v>
      </c>
      <c r="H100" s="27">
        <v>3.8665700000000007</v>
      </c>
      <c r="I100" s="27">
        <v>1.56</v>
      </c>
      <c r="J100" s="27">
        <v>2.25</v>
      </c>
      <c r="K100" s="30"/>
      <c r="L100" s="27">
        <v>1.9999999999999999E-6</v>
      </c>
      <c r="M100" s="27">
        <v>0</v>
      </c>
      <c r="N100" s="27">
        <v>0</v>
      </c>
      <c r="O100" s="27">
        <v>0</v>
      </c>
      <c r="P100" s="30"/>
      <c r="Q100" s="30"/>
      <c r="R100" s="28" t="s">
        <v>68</v>
      </c>
      <c r="S100" s="30"/>
      <c r="T100" s="30"/>
      <c r="U100" s="30"/>
      <c r="V100" s="27">
        <v>4.0000000000000001E-3</v>
      </c>
      <c r="W100" s="30"/>
      <c r="X100" s="30"/>
      <c r="AA100" s="27">
        <v>537</v>
      </c>
    </row>
    <row r="101" spans="1:27" ht="15" x14ac:dyDescent="0.25">
      <c r="A101" s="27">
        <v>123013</v>
      </c>
      <c r="B101" s="27">
        <v>4443</v>
      </c>
      <c r="C101" s="27">
        <v>209</v>
      </c>
      <c r="D101" s="28" t="s">
        <v>95</v>
      </c>
      <c r="E101" s="27">
        <v>0</v>
      </c>
      <c r="F101" s="27">
        <v>246.4</v>
      </c>
      <c r="G101" s="27">
        <v>1.9000000000000001E-4</v>
      </c>
      <c r="H101" s="27">
        <v>3.2000000000000001E-2</v>
      </c>
      <c r="I101" s="27">
        <v>8.4600000000000009</v>
      </c>
      <c r="J101" s="30"/>
      <c r="K101" s="30"/>
      <c r="L101" s="27">
        <v>4.9999999999999998E-8</v>
      </c>
      <c r="M101" s="27">
        <v>0</v>
      </c>
      <c r="N101" s="27">
        <v>0</v>
      </c>
      <c r="O101" s="27">
        <v>0</v>
      </c>
      <c r="P101" s="30"/>
      <c r="Q101" s="30"/>
      <c r="R101" s="28" t="s">
        <v>68</v>
      </c>
      <c r="S101" s="30"/>
      <c r="T101" s="30"/>
      <c r="U101" s="30"/>
      <c r="V101" s="27">
        <v>5.0000000000000001E-3</v>
      </c>
      <c r="W101" s="30"/>
      <c r="X101" s="30"/>
      <c r="AA101" s="27">
        <v>538</v>
      </c>
    </row>
    <row r="102" spans="1:27" ht="15" x14ac:dyDescent="0.25">
      <c r="A102" s="27">
        <v>72208</v>
      </c>
      <c r="B102" s="27">
        <v>464</v>
      </c>
      <c r="C102" s="27">
        <v>604</v>
      </c>
      <c r="D102" s="28" t="s">
        <v>176</v>
      </c>
      <c r="E102" s="27">
        <v>0</v>
      </c>
      <c r="F102" s="27">
        <v>380.93</v>
      </c>
      <c r="G102" s="27">
        <v>0.46600000000000003</v>
      </c>
      <c r="H102" s="27">
        <v>1.2500000000000001E-5</v>
      </c>
      <c r="I102" s="27">
        <v>4.55</v>
      </c>
      <c r="J102" s="27">
        <v>3.95</v>
      </c>
      <c r="K102" s="30"/>
      <c r="L102" s="27">
        <v>4.9999999999999998E-7</v>
      </c>
      <c r="M102" s="30"/>
      <c r="N102" s="27">
        <v>1.6000000000000001E-4</v>
      </c>
      <c r="O102" s="30"/>
      <c r="P102" s="30"/>
      <c r="Q102" s="30"/>
      <c r="R102" s="28" t="s">
        <v>63</v>
      </c>
      <c r="S102" s="30"/>
      <c r="T102" s="27">
        <v>6.9999999999999997E-7</v>
      </c>
      <c r="U102" s="30"/>
      <c r="V102" s="27">
        <v>2.0000000000000001E-4</v>
      </c>
      <c r="W102" s="30"/>
      <c r="X102" s="30"/>
      <c r="AA102" s="27">
        <v>539</v>
      </c>
    </row>
    <row r="103" spans="1:27" ht="15" x14ac:dyDescent="0.25">
      <c r="A103" s="30"/>
      <c r="B103" s="27">
        <v>-45</v>
      </c>
      <c r="C103" s="27">
        <v>11143</v>
      </c>
      <c r="D103" s="28" t="s">
        <v>253</v>
      </c>
      <c r="E103" s="27">
        <v>0</v>
      </c>
      <c r="F103" s="27">
        <v>88.100000000000009</v>
      </c>
      <c r="G103" s="27">
        <v>62100</v>
      </c>
      <c r="H103" s="27">
        <v>5790</v>
      </c>
      <c r="I103" s="27">
        <v>0.73</v>
      </c>
      <c r="J103" s="27">
        <v>0.73</v>
      </c>
      <c r="K103" s="30"/>
      <c r="L103" s="27">
        <v>9.9999999999999995E-8</v>
      </c>
      <c r="M103" s="27">
        <v>0</v>
      </c>
      <c r="N103" s="27">
        <v>0</v>
      </c>
      <c r="O103" s="27">
        <v>0</v>
      </c>
      <c r="P103" s="30"/>
      <c r="Q103" s="30"/>
      <c r="R103" s="28" t="s">
        <v>68</v>
      </c>
      <c r="S103" s="30"/>
      <c r="T103" s="27">
        <v>4.2000000000000006E-3</v>
      </c>
      <c r="U103" s="30"/>
      <c r="V103" s="27">
        <v>0.9</v>
      </c>
      <c r="W103" s="30"/>
      <c r="X103" s="30"/>
      <c r="AA103" s="27">
        <v>540</v>
      </c>
    </row>
    <row r="104" spans="1:27" ht="15" x14ac:dyDescent="0.25">
      <c r="A104" s="27">
        <v>100414</v>
      </c>
      <c r="B104" s="27">
        <v>2756</v>
      </c>
      <c r="C104" s="27">
        <v>201</v>
      </c>
      <c r="D104" s="28" t="s">
        <v>3</v>
      </c>
      <c r="E104" s="27">
        <v>0</v>
      </c>
      <c r="F104" s="27">
        <v>106.18666499232586</v>
      </c>
      <c r="G104" s="27">
        <v>159.4494296665228</v>
      </c>
      <c r="H104" s="27">
        <v>952.91000424737058</v>
      </c>
      <c r="I104" s="27">
        <v>3.15</v>
      </c>
      <c r="J104" s="27">
        <v>2.5300000000000002</v>
      </c>
      <c r="K104" s="30"/>
      <c r="L104" s="27">
        <v>2.0999999999999998E-6</v>
      </c>
      <c r="M104" s="27">
        <v>0</v>
      </c>
      <c r="N104" s="27">
        <v>0</v>
      </c>
      <c r="O104" s="27">
        <v>0</v>
      </c>
      <c r="P104" s="30"/>
      <c r="Q104" s="30"/>
      <c r="R104" s="28" t="s">
        <v>68</v>
      </c>
      <c r="S104" s="30"/>
      <c r="T104" s="27">
        <v>7.7000000000000007E-4</v>
      </c>
      <c r="U104" s="27">
        <v>0.09</v>
      </c>
      <c r="V104" s="27">
        <v>0.1</v>
      </c>
      <c r="W104" s="30"/>
      <c r="X104" s="27">
        <v>131</v>
      </c>
      <c r="AA104" s="27">
        <v>541</v>
      </c>
    </row>
    <row r="105" spans="1:27" ht="15" x14ac:dyDescent="0.25">
      <c r="A105" s="30"/>
      <c r="B105" s="27">
        <v>-47</v>
      </c>
      <c r="C105" s="27">
        <v>1103</v>
      </c>
      <c r="D105" s="28" t="s">
        <v>237</v>
      </c>
      <c r="E105" s="27">
        <v>0</v>
      </c>
      <c r="F105" s="27">
        <v>62.1</v>
      </c>
      <c r="G105" s="27">
        <v>994000</v>
      </c>
      <c r="H105" s="27">
        <v>6</v>
      </c>
      <c r="I105" s="27">
        <v>-1.6</v>
      </c>
      <c r="J105" s="27">
        <v>-999</v>
      </c>
      <c r="K105" s="30"/>
      <c r="L105" s="27">
        <v>9.9999999999999995E-8</v>
      </c>
      <c r="M105" s="27">
        <v>0</v>
      </c>
      <c r="N105" s="27">
        <v>0</v>
      </c>
      <c r="O105" s="27">
        <v>0</v>
      </c>
      <c r="P105" s="30"/>
      <c r="Q105" s="30"/>
      <c r="R105" s="28" t="s">
        <v>68</v>
      </c>
      <c r="S105" s="30"/>
      <c r="T105" s="30"/>
      <c r="U105" s="30"/>
      <c r="V105" s="27">
        <v>0.4</v>
      </c>
      <c r="W105" s="30"/>
      <c r="X105" s="30"/>
      <c r="AA105" s="27">
        <v>542</v>
      </c>
    </row>
    <row r="106" spans="1:27" ht="15" x14ac:dyDescent="0.25">
      <c r="A106" s="27">
        <v>85018</v>
      </c>
      <c r="B106" s="27">
        <v>159</v>
      </c>
      <c r="C106" s="27">
        <v>305</v>
      </c>
      <c r="D106" s="28" t="s">
        <v>105</v>
      </c>
      <c r="E106" s="27">
        <v>0</v>
      </c>
      <c r="F106" s="27">
        <v>178.21</v>
      </c>
      <c r="G106" s="27">
        <v>0.85</v>
      </c>
      <c r="H106" s="27">
        <v>1.5100000000000001E-2</v>
      </c>
      <c r="I106" s="27">
        <v>4.47</v>
      </c>
      <c r="J106" s="27">
        <v>4.2300000000000004</v>
      </c>
      <c r="K106" s="30"/>
      <c r="L106" s="27">
        <v>4.9999999999999998E-7</v>
      </c>
      <c r="M106" s="30"/>
      <c r="N106" s="27">
        <v>0.04</v>
      </c>
      <c r="O106" s="30"/>
      <c r="P106" s="30"/>
      <c r="Q106" s="30"/>
      <c r="R106" s="28" t="s">
        <v>63</v>
      </c>
      <c r="S106" s="30"/>
      <c r="T106" s="30"/>
      <c r="U106" s="30"/>
      <c r="V106" s="27">
        <v>0.04</v>
      </c>
      <c r="W106" s="30"/>
      <c r="X106" s="30"/>
      <c r="AA106" s="27">
        <v>543</v>
      </c>
    </row>
    <row r="107" spans="1:27" ht="15" x14ac:dyDescent="0.25">
      <c r="A107" s="27">
        <v>108952</v>
      </c>
      <c r="B107" s="27">
        <v>174</v>
      </c>
      <c r="C107" s="27">
        <v>202</v>
      </c>
      <c r="D107" s="28" t="s">
        <v>89</v>
      </c>
      <c r="E107" s="27">
        <v>0</v>
      </c>
      <c r="F107" s="27">
        <v>94.104999867169639</v>
      </c>
      <c r="G107" s="27">
        <v>65559.556704569273</v>
      </c>
      <c r="H107" s="27">
        <v>32.856994005192149</v>
      </c>
      <c r="I107" s="27">
        <v>1.47</v>
      </c>
      <c r="J107" s="27">
        <v>1.52</v>
      </c>
      <c r="K107" s="27">
        <v>10</v>
      </c>
      <c r="L107" s="27">
        <v>8.4000000000000008E-9</v>
      </c>
      <c r="M107" s="27">
        <v>0</v>
      </c>
      <c r="N107" s="27">
        <v>0</v>
      </c>
      <c r="O107" s="27">
        <v>0</v>
      </c>
      <c r="P107" s="30"/>
      <c r="Q107" s="30"/>
      <c r="R107" s="28" t="s">
        <v>68</v>
      </c>
      <c r="S107" s="30"/>
      <c r="T107" s="27">
        <v>2.0000000000000002E-5</v>
      </c>
      <c r="U107" s="27">
        <v>6.9999999999999999E-4</v>
      </c>
      <c r="V107" s="27">
        <v>0.04</v>
      </c>
      <c r="W107" s="30"/>
      <c r="X107" s="27">
        <v>10.4</v>
      </c>
      <c r="AA107" s="27">
        <v>544</v>
      </c>
    </row>
    <row r="108" spans="1:27" ht="15" x14ac:dyDescent="0.25">
      <c r="A108" s="27">
        <v>206440</v>
      </c>
      <c r="B108" s="27">
        <v>140</v>
      </c>
      <c r="C108" s="27">
        <v>306</v>
      </c>
      <c r="D108" s="28" t="s">
        <v>106</v>
      </c>
      <c r="E108" s="27">
        <v>0</v>
      </c>
      <c r="F108" s="27">
        <v>202.36</v>
      </c>
      <c r="G108" s="27">
        <v>0.20100000000000001</v>
      </c>
      <c r="H108" s="27">
        <v>3.8E-3</v>
      </c>
      <c r="I108" s="27">
        <v>5.16</v>
      </c>
      <c r="J108" s="27">
        <v>5.18</v>
      </c>
      <c r="K108" s="30"/>
      <c r="L108" s="27">
        <v>1.9999999999999999E-7</v>
      </c>
      <c r="M108" s="30"/>
      <c r="N108" s="27">
        <v>5.0000000000000001E-4</v>
      </c>
      <c r="O108" s="30"/>
      <c r="P108" s="30"/>
      <c r="Q108" s="30"/>
      <c r="R108" s="28" t="s">
        <v>63</v>
      </c>
      <c r="S108" s="30"/>
      <c r="T108" s="30"/>
      <c r="U108" s="30"/>
      <c r="V108" s="27">
        <v>0.05</v>
      </c>
      <c r="W108" s="30"/>
      <c r="X108" s="30"/>
      <c r="AA108" s="27">
        <v>545</v>
      </c>
    </row>
    <row r="109" spans="1:27" ht="15" x14ac:dyDescent="0.25">
      <c r="A109" s="30"/>
      <c r="B109" s="27">
        <v>-48</v>
      </c>
      <c r="C109" s="27">
        <v>1106</v>
      </c>
      <c r="D109" s="28" t="s">
        <v>240</v>
      </c>
      <c r="E109" s="27">
        <v>0</v>
      </c>
      <c r="F109" s="27">
        <v>30</v>
      </c>
      <c r="G109" s="27">
        <v>720000</v>
      </c>
      <c r="H109" s="27">
        <v>288072</v>
      </c>
      <c r="I109" s="27">
        <v>0.12</v>
      </c>
      <c r="J109" s="27">
        <v>-999</v>
      </c>
      <c r="K109" s="30"/>
      <c r="L109" s="27">
        <v>9.9999999999999995E-8</v>
      </c>
      <c r="M109" s="27">
        <v>0</v>
      </c>
      <c r="N109" s="27">
        <v>0</v>
      </c>
      <c r="O109" s="27">
        <v>0</v>
      </c>
      <c r="P109" s="30"/>
      <c r="Q109" s="30"/>
      <c r="R109" s="28" t="s">
        <v>68</v>
      </c>
      <c r="S109" s="30"/>
      <c r="T109" s="27">
        <v>1.1999999999999999E-6</v>
      </c>
      <c r="U109" s="30"/>
      <c r="V109" s="27">
        <v>0.15</v>
      </c>
      <c r="W109" s="30"/>
      <c r="X109" s="30"/>
      <c r="AA109" s="27">
        <v>546</v>
      </c>
    </row>
    <row r="110" spans="1:27" ht="15" x14ac:dyDescent="0.25">
      <c r="A110" s="27">
        <v>58899</v>
      </c>
      <c r="B110" s="27">
        <v>453</v>
      </c>
      <c r="C110" s="27">
        <v>607</v>
      </c>
      <c r="D110" s="28" t="s">
        <v>179</v>
      </c>
      <c r="E110" s="27">
        <v>0</v>
      </c>
      <c r="F110" s="27">
        <v>290.81</v>
      </c>
      <c r="G110" s="27">
        <v>5.81</v>
      </c>
      <c r="H110" s="27">
        <v>1.23E-3</v>
      </c>
      <c r="I110" s="27">
        <v>3.72</v>
      </c>
      <c r="J110" s="27">
        <v>2.99</v>
      </c>
      <c r="K110" s="30"/>
      <c r="L110" s="27">
        <v>4.9999999999999998E-7</v>
      </c>
      <c r="M110" s="30"/>
      <c r="N110" s="27">
        <v>2.0000000000000002E-5</v>
      </c>
      <c r="O110" s="30"/>
      <c r="P110" s="30"/>
      <c r="Q110" s="30"/>
      <c r="R110" s="28" t="s">
        <v>63</v>
      </c>
      <c r="S110" s="30"/>
      <c r="T110" s="27">
        <v>1.3999999999999998E-7</v>
      </c>
      <c r="U110" s="30"/>
      <c r="V110" s="27">
        <v>4.0000000000000003E-5</v>
      </c>
      <c r="W110" s="30"/>
      <c r="X110" s="27">
        <v>385</v>
      </c>
      <c r="AA110" s="27">
        <v>547</v>
      </c>
    </row>
    <row r="111" spans="1:27" ht="15" x14ac:dyDescent="0.25">
      <c r="A111" s="27">
        <v>76448</v>
      </c>
      <c r="B111" s="27">
        <v>458</v>
      </c>
      <c r="C111" s="27">
        <v>628</v>
      </c>
      <c r="D111" s="28" t="s">
        <v>192</v>
      </c>
      <c r="E111" s="27">
        <v>0</v>
      </c>
      <c r="F111" s="27">
        <v>373</v>
      </c>
      <c r="G111" s="27">
        <v>7.0000000000000007E-2</v>
      </c>
      <c r="H111" s="27">
        <v>3.9699999999999999E-2</v>
      </c>
      <c r="I111" s="27">
        <v>5.43</v>
      </c>
      <c r="J111" s="27">
        <v>4.45</v>
      </c>
      <c r="K111" s="30"/>
      <c r="L111" s="27">
        <v>4.9999999999999998E-7</v>
      </c>
      <c r="M111" s="30"/>
      <c r="N111" s="27">
        <v>5.0000000000000002E-5</v>
      </c>
      <c r="O111" s="30"/>
      <c r="P111" s="30"/>
      <c r="Q111" s="30"/>
      <c r="R111" s="28" t="s">
        <v>68</v>
      </c>
      <c r="S111" s="30"/>
      <c r="T111" s="30"/>
      <c r="U111" s="30"/>
      <c r="V111" s="27">
        <v>2.9999999999999997E-4</v>
      </c>
      <c r="W111" s="30"/>
      <c r="X111" s="30"/>
      <c r="AA111" s="27">
        <v>548</v>
      </c>
    </row>
    <row r="112" spans="1:27" ht="15" x14ac:dyDescent="0.25">
      <c r="A112" s="27">
        <v>1024573</v>
      </c>
      <c r="B112" s="27">
        <v>1717</v>
      </c>
      <c r="C112" s="27">
        <v>625</v>
      </c>
      <c r="D112" s="28" t="s">
        <v>190</v>
      </c>
      <c r="E112" s="27">
        <v>0</v>
      </c>
      <c r="F112" s="27">
        <v>389</v>
      </c>
      <c r="G112" s="27">
        <v>0.28000000000000003</v>
      </c>
      <c r="H112" s="27">
        <v>4.1000000000000002E-2</v>
      </c>
      <c r="I112" s="27">
        <v>3.49</v>
      </c>
      <c r="J112" s="27">
        <v>2.94</v>
      </c>
      <c r="K112" s="30"/>
      <c r="L112" s="27">
        <v>4.9999999999999998E-7</v>
      </c>
      <c r="M112" s="30"/>
      <c r="N112" s="27">
        <v>5.0000000000000002E-5</v>
      </c>
      <c r="O112" s="30"/>
      <c r="P112" s="30"/>
      <c r="Q112" s="30"/>
      <c r="R112" s="28" t="s">
        <v>68</v>
      </c>
      <c r="S112" s="30"/>
      <c r="T112" s="30"/>
      <c r="U112" s="30"/>
      <c r="V112" s="27">
        <v>4.0000000000000002E-4</v>
      </c>
      <c r="W112" s="30"/>
      <c r="X112" s="30"/>
      <c r="AA112" s="27">
        <v>549</v>
      </c>
    </row>
    <row r="113" spans="1:27" ht="15" x14ac:dyDescent="0.25">
      <c r="A113" s="27">
        <v>118741</v>
      </c>
      <c r="B113" s="27">
        <v>141</v>
      </c>
      <c r="C113" s="27">
        <v>505</v>
      </c>
      <c r="D113" s="28" t="s">
        <v>132</v>
      </c>
      <c r="E113" s="27">
        <v>0</v>
      </c>
      <c r="F113" s="27">
        <v>284.8</v>
      </c>
      <c r="G113" s="27">
        <v>1.17E-2</v>
      </c>
      <c r="H113" s="27">
        <v>6.1300000000000005E-4</v>
      </c>
      <c r="I113" s="27">
        <v>5.73</v>
      </c>
      <c r="J113" s="27">
        <v>4.0599999999999996</v>
      </c>
      <c r="K113" s="30"/>
      <c r="L113" s="27">
        <v>9.9999999999999995E-7</v>
      </c>
      <c r="M113" s="30"/>
      <c r="N113" s="27">
        <v>1.5999999999999999E-6</v>
      </c>
      <c r="O113" s="30"/>
      <c r="P113" s="30"/>
      <c r="Q113" s="30"/>
      <c r="R113" s="28" t="s">
        <v>63</v>
      </c>
      <c r="S113" s="30"/>
      <c r="T113" s="27">
        <v>7.5000000000000002E-7</v>
      </c>
      <c r="U113" s="27">
        <v>7.0000000000000001E-3</v>
      </c>
      <c r="V113" s="27">
        <v>1.6000000000000001E-4</v>
      </c>
      <c r="W113" s="30"/>
      <c r="X113" s="27">
        <v>1980</v>
      </c>
      <c r="AA113" s="27">
        <v>550</v>
      </c>
    </row>
    <row r="114" spans="1:27" ht="15" x14ac:dyDescent="0.25">
      <c r="A114" s="27">
        <v>37871004</v>
      </c>
      <c r="B114" s="27">
        <v>-57</v>
      </c>
      <c r="C114" s="27">
        <v>809</v>
      </c>
      <c r="D114" s="28" t="s">
        <v>222</v>
      </c>
      <c r="E114" s="27">
        <v>0</v>
      </c>
      <c r="F114" s="27">
        <v>425</v>
      </c>
      <c r="G114" s="27">
        <v>2.3999999999999999E-6</v>
      </c>
      <c r="H114" s="27">
        <v>7.5099999999999999E-10</v>
      </c>
      <c r="I114" s="27">
        <v>8</v>
      </c>
      <c r="J114" s="27">
        <v>6.58</v>
      </c>
      <c r="K114" s="30"/>
      <c r="L114" s="27">
        <v>9.9999999999999995E-8</v>
      </c>
      <c r="M114" s="27">
        <v>0</v>
      </c>
      <c r="N114" s="27">
        <v>0</v>
      </c>
      <c r="O114" s="27">
        <v>0</v>
      </c>
      <c r="P114" s="30"/>
      <c r="Q114" s="30"/>
      <c r="R114" s="28" t="s">
        <v>68</v>
      </c>
      <c r="S114" s="30"/>
      <c r="T114" s="30"/>
      <c r="U114" s="30"/>
      <c r="V114" s="27">
        <v>2.0000000000000001E-9</v>
      </c>
      <c r="W114" s="30"/>
      <c r="X114" s="30"/>
      <c r="AA114" s="27">
        <v>552</v>
      </c>
    </row>
    <row r="115" spans="1:27" ht="15" x14ac:dyDescent="0.25">
      <c r="A115" s="30"/>
      <c r="B115" s="27">
        <v>-56</v>
      </c>
      <c r="C115" s="27">
        <v>808</v>
      </c>
      <c r="D115" s="28" t="s">
        <v>221</v>
      </c>
      <c r="E115" s="27">
        <v>0</v>
      </c>
      <c r="F115" s="27">
        <v>391</v>
      </c>
      <c r="G115" s="27">
        <v>4.4000000000000002E-6</v>
      </c>
      <c r="H115" s="27">
        <v>5.0799999999999998E-8</v>
      </c>
      <c r="I115" s="27">
        <v>7.8</v>
      </c>
      <c r="J115" s="27">
        <v>6.4180000000000001</v>
      </c>
      <c r="K115" s="30"/>
      <c r="L115" s="27">
        <v>9.9999999999999995E-8</v>
      </c>
      <c r="M115" s="27">
        <v>0</v>
      </c>
      <c r="N115" s="27">
        <v>0</v>
      </c>
      <c r="O115" s="27">
        <v>0</v>
      </c>
      <c r="P115" s="30"/>
      <c r="Q115" s="30"/>
      <c r="R115" s="28" t="s">
        <v>68</v>
      </c>
      <c r="S115" s="30"/>
      <c r="T115" s="30"/>
      <c r="U115" s="30"/>
      <c r="V115" s="27">
        <v>2.0000000000000001E-9</v>
      </c>
      <c r="W115" s="30"/>
      <c r="X115" s="30"/>
      <c r="AA115" s="27">
        <v>553</v>
      </c>
    </row>
    <row r="116" spans="1:27" ht="15" x14ac:dyDescent="0.25">
      <c r="A116" s="27">
        <v>123319</v>
      </c>
      <c r="B116" s="27">
        <v>1552</v>
      </c>
      <c r="C116" s="27">
        <v>208</v>
      </c>
      <c r="D116" s="28" t="s">
        <v>94</v>
      </c>
      <c r="E116" s="27">
        <v>0</v>
      </c>
      <c r="F116" s="27">
        <v>110.10333323242008</v>
      </c>
      <c r="G116" s="27">
        <v>39235.131641894113</v>
      </c>
      <c r="H116" s="27">
        <v>3.8643842436174948E-2</v>
      </c>
      <c r="I116" s="27">
        <v>0.59</v>
      </c>
      <c r="J116" s="27">
        <v>1.95</v>
      </c>
      <c r="K116" s="27">
        <v>10.6</v>
      </c>
      <c r="L116" s="27">
        <v>9.9999999999999995E-8</v>
      </c>
      <c r="M116" s="27">
        <v>0</v>
      </c>
      <c r="N116" s="27">
        <v>0</v>
      </c>
      <c r="O116" s="27">
        <v>0</v>
      </c>
      <c r="P116" s="30"/>
      <c r="Q116" s="30"/>
      <c r="R116" s="28" t="s">
        <v>68</v>
      </c>
      <c r="S116" s="30"/>
      <c r="T116" s="30"/>
      <c r="U116" s="30"/>
      <c r="V116" s="27">
        <v>2.5000000000000001E-2</v>
      </c>
      <c r="W116" s="30"/>
      <c r="X116" s="30"/>
      <c r="AA116" s="27">
        <v>554</v>
      </c>
    </row>
    <row r="117" spans="1:27" ht="15" x14ac:dyDescent="0.25">
      <c r="A117" s="27">
        <v>193395</v>
      </c>
      <c r="B117" s="27">
        <v>104342</v>
      </c>
      <c r="C117" s="27">
        <v>307</v>
      </c>
      <c r="D117" s="28" t="s">
        <v>107</v>
      </c>
      <c r="E117" s="27">
        <v>0</v>
      </c>
      <c r="F117" s="27">
        <v>276.31</v>
      </c>
      <c r="G117" s="27">
        <v>2.6499999999999999E-4</v>
      </c>
      <c r="H117" s="27">
        <v>2.6500000000000002E-9</v>
      </c>
      <c r="I117" s="27">
        <v>6.87</v>
      </c>
      <c r="J117" s="27">
        <v>6.02</v>
      </c>
      <c r="K117" s="30"/>
      <c r="L117" s="27">
        <v>1.9999999999999999E-7</v>
      </c>
      <c r="M117" s="30"/>
      <c r="N117" s="27">
        <v>5.0000000000000002E-5</v>
      </c>
      <c r="O117" s="30"/>
      <c r="P117" s="30"/>
      <c r="Q117" s="30"/>
      <c r="R117" s="28" t="s">
        <v>63</v>
      </c>
      <c r="S117" s="30"/>
      <c r="T117" s="30"/>
      <c r="U117" s="30"/>
      <c r="V117" s="27">
        <v>5.0000000000000001E-3</v>
      </c>
      <c r="W117" s="30"/>
      <c r="X117" s="30"/>
      <c r="AA117" s="27">
        <v>555</v>
      </c>
    </row>
    <row r="118" spans="1:27" ht="15" x14ac:dyDescent="0.25">
      <c r="A118" s="30"/>
      <c r="B118" s="27">
        <v>-49</v>
      </c>
      <c r="C118" s="27">
        <v>1142</v>
      </c>
      <c r="D118" s="28" t="s">
        <v>251</v>
      </c>
      <c r="E118" s="27">
        <v>0</v>
      </c>
      <c r="F118" s="27">
        <v>60.1</v>
      </c>
      <c r="G118" s="27">
        <v>1020000</v>
      </c>
      <c r="H118" s="27">
        <v>2210</v>
      </c>
      <c r="I118" s="27">
        <v>0.05</v>
      </c>
      <c r="J118" s="27">
        <v>0.52</v>
      </c>
      <c r="K118" s="30"/>
      <c r="L118" s="27">
        <v>9.9999999999999995E-8</v>
      </c>
      <c r="M118" s="27">
        <v>0</v>
      </c>
      <c r="N118" s="27">
        <v>0</v>
      </c>
      <c r="O118" s="27">
        <v>0</v>
      </c>
      <c r="P118" s="30"/>
      <c r="Q118" s="30"/>
      <c r="R118" s="28" t="s">
        <v>68</v>
      </c>
      <c r="S118" s="30"/>
      <c r="T118" s="27">
        <v>2.2000000000000001E-3</v>
      </c>
      <c r="U118" s="30"/>
      <c r="V118" s="27">
        <v>1</v>
      </c>
      <c r="W118" s="30"/>
      <c r="X118" s="30"/>
      <c r="AA118" s="27">
        <v>600</v>
      </c>
    </row>
    <row r="119" spans="1:27" ht="15" x14ac:dyDescent="0.25">
      <c r="A119" s="27">
        <v>7440484</v>
      </c>
      <c r="B119" s="27">
        <v>9685</v>
      </c>
      <c r="C119" s="27">
        <v>6</v>
      </c>
      <c r="D119" s="28" t="s">
        <v>69</v>
      </c>
      <c r="E119" s="27">
        <v>1</v>
      </c>
      <c r="F119" s="27">
        <v>58.9</v>
      </c>
      <c r="G119" s="27">
        <v>3000</v>
      </c>
      <c r="H119" s="30"/>
      <c r="I119" s="30"/>
      <c r="J119" s="30"/>
      <c r="K119" s="30"/>
      <c r="L119" s="30"/>
      <c r="M119" s="30"/>
      <c r="N119" s="27">
        <v>1.1000000000000001E-3</v>
      </c>
      <c r="O119" s="27">
        <v>190</v>
      </c>
      <c r="P119" s="27">
        <v>6.6000000000000003E-2</v>
      </c>
      <c r="Q119" s="27">
        <v>2.7</v>
      </c>
      <c r="R119" s="28" t="s">
        <v>63</v>
      </c>
      <c r="S119" s="27">
        <v>120</v>
      </c>
      <c r="T119" s="27">
        <v>4.9999999999999998E-7</v>
      </c>
      <c r="U119" s="30"/>
      <c r="V119" s="27">
        <v>1.4E-3</v>
      </c>
      <c r="W119" s="30"/>
      <c r="X119" s="30"/>
      <c r="AA119" s="27">
        <v>601</v>
      </c>
    </row>
    <row r="120" spans="1:27" ht="15" x14ac:dyDescent="0.25">
      <c r="A120" s="27">
        <v>7440508</v>
      </c>
      <c r="B120" s="27">
        <v>1222</v>
      </c>
      <c r="C120" s="27">
        <v>7</v>
      </c>
      <c r="D120" s="28" t="s">
        <v>70</v>
      </c>
      <c r="E120" s="27">
        <v>1</v>
      </c>
      <c r="F120" s="27">
        <v>63.5</v>
      </c>
      <c r="G120" s="27">
        <v>3000</v>
      </c>
      <c r="H120" s="30"/>
      <c r="I120" s="30"/>
      <c r="J120" s="30"/>
      <c r="K120" s="30"/>
      <c r="L120" s="30"/>
      <c r="M120" s="30"/>
      <c r="N120" s="27">
        <v>0.11</v>
      </c>
      <c r="O120" s="27">
        <v>190</v>
      </c>
      <c r="P120" s="27">
        <v>0.15570000000000001</v>
      </c>
      <c r="Q120" s="27">
        <v>0.29699999999999999</v>
      </c>
      <c r="R120" s="28" t="s">
        <v>63</v>
      </c>
      <c r="S120" s="27">
        <v>2120</v>
      </c>
      <c r="T120" s="27">
        <v>9.9999999999999995E-7</v>
      </c>
      <c r="U120" s="30"/>
      <c r="V120" s="27">
        <v>0.14000000000000001</v>
      </c>
      <c r="W120" s="30"/>
      <c r="X120" s="30"/>
      <c r="AA120" s="27">
        <v>602</v>
      </c>
    </row>
    <row r="121" spans="1:27" ht="15" x14ac:dyDescent="0.25">
      <c r="A121" s="27">
        <v>7439976</v>
      </c>
      <c r="B121" s="27">
        <v>1258</v>
      </c>
      <c r="C121" s="27">
        <v>8</v>
      </c>
      <c r="D121" s="28" t="s">
        <v>71</v>
      </c>
      <c r="E121" s="27">
        <v>1</v>
      </c>
      <c r="F121" s="27">
        <v>200.6</v>
      </c>
      <c r="G121" s="27">
        <v>3000</v>
      </c>
      <c r="H121" s="30"/>
      <c r="I121" s="30"/>
      <c r="J121" s="30"/>
      <c r="K121" s="30"/>
      <c r="L121" s="30"/>
      <c r="M121" s="30"/>
      <c r="N121" s="27">
        <v>1.9E-3</v>
      </c>
      <c r="O121" s="27">
        <v>36</v>
      </c>
      <c r="P121" s="27">
        <v>0.1023</v>
      </c>
      <c r="Q121" s="27">
        <v>0.47899999999999998</v>
      </c>
      <c r="R121" s="28" t="s">
        <v>63</v>
      </c>
      <c r="S121" s="27">
        <v>7500</v>
      </c>
      <c r="T121" s="27">
        <v>2.0000000000000002E-7</v>
      </c>
      <c r="U121" s="30"/>
      <c r="V121" s="27">
        <v>2E-3</v>
      </c>
      <c r="W121" s="30"/>
      <c r="X121" s="27">
        <v>18.7</v>
      </c>
      <c r="AA121" s="27">
        <v>603</v>
      </c>
    </row>
    <row r="122" spans="1:27" ht="15" x14ac:dyDescent="0.25">
      <c r="A122" s="27">
        <v>7439921</v>
      </c>
      <c r="B122" s="27">
        <v>1243</v>
      </c>
      <c r="C122" s="27">
        <v>9</v>
      </c>
      <c r="D122" s="28" t="s">
        <v>72</v>
      </c>
      <c r="E122" s="27">
        <v>1</v>
      </c>
      <c r="F122" s="27">
        <v>207.2</v>
      </c>
      <c r="G122" s="27">
        <v>3000</v>
      </c>
      <c r="H122" s="30"/>
      <c r="I122" s="30"/>
      <c r="J122" s="30"/>
      <c r="K122" s="30"/>
      <c r="L122" s="30"/>
      <c r="M122" s="30"/>
      <c r="N122" s="27">
        <v>1.8E-3</v>
      </c>
      <c r="O122" s="27">
        <v>530</v>
      </c>
      <c r="P122" s="27">
        <v>1.6999999999999999E-3</v>
      </c>
      <c r="Q122" s="27">
        <v>4.3999999999999997E-2</v>
      </c>
      <c r="R122" s="28" t="s">
        <v>63</v>
      </c>
      <c r="S122" s="27">
        <v>36000</v>
      </c>
      <c r="T122" s="30"/>
      <c r="U122" s="30"/>
      <c r="V122" s="27">
        <v>2.8E-3</v>
      </c>
      <c r="W122" s="30"/>
      <c r="X122" s="30"/>
      <c r="AA122" s="27">
        <v>604</v>
      </c>
    </row>
    <row r="123" spans="1:27" ht="15" x14ac:dyDescent="0.25">
      <c r="A123" s="27">
        <v>12427382</v>
      </c>
      <c r="B123" s="27">
        <v>902</v>
      </c>
      <c r="C123" s="27">
        <v>613</v>
      </c>
      <c r="D123" s="28" t="s">
        <v>183</v>
      </c>
      <c r="E123" s="27">
        <v>0</v>
      </c>
      <c r="F123" s="27">
        <v>265.29000000000002</v>
      </c>
      <c r="G123" s="27">
        <v>8.4968845114090583E-5</v>
      </c>
      <c r="H123" s="27">
        <v>2.0827572490731557E-6</v>
      </c>
      <c r="I123" s="27">
        <v>8</v>
      </c>
      <c r="J123" s="27">
        <v>8</v>
      </c>
      <c r="K123" s="30"/>
      <c r="L123" s="27">
        <v>1.9999999999999999E-7</v>
      </c>
      <c r="M123" s="27">
        <v>0</v>
      </c>
      <c r="N123" s="27">
        <v>0</v>
      </c>
      <c r="O123" s="27">
        <v>0</v>
      </c>
      <c r="P123" s="30"/>
      <c r="Q123" s="30"/>
      <c r="R123" s="28" t="s">
        <v>68</v>
      </c>
      <c r="S123" s="30"/>
      <c r="T123" s="27">
        <v>1.7999999999999997E-5</v>
      </c>
      <c r="U123" s="30"/>
      <c r="V123" s="27">
        <v>0.05</v>
      </c>
      <c r="W123" s="30"/>
      <c r="X123" s="30"/>
      <c r="AA123" s="27">
        <v>605</v>
      </c>
    </row>
    <row r="124" spans="1:27" ht="15" x14ac:dyDescent="0.25">
      <c r="A124" s="30"/>
      <c r="B124" s="27">
        <v>-25</v>
      </c>
      <c r="C124" s="27">
        <v>1140</v>
      </c>
      <c r="D124" s="28" t="s">
        <v>250</v>
      </c>
      <c r="E124" s="27">
        <v>0</v>
      </c>
      <c r="F124" s="27">
        <v>200.6</v>
      </c>
      <c r="G124" s="27">
        <v>622</v>
      </c>
      <c r="H124" s="27">
        <v>2.3E-5</v>
      </c>
      <c r="I124" s="27">
        <v>2.68</v>
      </c>
      <c r="J124" s="27">
        <v>1.78</v>
      </c>
      <c r="K124" s="30"/>
      <c r="L124" s="27">
        <v>1.0000000000000001E-9</v>
      </c>
      <c r="M124" s="27">
        <v>0</v>
      </c>
      <c r="N124" s="27">
        <v>0</v>
      </c>
      <c r="O124" s="27">
        <v>0</v>
      </c>
      <c r="P124" s="30"/>
      <c r="Q124" s="30"/>
      <c r="R124" s="28" t="s">
        <v>68</v>
      </c>
      <c r="S124" s="30"/>
      <c r="T124" s="27">
        <v>6.9999999999999999E-6</v>
      </c>
      <c r="U124" s="30"/>
      <c r="V124" s="27">
        <v>1.5E-3</v>
      </c>
      <c r="W124" s="30"/>
      <c r="X124" s="30"/>
      <c r="AA124" s="27">
        <v>606</v>
      </c>
    </row>
    <row r="125" spans="1:27" ht="15" x14ac:dyDescent="0.25">
      <c r="A125" s="27">
        <v>108394</v>
      </c>
      <c r="B125" s="27">
        <v>233</v>
      </c>
      <c r="C125" s="27">
        <v>217</v>
      </c>
      <c r="D125" s="28" t="s">
        <v>97</v>
      </c>
      <c r="E125" s="27">
        <v>0</v>
      </c>
      <c r="F125" s="27">
        <v>108.11666409768955</v>
      </c>
      <c r="G125" s="27">
        <v>6321.6653720471841</v>
      </c>
      <c r="H125" s="27">
        <v>11.3556701741915</v>
      </c>
      <c r="I125" s="27">
        <v>1.96</v>
      </c>
      <c r="J125" s="27">
        <v>1.72</v>
      </c>
      <c r="K125" s="27">
        <v>10</v>
      </c>
      <c r="L125" s="27">
        <v>9.9999999999999995E-7</v>
      </c>
      <c r="M125" s="27">
        <v>0</v>
      </c>
      <c r="N125" s="27">
        <v>0</v>
      </c>
      <c r="O125" s="27">
        <v>0</v>
      </c>
      <c r="P125" s="30"/>
      <c r="Q125" s="30"/>
      <c r="R125" s="28" t="s">
        <v>68</v>
      </c>
      <c r="S125" s="30"/>
      <c r="T125" s="27">
        <v>1.7000000000000001E-4</v>
      </c>
      <c r="U125" s="30"/>
      <c r="V125" s="27">
        <v>0.05</v>
      </c>
      <c r="W125" s="30"/>
      <c r="X125" s="30"/>
      <c r="AA125" s="27">
        <v>607</v>
      </c>
    </row>
    <row r="126" spans="1:27" ht="15" x14ac:dyDescent="0.25">
      <c r="A126" s="30"/>
      <c r="B126" s="27">
        <v>-50</v>
      </c>
      <c r="C126" s="27">
        <v>1107</v>
      </c>
      <c r="D126" s="28" t="s">
        <v>241</v>
      </c>
      <c r="E126" s="27">
        <v>0</v>
      </c>
      <c r="F126" s="27">
        <v>32</v>
      </c>
      <c r="G126" s="27">
        <v>1056000</v>
      </c>
      <c r="H126" s="27">
        <v>7180</v>
      </c>
      <c r="I126" s="27">
        <v>-0.70000000000000007</v>
      </c>
      <c r="J126" s="27">
        <v>-999</v>
      </c>
      <c r="K126" s="30"/>
      <c r="L126" s="27">
        <v>9.9999999999999995E-8</v>
      </c>
      <c r="M126" s="27">
        <v>0</v>
      </c>
      <c r="N126" s="27">
        <v>0</v>
      </c>
      <c r="O126" s="27">
        <v>0</v>
      </c>
      <c r="P126" s="30"/>
      <c r="Q126" s="30"/>
      <c r="R126" s="28" t="s">
        <v>68</v>
      </c>
      <c r="S126" s="30"/>
      <c r="T126" s="27">
        <v>1.1000000000000001E-3</v>
      </c>
      <c r="U126" s="30"/>
      <c r="V126" s="27">
        <v>0.5</v>
      </c>
      <c r="W126" s="30"/>
      <c r="X126" s="30"/>
      <c r="AA126" s="27">
        <v>610</v>
      </c>
    </row>
    <row r="127" spans="1:27" ht="15" x14ac:dyDescent="0.25">
      <c r="A127" s="30"/>
      <c r="B127" s="27">
        <v>-51</v>
      </c>
      <c r="C127" s="27">
        <v>1093</v>
      </c>
      <c r="D127" s="28" t="s">
        <v>234</v>
      </c>
      <c r="E127" s="27">
        <v>0</v>
      </c>
      <c r="F127" s="27">
        <v>72</v>
      </c>
      <c r="G127" s="27">
        <v>352800</v>
      </c>
      <c r="H127" s="27">
        <v>33950</v>
      </c>
      <c r="I127" s="27">
        <v>0.28999999999999998</v>
      </c>
      <c r="J127" s="27">
        <v>0</v>
      </c>
      <c r="K127" s="30"/>
      <c r="L127" s="27">
        <v>5.7999999999999998E-9</v>
      </c>
      <c r="M127" s="27">
        <v>0</v>
      </c>
      <c r="N127" s="27">
        <v>0</v>
      </c>
      <c r="O127" s="27">
        <v>0</v>
      </c>
      <c r="P127" s="30"/>
      <c r="Q127" s="30"/>
      <c r="R127" s="28" t="s">
        <v>68</v>
      </c>
      <c r="S127" s="30"/>
      <c r="T127" s="27">
        <v>8.7500000000000002E-4</v>
      </c>
      <c r="U127" s="30"/>
      <c r="V127" s="27">
        <v>0.19</v>
      </c>
      <c r="W127" s="30"/>
      <c r="X127" s="30"/>
      <c r="AA127" s="27">
        <v>611</v>
      </c>
    </row>
    <row r="128" spans="1:27" ht="15" x14ac:dyDescent="0.25">
      <c r="A128" s="30"/>
      <c r="B128" s="27">
        <v>-52</v>
      </c>
      <c r="C128" s="27">
        <v>1100</v>
      </c>
      <c r="D128" s="28" t="s">
        <v>236</v>
      </c>
      <c r="E128" s="27">
        <v>0</v>
      </c>
      <c r="F128" s="27">
        <v>88.2</v>
      </c>
      <c r="G128" s="27">
        <v>28900</v>
      </c>
      <c r="H128" s="27">
        <v>17618</v>
      </c>
      <c r="I128" s="27">
        <v>0.94000000000000006</v>
      </c>
      <c r="J128" s="27">
        <v>1.1300000000000001</v>
      </c>
      <c r="K128" s="30"/>
      <c r="L128" s="27">
        <v>9.9999999999999995E-8</v>
      </c>
      <c r="M128" s="27">
        <v>0</v>
      </c>
      <c r="N128" s="27">
        <v>0</v>
      </c>
      <c r="O128" s="27">
        <v>0</v>
      </c>
      <c r="P128" s="30"/>
      <c r="Q128" s="30"/>
      <c r="R128" s="28" t="s">
        <v>68</v>
      </c>
      <c r="S128" s="30"/>
      <c r="T128" s="27">
        <v>5.0000000000000001E-4</v>
      </c>
      <c r="U128" s="30"/>
      <c r="V128" s="27">
        <v>0.9</v>
      </c>
      <c r="W128" s="30"/>
      <c r="X128" s="30"/>
      <c r="AA128" s="27">
        <v>612</v>
      </c>
    </row>
    <row r="129" spans="1:27" ht="15" x14ac:dyDescent="0.25">
      <c r="A129" s="27">
        <v>7439987</v>
      </c>
      <c r="B129" s="27">
        <v>10266</v>
      </c>
      <c r="C129" s="27">
        <v>10</v>
      </c>
      <c r="D129" s="28" t="s">
        <v>73</v>
      </c>
      <c r="E129" s="27">
        <v>1</v>
      </c>
      <c r="F129" s="27">
        <v>95.9</v>
      </c>
      <c r="G129" s="27">
        <v>3000</v>
      </c>
      <c r="H129" s="30"/>
      <c r="I129" s="30"/>
      <c r="J129" s="30"/>
      <c r="K129" s="30"/>
      <c r="L129" s="30"/>
      <c r="M129" s="30"/>
      <c r="N129" s="27">
        <v>6.0000000000000001E-3</v>
      </c>
      <c r="O129" s="27">
        <v>190</v>
      </c>
      <c r="P129" s="27">
        <v>1.4999999999999999E-2</v>
      </c>
      <c r="Q129" s="27">
        <v>0.3</v>
      </c>
      <c r="R129" s="28" t="s">
        <v>63</v>
      </c>
      <c r="S129" s="27">
        <v>40</v>
      </c>
      <c r="T129" s="27">
        <v>1.2E-5</v>
      </c>
      <c r="U129" s="30"/>
      <c r="V129" s="27">
        <v>0.01</v>
      </c>
      <c r="W129" s="30"/>
      <c r="X129" s="30"/>
      <c r="AA129" s="27">
        <v>613</v>
      </c>
    </row>
    <row r="130" spans="1:27" ht="15" x14ac:dyDescent="0.25">
      <c r="A130" s="30"/>
      <c r="B130" s="27">
        <v>-19</v>
      </c>
      <c r="C130" s="27">
        <v>1129</v>
      </c>
      <c r="D130" s="28" t="s">
        <v>244</v>
      </c>
      <c r="E130" s="27">
        <v>0</v>
      </c>
      <c r="F130" s="27">
        <v>127.60000000000001</v>
      </c>
      <c r="G130" s="27">
        <v>3470</v>
      </c>
      <c r="H130" s="27">
        <v>3.1</v>
      </c>
      <c r="I130" s="27">
        <v>1.8800000000000001</v>
      </c>
      <c r="J130" s="27">
        <v>2.54</v>
      </c>
      <c r="K130" s="30"/>
      <c r="L130" s="27">
        <v>9.9999999999999995E-7</v>
      </c>
      <c r="M130" s="27">
        <v>0</v>
      </c>
      <c r="N130" s="27">
        <v>0</v>
      </c>
      <c r="O130" s="27">
        <v>0</v>
      </c>
      <c r="P130" s="30"/>
      <c r="Q130" s="30"/>
      <c r="R130" s="28" t="s">
        <v>68</v>
      </c>
      <c r="S130" s="30"/>
      <c r="T130" s="27">
        <v>3.9999999999999998E-6</v>
      </c>
      <c r="U130" s="30"/>
      <c r="V130" s="27">
        <v>8.9999999999999998E-4</v>
      </c>
      <c r="W130" s="30"/>
      <c r="X130" s="30"/>
      <c r="AA130" s="27">
        <v>614</v>
      </c>
    </row>
    <row r="131" spans="1:27" ht="15" x14ac:dyDescent="0.25">
      <c r="A131" s="27">
        <v>108907</v>
      </c>
      <c r="B131" s="27">
        <v>131</v>
      </c>
      <c r="C131" s="27">
        <v>500</v>
      </c>
      <c r="D131" s="28" t="s">
        <v>127</v>
      </c>
      <c r="E131" s="27">
        <v>0</v>
      </c>
      <c r="F131" s="27">
        <v>112.58999866757466</v>
      </c>
      <c r="G131" s="27">
        <v>507.42586202944477</v>
      </c>
      <c r="H131" s="27">
        <v>1194.4609219332319</v>
      </c>
      <c r="I131" s="27">
        <v>2.89</v>
      </c>
      <c r="J131" s="27">
        <v>2.34</v>
      </c>
      <c r="K131" s="30"/>
      <c r="L131" s="27">
        <v>3.4999999999999999E-6</v>
      </c>
      <c r="M131" s="27">
        <v>0</v>
      </c>
      <c r="N131" s="27">
        <v>0</v>
      </c>
      <c r="O131" s="27">
        <v>0</v>
      </c>
      <c r="P131" s="30"/>
      <c r="Q131" s="30"/>
      <c r="R131" s="28" t="s">
        <v>68</v>
      </c>
      <c r="S131" s="30"/>
      <c r="T131" s="27">
        <v>5.0000000000000001E-4</v>
      </c>
      <c r="U131" s="27">
        <v>7.0000000000000001E-3</v>
      </c>
      <c r="V131" s="27">
        <v>0.2</v>
      </c>
      <c r="W131" s="30"/>
      <c r="X131" s="27">
        <v>78.8</v>
      </c>
      <c r="AA131" s="27">
        <v>615</v>
      </c>
    </row>
    <row r="132" spans="1:27" ht="15" x14ac:dyDescent="0.25">
      <c r="A132" s="27">
        <v>75014</v>
      </c>
      <c r="B132" s="27">
        <v>3693</v>
      </c>
      <c r="C132" s="27">
        <v>406</v>
      </c>
      <c r="D132" s="28" t="s">
        <v>119</v>
      </c>
      <c r="E132" s="27">
        <v>0</v>
      </c>
      <c r="F132" s="27">
        <v>62.5</v>
      </c>
      <c r="G132" s="27">
        <v>428.23559931429662</v>
      </c>
      <c r="H132" s="27">
        <v>297581.51343219995</v>
      </c>
      <c r="I132" s="27">
        <v>1.5209999999999999</v>
      </c>
      <c r="J132" s="27">
        <v>1.56</v>
      </c>
      <c r="K132" s="30"/>
      <c r="L132" s="27">
        <v>9.9999999999999995E-7</v>
      </c>
      <c r="M132" s="27">
        <v>0</v>
      </c>
      <c r="N132" s="27">
        <v>0</v>
      </c>
      <c r="O132" s="27">
        <v>0</v>
      </c>
      <c r="P132" s="30"/>
      <c r="Q132" s="30"/>
      <c r="R132" s="28" t="s">
        <v>68</v>
      </c>
      <c r="S132" s="30"/>
      <c r="T132" s="27">
        <v>3.5999999999999998E-6</v>
      </c>
      <c r="U132" s="27">
        <v>0.04</v>
      </c>
      <c r="V132" s="27">
        <v>5.9999999999999995E-4</v>
      </c>
      <c r="W132" s="30"/>
      <c r="X132" s="27">
        <v>6.7</v>
      </c>
      <c r="AA132" s="27">
        <v>616</v>
      </c>
    </row>
    <row r="133" spans="1:27" ht="15" x14ac:dyDescent="0.25">
      <c r="A133" s="27">
        <v>108383</v>
      </c>
      <c r="B133" s="27">
        <v>51</v>
      </c>
      <c r="C133" s="27">
        <v>205</v>
      </c>
      <c r="D133" s="28" t="s">
        <v>91</v>
      </c>
      <c r="E133" s="27">
        <v>0</v>
      </c>
      <c r="F133" s="27">
        <v>106.18999905823263</v>
      </c>
      <c r="G133" s="27">
        <v>197.40652052455141</v>
      </c>
      <c r="H133" s="27">
        <v>805.42937331522342</v>
      </c>
      <c r="I133" s="27">
        <v>3.2</v>
      </c>
      <c r="J133" s="27">
        <v>2.41</v>
      </c>
      <c r="K133" s="30"/>
      <c r="L133" s="27">
        <v>1.5999999999999999E-6</v>
      </c>
      <c r="M133" s="27">
        <v>0</v>
      </c>
      <c r="N133" s="27">
        <v>0</v>
      </c>
      <c r="O133" s="27">
        <v>0</v>
      </c>
      <c r="P133" s="30"/>
      <c r="Q133" s="30"/>
      <c r="R133" s="28" t="s">
        <v>68</v>
      </c>
      <c r="S133" s="30"/>
      <c r="T133" s="27">
        <v>8.7000000000000001E-4</v>
      </c>
      <c r="U133" s="27">
        <v>8.0000000000000002E-3</v>
      </c>
      <c r="V133" s="27">
        <v>0.15</v>
      </c>
      <c r="W133" s="30"/>
      <c r="X133" s="30"/>
      <c r="AA133" s="27">
        <v>617</v>
      </c>
    </row>
    <row r="134" spans="1:27" ht="15" x14ac:dyDescent="0.25">
      <c r="A134" s="27">
        <v>91203</v>
      </c>
      <c r="B134" s="27">
        <v>19</v>
      </c>
      <c r="C134" s="27">
        <v>310</v>
      </c>
      <c r="D134" s="28" t="s">
        <v>4</v>
      </c>
      <c r="E134" s="27">
        <v>0</v>
      </c>
      <c r="F134" s="27">
        <v>128.19</v>
      </c>
      <c r="G134" s="27">
        <v>31.8</v>
      </c>
      <c r="H134" s="27">
        <v>6.83</v>
      </c>
      <c r="I134" s="27">
        <v>3.3</v>
      </c>
      <c r="J134" s="27">
        <v>2.98</v>
      </c>
      <c r="K134" s="30"/>
      <c r="L134" s="27">
        <v>4.9999999999999998E-7</v>
      </c>
      <c r="M134" s="30"/>
      <c r="N134" s="27">
        <v>0.04</v>
      </c>
      <c r="O134" s="30"/>
      <c r="P134" s="30"/>
      <c r="Q134" s="30"/>
      <c r="R134" s="28" t="s">
        <v>63</v>
      </c>
      <c r="S134" s="30"/>
      <c r="T134" s="30"/>
      <c r="U134" s="27">
        <v>8.0000000000000004E-4</v>
      </c>
      <c r="V134" s="27">
        <v>0.04</v>
      </c>
      <c r="W134" s="30"/>
      <c r="X134" s="27">
        <v>720</v>
      </c>
      <c r="AA134" s="27">
        <v>617</v>
      </c>
    </row>
    <row r="135" spans="1:27" ht="15" x14ac:dyDescent="0.25">
      <c r="A135" s="27">
        <v>7440020</v>
      </c>
      <c r="B135" s="27">
        <v>1263</v>
      </c>
      <c r="C135" s="27">
        <v>11</v>
      </c>
      <c r="D135" s="28" t="s">
        <v>74</v>
      </c>
      <c r="E135" s="27">
        <v>1</v>
      </c>
      <c r="F135" s="27">
        <v>58.7</v>
      </c>
      <c r="G135" s="27">
        <v>3000</v>
      </c>
      <c r="H135" s="30"/>
      <c r="I135" s="30"/>
      <c r="J135" s="30"/>
      <c r="K135" s="30"/>
      <c r="L135" s="30"/>
      <c r="M135" s="30"/>
      <c r="N135" s="27">
        <v>4.5999999999999999E-2</v>
      </c>
      <c r="O135" s="27">
        <v>95</v>
      </c>
      <c r="P135" s="27">
        <v>1.4500000000000001E-2</v>
      </c>
      <c r="Q135" s="27">
        <v>5.6000000000000001E-2</v>
      </c>
      <c r="R135" s="28" t="s">
        <v>63</v>
      </c>
      <c r="S135" s="27">
        <v>2000</v>
      </c>
      <c r="T135" s="27">
        <v>5.0000000000000004E-8</v>
      </c>
      <c r="U135" s="30"/>
      <c r="V135" s="27">
        <v>0.05</v>
      </c>
      <c r="W135" s="30"/>
      <c r="X135" s="30"/>
      <c r="AA135" s="27">
        <v>624</v>
      </c>
    </row>
    <row r="136" spans="1:27" ht="15" x14ac:dyDescent="0.25">
      <c r="A136" s="27">
        <v>3268879</v>
      </c>
      <c r="B136" s="27">
        <v>6723</v>
      </c>
      <c r="C136" s="27">
        <v>810</v>
      </c>
      <c r="D136" s="28" t="s">
        <v>223</v>
      </c>
      <c r="E136" s="27">
        <v>0</v>
      </c>
      <c r="F136" s="27">
        <v>460</v>
      </c>
      <c r="G136" s="27">
        <v>3.9999999999999998E-7</v>
      </c>
      <c r="H136" s="27">
        <v>5.9300000000000002E-10</v>
      </c>
      <c r="I136" s="27">
        <v>8.1999999999999993</v>
      </c>
      <c r="J136" s="27">
        <v>6.7419999999999991</v>
      </c>
      <c r="K136" s="30"/>
      <c r="L136" s="27">
        <v>9.9999999999999995E-8</v>
      </c>
      <c r="M136" s="27">
        <v>0</v>
      </c>
      <c r="N136" s="27">
        <v>0</v>
      </c>
      <c r="O136" s="27">
        <v>0</v>
      </c>
      <c r="P136" s="30"/>
      <c r="Q136" s="30"/>
      <c r="R136" s="28" t="s">
        <v>68</v>
      </c>
      <c r="S136" s="30"/>
      <c r="T136" s="30"/>
      <c r="U136" s="30"/>
      <c r="V136" s="27">
        <v>2.0000000000000001E-9</v>
      </c>
      <c r="W136" s="30"/>
      <c r="X136" s="30"/>
      <c r="AA136" s="27">
        <v>625</v>
      </c>
    </row>
    <row r="137" spans="1:27" ht="15" x14ac:dyDescent="0.25">
      <c r="A137" s="27">
        <v>95487</v>
      </c>
      <c r="B137" s="27">
        <v>211</v>
      </c>
      <c r="C137" s="27">
        <v>216</v>
      </c>
      <c r="D137" s="28" t="s">
        <v>96</v>
      </c>
      <c r="E137" s="27">
        <v>0</v>
      </c>
      <c r="F137" s="27">
        <v>108.11666409768955</v>
      </c>
      <c r="G137" s="27">
        <v>14858.860575872066</v>
      </c>
      <c r="H137" s="27">
        <v>23.465489094373819</v>
      </c>
      <c r="I137" s="27">
        <v>1.95</v>
      </c>
      <c r="J137" s="27">
        <v>1.59</v>
      </c>
      <c r="K137" s="27">
        <v>10.199999999999999</v>
      </c>
      <c r="L137" s="27">
        <v>9.9999999999999995E-7</v>
      </c>
      <c r="M137" s="27">
        <v>0</v>
      </c>
      <c r="N137" s="27">
        <v>0</v>
      </c>
      <c r="O137" s="27">
        <v>0</v>
      </c>
      <c r="P137" s="30"/>
      <c r="Q137" s="30"/>
      <c r="R137" s="28" t="s">
        <v>68</v>
      </c>
      <c r="S137" s="30"/>
      <c r="T137" s="27">
        <v>1.7000000000000001E-4</v>
      </c>
      <c r="U137" s="30"/>
      <c r="V137" s="27">
        <v>0.05</v>
      </c>
      <c r="W137" s="30"/>
      <c r="X137" s="30"/>
      <c r="AA137" s="27">
        <v>626</v>
      </c>
    </row>
    <row r="138" spans="1:27" ht="15" x14ac:dyDescent="0.25">
      <c r="A138" s="27">
        <v>39001020</v>
      </c>
      <c r="B138" s="27">
        <v>8308</v>
      </c>
      <c r="C138" s="27">
        <v>820</v>
      </c>
      <c r="D138" s="28" t="s">
        <v>233</v>
      </c>
      <c r="E138" s="27">
        <v>0</v>
      </c>
      <c r="F138" s="27">
        <v>443.76</v>
      </c>
      <c r="G138" s="27">
        <v>2.1500000000000001E-7</v>
      </c>
      <c r="H138" s="27">
        <v>2.9099999999999999E-8</v>
      </c>
      <c r="I138" s="27">
        <v>8.2799999999999994</v>
      </c>
      <c r="J138" s="27">
        <v>6.8</v>
      </c>
      <c r="K138" s="30"/>
      <c r="L138" s="27">
        <v>9.9999999999999995E-8</v>
      </c>
      <c r="M138" s="27">
        <v>0</v>
      </c>
      <c r="N138" s="27">
        <v>0</v>
      </c>
      <c r="O138" s="27">
        <v>0</v>
      </c>
      <c r="P138" s="30"/>
      <c r="Q138" s="30"/>
      <c r="R138" s="28" t="s">
        <v>68</v>
      </c>
      <c r="S138" s="30"/>
      <c r="T138" s="30"/>
      <c r="U138" s="30"/>
      <c r="V138" s="27">
        <v>2.0000000000000001E-9</v>
      </c>
      <c r="W138" s="30"/>
      <c r="X138" s="30"/>
      <c r="AA138" s="27">
        <v>628</v>
      </c>
    </row>
    <row r="139" spans="1:27" ht="15" x14ac:dyDescent="0.25">
      <c r="A139" s="27">
        <v>95476</v>
      </c>
      <c r="B139" s="27">
        <v>43</v>
      </c>
      <c r="C139" s="27">
        <v>218</v>
      </c>
      <c r="D139" s="28" t="s">
        <v>98</v>
      </c>
      <c r="E139" s="27">
        <v>0</v>
      </c>
      <c r="F139" s="27">
        <v>106.18666499232586</v>
      </c>
      <c r="G139" s="27">
        <v>218.93359574593291</v>
      </c>
      <c r="H139" s="27">
        <v>675.51501838264608</v>
      </c>
      <c r="I139" s="27">
        <v>3.12</v>
      </c>
      <c r="J139" s="27">
        <v>2.1800000000000002</v>
      </c>
      <c r="K139" s="30"/>
      <c r="L139" s="27">
        <v>1.5999999999999999E-6</v>
      </c>
      <c r="M139" s="27">
        <v>0</v>
      </c>
      <c r="N139" s="27">
        <v>0</v>
      </c>
      <c r="O139" s="27">
        <v>0</v>
      </c>
      <c r="P139" s="30"/>
      <c r="Q139" s="30"/>
      <c r="R139" s="28" t="s">
        <v>68</v>
      </c>
      <c r="S139" s="30"/>
      <c r="T139" s="27">
        <v>8.7000000000000001E-4</v>
      </c>
      <c r="U139" s="27">
        <v>8.0000000000000002E-3</v>
      </c>
      <c r="V139" s="27">
        <v>0.15</v>
      </c>
      <c r="W139" s="30"/>
      <c r="X139" s="30"/>
      <c r="AA139" s="27">
        <v>629</v>
      </c>
    </row>
    <row r="140" spans="1:27" ht="15" x14ac:dyDescent="0.25">
      <c r="A140" s="27">
        <v>37680732</v>
      </c>
      <c r="B140" s="27">
        <v>1688</v>
      </c>
      <c r="C140" s="27">
        <v>523</v>
      </c>
      <c r="D140" s="28" t="s">
        <v>141</v>
      </c>
      <c r="E140" s="27">
        <v>0</v>
      </c>
      <c r="F140" s="27">
        <v>326.39999999999998</v>
      </c>
      <c r="G140" s="27">
        <v>1.32E-2</v>
      </c>
      <c r="H140" s="27">
        <v>9.2700000000000005E-3</v>
      </c>
      <c r="I140" s="27">
        <v>6.85</v>
      </c>
      <c r="J140" s="27">
        <v>5.53</v>
      </c>
      <c r="K140" s="30"/>
      <c r="L140" s="27">
        <v>1.9999999999999999E-7</v>
      </c>
      <c r="M140" s="29"/>
      <c r="N140" s="27">
        <v>1.0000000000000001E-5</v>
      </c>
      <c r="O140" s="29"/>
      <c r="P140" s="30"/>
      <c r="Q140" s="30"/>
      <c r="R140" s="28" t="s">
        <v>63</v>
      </c>
      <c r="S140" s="30"/>
      <c r="T140" s="26">
        <v>4.9999999999999998E-7</v>
      </c>
      <c r="U140" s="30"/>
      <c r="V140" s="27">
        <v>1.0000000000000001E-5</v>
      </c>
      <c r="W140" s="30"/>
      <c r="X140" s="30"/>
      <c r="AA140" s="27">
        <v>700</v>
      </c>
    </row>
    <row r="141" spans="1:27" ht="15" x14ac:dyDescent="0.25">
      <c r="A141" s="27">
        <v>32598144</v>
      </c>
      <c r="B141" s="27">
        <v>8139</v>
      </c>
      <c r="C141" s="27">
        <v>552</v>
      </c>
      <c r="D141" s="28" t="s">
        <v>168</v>
      </c>
      <c r="E141" s="27">
        <v>0</v>
      </c>
      <c r="F141" s="27">
        <v>326.44</v>
      </c>
      <c r="G141" s="27">
        <v>7.1500000000000001E-3</v>
      </c>
      <c r="H141" s="27">
        <v>1.55E-4</v>
      </c>
      <c r="I141" s="27">
        <v>6.98</v>
      </c>
      <c r="J141" s="27">
        <v>6.13</v>
      </c>
      <c r="K141" s="30"/>
      <c r="L141" s="27">
        <v>1.9999999999999999E-7</v>
      </c>
      <c r="M141" s="27">
        <v>0</v>
      </c>
      <c r="N141" s="27">
        <v>0</v>
      </c>
      <c r="O141" s="27">
        <v>0</v>
      </c>
      <c r="P141" s="30"/>
      <c r="Q141" s="30"/>
      <c r="R141" s="28" t="s">
        <v>68</v>
      </c>
      <c r="S141" s="30"/>
      <c r="T141" s="30"/>
      <c r="U141" s="30"/>
      <c r="V141" s="27">
        <v>2.0000000000000001E-9</v>
      </c>
      <c r="W141" s="30"/>
      <c r="X141" s="30"/>
      <c r="AA141" s="27">
        <v>701</v>
      </c>
    </row>
    <row r="142" spans="1:27" ht="15" x14ac:dyDescent="0.25">
      <c r="A142" s="27">
        <v>31508006</v>
      </c>
      <c r="B142" s="27">
        <v>8116</v>
      </c>
      <c r="C142" s="27">
        <v>524</v>
      </c>
      <c r="D142" s="28" t="s">
        <v>142</v>
      </c>
      <c r="E142" s="27">
        <v>0</v>
      </c>
      <c r="F142" s="27">
        <v>326.39999999999998</v>
      </c>
      <c r="G142" s="27">
        <v>6.5399999999999998E-3</v>
      </c>
      <c r="H142" s="27">
        <v>2.9599999999999998E-4</v>
      </c>
      <c r="I142" s="27">
        <v>7.12</v>
      </c>
      <c r="J142" s="27">
        <v>6.35</v>
      </c>
      <c r="K142" s="30"/>
      <c r="L142" s="27">
        <v>1.9999999999999999E-7</v>
      </c>
      <c r="M142" s="29"/>
      <c r="N142" s="27">
        <v>1.0000000000000001E-5</v>
      </c>
      <c r="O142" s="29"/>
      <c r="P142" s="30"/>
      <c r="Q142" s="30"/>
      <c r="R142" s="28" t="s">
        <v>63</v>
      </c>
      <c r="S142" s="30"/>
      <c r="T142" s="26">
        <v>4.9999999999999998E-7</v>
      </c>
      <c r="U142" s="30"/>
      <c r="V142" s="27">
        <v>1.0000000000000001E-5</v>
      </c>
      <c r="W142" s="30"/>
      <c r="X142" s="30"/>
      <c r="AA142" s="27">
        <v>702</v>
      </c>
    </row>
    <row r="143" spans="1:27" ht="15" x14ac:dyDescent="0.25">
      <c r="A143" s="27">
        <v>57465288</v>
      </c>
      <c r="B143" s="27">
        <v>1974</v>
      </c>
      <c r="C143" s="27">
        <v>553</v>
      </c>
      <c r="D143" s="28" t="s">
        <v>169</v>
      </c>
      <c r="E143" s="27">
        <v>0</v>
      </c>
      <c r="F143" s="27">
        <v>326.44</v>
      </c>
      <c r="G143" s="27">
        <v>7.0000000000000001E-3</v>
      </c>
      <c r="H143" s="27">
        <v>1.55E-4</v>
      </c>
      <c r="I143" s="27">
        <v>7.23</v>
      </c>
      <c r="J143" s="27">
        <v>5.94</v>
      </c>
      <c r="K143" s="30"/>
      <c r="L143" s="27">
        <v>1.9999999999999999E-7</v>
      </c>
      <c r="M143" s="27">
        <v>0</v>
      </c>
      <c r="N143" s="27">
        <v>0</v>
      </c>
      <c r="O143" s="27">
        <v>0</v>
      </c>
      <c r="P143" s="30"/>
      <c r="Q143" s="30"/>
      <c r="R143" s="28" t="s">
        <v>68</v>
      </c>
      <c r="S143" s="30"/>
      <c r="T143" s="30"/>
      <c r="U143" s="30"/>
      <c r="V143" s="27">
        <v>2.0000000000000001E-9</v>
      </c>
      <c r="W143" s="30"/>
      <c r="X143" s="30"/>
      <c r="AA143" s="27">
        <v>703</v>
      </c>
    </row>
    <row r="144" spans="1:27" ht="15" x14ac:dyDescent="0.25">
      <c r="A144" s="27">
        <v>35065282</v>
      </c>
      <c r="B144" s="27">
        <v>8201</v>
      </c>
      <c r="C144" s="27">
        <v>525</v>
      </c>
      <c r="D144" s="28" t="s">
        <v>143</v>
      </c>
      <c r="E144" s="27">
        <v>0</v>
      </c>
      <c r="F144" s="27">
        <v>360.89</v>
      </c>
      <c r="G144" s="27">
        <v>6.96E-4</v>
      </c>
      <c r="H144" s="27">
        <v>4.3000000000000003E-6</v>
      </c>
      <c r="I144" s="27">
        <v>7.45</v>
      </c>
      <c r="J144" s="27">
        <v>5.71</v>
      </c>
      <c r="K144" s="30"/>
      <c r="L144" s="27">
        <v>4.9999999999999998E-7</v>
      </c>
      <c r="M144" s="29"/>
      <c r="N144" s="27">
        <v>1.0000000000000001E-5</v>
      </c>
      <c r="O144" s="29"/>
      <c r="P144" s="30"/>
      <c r="Q144" s="30"/>
      <c r="R144" s="28" t="s">
        <v>63</v>
      </c>
      <c r="S144" s="30"/>
      <c r="T144" s="26">
        <v>4.9999999999999998E-7</v>
      </c>
      <c r="U144" s="30"/>
      <c r="V144" s="27">
        <v>1.0000000000000001E-5</v>
      </c>
      <c r="W144" s="30"/>
      <c r="X144" s="30"/>
      <c r="AA144" s="27">
        <v>704</v>
      </c>
    </row>
    <row r="145" spans="1:27" ht="15" x14ac:dyDescent="0.25">
      <c r="A145" s="27">
        <v>35065271</v>
      </c>
      <c r="B145" s="27">
        <v>1687</v>
      </c>
      <c r="C145" s="27">
        <v>526</v>
      </c>
      <c r="D145" s="28" t="s">
        <v>144</v>
      </c>
      <c r="E145" s="27">
        <v>0</v>
      </c>
      <c r="F145" s="27">
        <v>360.9</v>
      </c>
      <c r="G145" s="27">
        <v>2.7399999999999998E-3</v>
      </c>
      <c r="H145" s="27">
        <v>1.75E-4</v>
      </c>
      <c r="I145" s="27">
        <v>7.44</v>
      </c>
      <c r="J145" s="27">
        <v>5.87</v>
      </c>
      <c r="K145" s="30"/>
      <c r="L145" s="27">
        <v>4.9999999999999998E-7</v>
      </c>
      <c r="M145" s="29"/>
      <c r="N145" s="27">
        <v>1.0000000000000001E-5</v>
      </c>
      <c r="O145" s="29"/>
      <c r="P145" s="30"/>
      <c r="Q145" s="30"/>
      <c r="R145" s="28" t="s">
        <v>63</v>
      </c>
      <c r="S145" s="30"/>
      <c r="T145" s="26">
        <v>4.9999999999999998E-7</v>
      </c>
      <c r="U145" s="30"/>
      <c r="V145" s="27">
        <v>1.0000000000000001E-5</v>
      </c>
      <c r="W145" s="30"/>
      <c r="X145" s="30"/>
      <c r="AA145" s="27">
        <v>705</v>
      </c>
    </row>
    <row r="146" spans="1:27" ht="15" x14ac:dyDescent="0.25">
      <c r="A146" s="27">
        <v>38380084</v>
      </c>
      <c r="B146" s="27">
        <v>8284</v>
      </c>
      <c r="C146" s="27">
        <v>554</v>
      </c>
      <c r="D146" s="28" t="s">
        <v>170</v>
      </c>
      <c r="E146" s="27">
        <v>0</v>
      </c>
      <c r="F146" s="27">
        <v>360.88</v>
      </c>
      <c r="G146" s="27">
        <v>1.2199999999999999E-3</v>
      </c>
      <c r="H146" s="27">
        <v>4.0500000000000002E-5</v>
      </c>
      <c r="I146" s="27">
        <v>7.7</v>
      </c>
      <c r="J146" s="27">
        <v>6.34</v>
      </c>
      <c r="K146" s="30"/>
      <c r="L146" s="27">
        <v>4.9999999999999998E-7</v>
      </c>
      <c r="M146" s="26">
        <v>0</v>
      </c>
      <c r="N146" s="27">
        <v>0</v>
      </c>
      <c r="O146" s="26">
        <v>0</v>
      </c>
      <c r="P146" s="30"/>
      <c r="Q146" s="30"/>
      <c r="R146" s="28" t="s">
        <v>68</v>
      </c>
      <c r="S146" s="30"/>
      <c r="T146" s="29"/>
      <c r="U146" s="30"/>
      <c r="V146" s="27">
        <v>2.0000000000000001E-9</v>
      </c>
      <c r="W146" s="30"/>
      <c r="X146" s="30"/>
      <c r="AA146" s="27">
        <v>706</v>
      </c>
    </row>
    <row r="147" spans="1:27" ht="15" x14ac:dyDescent="0.25">
      <c r="A147" s="27">
        <v>69782097</v>
      </c>
      <c r="B147" s="27">
        <v>-62</v>
      </c>
      <c r="C147" s="27">
        <v>555</v>
      </c>
      <c r="D147" s="28" t="s">
        <v>171</v>
      </c>
      <c r="E147" s="27">
        <v>0</v>
      </c>
      <c r="F147" s="27">
        <v>360.88</v>
      </c>
      <c r="G147" s="27">
        <v>1.2199999999999999E-3</v>
      </c>
      <c r="H147" s="27">
        <v>4.0500000000000002E-5</v>
      </c>
      <c r="I147" s="27">
        <v>7.6000000000000005</v>
      </c>
      <c r="J147" s="27">
        <v>6.26</v>
      </c>
      <c r="K147" s="30"/>
      <c r="L147" s="27">
        <v>4.9999999999999998E-7</v>
      </c>
      <c r="M147" s="26">
        <v>0</v>
      </c>
      <c r="N147" s="27">
        <v>0</v>
      </c>
      <c r="O147" s="26">
        <v>0</v>
      </c>
      <c r="P147" s="30"/>
      <c r="Q147" s="30"/>
      <c r="R147" s="28" t="s">
        <v>68</v>
      </c>
      <c r="S147" s="30"/>
      <c r="T147" s="29"/>
      <c r="U147" s="30"/>
      <c r="V147" s="27">
        <v>2.0000000000000001E-9</v>
      </c>
      <c r="W147" s="30"/>
      <c r="X147" s="30"/>
      <c r="AA147" s="27">
        <v>729</v>
      </c>
    </row>
    <row r="148" spans="1:27" ht="15" x14ac:dyDescent="0.25">
      <c r="A148" s="27">
        <v>32774166</v>
      </c>
      <c r="B148" s="27">
        <v>8144</v>
      </c>
      <c r="C148" s="27">
        <v>549</v>
      </c>
      <c r="D148" s="28" t="s">
        <v>166</v>
      </c>
      <c r="E148" s="27">
        <v>0</v>
      </c>
      <c r="F148" s="27">
        <v>360.88</v>
      </c>
      <c r="G148" s="27">
        <v>5.5800000000000001E-4</v>
      </c>
      <c r="H148" s="27">
        <v>1.26E-6</v>
      </c>
      <c r="I148" s="27">
        <v>7.41</v>
      </c>
      <c r="J148" s="27">
        <v>6.01</v>
      </c>
      <c r="K148" s="30"/>
      <c r="L148" s="27">
        <v>4.9999999999999998E-7</v>
      </c>
      <c r="M148" s="26">
        <v>0</v>
      </c>
      <c r="N148" s="27">
        <v>0</v>
      </c>
      <c r="O148" s="26">
        <v>0</v>
      </c>
      <c r="P148" s="30"/>
      <c r="Q148" s="30"/>
      <c r="R148" s="28" t="s">
        <v>68</v>
      </c>
      <c r="S148" s="30"/>
      <c r="T148" s="29"/>
      <c r="U148" s="30"/>
      <c r="V148" s="27">
        <v>2.0000000000000001E-9</v>
      </c>
      <c r="W148" s="30"/>
      <c r="X148" s="30"/>
      <c r="AA148" s="27">
        <v>731</v>
      </c>
    </row>
    <row r="149" spans="1:27" ht="15" x14ac:dyDescent="0.25">
      <c r="A149" s="27">
        <v>35065293</v>
      </c>
      <c r="B149" s="27">
        <v>104344</v>
      </c>
      <c r="C149" s="27">
        <v>527</v>
      </c>
      <c r="D149" s="28" t="s">
        <v>145</v>
      </c>
      <c r="E149" s="27">
        <v>0</v>
      </c>
      <c r="F149" s="27">
        <v>395.32</v>
      </c>
      <c r="G149" s="27">
        <v>7.6900000000000004E-4</v>
      </c>
      <c r="H149" s="27">
        <v>4.9599999999999999E-5</v>
      </c>
      <c r="I149" s="27">
        <v>8.16</v>
      </c>
      <c r="J149" s="27">
        <v>5.99</v>
      </c>
      <c r="K149" s="30"/>
      <c r="L149" s="27">
        <v>4.9999999999999998E-7</v>
      </c>
      <c r="M149" s="30"/>
      <c r="N149" s="27">
        <v>1.0000000000000001E-5</v>
      </c>
      <c r="O149" s="30"/>
      <c r="P149" s="30"/>
      <c r="Q149" s="30"/>
      <c r="R149" s="28" t="s">
        <v>63</v>
      </c>
      <c r="S149" s="30"/>
      <c r="T149" s="27">
        <v>4.9999999999999998E-7</v>
      </c>
      <c r="U149" s="30"/>
      <c r="V149" s="27">
        <v>1.0000000000000001E-5</v>
      </c>
      <c r="W149" s="30"/>
      <c r="X149" s="30"/>
      <c r="AA149" s="27">
        <v>732</v>
      </c>
    </row>
    <row r="150" spans="1:27" ht="15" x14ac:dyDescent="0.25">
      <c r="A150" s="27">
        <v>7012375</v>
      </c>
      <c r="B150" s="27">
        <v>1746</v>
      </c>
      <c r="C150" s="27">
        <v>521</v>
      </c>
      <c r="D150" s="28" t="s">
        <v>139</v>
      </c>
      <c r="E150" s="27">
        <v>0</v>
      </c>
      <c r="F150" s="27">
        <v>257.54000000000002</v>
      </c>
      <c r="G150" s="27">
        <v>0.121</v>
      </c>
      <c r="H150" s="27">
        <v>1.6E-2</v>
      </c>
      <c r="I150" s="27">
        <v>5.62</v>
      </c>
      <c r="J150" s="27">
        <v>4.6100000000000003</v>
      </c>
      <c r="K150" s="30"/>
      <c r="L150" s="27">
        <v>1.9999999999999999E-7</v>
      </c>
      <c r="M150" s="30"/>
      <c r="N150" s="27">
        <v>1.0000000000000001E-5</v>
      </c>
      <c r="O150" s="30"/>
      <c r="P150" s="30"/>
      <c r="Q150" s="30"/>
      <c r="R150" s="28" t="s">
        <v>63</v>
      </c>
      <c r="S150" s="30"/>
      <c r="T150" s="27">
        <v>4.9999999999999998E-7</v>
      </c>
      <c r="U150" s="30"/>
      <c r="V150" s="27">
        <v>1.0000000000000001E-5</v>
      </c>
      <c r="W150" s="30"/>
      <c r="X150" s="30"/>
      <c r="AA150" s="27">
        <v>733</v>
      </c>
    </row>
    <row r="151" spans="1:27" ht="15" x14ac:dyDescent="0.25">
      <c r="A151" s="27">
        <v>35693993</v>
      </c>
      <c r="B151" s="27">
        <v>1689</v>
      </c>
      <c r="C151" s="27">
        <v>522</v>
      </c>
      <c r="D151" s="28" t="s">
        <v>140</v>
      </c>
      <c r="E151" s="27">
        <v>0</v>
      </c>
      <c r="F151" s="27">
        <v>291.99</v>
      </c>
      <c r="G151" s="27">
        <v>2.6499999999999999E-2</v>
      </c>
      <c r="H151" s="27">
        <v>6.0699999999999999E-3</v>
      </c>
      <c r="I151" s="27">
        <v>6.26</v>
      </c>
      <c r="J151" s="27">
        <v>4.7</v>
      </c>
      <c r="K151" s="30"/>
      <c r="L151" s="27">
        <v>1.9999999999999999E-7</v>
      </c>
      <c r="M151" s="30"/>
      <c r="N151" s="27">
        <v>1.0000000000000001E-5</v>
      </c>
      <c r="O151" s="30"/>
      <c r="P151" s="30"/>
      <c r="Q151" s="30"/>
      <c r="R151" s="28" t="s">
        <v>63</v>
      </c>
      <c r="S151" s="30"/>
      <c r="T151" s="27">
        <v>4.9999999999999998E-7</v>
      </c>
      <c r="U151" s="30"/>
      <c r="V151" s="27">
        <v>1.0000000000000001E-5</v>
      </c>
      <c r="W151" s="30"/>
      <c r="X151" s="30"/>
      <c r="AA151" s="27">
        <v>734</v>
      </c>
    </row>
    <row r="152" spans="1:27" ht="15" x14ac:dyDescent="0.25">
      <c r="A152" s="27">
        <v>32598133</v>
      </c>
      <c r="B152" s="27">
        <v>1975</v>
      </c>
      <c r="C152" s="27">
        <v>548</v>
      </c>
      <c r="D152" s="28" t="s">
        <v>165</v>
      </c>
      <c r="E152" s="27">
        <v>0</v>
      </c>
      <c r="F152" s="27">
        <v>292</v>
      </c>
      <c r="G152" s="27">
        <v>1.9125500000000001E-3</v>
      </c>
      <c r="H152" s="27">
        <v>5.0858E-5</v>
      </c>
      <c r="I152" s="27">
        <v>6.63</v>
      </c>
      <c r="J152" s="27">
        <v>5.8500000000000005</v>
      </c>
      <c r="K152" s="30"/>
      <c r="L152" s="27">
        <v>1.9999999999999999E-7</v>
      </c>
      <c r="M152" s="26">
        <v>0</v>
      </c>
      <c r="N152" s="27">
        <v>0</v>
      </c>
      <c r="O152" s="26">
        <v>0</v>
      </c>
      <c r="P152" s="30"/>
      <c r="Q152" s="30"/>
      <c r="R152" s="28" t="s">
        <v>68</v>
      </c>
      <c r="S152" s="30"/>
      <c r="T152" s="29"/>
      <c r="U152" s="30"/>
      <c r="V152" s="27">
        <v>2.0000000000000001E-9</v>
      </c>
      <c r="W152" s="30"/>
      <c r="X152" s="30"/>
      <c r="AA152" s="27">
        <v>735</v>
      </c>
    </row>
    <row r="153" spans="1:27" ht="15" x14ac:dyDescent="0.25">
      <c r="A153" s="30"/>
      <c r="B153" s="27">
        <v>-55</v>
      </c>
      <c r="C153" s="27">
        <v>807</v>
      </c>
      <c r="D153" s="28" t="s">
        <v>220</v>
      </c>
      <c r="E153" s="27">
        <v>0</v>
      </c>
      <c r="F153" s="27">
        <v>356</v>
      </c>
      <c r="G153" s="27">
        <v>1.2E-4</v>
      </c>
      <c r="H153" s="27">
        <v>8.8800000000000001E-8</v>
      </c>
      <c r="I153" s="27">
        <v>7.4</v>
      </c>
      <c r="J153" s="27">
        <v>6.0940000000000003</v>
      </c>
      <c r="K153" s="30"/>
      <c r="L153" s="27">
        <v>9.9999999999999995E-8</v>
      </c>
      <c r="M153" s="27">
        <v>0</v>
      </c>
      <c r="N153" s="27">
        <v>0</v>
      </c>
      <c r="O153" s="27">
        <v>0</v>
      </c>
      <c r="P153" s="30"/>
      <c r="Q153" s="30"/>
      <c r="R153" s="28" t="s">
        <v>68</v>
      </c>
      <c r="S153" s="30"/>
      <c r="T153" s="30"/>
      <c r="U153" s="30"/>
      <c r="V153" s="27">
        <v>2.0000000000000001E-9</v>
      </c>
      <c r="W153" s="30"/>
      <c r="X153" s="30"/>
      <c r="AA153" s="27">
        <v>736</v>
      </c>
    </row>
    <row r="154" spans="1:27" ht="15" x14ac:dyDescent="0.25">
      <c r="A154" s="27">
        <v>106445</v>
      </c>
      <c r="B154" s="27">
        <v>253</v>
      </c>
      <c r="C154" s="27">
        <v>203</v>
      </c>
      <c r="D154" s="28" t="s">
        <v>90</v>
      </c>
      <c r="E154" s="27">
        <v>0</v>
      </c>
      <c r="F154" s="27">
        <v>108.10999907507323</v>
      </c>
      <c r="G154" s="27">
        <v>28640.965260159588</v>
      </c>
      <c r="H154" s="27">
        <v>18.796328494554093</v>
      </c>
      <c r="I154" s="27">
        <v>1.94</v>
      </c>
      <c r="J154" s="27">
        <v>1.6400000000000001</v>
      </c>
      <c r="K154" s="27">
        <v>10.1</v>
      </c>
      <c r="L154" s="27">
        <v>9.9999999999999995E-7</v>
      </c>
      <c r="M154" s="27">
        <v>0</v>
      </c>
      <c r="N154" s="27">
        <v>0</v>
      </c>
      <c r="O154" s="27">
        <v>0</v>
      </c>
      <c r="P154" s="30"/>
      <c r="Q154" s="30"/>
      <c r="R154" s="28" t="s">
        <v>68</v>
      </c>
      <c r="S154" s="30"/>
      <c r="T154" s="27">
        <v>1.7000000000000001E-4</v>
      </c>
      <c r="U154" s="30"/>
      <c r="V154" s="27">
        <v>0.05</v>
      </c>
      <c r="W154" s="30"/>
      <c r="X154" s="30"/>
      <c r="AA154" s="27">
        <v>737</v>
      </c>
    </row>
    <row r="155" spans="1:27" ht="15" x14ac:dyDescent="0.25">
      <c r="A155" s="30"/>
      <c r="B155" s="27">
        <v>-23</v>
      </c>
      <c r="C155" s="27">
        <v>1133</v>
      </c>
      <c r="D155" s="28" t="s">
        <v>248</v>
      </c>
      <c r="E155" s="27">
        <v>0</v>
      </c>
      <c r="F155" s="27">
        <v>265.3</v>
      </c>
      <c r="G155" s="27">
        <v>2.0400000000000001E-2</v>
      </c>
      <c r="H155" s="27">
        <v>4.8999999999999998E-4</v>
      </c>
      <c r="I155" s="27">
        <v>5.08</v>
      </c>
      <c r="J155" s="27">
        <v>4</v>
      </c>
      <c r="K155" s="30"/>
      <c r="L155" s="27">
        <v>9.9999999999999995E-7</v>
      </c>
      <c r="M155" s="27">
        <v>0</v>
      </c>
      <c r="N155" s="27">
        <v>0</v>
      </c>
      <c r="O155" s="27">
        <v>0</v>
      </c>
      <c r="P155" s="30"/>
      <c r="Q155" s="30"/>
      <c r="R155" s="28" t="s">
        <v>68</v>
      </c>
      <c r="S155" s="30"/>
      <c r="T155" s="30"/>
      <c r="U155" s="30"/>
      <c r="V155" s="30"/>
      <c r="W155" s="30"/>
      <c r="X155" s="30"/>
      <c r="AA155" s="27">
        <v>738</v>
      </c>
    </row>
    <row r="156" spans="1:27" ht="15" x14ac:dyDescent="0.25">
      <c r="A156" s="27">
        <v>608935</v>
      </c>
      <c r="B156" s="27">
        <v>157</v>
      </c>
      <c r="C156" s="27">
        <v>504</v>
      </c>
      <c r="D156" s="28" t="s">
        <v>131</v>
      </c>
      <c r="E156" s="27">
        <v>0</v>
      </c>
      <c r="F156" s="27">
        <v>250.12977852353896</v>
      </c>
      <c r="G156" s="27">
        <v>0.32281846202218883</v>
      </c>
      <c r="H156" s="27">
        <v>0.45223052628620286</v>
      </c>
      <c r="I156" s="27">
        <v>5.18</v>
      </c>
      <c r="J156" s="27">
        <v>3.92</v>
      </c>
      <c r="K156" s="30"/>
      <c r="L156" s="27">
        <v>9.9999999999999995E-7</v>
      </c>
      <c r="M156" s="27">
        <v>0</v>
      </c>
      <c r="N156" s="27">
        <v>0</v>
      </c>
      <c r="O156" s="27">
        <v>0</v>
      </c>
      <c r="P156" s="30"/>
      <c r="Q156" s="30"/>
      <c r="R156" s="28" t="s">
        <v>68</v>
      </c>
      <c r="S156" s="30"/>
      <c r="T156" s="30"/>
      <c r="U156" s="27">
        <v>7.0000000000000001E-3</v>
      </c>
      <c r="V156" s="27">
        <v>5.0000000000000001E-4</v>
      </c>
      <c r="W156" s="30"/>
      <c r="X156" s="30"/>
      <c r="AA156" s="27">
        <v>739</v>
      </c>
    </row>
    <row r="157" spans="1:27" ht="15" x14ac:dyDescent="0.25">
      <c r="A157" s="27">
        <v>87865</v>
      </c>
      <c r="B157" s="27">
        <v>276</v>
      </c>
      <c r="C157" s="27">
        <v>510</v>
      </c>
      <c r="D157" s="28" t="s">
        <v>137</v>
      </c>
      <c r="E157" s="27">
        <v>0</v>
      </c>
      <c r="F157" s="27">
        <v>266.33</v>
      </c>
      <c r="G157" s="27">
        <v>4.28</v>
      </c>
      <c r="H157" s="27">
        <v>8.5299999999999994E-3</v>
      </c>
      <c r="I157" s="27">
        <v>5.12</v>
      </c>
      <c r="J157" s="27">
        <v>3.2</v>
      </c>
      <c r="K157" s="27">
        <v>4.8499999999999996</v>
      </c>
      <c r="L157" s="27">
        <v>2.2400000000000002E-6</v>
      </c>
      <c r="M157" s="30"/>
      <c r="N157" s="27">
        <v>3.0000000000000001E-3</v>
      </c>
      <c r="O157" s="30"/>
      <c r="P157" s="30"/>
      <c r="Q157" s="30"/>
      <c r="R157" s="28" t="s">
        <v>63</v>
      </c>
      <c r="S157" s="30"/>
      <c r="T157" s="30"/>
      <c r="U157" s="27">
        <v>4.0000000000000002E-4</v>
      </c>
      <c r="V157" s="27">
        <v>3.0000000000000001E-3</v>
      </c>
      <c r="W157" s="30"/>
      <c r="X157" s="30"/>
      <c r="AA157" s="27">
        <v>740</v>
      </c>
    </row>
    <row r="158" spans="1:27" ht="15" x14ac:dyDescent="0.25">
      <c r="A158" s="27">
        <v>114261</v>
      </c>
      <c r="B158" s="27">
        <v>429</v>
      </c>
      <c r="C158" s="27">
        <v>612</v>
      </c>
      <c r="D158" s="28" t="s">
        <v>182</v>
      </c>
      <c r="E158" s="27">
        <v>0</v>
      </c>
      <c r="F158" s="27">
        <v>209.21749876031214</v>
      </c>
      <c r="G158" s="27">
        <v>1821.2836718801866</v>
      </c>
      <c r="H158" s="27">
        <v>2.0711446298340573E-3</v>
      </c>
      <c r="I158" s="27">
        <v>1.52</v>
      </c>
      <c r="J158" s="27">
        <v>1.59</v>
      </c>
      <c r="K158" s="30"/>
      <c r="L158" s="27">
        <v>1.9999999999999999E-7</v>
      </c>
      <c r="M158" s="27">
        <v>0</v>
      </c>
      <c r="N158" s="27">
        <v>0</v>
      </c>
      <c r="O158" s="27">
        <v>0</v>
      </c>
      <c r="P158" s="30"/>
      <c r="Q158" s="30"/>
      <c r="R158" s="28" t="s">
        <v>68</v>
      </c>
      <c r="S158" s="30"/>
      <c r="T158" s="30"/>
      <c r="U158" s="30"/>
      <c r="V158" s="27">
        <v>1E-3</v>
      </c>
      <c r="W158" s="30"/>
      <c r="X158" s="30"/>
      <c r="AA158" s="27">
        <v>741</v>
      </c>
    </row>
    <row r="159" spans="1:27" ht="15" x14ac:dyDescent="0.25">
      <c r="A159" s="27">
        <v>106423</v>
      </c>
      <c r="B159" s="27">
        <v>53</v>
      </c>
      <c r="C159" s="27">
        <v>219</v>
      </c>
      <c r="D159" s="28" t="s">
        <v>99</v>
      </c>
      <c r="E159" s="27">
        <v>0</v>
      </c>
      <c r="F159" s="27">
        <v>106.18666499232586</v>
      </c>
      <c r="G159" s="27">
        <v>210.93846155625408</v>
      </c>
      <c r="H159" s="27">
        <v>860.45216751523105</v>
      </c>
      <c r="I159" s="27">
        <v>3.15</v>
      </c>
      <c r="J159" s="27">
        <v>2.66</v>
      </c>
      <c r="K159" s="30"/>
      <c r="L159" s="27">
        <v>1.5999999999999999E-6</v>
      </c>
      <c r="M159" s="27">
        <v>0</v>
      </c>
      <c r="N159" s="27">
        <v>0</v>
      </c>
      <c r="O159" s="27">
        <v>0</v>
      </c>
      <c r="P159" s="30"/>
      <c r="Q159" s="30"/>
      <c r="R159" s="28" t="s">
        <v>68</v>
      </c>
      <c r="S159" s="30"/>
      <c r="T159" s="27">
        <v>8.7000000000000001E-4</v>
      </c>
      <c r="U159" s="27">
        <v>8.0000000000000002E-3</v>
      </c>
      <c r="V159" s="27">
        <v>0.15</v>
      </c>
      <c r="W159" s="30"/>
      <c r="X159" s="30"/>
      <c r="AA159" s="27">
        <v>742</v>
      </c>
    </row>
    <row r="160" spans="1:27" ht="15" x14ac:dyDescent="0.25">
      <c r="A160" s="30"/>
      <c r="B160" s="27">
        <v>-10</v>
      </c>
      <c r="C160" s="27">
        <v>309</v>
      </c>
      <c r="D160" s="28" t="s">
        <v>109</v>
      </c>
      <c r="E160" s="27">
        <v>0</v>
      </c>
      <c r="F160" s="27">
        <v>202.26</v>
      </c>
      <c r="G160" s="27">
        <v>0.1055</v>
      </c>
      <c r="H160" s="27">
        <v>9.1949999999999999E-5</v>
      </c>
      <c r="I160" s="27">
        <v>4.99</v>
      </c>
      <c r="J160" s="27">
        <v>4.83</v>
      </c>
      <c r="K160" s="30"/>
      <c r="L160" s="27">
        <v>1.9999999999999999E-7</v>
      </c>
      <c r="M160" s="27">
        <v>0</v>
      </c>
      <c r="N160" s="27">
        <v>0</v>
      </c>
      <c r="O160" s="27">
        <v>0</v>
      </c>
      <c r="P160" s="30"/>
      <c r="Q160" s="30"/>
      <c r="R160" s="28" t="s">
        <v>68</v>
      </c>
      <c r="S160" s="30"/>
      <c r="T160" s="30"/>
      <c r="U160" s="30"/>
      <c r="V160" s="27">
        <v>0.5</v>
      </c>
      <c r="W160" s="30"/>
      <c r="X160" s="30"/>
      <c r="AA160" s="27">
        <v>743</v>
      </c>
    </row>
    <row r="161" spans="1:27" ht="15" x14ac:dyDescent="0.25">
      <c r="A161" s="27">
        <v>110861</v>
      </c>
      <c r="B161" s="27">
        <v>3271</v>
      </c>
      <c r="C161" s="27">
        <v>703</v>
      </c>
      <c r="D161" s="28" t="s">
        <v>197</v>
      </c>
      <c r="E161" s="27">
        <v>0</v>
      </c>
      <c r="F161" s="27">
        <v>79.100000000000009</v>
      </c>
      <c r="G161" s="27">
        <v>665483.58001075115</v>
      </c>
      <c r="H161" s="27">
        <v>2023.5689373535085</v>
      </c>
      <c r="I161" s="27">
        <v>0.65</v>
      </c>
      <c r="J161" s="27">
        <v>1.93</v>
      </c>
      <c r="K161" s="30"/>
      <c r="L161" s="27">
        <v>1.9999999999999999E-6</v>
      </c>
      <c r="M161" s="27">
        <v>0</v>
      </c>
      <c r="N161" s="27">
        <v>0</v>
      </c>
      <c r="O161" s="27">
        <v>0</v>
      </c>
      <c r="P161" s="30"/>
      <c r="Q161" s="30"/>
      <c r="R161" s="28" t="s">
        <v>68</v>
      </c>
      <c r="S161" s="30"/>
      <c r="T161" s="27">
        <v>1.1999999999999999E-4</v>
      </c>
      <c r="U161" s="27">
        <v>8.9999999999999998E-4</v>
      </c>
      <c r="V161" s="27">
        <v>1E-3</v>
      </c>
      <c r="W161" s="30"/>
      <c r="X161" s="30"/>
      <c r="AA161" s="27">
        <v>744</v>
      </c>
    </row>
    <row r="162" spans="1:27" ht="15" x14ac:dyDescent="0.25">
      <c r="A162" s="27">
        <v>108463</v>
      </c>
      <c r="B162" s="27">
        <v>1530</v>
      </c>
      <c r="C162" s="27">
        <v>207</v>
      </c>
      <c r="D162" s="28" t="s">
        <v>93</v>
      </c>
      <c r="E162" s="27">
        <v>0</v>
      </c>
      <c r="F162" s="27">
        <v>110.10333323242008</v>
      </c>
      <c r="G162" s="27">
        <v>241889.27623539619</v>
      </c>
      <c r="H162" s="27">
        <v>0.80337363343635437</v>
      </c>
      <c r="I162" s="27">
        <v>0.8</v>
      </c>
      <c r="J162" s="27">
        <v>1.1400000000000001</v>
      </c>
      <c r="K162" s="27">
        <v>9.6999999999999993</v>
      </c>
      <c r="L162" s="27">
        <v>9.9999999999999995E-8</v>
      </c>
      <c r="M162" s="27">
        <v>0</v>
      </c>
      <c r="N162" s="27">
        <v>0</v>
      </c>
      <c r="O162" s="27">
        <v>0</v>
      </c>
      <c r="P162" s="30"/>
      <c r="Q162" s="30"/>
      <c r="R162" s="28" t="s">
        <v>68</v>
      </c>
      <c r="S162" s="30"/>
      <c r="T162" s="30"/>
      <c r="U162" s="30"/>
      <c r="V162" s="27">
        <v>0.02</v>
      </c>
      <c r="W162" s="30"/>
      <c r="X162" s="30"/>
      <c r="AA162" s="27">
        <v>745</v>
      </c>
    </row>
    <row r="163" spans="1:27" ht="15" x14ac:dyDescent="0.25">
      <c r="A163" s="27">
        <v>7782492</v>
      </c>
      <c r="B163" s="27">
        <v>1282</v>
      </c>
      <c r="C163" s="27">
        <v>19</v>
      </c>
      <c r="D163" s="28" t="s">
        <v>83</v>
      </c>
      <c r="E163" s="27">
        <v>1</v>
      </c>
      <c r="F163" s="27">
        <v>78.959999999999994</v>
      </c>
      <c r="G163" s="27">
        <v>3000</v>
      </c>
      <c r="H163" s="30"/>
      <c r="I163" s="30"/>
      <c r="J163" s="30"/>
      <c r="K163" s="30"/>
      <c r="L163" s="30"/>
      <c r="M163" s="30"/>
      <c r="N163" s="27">
        <v>4.0000000000000001E-3</v>
      </c>
      <c r="O163" s="27">
        <v>100</v>
      </c>
      <c r="P163" s="27">
        <v>0.2</v>
      </c>
      <c r="Q163" s="27">
        <v>0.37</v>
      </c>
      <c r="R163" s="28" t="s">
        <v>76</v>
      </c>
      <c r="S163" s="27">
        <v>20</v>
      </c>
      <c r="T163" s="30"/>
      <c r="U163" s="30"/>
      <c r="V163" s="27">
        <v>5.0000000000000001E-3</v>
      </c>
      <c r="W163" s="30"/>
      <c r="X163" s="30"/>
      <c r="AA163" s="27">
        <v>746</v>
      </c>
    </row>
    <row r="164" spans="1:27" ht="15" x14ac:dyDescent="0.25">
      <c r="A164" s="27">
        <v>100425</v>
      </c>
      <c r="B164" s="27">
        <v>162</v>
      </c>
      <c r="C164" s="27">
        <v>704</v>
      </c>
      <c r="D164" s="28" t="s">
        <v>198</v>
      </c>
      <c r="E164" s="27">
        <v>0</v>
      </c>
      <c r="F164" s="27">
        <v>104.14856451163628</v>
      </c>
      <c r="G164" s="27">
        <v>320.05735053194411</v>
      </c>
      <c r="H164" s="27">
        <v>525.38850109551913</v>
      </c>
      <c r="I164" s="27">
        <v>2.95</v>
      </c>
      <c r="J164" s="27">
        <v>2.58</v>
      </c>
      <c r="K164" s="30"/>
      <c r="L164" s="27">
        <v>1.9999999999999999E-6</v>
      </c>
      <c r="M164" s="27">
        <v>0</v>
      </c>
      <c r="N164" s="27">
        <v>0</v>
      </c>
      <c r="O164" s="27">
        <v>0</v>
      </c>
      <c r="P164" s="30"/>
      <c r="Q164" s="30"/>
      <c r="R164" s="28" t="s">
        <v>68</v>
      </c>
      <c r="S164" s="30"/>
      <c r="T164" s="27">
        <v>8.9999999999999998E-4</v>
      </c>
      <c r="U164" s="27">
        <v>3.0000000000000001E-3</v>
      </c>
      <c r="V164" s="27">
        <v>0.12</v>
      </c>
      <c r="W164" s="30"/>
      <c r="X164" s="27">
        <v>279</v>
      </c>
      <c r="AA164" s="27">
        <v>747</v>
      </c>
    </row>
    <row r="165" spans="1:27" ht="15" x14ac:dyDescent="0.25">
      <c r="A165" s="27">
        <v>7440417</v>
      </c>
      <c r="B165" s="27">
        <v>-3</v>
      </c>
      <c r="C165" s="27">
        <v>17</v>
      </c>
      <c r="D165" s="28" t="s">
        <v>79</v>
      </c>
      <c r="E165" s="27">
        <v>1</v>
      </c>
      <c r="F165" s="27">
        <v>127.60000000000001</v>
      </c>
      <c r="G165" s="27">
        <v>3000</v>
      </c>
      <c r="H165" s="30"/>
      <c r="I165" s="30"/>
      <c r="J165" s="30"/>
      <c r="K165" s="30"/>
      <c r="L165" s="30"/>
      <c r="M165" s="27">
        <v>0</v>
      </c>
      <c r="N165" s="27">
        <v>0</v>
      </c>
      <c r="O165" s="27">
        <v>0</v>
      </c>
      <c r="P165" s="27">
        <v>2.5000000000000001E-2</v>
      </c>
      <c r="Q165" s="27">
        <v>2.5000000000000001E-2</v>
      </c>
      <c r="R165" s="28" t="s">
        <v>68</v>
      </c>
      <c r="S165" s="27">
        <v>300</v>
      </c>
      <c r="T165" s="30"/>
      <c r="U165" s="30"/>
      <c r="V165" s="27">
        <v>2E-3</v>
      </c>
      <c r="W165" s="30"/>
      <c r="X165" s="30"/>
      <c r="AA165" s="27">
        <v>800</v>
      </c>
    </row>
    <row r="166" spans="1:27" ht="15" x14ac:dyDescent="0.25">
      <c r="A166" s="30"/>
      <c r="B166" s="27">
        <v>-22</v>
      </c>
      <c r="C166" s="27">
        <v>1132</v>
      </c>
      <c r="D166" s="28" t="s">
        <v>247</v>
      </c>
      <c r="E166" s="27">
        <v>0</v>
      </c>
      <c r="F166" s="27">
        <v>230.9</v>
      </c>
      <c r="G166" s="27">
        <v>1.48</v>
      </c>
      <c r="H166" s="27">
        <v>0.02</v>
      </c>
      <c r="I166" s="27">
        <v>4.5200000000000005</v>
      </c>
      <c r="J166" s="27">
        <v>3.84</v>
      </c>
      <c r="K166" s="30"/>
      <c r="L166" s="27">
        <v>9.9999999999999995E-7</v>
      </c>
      <c r="M166" s="27">
        <v>0</v>
      </c>
      <c r="N166" s="27">
        <v>0</v>
      </c>
      <c r="O166" s="27">
        <v>0</v>
      </c>
      <c r="P166" s="30"/>
      <c r="Q166" s="30"/>
      <c r="R166" s="28" t="s">
        <v>68</v>
      </c>
      <c r="S166" s="30"/>
      <c r="T166" s="30"/>
      <c r="U166" s="30"/>
      <c r="V166" s="30"/>
      <c r="W166" s="30"/>
      <c r="X166" s="30"/>
      <c r="AA166" s="27">
        <v>807</v>
      </c>
    </row>
    <row r="167" spans="1:27" ht="15" x14ac:dyDescent="0.25">
      <c r="A167" s="27">
        <v>127184</v>
      </c>
      <c r="B167" s="27">
        <v>164</v>
      </c>
      <c r="C167" s="27">
        <v>403</v>
      </c>
      <c r="D167" s="28" t="s">
        <v>8</v>
      </c>
      <c r="E167" s="27">
        <v>0</v>
      </c>
      <c r="F167" s="27">
        <v>165.80749949115744</v>
      </c>
      <c r="G167" s="27">
        <v>118.88250367033854</v>
      </c>
      <c r="H167" s="27">
        <v>1566.6456399055912</v>
      </c>
      <c r="I167" s="27">
        <v>3.4</v>
      </c>
      <c r="J167" s="27">
        <v>2.42</v>
      </c>
      <c r="K167" s="30"/>
      <c r="L167" s="27">
        <v>7.9999999999999996E-7</v>
      </c>
      <c r="M167" s="27">
        <v>0</v>
      </c>
      <c r="N167" s="27">
        <v>0</v>
      </c>
      <c r="O167" s="27">
        <v>0</v>
      </c>
      <c r="P167" s="30"/>
      <c r="Q167" s="30"/>
      <c r="R167" s="28" t="s">
        <v>68</v>
      </c>
      <c r="S167" s="30"/>
      <c r="T167" s="27">
        <v>2.5000000000000001E-4</v>
      </c>
      <c r="U167" s="27">
        <v>0.1</v>
      </c>
      <c r="V167" s="27">
        <v>1.6E-2</v>
      </c>
      <c r="W167" s="30"/>
      <c r="X167" s="27">
        <v>55.8</v>
      </c>
      <c r="AA167" s="27">
        <v>808</v>
      </c>
    </row>
    <row r="168" spans="1:27" ht="15" x14ac:dyDescent="0.25">
      <c r="A168" s="27">
        <v>56235</v>
      </c>
      <c r="B168" s="27">
        <v>165</v>
      </c>
      <c r="C168" s="27">
        <v>402</v>
      </c>
      <c r="D168" s="28" t="s">
        <v>117</v>
      </c>
      <c r="E168" s="27">
        <v>0</v>
      </c>
      <c r="F168" s="27">
        <v>153.65980843562113</v>
      </c>
      <c r="G168" s="27">
        <v>937.89430244361574</v>
      </c>
      <c r="H168" s="27">
        <v>9493.1137150361847</v>
      </c>
      <c r="I168" s="27">
        <v>2.83</v>
      </c>
      <c r="J168" s="27">
        <v>1.75</v>
      </c>
      <c r="K168" s="30"/>
      <c r="L168" s="27">
        <v>7.9999999999999996E-7</v>
      </c>
      <c r="M168" s="27">
        <v>0</v>
      </c>
      <c r="N168" s="27">
        <v>0</v>
      </c>
      <c r="O168" s="27">
        <v>0</v>
      </c>
      <c r="P168" s="30"/>
      <c r="Q168" s="30"/>
      <c r="R168" s="28" t="s">
        <v>68</v>
      </c>
      <c r="S168" s="30"/>
      <c r="T168" s="27">
        <v>5.9999999999999995E-5</v>
      </c>
      <c r="U168" s="27">
        <v>1</v>
      </c>
      <c r="V168" s="27">
        <v>4.0000000000000001E-3</v>
      </c>
      <c r="W168" s="30"/>
      <c r="X168" s="27">
        <v>62.6</v>
      </c>
      <c r="AA168" s="27">
        <v>809</v>
      </c>
    </row>
    <row r="169" spans="1:27" ht="15" x14ac:dyDescent="0.25">
      <c r="A169" s="27">
        <v>109999</v>
      </c>
      <c r="B169" s="27">
        <v>3414</v>
      </c>
      <c r="C169" s="27">
        <v>705</v>
      </c>
      <c r="D169" s="28" t="s">
        <v>199</v>
      </c>
      <c r="E169" s="27">
        <v>0</v>
      </c>
      <c r="F169" s="27">
        <v>72.106666512569205</v>
      </c>
      <c r="G169" s="27">
        <v>405634.1962123675</v>
      </c>
      <c r="H169" s="27">
        <v>14743.279551469464</v>
      </c>
      <c r="I169" s="27">
        <v>0.47000000000000003</v>
      </c>
      <c r="J169" s="27">
        <v>0.47000000000000003</v>
      </c>
      <c r="K169" s="30"/>
      <c r="L169" s="27">
        <v>1.9999999999999999E-6</v>
      </c>
      <c r="M169" s="27">
        <v>0</v>
      </c>
      <c r="N169" s="27">
        <v>0</v>
      </c>
      <c r="O169" s="27">
        <v>0</v>
      </c>
      <c r="P169" s="30"/>
      <c r="Q169" s="30"/>
      <c r="R169" s="28" t="s">
        <v>68</v>
      </c>
      <c r="S169" s="30"/>
      <c r="T169" s="27">
        <v>3.5000000000000004E-5</v>
      </c>
      <c r="U169" s="27">
        <v>0.02</v>
      </c>
      <c r="V169" s="27">
        <v>0.01</v>
      </c>
      <c r="W169" s="30"/>
      <c r="X169" s="30"/>
      <c r="AA169" s="27">
        <v>810</v>
      </c>
    </row>
    <row r="170" spans="1:27" ht="15" x14ac:dyDescent="0.25">
      <c r="A170" s="27">
        <v>110010</v>
      </c>
      <c r="B170" s="27">
        <v>-40</v>
      </c>
      <c r="C170" s="27">
        <v>706</v>
      </c>
      <c r="D170" s="28" t="s">
        <v>200</v>
      </c>
      <c r="E170" s="27">
        <v>0</v>
      </c>
      <c r="F170" s="27">
        <v>88.174999858236475</v>
      </c>
      <c r="G170" s="27">
        <v>12894.977326497301</v>
      </c>
      <c r="H170" s="27">
        <v>2045.3198472495208</v>
      </c>
      <c r="I170" s="27">
        <v>1.61</v>
      </c>
      <c r="J170" s="27">
        <v>1.4000000000000001</v>
      </c>
      <c r="K170" s="30"/>
      <c r="L170" s="27">
        <v>1.9999999999999999E-6</v>
      </c>
      <c r="M170" s="27">
        <v>0</v>
      </c>
      <c r="N170" s="27">
        <v>0</v>
      </c>
      <c r="O170" s="27">
        <v>0</v>
      </c>
      <c r="P170" s="30"/>
      <c r="Q170" s="30"/>
      <c r="R170" s="28" t="s">
        <v>68</v>
      </c>
      <c r="S170" s="30"/>
      <c r="T170" s="27">
        <v>6.4999999999999997E-4</v>
      </c>
      <c r="U170" s="27">
        <v>3.0000000000000001E-6</v>
      </c>
      <c r="V170" s="27">
        <v>0.18</v>
      </c>
      <c r="W170" s="30"/>
      <c r="X170" s="30"/>
      <c r="AA170" s="27">
        <v>811</v>
      </c>
    </row>
    <row r="171" spans="1:27" ht="15" x14ac:dyDescent="0.25">
      <c r="A171" s="27">
        <v>7440280</v>
      </c>
      <c r="B171" s="27">
        <v>1307</v>
      </c>
      <c r="C171" s="27">
        <v>21</v>
      </c>
      <c r="D171" s="28" t="s">
        <v>84</v>
      </c>
      <c r="E171" s="27">
        <v>1</v>
      </c>
      <c r="F171" s="27">
        <v>204.37</v>
      </c>
      <c r="G171" s="27">
        <v>3000</v>
      </c>
      <c r="H171" s="30"/>
      <c r="I171" s="30"/>
      <c r="J171" s="30"/>
      <c r="K171" s="30"/>
      <c r="L171" s="30"/>
      <c r="M171" s="30"/>
      <c r="N171" s="27">
        <v>1.7000000000000001E-4</v>
      </c>
      <c r="O171" s="27">
        <v>15</v>
      </c>
      <c r="P171" s="27">
        <v>0</v>
      </c>
      <c r="Q171" s="27">
        <v>5.0000000000000001E-3</v>
      </c>
      <c r="R171" s="28" t="s">
        <v>76</v>
      </c>
      <c r="S171" s="27">
        <v>158</v>
      </c>
      <c r="T171" s="30"/>
      <c r="U171" s="30"/>
      <c r="V171" s="27">
        <v>2.0000000000000001E-4</v>
      </c>
      <c r="W171" s="30"/>
      <c r="X171" s="30"/>
      <c r="AA171" s="27">
        <v>812</v>
      </c>
    </row>
    <row r="172" spans="1:27" ht="15" x14ac:dyDescent="0.25">
      <c r="A172" s="30"/>
      <c r="B172" s="27">
        <v>-6</v>
      </c>
      <c r="C172" s="27">
        <v>107</v>
      </c>
      <c r="D172" s="28" t="s">
        <v>88</v>
      </c>
      <c r="E172" s="27">
        <v>2</v>
      </c>
      <c r="F172" s="27">
        <v>58</v>
      </c>
      <c r="G172" s="27">
        <v>3000</v>
      </c>
      <c r="H172" s="30"/>
      <c r="I172" s="30"/>
      <c r="J172" s="30"/>
      <c r="K172" s="30"/>
      <c r="L172" s="30"/>
      <c r="M172" s="27">
        <v>0</v>
      </c>
      <c r="N172" s="27">
        <v>0</v>
      </c>
      <c r="O172" s="27">
        <v>0</v>
      </c>
      <c r="P172" s="30"/>
      <c r="Q172" s="30"/>
      <c r="R172" s="28" t="s">
        <v>68</v>
      </c>
      <c r="S172" s="27">
        <v>0.1</v>
      </c>
      <c r="T172" s="30"/>
      <c r="U172" s="30"/>
      <c r="V172" s="27">
        <v>1.0999999999999999E-2</v>
      </c>
      <c r="W172" s="30"/>
      <c r="X172" s="30"/>
      <c r="AA172" s="27">
        <v>813</v>
      </c>
    </row>
    <row r="173" spans="1:27" ht="15" x14ac:dyDescent="0.25">
      <c r="A173" s="27">
        <v>7440315</v>
      </c>
      <c r="B173" s="27">
        <v>10274</v>
      </c>
      <c r="C173" s="27">
        <v>12</v>
      </c>
      <c r="D173" s="28" t="s">
        <v>75</v>
      </c>
      <c r="E173" s="27">
        <v>1</v>
      </c>
      <c r="F173" s="27">
        <v>118.69</v>
      </c>
      <c r="G173" s="27">
        <v>3000</v>
      </c>
      <c r="H173" s="30"/>
      <c r="I173" s="30"/>
      <c r="J173" s="30"/>
      <c r="K173" s="30"/>
      <c r="L173" s="30"/>
      <c r="M173" s="30"/>
      <c r="N173" s="27">
        <v>2</v>
      </c>
      <c r="O173" s="27">
        <v>900</v>
      </c>
      <c r="P173" s="27">
        <v>9.5000000000000001E-2</v>
      </c>
      <c r="Q173" s="27">
        <v>1.2999999999999999E-2</v>
      </c>
      <c r="R173" s="28" t="s">
        <v>76</v>
      </c>
      <c r="S173" s="27">
        <v>1905</v>
      </c>
      <c r="T173" s="30"/>
      <c r="U173" s="30"/>
      <c r="V173" s="27">
        <v>2</v>
      </c>
      <c r="W173" s="30"/>
      <c r="X173" s="30"/>
      <c r="AA173" s="27">
        <v>814</v>
      </c>
    </row>
    <row r="174" spans="1:27" ht="15" x14ac:dyDescent="0.25">
      <c r="A174" s="27">
        <v>108883</v>
      </c>
      <c r="B174" s="27">
        <v>148</v>
      </c>
      <c r="C174" s="27">
        <v>204</v>
      </c>
      <c r="D174" s="28" t="s">
        <v>20</v>
      </c>
      <c r="E174" s="27">
        <v>0</v>
      </c>
      <c r="F174" s="27">
        <v>92.14249284505685</v>
      </c>
      <c r="G174" s="27">
        <v>610.59105234897152</v>
      </c>
      <c r="H174" s="27">
        <v>2959.0125896827935</v>
      </c>
      <c r="I174" s="27">
        <v>2.73</v>
      </c>
      <c r="J174" s="27">
        <v>2.09</v>
      </c>
      <c r="K174" s="30"/>
      <c r="L174" s="27">
        <v>1.1999999999999999E-6</v>
      </c>
      <c r="M174" s="27">
        <v>0</v>
      </c>
      <c r="N174" s="27">
        <v>0</v>
      </c>
      <c r="O174" s="27">
        <v>0</v>
      </c>
      <c r="P174" s="30"/>
      <c r="Q174" s="30"/>
      <c r="R174" s="28" t="s">
        <v>68</v>
      </c>
      <c r="S174" s="30"/>
      <c r="T174" s="27">
        <v>4.0000000000000002E-4</v>
      </c>
      <c r="U174" s="27">
        <v>0.02</v>
      </c>
      <c r="V174" s="27">
        <v>0.223</v>
      </c>
      <c r="W174" s="30"/>
      <c r="X174" s="27">
        <v>65.5</v>
      </c>
      <c r="AA174" s="27">
        <v>815</v>
      </c>
    </row>
    <row r="175" spans="1:27" ht="15" x14ac:dyDescent="0.25">
      <c r="A175" s="30"/>
      <c r="B175" s="27">
        <v>-30</v>
      </c>
      <c r="C175" s="27">
        <v>737</v>
      </c>
      <c r="D175" s="28" t="s">
        <v>208</v>
      </c>
      <c r="E175" s="27">
        <v>0</v>
      </c>
      <c r="F175" s="27">
        <v>160</v>
      </c>
      <c r="G175" s="27">
        <v>2.6079999999999999E-2</v>
      </c>
      <c r="H175" s="27">
        <v>79</v>
      </c>
      <c r="I175" s="27">
        <v>5.79</v>
      </c>
      <c r="J175" s="27">
        <v>5.4</v>
      </c>
      <c r="K175" s="30"/>
      <c r="L175" s="27">
        <v>3.9999999999999998E-6</v>
      </c>
      <c r="M175" s="27">
        <v>0</v>
      </c>
      <c r="N175" s="27">
        <v>0</v>
      </c>
      <c r="O175" s="27">
        <v>0</v>
      </c>
      <c r="P175" s="30"/>
      <c r="Q175" s="30"/>
      <c r="R175" s="28" t="s">
        <v>68</v>
      </c>
      <c r="S175" s="30"/>
      <c r="T175" s="27">
        <v>1E-3</v>
      </c>
      <c r="U175" s="30"/>
      <c r="V175" s="27">
        <v>0.1</v>
      </c>
      <c r="W175" s="30"/>
      <c r="X175" s="30"/>
      <c r="AA175" s="27">
        <v>816</v>
      </c>
    </row>
    <row r="176" spans="1:27" ht="15" x14ac:dyDescent="0.25">
      <c r="A176" s="30"/>
      <c r="B176" s="27">
        <v>-31</v>
      </c>
      <c r="C176" s="27">
        <v>738</v>
      </c>
      <c r="D176" s="28" t="s">
        <v>209</v>
      </c>
      <c r="E176" s="27">
        <v>0</v>
      </c>
      <c r="F176" s="27">
        <v>200</v>
      </c>
      <c r="G176" s="27">
        <v>5.9000000000000003E-4</v>
      </c>
      <c r="H176" s="27">
        <v>3.5500000000000003</v>
      </c>
      <c r="I176" s="27">
        <v>7.09</v>
      </c>
      <c r="J176" s="27">
        <v>6.7</v>
      </c>
      <c r="K176" s="30"/>
      <c r="L176" s="27">
        <v>3.9999999999999998E-6</v>
      </c>
      <c r="M176" s="27">
        <v>0</v>
      </c>
      <c r="N176" s="27">
        <v>0</v>
      </c>
      <c r="O176" s="27">
        <v>0</v>
      </c>
      <c r="P176" s="30"/>
      <c r="Q176" s="30"/>
      <c r="R176" s="28" t="s">
        <v>68</v>
      </c>
      <c r="S176" s="30"/>
      <c r="T176" s="27">
        <v>1E-3</v>
      </c>
      <c r="U176" s="30"/>
      <c r="V176" s="27">
        <v>0.1</v>
      </c>
      <c r="W176" s="30"/>
      <c r="X176" s="30"/>
      <c r="AA176" s="27">
        <v>817</v>
      </c>
    </row>
    <row r="177" spans="1:27" ht="15" x14ac:dyDescent="0.25">
      <c r="A177" s="30"/>
      <c r="B177" s="27">
        <v>-32</v>
      </c>
      <c r="C177" s="27">
        <v>739</v>
      </c>
      <c r="D177" s="28" t="s">
        <v>210</v>
      </c>
      <c r="E177" s="27">
        <v>0</v>
      </c>
      <c r="F177" s="27">
        <v>270</v>
      </c>
      <c r="G177" s="27">
        <v>9.9900000000000009E-7</v>
      </c>
      <c r="H177" s="27">
        <v>0.17199999999999999</v>
      </c>
      <c r="I177" s="27">
        <v>9.39</v>
      </c>
      <c r="J177" s="27">
        <v>9</v>
      </c>
      <c r="K177" s="30"/>
      <c r="L177" s="27">
        <v>3.9999999999999998E-6</v>
      </c>
      <c r="M177" s="27">
        <v>0</v>
      </c>
      <c r="N177" s="27">
        <v>0</v>
      </c>
      <c r="O177" s="27">
        <v>0</v>
      </c>
      <c r="P177" s="30"/>
      <c r="Q177" s="30"/>
      <c r="R177" s="28" t="s">
        <v>68</v>
      </c>
      <c r="S177" s="30"/>
      <c r="T177" s="30"/>
      <c r="U177" s="30"/>
      <c r="V177" s="27">
        <v>2</v>
      </c>
      <c r="W177" s="30"/>
      <c r="X177" s="30"/>
      <c r="AA177" s="27">
        <v>818</v>
      </c>
    </row>
    <row r="178" spans="1:27" ht="15" x14ac:dyDescent="0.25">
      <c r="A178" s="30"/>
      <c r="B178" s="27">
        <v>-27</v>
      </c>
      <c r="C178" s="27">
        <v>734</v>
      </c>
      <c r="D178" s="28" t="s">
        <v>205</v>
      </c>
      <c r="E178" s="27">
        <v>0</v>
      </c>
      <c r="F178" s="27">
        <v>81</v>
      </c>
      <c r="G178" s="27">
        <v>28.025999999999996</v>
      </c>
      <c r="H178" s="27">
        <v>50700</v>
      </c>
      <c r="I178" s="27">
        <v>3.29</v>
      </c>
      <c r="J178" s="27">
        <v>2.9</v>
      </c>
      <c r="K178" s="30"/>
      <c r="L178" s="27">
        <v>3.9999999999999998E-6</v>
      </c>
      <c r="M178" s="27">
        <v>0</v>
      </c>
      <c r="N178" s="27">
        <v>0</v>
      </c>
      <c r="O178" s="27">
        <v>0</v>
      </c>
      <c r="P178" s="30"/>
      <c r="Q178" s="30"/>
      <c r="R178" s="28" t="s">
        <v>68</v>
      </c>
      <c r="S178" s="30"/>
      <c r="T178" s="27">
        <v>1.8400000000000003E-2</v>
      </c>
      <c r="U178" s="30"/>
      <c r="V178" s="27">
        <v>2</v>
      </c>
      <c r="W178" s="30"/>
      <c r="X178" s="30"/>
      <c r="AA178" s="27">
        <v>819</v>
      </c>
    </row>
    <row r="179" spans="1:27" ht="15" x14ac:dyDescent="0.25">
      <c r="A179" s="30"/>
      <c r="B179" s="27">
        <v>-28</v>
      </c>
      <c r="C179" s="27">
        <v>735</v>
      </c>
      <c r="D179" s="28" t="s">
        <v>206</v>
      </c>
      <c r="E179" s="27">
        <v>0</v>
      </c>
      <c r="F179" s="27">
        <v>100</v>
      </c>
      <c r="G179" s="27">
        <v>4.2</v>
      </c>
      <c r="H179" s="27">
        <v>8610</v>
      </c>
      <c r="I179" s="27">
        <v>3.99</v>
      </c>
      <c r="J179" s="27">
        <v>3.6</v>
      </c>
      <c r="K179" s="30"/>
      <c r="L179" s="27">
        <v>3.9999999999999998E-6</v>
      </c>
      <c r="M179" s="27">
        <v>0</v>
      </c>
      <c r="N179" s="27">
        <v>0</v>
      </c>
      <c r="O179" s="27">
        <v>0</v>
      </c>
      <c r="P179" s="30"/>
      <c r="Q179" s="30"/>
      <c r="R179" s="28" t="s">
        <v>68</v>
      </c>
      <c r="S179" s="30"/>
      <c r="T179" s="27">
        <v>1.8400000000000003E-2</v>
      </c>
      <c r="U179" s="30"/>
      <c r="V179" s="27">
        <v>2</v>
      </c>
      <c r="W179" s="30"/>
      <c r="X179" s="30"/>
      <c r="AA179" s="27">
        <v>820</v>
      </c>
    </row>
    <row r="180" spans="1:27" ht="15" x14ac:dyDescent="0.25">
      <c r="A180" s="30"/>
      <c r="B180" s="27">
        <v>-29</v>
      </c>
      <c r="C180" s="27">
        <v>736</v>
      </c>
      <c r="D180" s="28" t="s">
        <v>207</v>
      </c>
      <c r="E180" s="27">
        <v>0</v>
      </c>
      <c r="F180" s="27">
        <v>130</v>
      </c>
      <c r="G180" s="27">
        <v>0.32500000000000001</v>
      </c>
      <c r="H180" s="27">
        <v>821</v>
      </c>
      <c r="I180" s="27">
        <v>4.8899999999999997</v>
      </c>
      <c r="J180" s="27">
        <v>4.5</v>
      </c>
      <c r="K180" s="30"/>
      <c r="L180" s="27">
        <v>3.9999999999999998E-6</v>
      </c>
      <c r="M180" s="27">
        <v>0</v>
      </c>
      <c r="N180" s="27">
        <v>0</v>
      </c>
      <c r="O180" s="27">
        <v>0</v>
      </c>
      <c r="P180" s="30"/>
      <c r="Q180" s="30"/>
      <c r="R180" s="28" t="s">
        <v>68</v>
      </c>
      <c r="S180" s="30"/>
      <c r="T180" s="27">
        <v>1E-3</v>
      </c>
      <c r="U180" s="30"/>
      <c r="V180" s="27">
        <v>0.1</v>
      </c>
      <c r="W180" s="30"/>
      <c r="X180" s="30"/>
      <c r="AA180" s="27">
        <v>1093</v>
      </c>
    </row>
    <row r="181" spans="1:27" ht="15" x14ac:dyDescent="0.25">
      <c r="A181" s="30"/>
      <c r="B181" s="27">
        <v>-36</v>
      </c>
      <c r="C181" s="27">
        <v>743</v>
      </c>
      <c r="D181" s="28" t="s">
        <v>214</v>
      </c>
      <c r="E181" s="27">
        <v>0</v>
      </c>
      <c r="F181" s="27">
        <v>130</v>
      </c>
      <c r="G181" s="27">
        <v>24.830000000000002</v>
      </c>
      <c r="H181" s="27">
        <v>79</v>
      </c>
      <c r="I181" s="27">
        <v>3.79</v>
      </c>
      <c r="J181" s="27">
        <v>3.4</v>
      </c>
      <c r="K181" s="30"/>
      <c r="L181" s="27">
        <v>1.3999999999999999E-6</v>
      </c>
      <c r="M181" s="27">
        <v>0</v>
      </c>
      <c r="N181" s="27">
        <v>0</v>
      </c>
      <c r="O181" s="27">
        <v>0</v>
      </c>
      <c r="P181" s="30"/>
      <c r="Q181" s="30"/>
      <c r="R181" s="28" t="s">
        <v>68</v>
      </c>
      <c r="S181" s="30"/>
      <c r="T181" s="27">
        <v>2.0000000000000001E-4</v>
      </c>
      <c r="U181" s="30"/>
      <c r="V181" s="27">
        <v>0.04</v>
      </c>
      <c r="W181" s="30"/>
      <c r="X181" s="30"/>
      <c r="AA181" s="27">
        <v>1098</v>
      </c>
    </row>
    <row r="182" spans="1:27" ht="15" x14ac:dyDescent="0.25">
      <c r="A182" s="30"/>
      <c r="B182" s="27">
        <v>-37</v>
      </c>
      <c r="C182" s="27">
        <v>744</v>
      </c>
      <c r="D182" s="28" t="s">
        <v>215</v>
      </c>
      <c r="E182" s="27">
        <v>0</v>
      </c>
      <c r="F182" s="27">
        <v>150</v>
      </c>
      <c r="G182" s="27">
        <v>5.8049999999999997</v>
      </c>
      <c r="H182" s="27">
        <v>3.5500000000000003</v>
      </c>
      <c r="I182" s="27">
        <v>4.09</v>
      </c>
      <c r="J182" s="27">
        <v>3.7</v>
      </c>
      <c r="K182" s="30"/>
      <c r="L182" s="27">
        <v>1.3999999999999999E-6</v>
      </c>
      <c r="M182" s="27">
        <v>0</v>
      </c>
      <c r="N182" s="27">
        <v>0</v>
      </c>
      <c r="O182" s="27">
        <v>0</v>
      </c>
      <c r="P182" s="30"/>
      <c r="Q182" s="30"/>
      <c r="R182" s="28" t="s">
        <v>68</v>
      </c>
      <c r="S182" s="30"/>
      <c r="T182" s="27">
        <v>2.0000000000000001E-4</v>
      </c>
      <c r="U182" s="30"/>
      <c r="V182" s="27">
        <v>0.04</v>
      </c>
      <c r="W182" s="30"/>
      <c r="X182" s="30"/>
      <c r="AA182" s="27">
        <v>1100</v>
      </c>
    </row>
    <row r="183" spans="1:27" ht="15" x14ac:dyDescent="0.25">
      <c r="A183" s="30"/>
      <c r="B183" s="27">
        <v>-38</v>
      </c>
      <c r="C183" s="27">
        <v>745</v>
      </c>
      <c r="D183" s="28" t="s">
        <v>216</v>
      </c>
      <c r="E183" s="27">
        <v>0</v>
      </c>
      <c r="F183" s="27">
        <v>190</v>
      </c>
      <c r="G183" s="27">
        <v>0.54339999999999999</v>
      </c>
      <c r="H183" s="27">
        <v>0.17199999999999999</v>
      </c>
      <c r="I183" s="27">
        <v>4.59</v>
      </c>
      <c r="J183" s="27">
        <v>4.2</v>
      </c>
      <c r="K183" s="30"/>
      <c r="L183" s="27">
        <v>1.3999999999999999E-6</v>
      </c>
      <c r="M183" s="27">
        <v>0</v>
      </c>
      <c r="N183" s="27">
        <v>0</v>
      </c>
      <c r="O183" s="27">
        <v>0</v>
      </c>
      <c r="P183" s="30"/>
      <c r="Q183" s="30"/>
      <c r="R183" s="28" t="s">
        <v>68</v>
      </c>
      <c r="S183" s="30"/>
      <c r="T183" s="30"/>
      <c r="U183" s="30"/>
      <c r="V183" s="27">
        <v>0.03</v>
      </c>
      <c r="W183" s="30"/>
      <c r="X183" s="30"/>
      <c r="AA183" s="27">
        <v>1103</v>
      </c>
    </row>
    <row r="184" spans="1:27" ht="15" x14ac:dyDescent="0.25">
      <c r="A184" s="30"/>
      <c r="B184" s="27">
        <v>-39</v>
      </c>
      <c r="C184" s="27">
        <v>746</v>
      </c>
      <c r="D184" s="28" t="s">
        <v>217</v>
      </c>
      <c r="E184" s="27">
        <v>0</v>
      </c>
      <c r="F184" s="27">
        <v>240</v>
      </c>
      <c r="G184" s="27">
        <v>6.6E-3</v>
      </c>
      <c r="H184" s="27">
        <v>8.0000000000000004E-4</v>
      </c>
      <c r="I184" s="27">
        <v>5.49</v>
      </c>
      <c r="J184" s="27">
        <v>5.1000000000000005</v>
      </c>
      <c r="K184" s="30"/>
      <c r="L184" s="27">
        <v>1.3999999999999999E-6</v>
      </c>
      <c r="M184" s="27">
        <v>0</v>
      </c>
      <c r="N184" s="27">
        <v>0</v>
      </c>
      <c r="O184" s="27">
        <v>0</v>
      </c>
      <c r="P184" s="30"/>
      <c r="Q184" s="30"/>
      <c r="R184" s="28" t="s">
        <v>68</v>
      </c>
      <c r="S184" s="30"/>
      <c r="T184" s="30"/>
      <c r="U184" s="30"/>
      <c r="V184" s="27">
        <v>0.03</v>
      </c>
      <c r="W184" s="30"/>
      <c r="X184" s="30"/>
      <c r="AA184" s="27">
        <v>1104</v>
      </c>
    </row>
    <row r="185" spans="1:27" ht="15" x14ac:dyDescent="0.25">
      <c r="A185" s="30"/>
      <c r="B185" s="27">
        <v>-33</v>
      </c>
      <c r="C185" s="27">
        <v>740</v>
      </c>
      <c r="D185" s="28" t="s">
        <v>211</v>
      </c>
      <c r="E185" s="27">
        <v>0</v>
      </c>
      <c r="F185" s="27">
        <v>78</v>
      </c>
      <c r="G185" s="27">
        <v>219.96</v>
      </c>
      <c r="H185" s="27">
        <v>11100</v>
      </c>
      <c r="I185" s="27">
        <v>3.39</v>
      </c>
      <c r="J185" s="27">
        <v>3</v>
      </c>
      <c r="K185" s="30"/>
      <c r="L185" s="27">
        <v>1.3999999999999999E-6</v>
      </c>
      <c r="M185" s="27">
        <v>0</v>
      </c>
      <c r="N185" s="27">
        <v>0</v>
      </c>
      <c r="O185" s="27">
        <v>0</v>
      </c>
      <c r="P185" s="30"/>
      <c r="Q185" s="30"/>
      <c r="R185" s="28" t="s">
        <v>68</v>
      </c>
      <c r="S185" s="30"/>
      <c r="T185" s="27">
        <v>4.0000000000000002E-4</v>
      </c>
      <c r="U185" s="30"/>
      <c r="V185" s="27">
        <v>0.2</v>
      </c>
      <c r="W185" s="30"/>
      <c r="X185" s="30"/>
      <c r="AA185" s="27">
        <v>1105</v>
      </c>
    </row>
    <row r="186" spans="1:27" ht="15" x14ac:dyDescent="0.25">
      <c r="A186" s="30"/>
      <c r="B186" s="27">
        <v>-34</v>
      </c>
      <c r="C186" s="27">
        <v>741</v>
      </c>
      <c r="D186" s="28" t="s">
        <v>212</v>
      </c>
      <c r="E186" s="27">
        <v>0</v>
      </c>
      <c r="F186" s="27">
        <v>92</v>
      </c>
      <c r="G186" s="27">
        <v>129.72</v>
      </c>
      <c r="H186" s="27">
        <v>3240</v>
      </c>
      <c r="I186" s="27">
        <v>3.49</v>
      </c>
      <c r="J186" s="27">
        <v>3.1</v>
      </c>
      <c r="K186" s="30"/>
      <c r="L186" s="27">
        <v>1.3999999999999999E-6</v>
      </c>
      <c r="M186" s="27">
        <v>0</v>
      </c>
      <c r="N186" s="27">
        <v>0</v>
      </c>
      <c r="O186" s="27">
        <v>0</v>
      </c>
      <c r="P186" s="30"/>
      <c r="Q186" s="30"/>
      <c r="R186" s="28" t="s">
        <v>68</v>
      </c>
      <c r="S186" s="30"/>
      <c r="T186" s="27">
        <v>4.0000000000000002E-4</v>
      </c>
      <c r="U186" s="30"/>
      <c r="V186" s="27">
        <v>0.2</v>
      </c>
      <c r="W186" s="30"/>
      <c r="X186" s="30"/>
      <c r="AA186" s="27">
        <v>1106</v>
      </c>
    </row>
    <row r="187" spans="1:27" ht="15" x14ac:dyDescent="0.25">
      <c r="A187" s="30"/>
      <c r="B187" s="27">
        <v>-35</v>
      </c>
      <c r="C187" s="27">
        <v>742</v>
      </c>
      <c r="D187" s="28" t="s">
        <v>213</v>
      </c>
      <c r="E187" s="27">
        <v>0</v>
      </c>
      <c r="F187" s="27">
        <v>120</v>
      </c>
      <c r="G187" s="27">
        <v>65.040000000000006</v>
      </c>
      <c r="H187" s="27">
        <v>821</v>
      </c>
      <c r="I187" s="27">
        <v>3.59</v>
      </c>
      <c r="J187" s="27">
        <v>3.2</v>
      </c>
      <c r="K187" s="30"/>
      <c r="L187" s="27">
        <v>1.3999999999999999E-6</v>
      </c>
      <c r="M187" s="27">
        <v>0</v>
      </c>
      <c r="N187" s="27">
        <v>0</v>
      </c>
      <c r="O187" s="27">
        <v>0</v>
      </c>
      <c r="P187" s="30"/>
      <c r="Q187" s="30"/>
      <c r="R187" s="28" t="s">
        <v>68</v>
      </c>
      <c r="S187" s="30"/>
      <c r="T187" s="27">
        <v>2.0000000000000001E-4</v>
      </c>
      <c r="U187" s="30"/>
      <c r="V187" s="27">
        <v>0.04</v>
      </c>
      <c r="W187" s="30"/>
      <c r="X187" s="30"/>
      <c r="AA187" s="27">
        <v>1107</v>
      </c>
    </row>
    <row r="188" spans="1:27" ht="15" x14ac:dyDescent="0.25">
      <c r="A188" s="30"/>
      <c r="B188" s="27">
        <v>-41</v>
      </c>
      <c r="C188" s="27">
        <v>11141</v>
      </c>
      <c r="D188" s="28" t="s">
        <v>252</v>
      </c>
      <c r="E188" s="27">
        <v>0</v>
      </c>
      <c r="F188" s="27">
        <v>252.8</v>
      </c>
      <c r="G188" s="27">
        <v>1719</v>
      </c>
      <c r="H188" s="27">
        <v>279</v>
      </c>
      <c r="I188" s="27">
        <v>2.67</v>
      </c>
      <c r="J188" s="27">
        <v>2.17</v>
      </c>
      <c r="K188" s="30"/>
      <c r="L188" s="27">
        <v>9.9999999999999995E-8</v>
      </c>
      <c r="M188" s="27">
        <v>0</v>
      </c>
      <c r="N188" s="27">
        <v>0</v>
      </c>
      <c r="O188" s="27">
        <v>0</v>
      </c>
      <c r="P188" s="30"/>
      <c r="Q188" s="30"/>
      <c r="R188" s="28" t="s">
        <v>68</v>
      </c>
      <c r="S188" s="30"/>
      <c r="T188" s="27">
        <v>1E-4</v>
      </c>
      <c r="U188" s="30"/>
      <c r="V188" s="27">
        <v>0.02</v>
      </c>
      <c r="W188" s="30"/>
      <c r="X188" s="30"/>
      <c r="AA188" s="27">
        <v>1108</v>
      </c>
    </row>
    <row r="189" spans="1:27" ht="15" x14ac:dyDescent="0.25">
      <c r="A189" s="27">
        <v>56359</v>
      </c>
      <c r="B189" s="27">
        <v>795</v>
      </c>
      <c r="C189" s="27">
        <v>616</v>
      </c>
      <c r="D189" s="28" t="s">
        <v>186</v>
      </c>
      <c r="E189" s="27">
        <v>0</v>
      </c>
      <c r="F189" s="27">
        <v>290.04000000000002</v>
      </c>
      <c r="G189" s="27">
        <v>0.75</v>
      </c>
      <c r="H189" s="27">
        <v>8.53E-5</v>
      </c>
      <c r="I189" s="27">
        <v>3.64</v>
      </c>
      <c r="J189" s="27">
        <v>4.0999999999999996</v>
      </c>
      <c r="K189" s="30"/>
      <c r="L189" s="27">
        <v>4.9999999999999998E-7</v>
      </c>
      <c r="M189" s="30"/>
      <c r="N189" s="27">
        <v>1.4999999999999999E-4</v>
      </c>
      <c r="O189" s="27">
        <v>5</v>
      </c>
      <c r="P189" s="30"/>
      <c r="Q189" s="30"/>
      <c r="R189" s="28" t="s">
        <v>81</v>
      </c>
      <c r="S189" s="30"/>
      <c r="T189" s="30"/>
      <c r="U189" s="30"/>
      <c r="V189" s="27">
        <v>2.9999999999999997E-4</v>
      </c>
      <c r="W189" s="30"/>
      <c r="X189" s="30"/>
      <c r="AA189" s="27">
        <v>1109</v>
      </c>
    </row>
    <row r="190" spans="1:27" ht="15" x14ac:dyDescent="0.25">
      <c r="A190" s="30"/>
      <c r="B190" s="27">
        <v>-21</v>
      </c>
      <c r="C190" s="27">
        <v>1131</v>
      </c>
      <c r="D190" s="28" t="s">
        <v>246</v>
      </c>
      <c r="E190" s="27">
        <v>0</v>
      </c>
      <c r="F190" s="27">
        <v>196.5</v>
      </c>
      <c r="G190" s="27">
        <v>27.51</v>
      </c>
      <c r="H190" s="27">
        <v>0.08</v>
      </c>
      <c r="I190" s="27">
        <v>3.62</v>
      </c>
      <c r="J190" s="27">
        <v>3.08</v>
      </c>
      <c r="K190" s="30"/>
      <c r="L190" s="27">
        <v>9.9999999999999995E-7</v>
      </c>
      <c r="M190" s="27">
        <v>0</v>
      </c>
      <c r="N190" s="27">
        <v>0</v>
      </c>
      <c r="O190" s="27">
        <v>0</v>
      </c>
      <c r="P190" s="30"/>
      <c r="Q190" s="30"/>
      <c r="R190" s="28" t="s">
        <v>68</v>
      </c>
      <c r="S190" s="30"/>
      <c r="T190" s="30"/>
      <c r="U190" s="30"/>
      <c r="V190" s="30"/>
      <c r="W190" s="30"/>
      <c r="X190" s="30"/>
      <c r="AA190" s="27">
        <v>1129</v>
      </c>
    </row>
    <row r="191" spans="1:27" ht="15" x14ac:dyDescent="0.25">
      <c r="A191" s="27">
        <v>79016</v>
      </c>
      <c r="B191" s="27">
        <v>166</v>
      </c>
      <c r="C191" s="27">
        <v>405</v>
      </c>
      <c r="D191" s="28" t="s">
        <v>28</v>
      </c>
      <c r="E191" s="27">
        <v>0</v>
      </c>
      <c r="F191" s="27">
        <v>131.4</v>
      </c>
      <c r="G191" s="27">
        <v>1164.8441611748488</v>
      </c>
      <c r="H191" s="27">
        <v>5805.4448517439523</v>
      </c>
      <c r="I191" s="27">
        <v>2.61</v>
      </c>
      <c r="J191" s="27">
        <v>2.06</v>
      </c>
      <c r="K191" s="30"/>
      <c r="L191" s="27">
        <v>1.5999999999999999E-6</v>
      </c>
      <c r="M191" s="27">
        <v>0</v>
      </c>
      <c r="N191" s="27">
        <v>0</v>
      </c>
      <c r="O191" s="27">
        <v>0</v>
      </c>
      <c r="P191" s="30"/>
      <c r="Q191" s="30"/>
      <c r="R191" s="28" t="s">
        <v>68</v>
      </c>
      <c r="S191" s="30"/>
      <c r="T191" s="27">
        <v>2.0000000000000001E-4</v>
      </c>
      <c r="U191" s="27">
        <v>0.05</v>
      </c>
      <c r="V191" s="27">
        <v>0.05</v>
      </c>
      <c r="W191" s="30"/>
      <c r="X191" s="27">
        <v>59.8</v>
      </c>
      <c r="AA191" s="27">
        <v>1130</v>
      </c>
    </row>
    <row r="192" spans="1:27" ht="15" x14ac:dyDescent="0.25">
      <c r="A192" s="27">
        <v>67663</v>
      </c>
      <c r="B192" s="27">
        <v>167</v>
      </c>
      <c r="C192" s="27">
        <v>404</v>
      </c>
      <c r="D192" s="28" t="s">
        <v>118</v>
      </c>
      <c r="E192" s="27">
        <v>0</v>
      </c>
      <c r="F192" s="27">
        <v>119.39749992147853</v>
      </c>
      <c r="G192" s="27">
        <v>9385.826415602196</v>
      </c>
      <c r="H192" s="27">
        <v>20116.20469694565</v>
      </c>
      <c r="I192" s="27">
        <v>1.97</v>
      </c>
      <c r="J192" s="27">
        <v>1.6600000000000001</v>
      </c>
      <c r="K192" s="30"/>
      <c r="L192" s="27">
        <v>9.9999999999999995E-7</v>
      </c>
      <c r="M192" s="27">
        <v>0</v>
      </c>
      <c r="N192" s="27">
        <v>0</v>
      </c>
      <c r="O192" s="27">
        <v>0</v>
      </c>
      <c r="P192" s="30"/>
      <c r="Q192" s="30"/>
      <c r="R192" s="28" t="s">
        <v>68</v>
      </c>
      <c r="S192" s="30"/>
      <c r="T192" s="27">
        <v>1E-4</v>
      </c>
      <c r="U192" s="27">
        <v>0.7</v>
      </c>
      <c r="V192" s="27">
        <v>0.03</v>
      </c>
      <c r="W192" s="30"/>
      <c r="X192" s="27">
        <v>14.3</v>
      </c>
      <c r="AA192" s="27">
        <v>1131</v>
      </c>
    </row>
    <row r="193" spans="1:27" ht="15" x14ac:dyDescent="0.25">
      <c r="A193" s="30"/>
      <c r="B193" s="27">
        <v>-797</v>
      </c>
      <c r="C193" s="27">
        <v>615</v>
      </c>
      <c r="D193" s="28" t="s">
        <v>185</v>
      </c>
      <c r="E193" s="27">
        <v>0</v>
      </c>
      <c r="F193" s="27">
        <v>350.01</v>
      </c>
      <c r="G193" s="27">
        <v>5</v>
      </c>
      <c r="H193" s="27">
        <v>1.65E-4</v>
      </c>
      <c r="I193" s="27">
        <v>3.28</v>
      </c>
      <c r="J193" s="27">
        <v>4.34</v>
      </c>
      <c r="K193" s="30"/>
      <c r="L193" s="27">
        <v>4.9999999999999998E-7</v>
      </c>
      <c r="M193" s="30"/>
      <c r="N193" s="27">
        <v>5.0000000000000001E-4</v>
      </c>
      <c r="O193" s="27">
        <v>5</v>
      </c>
      <c r="P193" s="30"/>
      <c r="Q193" s="30"/>
      <c r="R193" s="28" t="s">
        <v>81</v>
      </c>
      <c r="S193" s="30"/>
      <c r="T193" s="30"/>
      <c r="U193" s="30"/>
      <c r="V193" s="27">
        <v>0.5</v>
      </c>
      <c r="W193" s="30"/>
      <c r="X193" s="30"/>
      <c r="AA193" s="27">
        <v>1132</v>
      </c>
    </row>
    <row r="194" spans="1:27" ht="15" x14ac:dyDescent="0.25">
      <c r="A194" s="27">
        <v>76879</v>
      </c>
      <c r="B194" s="27">
        <v>-63</v>
      </c>
      <c r="C194" s="27">
        <v>617</v>
      </c>
      <c r="D194" s="28" t="s">
        <v>187</v>
      </c>
      <c r="E194" s="27">
        <v>0</v>
      </c>
      <c r="F194" s="27">
        <v>367.04</v>
      </c>
      <c r="G194" s="27">
        <v>0.4</v>
      </c>
      <c r="H194" s="27">
        <v>4.7065490000000005E-5</v>
      </c>
      <c r="I194" s="27">
        <v>3.5300000000000002</v>
      </c>
      <c r="J194" s="27">
        <v>5.8529999999999998</v>
      </c>
      <c r="K194" s="30"/>
      <c r="L194" s="27">
        <v>4.9999999999999998E-7</v>
      </c>
      <c r="M194" s="27">
        <v>0</v>
      </c>
      <c r="N194" s="27">
        <v>0</v>
      </c>
      <c r="O194" s="27">
        <v>0</v>
      </c>
      <c r="P194" s="30"/>
      <c r="Q194" s="30"/>
      <c r="R194" s="28" t="s">
        <v>68</v>
      </c>
      <c r="S194" s="30"/>
      <c r="T194" s="30"/>
      <c r="U194" s="30"/>
      <c r="V194" s="27">
        <v>5.0000000000000001E-4</v>
      </c>
      <c r="W194" s="30"/>
      <c r="X194" s="30"/>
      <c r="AA194" s="27">
        <v>1133</v>
      </c>
    </row>
    <row r="195" spans="1:27" ht="15" x14ac:dyDescent="0.25">
      <c r="A195" s="27">
        <v>76879</v>
      </c>
      <c r="B195" s="27">
        <v>797</v>
      </c>
      <c r="C195" s="27">
        <v>617</v>
      </c>
      <c r="D195" s="28" t="s">
        <v>188</v>
      </c>
      <c r="E195" s="27">
        <v>0</v>
      </c>
      <c r="F195" s="27">
        <v>367.04</v>
      </c>
      <c r="G195" s="27">
        <v>0.4</v>
      </c>
      <c r="H195" s="27">
        <v>4.71E-5</v>
      </c>
      <c r="I195" s="27">
        <v>3.53</v>
      </c>
      <c r="J195" s="27">
        <v>5.85</v>
      </c>
      <c r="K195" s="30"/>
      <c r="L195" s="27">
        <v>4.9999999999999998E-7</v>
      </c>
      <c r="M195" s="30"/>
      <c r="N195" s="27">
        <v>5.0000000000000001E-4</v>
      </c>
      <c r="O195" s="30"/>
      <c r="P195" s="30"/>
      <c r="Q195" s="30"/>
      <c r="R195" s="28" t="s">
        <v>81</v>
      </c>
      <c r="S195" s="30"/>
      <c r="T195" s="30"/>
      <c r="U195" s="30"/>
      <c r="V195" s="27">
        <v>0.5</v>
      </c>
      <c r="W195" s="30"/>
      <c r="X195" s="30"/>
      <c r="AA195" s="27">
        <v>1134</v>
      </c>
    </row>
    <row r="196" spans="1:27" ht="15" x14ac:dyDescent="0.25">
      <c r="A196" s="27">
        <v>7440622</v>
      </c>
      <c r="B196" s="27">
        <v>7226</v>
      </c>
      <c r="C196" s="27">
        <v>18</v>
      </c>
      <c r="D196" s="28" t="s">
        <v>82</v>
      </c>
      <c r="E196" s="27">
        <v>1</v>
      </c>
      <c r="F196" s="27">
        <v>50.94</v>
      </c>
      <c r="G196" s="27">
        <v>3000</v>
      </c>
      <c r="H196" s="30"/>
      <c r="I196" s="30"/>
      <c r="J196" s="30"/>
      <c r="K196" s="30"/>
      <c r="L196" s="30"/>
      <c r="M196" s="30"/>
      <c r="N196" s="27">
        <v>1.6999999999999999E-3</v>
      </c>
      <c r="O196" s="27">
        <v>250</v>
      </c>
      <c r="P196" s="27">
        <v>6.0000000000000001E-3</v>
      </c>
      <c r="Q196" s="27">
        <v>6.0000000000000001E-3</v>
      </c>
      <c r="R196" s="28" t="s">
        <v>76</v>
      </c>
      <c r="S196" s="27">
        <v>309</v>
      </c>
      <c r="T196" s="27">
        <v>9.9999999999999995E-7</v>
      </c>
      <c r="U196" s="30"/>
      <c r="V196" s="27">
        <v>2E-3</v>
      </c>
      <c r="W196" s="30"/>
      <c r="X196" s="30"/>
      <c r="AA196" s="27">
        <v>1140</v>
      </c>
    </row>
    <row r="197" spans="1:27" ht="15" x14ac:dyDescent="0.25">
      <c r="A197" s="30"/>
      <c r="B197" s="27">
        <v>-64</v>
      </c>
      <c r="C197" s="27">
        <v>406</v>
      </c>
      <c r="D197" s="28" t="s">
        <v>5</v>
      </c>
      <c r="E197" s="27">
        <v>0</v>
      </c>
      <c r="F197" s="27">
        <v>62.5</v>
      </c>
      <c r="G197" s="27">
        <v>428</v>
      </c>
      <c r="H197" s="27">
        <v>298000</v>
      </c>
      <c r="I197" s="27">
        <v>1.52</v>
      </c>
      <c r="J197" s="27">
        <v>1.56</v>
      </c>
      <c r="K197" s="30"/>
      <c r="L197" s="27">
        <v>9.9999999999999995E-7</v>
      </c>
      <c r="M197" s="27">
        <v>0</v>
      </c>
      <c r="N197" s="27">
        <v>5.9999999999999995E-4</v>
      </c>
      <c r="O197" s="27">
        <v>0</v>
      </c>
      <c r="P197" s="30"/>
      <c r="Q197" s="30"/>
      <c r="R197" s="28" t="s">
        <v>63</v>
      </c>
      <c r="S197" s="30"/>
      <c r="T197" s="27">
        <v>3.5999999999999998E-6</v>
      </c>
      <c r="U197" s="30"/>
      <c r="V197" s="30"/>
      <c r="W197" s="30"/>
      <c r="X197" s="30"/>
      <c r="AA197" s="27">
        <v>1142</v>
      </c>
    </row>
    <row r="198" spans="1:27" ht="15" x14ac:dyDescent="0.25">
      <c r="A198" s="27">
        <v>7440224</v>
      </c>
      <c r="B198" s="27">
        <v>1285</v>
      </c>
      <c r="C198" s="27">
        <v>14</v>
      </c>
      <c r="D198" s="28" t="s">
        <v>78</v>
      </c>
      <c r="E198" s="27">
        <v>1</v>
      </c>
      <c r="F198" s="27">
        <v>107.9</v>
      </c>
      <c r="G198" s="27">
        <v>3000</v>
      </c>
      <c r="H198" s="30"/>
      <c r="I198" s="30"/>
      <c r="J198" s="30"/>
      <c r="K198" s="30"/>
      <c r="L198" s="30"/>
      <c r="M198" s="27">
        <v>0</v>
      </c>
      <c r="N198" s="27">
        <v>0</v>
      </c>
      <c r="O198" s="27">
        <v>0</v>
      </c>
      <c r="P198" s="27">
        <v>0.1</v>
      </c>
      <c r="Q198" s="27">
        <v>0.4</v>
      </c>
      <c r="R198" s="28" t="s">
        <v>68</v>
      </c>
      <c r="S198" s="27">
        <v>128</v>
      </c>
      <c r="T198" s="30"/>
      <c r="U198" s="30"/>
      <c r="V198" s="27">
        <v>5.0000000000000001E-3</v>
      </c>
      <c r="W198" s="30"/>
      <c r="X198" s="30"/>
      <c r="AA198" s="27">
        <v>11141</v>
      </c>
    </row>
    <row r="199" spans="1:27" ht="15" x14ac:dyDescent="0.25">
      <c r="A199" s="27">
        <v>7440666</v>
      </c>
      <c r="B199" s="27">
        <v>1323</v>
      </c>
      <c r="C199" s="27">
        <v>13</v>
      </c>
      <c r="D199" s="28" t="s">
        <v>77</v>
      </c>
      <c r="E199" s="27">
        <v>1</v>
      </c>
      <c r="F199" s="27">
        <v>65.400000000000006</v>
      </c>
      <c r="G199" s="27">
        <v>3000</v>
      </c>
      <c r="H199" s="30"/>
      <c r="I199" s="30"/>
      <c r="J199" s="30"/>
      <c r="K199" s="30"/>
      <c r="L199" s="30"/>
      <c r="M199" s="30"/>
      <c r="N199" s="27">
        <v>0.25</v>
      </c>
      <c r="O199" s="30"/>
      <c r="P199" s="27">
        <v>3.1099999999999999E-2</v>
      </c>
      <c r="Q199" s="27">
        <v>0.35899999999999999</v>
      </c>
      <c r="R199" s="28" t="s">
        <v>63</v>
      </c>
      <c r="S199" s="27">
        <v>2600</v>
      </c>
      <c r="T199" s="30"/>
      <c r="U199" s="30"/>
      <c r="V199" s="27">
        <v>0.5</v>
      </c>
      <c r="W199" s="30"/>
      <c r="X199" s="30"/>
      <c r="AA199" s="27">
        <v>11143</v>
      </c>
    </row>
  </sheetData>
  <autoFilter ref="A1:X199" xr:uid="{00000000-0009-0000-0000-00000C000000}">
    <sortState xmlns:xlrd2="http://schemas.microsoft.com/office/spreadsheetml/2017/richdata2" ref="A2:X199">
      <sortCondition ref="D1:D199"/>
    </sortState>
  </autoFilter>
  <pageMargins left="0.7" right="0.7" top="0.75" bottom="0.75" header="0.3" footer="0.3"/>
  <pageSetup paperSize="9" scale="6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51"/>
  <sheetViews>
    <sheetView zoomScale="70" zoomScaleNormal="70" workbookViewId="0">
      <pane xSplit="3" ySplit="5" topLeftCell="D99" activePane="bottomRight" state="frozen"/>
      <selection pane="topRight" activeCell="D1" sqref="D1"/>
      <selection pane="bottomLeft" activeCell="A6" sqref="A6"/>
      <selection pane="bottomRight" activeCell="R56" sqref="R56"/>
    </sheetView>
  </sheetViews>
  <sheetFormatPr defaultRowHeight="12.75" x14ac:dyDescent="0.2"/>
  <cols>
    <col min="3" max="3" width="18.85546875" customWidth="1"/>
    <col min="4" max="4" width="6.42578125" customWidth="1"/>
  </cols>
  <sheetData>
    <row r="1" spans="1:17" x14ac:dyDescent="0.2">
      <c r="A1" t="s">
        <v>677</v>
      </c>
    </row>
    <row r="2" spans="1:17" x14ac:dyDescent="0.2">
      <c r="A2" s="107" t="s">
        <v>675</v>
      </c>
      <c r="B2" s="108"/>
      <c r="C2" s="108"/>
      <c r="D2" s="108"/>
      <c r="E2" s="110"/>
      <c r="F2" s="110"/>
      <c r="G2" s="110"/>
      <c r="H2" s="110"/>
      <c r="I2" s="111"/>
      <c r="J2" s="132" t="s">
        <v>678</v>
      </c>
      <c r="K2" s="133"/>
      <c r="L2" s="134"/>
      <c r="M2" s="134"/>
      <c r="N2" s="134"/>
      <c r="O2" s="135"/>
      <c r="Q2" s="4" t="s">
        <v>679</v>
      </c>
    </row>
    <row r="3" spans="1:17" ht="15.75" x14ac:dyDescent="0.3">
      <c r="A3" s="61" t="s">
        <v>676</v>
      </c>
      <c r="B3" s="51"/>
      <c r="C3" s="51" t="s">
        <v>613</v>
      </c>
      <c r="D3" s="51" t="s">
        <v>1443</v>
      </c>
      <c r="E3" s="51" t="s">
        <v>408</v>
      </c>
      <c r="F3" s="123" t="s">
        <v>556</v>
      </c>
      <c r="G3" s="51" t="s">
        <v>1083</v>
      </c>
      <c r="H3" s="51" t="s">
        <v>43</v>
      </c>
      <c r="I3" s="123" t="s">
        <v>557</v>
      </c>
      <c r="J3" s="61" t="s">
        <v>681</v>
      </c>
      <c r="K3" s="51"/>
      <c r="L3" s="51" t="s">
        <v>682</v>
      </c>
      <c r="M3" s="51"/>
      <c r="N3" s="51" t="s">
        <v>620</v>
      </c>
      <c r="O3" s="130"/>
      <c r="Q3" s="4" t="s">
        <v>680</v>
      </c>
    </row>
    <row r="4" spans="1:17" x14ac:dyDescent="0.2">
      <c r="A4" s="62"/>
      <c r="B4" s="65"/>
      <c r="C4" s="65"/>
      <c r="D4" s="53" t="s">
        <v>621</v>
      </c>
      <c r="E4" s="65"/>
      <c r="F4" s="65"/>
      <c r="G4" s="65"/>
      <c r="H4" s="53" t="s">
        <v>612</v>
      </c>
      <c r="I4" s="65"/>
      <c r="J4" s="62"/>
      <c r="K4" s="65"/>
      <c r="L4" s="65"/>
      <c r="M4" s="65"/>
      <c r="N4" s="65"/>
      <c r="O4" s="55"/>
    </row>
    <row r="5" spans="1:17" x14ac:dyDescent="0.2">
      <c r="A5" s="63"/>
      <c r="B5" s="66"/>
      <c r="C5" s="66"/>
      <c r="D5" s="66"/>
      <c r="E5" s="66"/>
      <c r="F5" s="66"/>
      <c r="G5" s="66"/>
      <c r="H5" s="66"/>
      <c r="I5" s="57" t="s">
        <v>614</v>
      </c>
      <c r="J5" s="131" t="s">
        <v>289</v>
      </c>
      <c r="K5" s="57" t="s">
        <v>673</v>
      </c>
      <c r="L5" s="119" t="s">
        <v>289</v>
      </c>
      <c r="M5" s="57" t="s">
        <v>673</v>
      </c>
      <c r="N5" s="66"/>
      <c r="O5" s="59"/>
      <c r="Q5" s="4" t="s">
        <v>683</v>
      </c>
    </row>
    <row r="6" spans="1:17" x14ac:dyDescent="0.2">
      <c r="A6" s="1" t="s">
        <v>558</v>
      </c>
      <c r="B6" s="1"/>
      <c r="Q6" s="4" t="s">
        <v>684</v>
      </c>
    </row>
    <row r="7" spans="1:17" x14ac:dyDescent="0.2">
      <c r="B7">
        <v>1</v>
      </c>
      <c r="C7" t="s">
        <v>559</v>
      </c>
      <c r="D7" s="4" t="s">
        <v>511</v>
      </c>
      <c r="E7">
        <v>3.3</v>
      </c>
      <c r="F7">
        <v>3.83</v>
      </c>
      <c r="H7">
        <v>128</v>
      </c>
      <c r="I7">
        <v>128.19999999999999</v>
      </c>
      <c r="J7" s="4">
        <v>3.23</v>
      </c>
      <c r="K7">
        <v>0.06</v>
      </c>
      <c r="L7">
        <v>3.22</v>
      </c>
      <c r="M7">
        <v>0.01</v>
      </c>
      <c r="N7" t="s">
        <v>624</v>
      </c>
    </row>
    <row r="8" spans="1:17" x14ac:dyDescent="0.2">
      <c r="B8">
        <v>2</v>
      </c>
      <c r="C8" t="s">
        <v>560</v>
      </c>
      <c r="D8" s="4" t="s">
        <v>511</v>
      </c>
      <c r="E8">
        <v>3.92</v>
      </c>
      <c r="F8">
        <v>4.5199999999999996</v>
      </c>
      <c r="H8">
        <v>154</v>
      </c>
      <c r="I8">
        <v>141.6</v>
      </c>
      <c r="J8">
        <v>3.53</v>
      </c>
      <c r="K8">
        <v>0.03</v>
      </c>
      <c r="L8">
        <v>3.62</v>
      </c>
      <c r="M8">
        <v>0.01</v>
      </c>
      <c r="N8" t="s">
        <v>625</v>
      </c>
    </row>
    <row r="9" spans="1:17" x14ac:dyDescent="0.2">
      <c r="B9">
        <v>3</v>
      </c>
      <c r="C9" t="s">
        <v>561</v>
      </c>
      <c r="D9" s="4" t="s">
        <v>511</v>
      </c>
      <c r="E9">
        <v>4.18</v>
      </c>
      <c r="F9">
        <v>4.67</v>
      </c>
      <c r="H9">
        <v>166</v>
      </c>
      <c r="I9">
        <v>154.4</v>
      </c>
      <c r="J9">
        <v>3.67</v>
      </c>
      <c r="K9">
        <v>0.04</v>
      </c>
      <c r="L9">
        <v>3.76</v>
      </c>
      <c r="M9">
        <v>0</v>
      </c>
      <c r="N9" t="s">
        <v>626</v>
      </c>
    </row>
    <row r="10" spans="1:17" x14ac:dyDescent="0.2">
      <c r="B10">
        <v>4</v>
      </c>
      <c r="C10" t="s">
        <v>562</v>
      </c>
      <c r="D10" s="4" t="s">
        <v>511</v>
      </c>
      <c r="E10">
        <v>4.46</v>
      </c>
      <c r="F10">
        <v>5.31</v>
      </c>
      <c r="H10">
        <v>178</v>
      </c>
      <c r="I10">
        <v>160.1</v>
      </c>
      <c r="J10">
        <v>4.04</v>
      </c>
      <c r="K10">
        <v>0.03</v>
      </c>
      <c r="L10">
        <v>4.0999999999999996</v>
      </c>
      <c r="M10">
        <v>0.02</v>
      </c>
      <c r="N10" t="s">
        <v>627</v>
      </c>
    </row>
    <row r="11" spans="1:17" x14ac:dyDescent="0.2">
      <c r="B11">
        <v>5</v>
      </c>
      <c r="C11" t="s">
        <v>563</v>
      </c>
      <c r="D11" s="4" t="s">
        <v>511</v>
      </c>
      <c r="E11">
        <v>4.45</v>
      </c>
      <c r="F11">
        <v>5.25</v>
      </c>
      <c r="H11">
        <v>178</v>
      </c>
      <c r="I11">
        <v>158.69999999999999</v>
      </c>
      <c r="J11">
        <v>4.1500000000000004</v>
      </c>
      <c r="K11">
        <v>0.03</v>
      </c>
      <c r="L11">
        <v>4.24</v>
      </c>
      <c r="M11">
        <v>0.02</v>
      </c>
      <c r="N11" t="s">
        <v>628</v>
      </c>
    </row>
    <row r="12" spans="1:17" x14ac:dyDescent="0.2">
      <c r="B12">
        <v>6</v>
      </c>
      <c r="C12" t="s">
        <v>564</v>
      </c>
      <c r="D12" s="4" t="s">
        <v>511</v>
      </c>
      <c r="E12">
        <v>5.16</v>
      </c>
      <c r="F12">
        <v>5.93</v>
      </c>
      <c r="H12">
        <v>202</v>
      </c>
      <c r="I12">
        <v>195.6</v>
      </c>
      <c r="J12">
        <v>4.75</v>
      </c>
      <c r="K12">
        <v>0.03</v>
      </c>
      <c r="L12">
        <v>4.8499999999999996</v>
      </c>
      <c r="M12">
        <v>0.01</v>
      </c>
      <c r="N12" t="s">
        <v>629</v>
      </c>
    </row>
    <row r="13" spans="1:17" x14ac:dyDescent="0.2">
      <c r="B13">
        <v>7</v>
      </c>
      <c r="C13" t="s">
        <v>565</v>
      </c>
      <c r="D13" s="4" t="s">
        <v>511</v>
      </c>
      <c r="E13">
        <v>4.88</v>
      </c>
      <c r="F13">
        <v>5.93</v>
      </c>
      <c r="H13">
        <v>202</v>
      </c>
      <c r="I13">
        <v>181.9</v>
      </c>
      <c r="J13">
        <v>4.8899999999999997</v>
      </c>
      <c r="K13">
        <v>0.03</v>
      </c>
      <c r="L13">
        <v>4.97</v>
      </c>
      <c r="M13">
        <v>0.01</v>
      </c>
      <c r="N13" t="s">
        <v>630</v>
      </c>
    </row>
    <row r="14" spans="1:17" x14ac:dyDescent="0.2">
      <c r="B14">
        <v>8</v>
      </c>
      <c r="C14" t="s">
        <v>566</v>
      </c>
      <c r="D14" s="4" t="s">
        <v>511</v>
      </c>
      <c r="E14">
        <v>5.76</v>
      </c>
      <c r="F14">
        <v>6.6</v>
      </c>
      <c r="H14">
        <v>228</v>
      </c>
      <c r="I14">
        <v>194.7</v>
      </c>
      <c r="J14">
        <v>5.43</v>
      </c>
      <c r="K14">
        <v>0.04</v>
      </c>
      <c r="L14">
        <v>5.55</v>
      </c>
      <c r="M14">
        <v>0.01</v>
      </c>
      <c r="N14" t="s">
        <v>631</v>
      </c>
    </row>
    <row r="15" spans="1:17" x14ac:dyDescent="0.2">
      <c r="B15">
        <v>9</v>
      </c>
      <c r="C15" t="s">
        <v>567</v>
      </c>
      <c r="D15" s="4" t="s">
        <v>511</v>
      </c>
      <c r="E15">
        <v>5.81</v>
      </c>
      <c r="F15">
        <v>6.66</v>
      </c>
      <c r="H15">
        <v>228</v>
      </c>
      <c r="I15">
        <v>196.1</v>
      </c>
      <c r="J15">
        <v>5.51</v>
      </c>
      <c r="K15">
        <v>0.05</v>
      </c>
      <c r="L15">
        <v>5.62</v>
      </c>
      <c r="M15">
        <v>0.01</v>
      </c>
      <c r="N15" t="s">
        <v>632</v>
      </c>
    </row>
    <row r="16" spans="1:17" x14ac:dyDescent="0.2">
      <c r="B16">
        <v>10</v>
      </c>
      <c r="C16" t="s">
        <v>568</v>
      </c>
      <c r="D16" s="4" t="s">
        <v>511</v>
      </c>
      <c r="E16">
        <v>5.78</v>
      </c>
      <c r="F16">
        <v>7.42</v>
      </c>
      <c r="H16">
        <v>252</v>
      </c>
      <c r="I16">
        <v>231.6</v>
      </c>
      <c r="J16">
        <v>6.06</v>
      </c>
      <c r="K16">
        <v>0.05</v>
      </c>
      <c r="L16">
        <v>6.08</v>
      </c>
      <c r="M16">
        <v>0.03</v>
      </c>
      <c r="N16" t="s">
        <v>633</v>
      </c>
    </row>
    <row r="17" spans="1:14" x14ac:dyDescent="0.2">
      <c r="B17">
        <v>11</v>
      </c>
      <c r="C17" t="s">
        <v>569</v>
      </c>
      <c r="D17" s="4" t="s">
        <v>511</v>
      </c>
      <c r="E17">
        <v>6.11</v>
      </c>
      <c r="F17">
        <v>7.32</v>
      </c>
      <c r="H17">
        <v>252</v>
      </c>
      <c r="I17">
        <v>229.1</v>
      </c>
      <c r="J17">
        <v>6.16</v>
      </c>
      <c r="K17">
        <v>0.04</v>
      </c>
      <c r="L17">
        <v>6.18</v>
      </c>
      <c r="M17">
        <v>0.05</v>
      </c>
      <c r="N17" t="s">
        <v>634</v>
      </c>
    </row>
    <row r="18" spans="1:14" x14ac:dyDescent="0.2">
      <c r="B18">
        <v>12</v>
      </c>
      <c r="C18" t="s">
        <v>570</v>
      </c>
      <c r="D18" s="4" t="s">
        <v>511</v>
      </c>
      <c r="E18">
        <v>6.44</v>
      </c>
      <c r="F18">
        <v>7.47</v>
      </c>
      <c r="H18">
        <v>252</v>
      </c>
      <c r="I18">
        <v>219.3</v>
      </c>
      <c r="J18">
        <v>6.04</v>
      </c>
      <c r="K18">
        <v>0.05</v>
      </c>
      <c r="L18">
        <v>6.06</v>
      </c>
      <c r="M18">
        <v>0.02</v>
      </c>
      <c r="N18" t="s">
        <v>635</v>
      </c>
    </row>
    <row r="19" spans="1:14" x14ac:dyDescent="0.2">
      <c r="B19">
        <v>13</v>
      </c>
      <c r="C19" t="s">
        <v>571</v>
      </c>
      <c r="D19" s="4" t="s">
        <v>511</v>
      </c>
      <c r="E19">
        <v>6.13</v>
      </c>
      <c r="F19">
        <v>7.41</v>
      </c>
      <c r="H19">
        <v>252</v>
      </c>
      <c r="I19">
        <v>217.9</v>
      </c>
      <c r="J19">
        <v>6.14</v>
      </c>
      <c r="K19">
        <v>0.06</v>
      </c>
      <c r="L19">
        <v>6.11</v>
      </c>
      <c r="M19">
        <v>0.02</v>
      </c>
      <c r="N19" t="s">
        <v>636</v>
      </c>
    </row>
    <row r="20" spans="1:14" x14ac:dyDescent="0.2">
      <c r="B20">
        <v>14</v>
      </c>
      <c r="C20" t="s">
        <v>572</v>
      </c>
      <c r="D20" s="4" t="s">
        <v>511</v>
      </c>
      <c r="E20">
        <v>6.25</v>
      </c>
      <c r="F20">
        <v>7.47</v>
      </c>
      <c r="H20">
        <v>252</v>
      </c>
      <c r="I20">
        <v>219.3</v>
      </c>
      <c r="J20">
        <v>5.92</v>
      </c>
      <c r="K20">
        <v>0.09</v>
      </c>
      <c r="L20">
        <v>5.92</v>
      </c>
      <c r="M20">
        <v>0.14000000000000001</v>
      </c>
      <c r="N20" t="s">
        <v>637</v>
      </c>
    </row>
    <row r="21" spans="1:14" x14ac:dyDescent="0.2">
      <c r="B21">
        <v>15</v>
      </c>
      <c r="C21" t="s">
        <v>573</v>
      </c>
      <c r="D21" s="4" t="s">
        <v>511</v>
      </c>
      <c r="E21">
        <v>6.7</v>
      </c>
      <c r="F21">
        <v>8.0399999999999991</v>
      </c>
      <c r="H21">
        <v>276</v>
      </c>
      <c r="I21">
        <v>253.4</v>
      </c>
      <c r="J21">
        <v>6.5</v>
      </c>
      <c r="K21">
        <v>0.08</v>
      </c>
      <c r="L21">
        <v>6.26</v>
      </c>
      <c r="M21">
        <v>0.06</v>
      </c>
      <c r="N21" t="s">
        <v>638</v>
      </c>
    </row>
    <row r="22" spans="1:14" x14ac:dyDescent="0.2">
      <c r="B22">
        <v>16</v>
      </c>
      <c r="C22" t="s">
        <v>574</v>
      </c>
      <c r="D22" s="4" t="s">
        <v>511</v>
      </c>
      <c r="E22">
        <v>6.7</v>
      </c>
      <c r="F22">
        <v>8.01</v>
      </c>
      <c r="H22">
        <v>276</v>
      </c>
      <c r="I22">
        <v>241</v>
      </c>
      <c r="J22">
        <v>6.23</v>
      </c>
      <c r="K22">
        <v>0.08</v>
      </c>
      <c r="L22">
        <v>5.9</v>
      </c>
      <c r="M22">
        <v>0.08</v>
      </c>
      <c r="N22" t="s">
        <v>639</v>
      </c>
    </row>
    <row r="23" spans="1:14" x14ac:dyDescent="0.2">
      <c r="B23">
        <v>17</v>
      </c>
      <c r="C23" t="s">
        <v>575</v>
      </c>
      <c r="D23" s="4" t="s">
        <v>511</v>
      </c>
      <c r="E23">
        <v>6.8</v>
      </c>
      <c r="F23">
        <v>8.4</v>
      </c>
      <c r="H23">
        <v>278</v>
      </c>
      <c r="I23">
        <v>243.8</v>
      </c>
      <c r="J23">
        <v>6.3</v>
      </c>
      <c r="K23">
        <v>7.0000000000000007E-2</v>
      </c>
      <c r="L23">
        <v>6.16</v>
      </c>
      <c r="M23">
        <v>0.1</v>
      </c>
      <c r="N23" t="s">
        <v>640</v>
      </c>
    </row>
    <row r="24" spans="1:14" x14ac:dyDescent="0.2">
      <c r="A24" s="1" t="s">
        <v>576</v>
      </c>
      <c r="B24" s="1"/>
      <c r="D24" s="4"/>
    </row>
    <row r="25" spans="1:14" x14ac:dyDescent="0.2">
      <c r="A25" t="s">
        <v>577</v>
      </c>
      <c r="B25">
        <v>18</v>
      </c>
      <c r="C25" t="s">
        <v>578</v>
      </c>
      <c r="D25" s="4" t="s">
        <v>511</v>
      </c>
      <c r="E25">
        <v>3.86</v>
      </c>
      <c r="F25">
        <v>4.33</v>
      </c>
      <c r="H25">
        <v>142</v>
      </c>
      <c r="I25">
        <v>140</v>
      </c>
      <c r="J25">
        <v>3.31</v>
      </c>
      <c r="K25">
        <v>0.05</v>
      </c>
      <c r="L25">
        <v>3.38</v>
      </c>
      <c r="M25">
        <v>0.01</v>
      </c>
      <c r="N25" t="s">
        <v>641</v>
      </c>
    </row>
    <row r="26" spans="1:14" x14ac:dyDescent="0.2">
      <c r="B26">
        <v>19</v>
      </c>
      <c r="C26" t="s">
        <v>579</v>
      </c>
      <c r="D26" s="4" t="s">
        <v>511</v>
      </c>
      <c r="E26">
        <v>3.87</v>
      </c>
      <c r="F26">
        <v>4.33</v>
      </c>
      <c r="H26">
        <v>142</v>
      </c>
      <c r="I26">
        <v>139.9</v>
      </c>
      <c r="J26">
        <v>3.28</v>
      </c>
      <c r="K26">
        <v>0.04</v>
      </c>
      <c r="L26">
        <v>3.36</v>
      </c>
      <c r="M26">
        <v>0.01</v>
      </c>
      <c r="N26" t="s">
        <v>641</v>
      </c>
    </row>
    <row r="27" spans="1:14" x14ac:dyDescent="0.2">
      <c r="A27" t="s">
        <v>580</v>
      </c>
      <c r="B27">
        <v>20</v>
      </c>
      <c r="C27" t="s">
        <v>581</v>
      </c>
      <c r="D27" s="4" t="s">
        <v>511</v>
      </c>
      <c r="E27">
        <v>4.3099999999999996</v>
      </c>
      <c r="F27">
        <v>4.83</v>
      </c>
      <c r="H27">
        <v>156</v>
      </c>
      <c r="I27">
        <v>155.9</v>
      </c>
      <c r="J27">
        <v>3.85</v>
      </c>
      <c r="K27">
        <v>0.04</v>
      </c>
      <c r="L27">
        <v>3.96</v>
      </c>
      <c r="M27">
        <v>0.01</v>
      </c>
      <c r="N27" t="s">
        <v>641</v>
      </c>
    </row>
    <row r="28" spans="1:14" x14ac:dyDescent="0.2">
      <c r="B28">
        <v>21</v>
      </c>
      <c r="C28" t="s">
        <v>582</v>
      </c>
      <c r="D28" s="4" t="s">
        <v>511</v>
      </c>
      <c r="E28">
        <v>4.42</v>
      </c>
      <c r="F28">
        <v>4.82</v>
      </c>
      <c r="H28">
        <v>156</v>
      </c>
      <c r="I28">
        <v>155.80000000000001</v>
      </c>
      <c r="J28">
        <v>3.83</v>
      </c>
      <c r="K28">
        <v>0.04</v>
      </c>
      <c r="L28">
        <v>3.39</v>
      </c>
      <c r="M28">
        <v>0.01</v>
      </c>
      <c r="N28" t="s">
        <v>641</v>
      </c>
    </row>
    <row r="29" spans="1:14" x14ac:dyDescent="0.2">
      <c r="B29">
        <v>22</v>
      </c>
      <c r="C29" t="s">
        <v>583</v>
      </c>
      <c r="D29" s="4" t="s">
        <v>511</v>
      </c>
      <c r="E29">
        <v>4.37</v>
      </c>
      <c r="F29">
        <v>4.83</v>
      </c>
      <c r="H29">
        <v>156</v>
      </c>
      <c r="I29">
        <v>155.6</v>
      </c>
      <c r="J29">
        <v>3.79</v>
      </c>
      <c r="K29">
        <v>0.05</v>
      </c>
      <c r="L29">
        <v>3.89</v>
      </c>
      <c r="M29">
        <v>0</v>
      </c>
      <c r="N29" t="s">
        <v>641</v>
      </c>
    </row>
    <row r="30" spans="1:14" x14ac:dyDescent="0.2">
      <c r="B30">
        <v>23</v>
      </c>
      <c r="C30" t="s">
        <v>584</v>
      </c>
      <c r="D30" s="4" t="s">
        <v>511</v>
      </c>
      <c r="E30">
        <v>4.3099999999999996</v>
      </c>
      <c r="F30">
        <v>4.74</v>
      </c>
      <c r="H30">
        <v>156</v>
      </c>
      <c r="I30">
        <v>154.19999999999999</v>
      </c>
      <c r="J30">
        <v>3.72</v>
      </c>
      <c r="K30">
        <v>0.05</v>
      </c>
      <c r="L30">
        <v>3.81</v>
      </c>
      <c r="M30">
        <v>0</v>
      </c>
      <c r="N30" t="s">
        <v>641</v>
      </c>
    </row>
    <row r="31" spans="1:14" x14ac:dyDescent="0.2">
      <c r="B31">
        <v>24</v>
      </c>
      <c r="C31" t="s">
        <v>585</v>
      </c>
      <c r="D31" s="4" t="s">
        <v>511</v>
      </c>
      <c r="E31">
        <v>4.32</v>
      </c>
      <c r="F31">
        <v>4.83</v>
      </c>
      <c r="H31">
        <v>156</v>
      </c>
      <c r="I31">
        <v>155.6</v>
      </c>
      <c r="J31">
        <v>3.69</v>
      </c>
      <c r="K31">
        <v>0.04</v>
      </c>
      <c r="L31">
        <v>3.8</v>
      </c>
      <c r="M31">
        <v>0</v>
      </c>
      <c r="N31" t="s">
        <v>641</v>
      </c>
    </row>
    <row r="32" spans="1:14" x14ac:dyDescent="0.2">
      <c r="A32" t="s">
        <v>586</v>
      </c>
      <c r="B32">
        <v>25</v>
      </c>
      <c r="C32" t="s">
        <v>587</v>
      </c>
      <c r="D32" s="4" t="s">
        <v>511</v>
      </c>
      <c r="E32">
        <v>4.7300000000000004</v>
      </c>
      <c r="F32">
        <v>5.26</v>
      </c>
      <c r="H32">
        <v>170</v>
      </c>
      <c r="I32">
        <v>170.3</v>
      </c>
      <c r="J32">
        <v>4.3099999999999996</v>
      </c>
      <c r="K32">
        <v>0.06</v>
      </c>
      <c r="L32">
        <v>4.43</v>
      </c>
      <c r="M32">
        <v>0</v>
      </c>
      <c r="N32" t="s">
        <v>641</v>
      </c>
    </row>
    <row r="33" spans="1:14" x14ac:dyDescent="0.2">
      <c r="B33">
        <v>26</v>
      </c>
      <c r="C33" t="s">
        <v>588</v>
      </c>
      <c r="D33" s="4" t="s">
        <v>511</v>
      </c>
      <c r="E33">
        <v>4.8099999999999996</v>
      </c>
      <c r="F33">
        <v>5.26</v>
      </c>
      <c r="H33">
        <v>170</v>
      </c>
      <c r="I33">
        <v>170.2</v>
      </c>
      <c r="J33">
        <v>4.1900000000000004</v>
      </c>
      <c r="K33">
        <v>0.06</v>
      </c>
      <c r="L33">
        <v>4.32</v>
      </c>
      <c r="M33">
        <v>0.01</v>
      </c>
      <c r="N33" t="s">
        <v>641</v>
      </c>
    </row>
    <row r="34" spans="1:14" x14ac:dyDescent="0.2">
      <c r="A34" t="s">
        <v>589</v>
      </c>
      <c r="B34">
        <v>27</v>
      </c>
      <c r="C34" t="s">
        <v>590</v>
      </c>
      <c r="D34" s="4" t="s">
        <v>511</v>
      </c>
      <c r="E34">
        <v>5.36</v>
      </c>
      <c r="F34">
        <v>5.72</v>
      </c>
      <c r="H34">
        <v>184</v>
      </c>
      <c r="I34">
        <v>186</v>
      </c>
      <c r="J34">
        <v>4.62</v>
      </c>
      <c r="K34">
        <v>0.05</v>
      </c>
      <c r="L34">
        <v>4.74</v>
      </c>
      <c r="M34">
        <v>0.01</v>
      </c>
      <c r="N34" t="s">
        <v>641</v>
      </c>
    </row>
    <row r="35" spans="1:14" x14ac:dyDescent="0.2">
      <c r="A35" t="s">
        <v>591</v>
      </c>
      <c r="B35">
        <v>28</v>
      </c>
      <c r="C35" t="s">
        <v>592</v>
      </c>
      <c r="D35" s="4" t="s">
        <v>511</v>
      </c>
      <c r="E35">
        <v>4.97</v>
      </c>
      <c r="F35">
        <v>5.19</v>
      </c>
      <c r="H35">
        <v>180</v>
      </c>
      <c r="I35">
        <v>169.4</v>
      </c>
      <c r="J35">
        <v>4.1500000000000004</v>
      </c>
      <c r="K35">
        <v>0.05</v>
      </c>
      <c r="L35">
        <v>4.78</v>
      </c>
      <c r="M35">
        <v>0.03</v>
      </c>
      <c r="N35" t="s">
        <v>641</v>
      </c>
    </row>
    <row r="36" spans="1:14" x14ac:dyDescent="0.2">
      <c r="A36" t="s">
        <v>593</v>
      </c>
      <c r="B36">
        <v>29</v>
      </c>
      <c r="C36" t="s">
        <v>594</v>
      </c>
      <c r="D36" s="4" t="s">
        <v>511</v>
      </c>
      <c r="E36">
        <v>5.01</v>
      </c>
      <c r="F36">
        <v>5.79</v>
      </c>
      <c r="H36">
        <v>192</v>
      </c>
      <c r="I36">
        <v>176</v>
      </c>
      <c r="J36">
        <v>4.67</v>
      </c>
      <c r="K36">
        <v>0.02</v>
      </c>
      <c r="L36">
        <v>4.93</v>
      </c>
      <c r="M36">
        <v>0.02</v>
      </c>
      <c r="N36" t="s">
        <v>642</v>
      </c>
    </row>
    <row r="37" spans="1:14" x14ac:dyDescent="0.2">
      <c r="B37">
        <v>30</v>
      </c>
      <c r="C37" t="s">
        <v>595</v>
      </c>
      <c r="D37" s="4" t="s">
        <v>511</v>
      </c>
      <c r="E37">
        <v>5</v>
      </c>
      <c r="F37">
        <v>5.73</v>
      </c>
      <c r="H37">
        <v>192</v>
      </c>
      <c r="I37">
        <v>174.6</v>
      </c>
      <c r="J37">
        <v>4.6500000000000004</v>
      </c>
      <c r="K37">
        <v>0.02</v>
      </c>
      <c r="L37">
        <v>4.76</v>
      </c>
      <c r="M37">
        <v>0.03</v>
      </c>
      <c r="N37" t="s">
        <v>643</v>
      </c>
    </row>
    <row r="38" spans="1:14" x14ac:dyDescent="0.2">
      <c r="B38">
        <v>31</v>
      </c>
      <c r="C38" t="s">
        <v>596</v>
      </c>
      <c r="D38" s="4" t="s">
        <v>511</v>
      </c>
      <c r="E38">
        <v>5.08</v>
      </c>
      <c r="F38">
        <v>5.78</v>
      </c>
      <c r="H38">
        <v>192</v>
      </c>
      <c r="I38">
        <v>175.9</v>
      </c>
      <c r="J38">
        <v>4.6500000000000004</v>
      </c>
      <c r="K38">
        <v>0.02</v>
      </c>
      <c r="L38">
        <v>4.76</v>
      </c>
      <c r="M38">
        <v>0.03</v>
      </c>
      <c r="N38" t="s">
        <v>644</v>
      </c>
    </row>
    <row r="39" spans="1:14" x14ac:dyDescent="0.2">
      <c r="B39">
        <v>32</v>
      </c>
      <c r="C39" t="s">
        <v>597</v>
      </c>
      <c r="D39" s="4" t="s">
        <v>511</v>
      </c>
      <c r="E39">
        <v>5.07</v>
      </c>
      <c r="F39">
        <v>5.72</v>
      </c>
      <c r="H39">
        <v>192</v>
      </c>
      <c r="I39">
        <v>174.3</v>
      </c>
      <c r="J39">
        <v>4.8</v>
      </c>
      <c r="K39">
        <v>0.06</v>
      </c>
      <c r="L39">
        <v>4.8</v>
      </c>
      <c r="M39">
        <v>0.09</v>
      </c>
      <c r="N39" t="s">
        <v>641</v>
      </c>
    </row>
    <row r="40" spans="1:14" x14ac:dyDescent="0.2">
      <c r="A40" t="s">
        <v>598</v>
      </c>
      <c r="B40">
        <v>33</v>
      </c>
      <c r="C40" t="s">
        <v>599</v>
      </c>
      <c r="D40" s="4" t="s">
        <v>511</v>
      </c>
      <c r="E40">
        <v>5.44</v>
      </c>
      <c r="F40">
        <v>6.2</v>
      </c>
      <c r="H40">
        <v>206</v>
      </c>
      <c r="I40">
        <v>192</v>
      </c>
      <c r="J40">
        <v>5.0599999999999996</v>
      </c>
      <c r="K40">
        <v>0.02</v>
      </c>
      <c r="L40">
        <v>5.18</v>
      </c>
      <c r="M40">
        <v>0.03</v>
      </c>
      <c r="N40" t="s">
        <v>645</v>
      </c>
    </row>
    <row r="41" spans="1:14" x14ac:dyDescent="0.2">
      <c r="B41">
        <v>34</v>
      </c>
      <c r="C41" t="s">
        <v>600</v>
      </c>
      <c r="D41" s="4" t="s">
        <v>511</v>
      </c>
      <c r="E41">
        <v>5.85</v>
      </c>
      <c r="F41">
        <v>6.25</v>
      </c>
      <c r="H41">
        <v>206</v>
      </c>
      <c r="I41">
        <v>191.2</v>
      </c>
      <c r="J41">
        <v>5.25</v>
      </c>
      <c r="K41">
        <v>0.02</v>
      </c>
      <c r="L41">
        <v>5.26</v>
      </c>
      <c r="M41">
        <v>0.02</v>
      </c>
      <c r="N41" t="s">
        <v>641</v>
      </c>
    </row>
    <row r="42" spans="1:14" x14ac:dyDescent="0.2">
      <c r="B42">
        <v>35</v>
      </c>
      <c r="C42" t="s">
        <v>601</v>
      </c>
      <c r="D42" s="4" t="s">
        <v>511</v>
      </c>
      <c r="E42">
        <v>5.69</v>
      </c>
      <c r="F42">
        <v>6.13</v>
      </c>
      <c r="H42">
        <v>206</v>
      </c>
      <c r="I42">
        <v>189.9</v>
      </c>
      <c r="J42">
        <v>5.2</v>
      </c>
      <c r="K42">
        <v>0.03</v>
      </c>
      <c r="L42">
        <v>5.26</v>
      </c>
      <c r="M42">
        <v>0.02</v>
      </c>
      <c r="N42" t="s">
        <v>646</v>
      </c>
    </row>
    <row r="43" spans="1:14" x14ac:dyDescent="0.2">
      <c r="A43" t="s">
        <v>602</v>
      </c>
      <c r="B43">
        <v>36</v>
      </c>
      <c r="C43" t="s">
        <v>603</v>
      </c>
      <c r="D43" s="4" t="s">
        <v>511</v>
      </c>
      <c r="E43">
        <v>5.48</v>
      </c>
      <c r="F43">
        <v>6.41</v>
      </c>
      <c r="H43">
        <v>216</v>
      </c>
      <c r="I43">
        <v>197.7</v>
      </c>
      <c r="J43">
        <v>5.41</v>
      </c>
      <c r="K43">
        <v>0.04</v>
      </c>
      <c r="L43">
        <v>5.5</v>
      </c>
      <c r="M43">
        <v>0.01</v>
      </c>
      <c r="N43" t="s">
        <v>641</v>
      </c>
    </row>
    <row r="44" spans="1:14" x14ac:dyDescent="0.2">
      <c r="A44" t="s">
        <v>604</v>
      </c>
      <c r="B44">
        <v>37</v>
      </c>
      <c r="C44" t="s">
        <v>605</v>
      </c>
      <c r="D44" s="4" t="s">
        <v>511</v>
      </c>
      <c r="E44">
        <v>6.07</v>
      </c>
      <c r="F44">
        <v>7</v>
      </c>
      <c r="H44">
        <v>242</v>
      </c>
      <c r="I44">
        <v>210.3</v>
      </c>
      <c r="J44">
        <v>6.01</v>
      </c>
      <c r="K44">
        <v>0.04</v>
      </c>
      <c r="L44">
        <v>6.06</v>
      </c>
      <c r="M44">
        <v>0.02</v>
      </c>
      <c r="N44" t="s">
        <v>641</v>
      </c>
    </row>
    <row r="45" spans="1:14" x14ac:dyDescent="0.2">
      <c r="B45">
        <v>38</v>
      </c>
      <c r="C45" t="s">
        <v>606</v>
      </c>
      <c r="D45" s="4" t="s">
        <v>511</v>
      </c>
      <c r="E45">
        <v>6.07</v>
      </c>
      <c r="F45">
        <v>7.06</v>
      </c>
      <c r="H45">
        <v>242</v>
      </c>
      <c r="I45">
        <v>211.9</v>
      </c>
      <c r="J45">
        <v>5.94</v>
      </c>
      <c r="K45">
        <v>0.04</v>
      </c>
      <c r="L45">
        <v>6.01</v>
      </c>
      <c r="M45">
        <v>0.01</v>
      </c>
      <c r="N45" t="s">
        <v>641</v>
      </c>
    </row>
    <row r="46" spans="1:14" x14ac:dyDescent="0.2">
      <c r="A46" t="s">
        <v>607</v>
      </c>
      <c r="B46">
        <v>39</v>
      </c>
      <c r="C46" t="s">
        <v>608</v>
      </c>
      <c r="D46" s="4" t="s">
        <v>511</v>
      </c>
      <c r="E46">
        <v>6.62</v>
      </c>
      <c r="F46">
        <v>7.39</v>
      </c>
      <c r="H46">
        <v>256</v>
      </c>
      <c r="I46">
        <v>226</v>
      </c>
      <c r="J46">
        <v>6.23</v>
      </c>
      <c r="K46">
        <v>0.03</v>
      </c>
      <c r="L46">
        <v>6.22</v>
      </c>
      <c r="M46">
        <v>0.04</v>
      </c>
      <c r="N46" t="s">
        <v>641</v>
      </c>
    </row>
    <row r="47" spans="1:14" x14ac:dyDescent="0.2">
      <c r="A47" s="1" t="s">
        <v>623</v>
      </c>
      <c r="B47" s="1"/>
      <c r="D47" s="4"/>
      <c r="N47" t="s">
        <v>641</v>
      </c>
    </row>
    <row r="48" spans="1:14" x14ac:dyDescent="0.2">
      <c r="B48">
        <v>40</v>
      </c>
      <c r="C48" t="s">
        <v>609</v>
      </c>
      <c r="D48" s="4" t="s">
        <v>511</v>
      </c>
      <c r="E48" t="s">
        <v>289</v>
      </c>
      <c r="F48" t="s">
        <v>289</v>
      </c>
      <c r="H48">
        <v>176</v>
      </c>
      <c r="I48" t="s">
        <v>289</v>
      </c>
      <c r="J48">
        <v>3.56</v>
      </c>
      <c r="K48">
        <v>0.03</v>
      </c>
      <c r="L48">
        <v>3.67</v>
      </c>
      <c r="M48">
        <v>0</v>
      </c>
      <c r="N48" t="s">
        <v>647</v>
      </c>
    </row>
    <row r="49" spans="1:14" x14ac:dyDescent="0.2">
      <c r="B49">
        <v>41</v>
      </c>
      <c r="C49" t="s">
        <v>610</v>
      </c>
      <c r="D49" s="4" t="s">
        <v>511</v>
      </c>
      <c r="E49" t="s">
        <v>289</v>
      </c>
      <c r="F49" t="s">
        <v>289</v>
      </c>
      <c r="H49">
        <v>212</v>
      </c>
      <c r="I49" t="s">
        <v>289</v>
      </c>
      <c r="J49">
        <v>4.6399999999999997</v>
      </c>
      <c r="K49">
        <v>0.03</v>
      </c>
      <c r="L49">
        <v>4.7300000000000004</v>
      </c>
      <c r="M49">
        <v>0.01</v>
      </c>
      <c r="N49" t="s">
        <v>648</v>
      </c>
    </row>
    <row r="50" spans="1:14" x14ac:dyDescent="0.2">
      <c r="B50">
        <v>42</v>
      </c>
      <c r="C50" t="s">
        <v>611</v>
      </c>
      <c r="D50" s="4" t="s">
        <v>511</v>
      </c>
      <c r="E50" t="s">
        <v>289</v>
      </c>
      <c r="F50" t="s">
        <v>289</v>
      </c>
      <c r="H50">
        <v>264</v>
      </c>
      <c r="I50" t="s">
        <v>289</v>
      </c>
      <c r="J50">
        <v>5.9</v>
      </c>
      <c r="K50">
        <v>0.02</v>
      </c>
      <c r="L50">
        <v>5.91</v>
      </c>
      <c r="M50">
        <v>7.0000000000000007E-2</v>
      </c>
      <c r="N50" t="s">
        <v>649</v>
      </c>
    </row>
    <row r="51" spans="1:14" x14ac:dyDescent="0.2">
      <c r="N51" t="s">
        <v>641</v>
      </c>
    </row>
    <row r="52" spans="1:14" x14ac:dyDescent="0.2">
      <c r="A52" s="1" t="s">
        <v>615</v>
      </c>
      <c r="B52" s="1"/>
      <c r="N52" t="s">
        <v>641</v>
      </c>
    </row>
    <row r="53" spans="1:14" x14ac:dyDescent="0.2">
      <c r="B53">
        <v>43</v>
      </c>
      <c r="C53" t="s">
        <v>1084</v>
      </c>
      <c r="D53">
        <v>1</v>
      </c>
      <c r="E53">
        <v>4.46</v>
      </c>
      <c r="F53">
        <v>5.18</v>
      </c>
      <c r="G53">
        <v>4.6399999999999997</v>
      </c>
      <c r="I53">
        <v>163.19999999999999</v>
      </c>
      <c r="J53">
        <v>3.87</v>
      </c>
      <c r="K53">
        <v>0.02</v>
      </c>
      <c r="L53">
        <v>4.04</v>
      </c>
      <c r="M53">
        <v>0.04</v>
      </c>
      <c r="N53" t="s">
        <v>641</v>
      </c>
    </row>
    <row r="54" spans="1:14" x14ac:dyDescent="0.2">
      <c r="B54">
        <v>44</v>
      </c>
      <c r="C54" t="s">
        <v>1085</v>
      </c>
      <c r="D54">
        <v>1</v>
      </c>
      <c r="E54">
        <v>4.6900000000000004</v>
      </c>
      <c r="F54">
        <v>5.0999999999999996</v>
      </c>
      <c r="G54">
        <v>4.75</v>
      </c>
      <c r="I54">
        <v>162.4</v>
      </c>
      <c r="J54">
        <v>4.21</v>
      </c>
      <c r="K54">
        <v>0.03</v>
      </c>
      <c r="L54">
        <v>4.3899999999999997</v>
      </c>
      <c r="M54">
        <v>0.08</v>
      </c>
      <c r="N54" t="s">
        <v>641</v>
      </c>
    </row>
    <row r="55" spans="1:14" x14ac:dyDescent="0.2">
      <c r="B55">
        <v>45</v>
      </c>
      <c r="C55" t="s">
        <v>1086</v>
      </c>
      <c r="D55">
        <v>2</v>
      </c>
      <c r="E55">
        <v>5.0599999999999996</v>
      </c>
      <c r="F55">
        <v>5.67</v>
      </c>
      <c r="G55">
        <v>5.28</v>
      </c>
      <c r="I55">
        <v>175.2</v>
      </c>
      <c r="J55">
        <v>4.41</v>
      </c>
      <c r="K55">
        <v>0.04</v>
      </c>
      <c r="L55">
        <v>4.57</v>
      </c>
      <c r="M55">
        <v>0.06</v>
      </c>
      <c r="N55" t="s">
        <v>641</v>
      </c>
    </row>
    <row r="56" spans="1:14" x14ac:dyDescent="0.2">
      <c r="B56">
        <v>46</v>
      </c>
      <c r="C56" t="s">
        <v>1087</v>
      </c>
      <c r="D56">
        <v>3</v>
      </c>
      <c r="E56">
        <v>5.16</v>
      </c>
      <c r="F56">
        <v>6.46</v>
      </c>
      <c r="G56">
        <v>5.81</v>
      </c>
      <c r="I56">
        <v>187.4</v>
      </c>
      <c r="J56">
        <v>4.72</v>
      </c>
      <c r="K56">
        <v>0.02</v>
      </c>
      <c r="L56">
        <v>4.91</v>
      </c>
      <c r="M56">
        <v>0.05</v>
      </c>
      <c r="N56" t="s">
        <v>641</v>
      </c>
    </row>
    <row r="57" spans="1:14" x14ac:dyDescent="0.2">
      <c r="B57">
        <v>47</v>
      </c>
      <c r="C57" t="s">
        <v>1088</v>
      </c>
      <c r="D57">
        <v>3</v>
      </c>
      <c r="E57">
        <v>5.24</v>
      </c>
      <c r="F57">
        <v>6.35</v>
      </c>
      <c r="G57">
        <v>5.81</v>
      </c>
      <c r="I57">
        <v>188.1</v>
      </c>
      <c r="J57">
        <v>4.84</v>
      </c>
      <c r="K57">
        <v>0.03</v>
      </c>
      <c r="L57">
        <v>5.0599999999999996</v>
      </c>
      <c r="M57">
        <v>7.0000000000000007E-2</v>
      </c>
      <c r="N57" t="s">
        <v>650</v>
      </c>
    </row>
    <row r="58" spans="1:14" x14ac:dyDescent="0.2">
      <c r="B58">
        <v>48</v>
      </c>
      <c r="C58" t="s">
        <v>1089</v>
      </c>
      <c r="D58">
        <v>3</v>
      </c>
      <c r="E58">
        <v>5.58</v>
      </c>
      <c r="F58">
        <v>6.37</v>
      </c>
      <c r="G58">
        <v>5.92</v>
      </c>
      <c r="I58">
        <v>186.8</v>
      </c>
      <c r="J58">
        <v>5.13</v>
      </c>
      <c r="K58">
        <v>0.03</v>
      </c>
      <c r="L58">
        <v>5.32</v>
      </c>
      <c r="M58">
        <v>0.06</v>
      </c>
      <c r="N58" t="s">
        <v>641</v>
      </c>
    </row>
    <row r="59" spans="1:14" x14ac:dyDescent="0.2">
      <c r="B59">
        <v>49</v>
      </c>
      <c r="C59" t="s">
        <v>1090</v>
      </c>
      <c r="D59">
        <v>3</v>
      </c>
      <c r="E59">
        <v>5.35</v>
      </c>
      <c r="F59">
        <v>6.57</v>
      </c>
      <c r="G59">
        <v>5.81</v>
      </c>
      <c r="I59">
        <v>186.1</v>
      </c>
      <c r="J59">
        <v>4.84</v>
      </c>
      <c r="K59">
        <v>0.04</v>
      </c>
      <c r="L59">
        <v>5.0599999999999996</v>
      </c>
      <c r="M59">
        <v>0.08</v>
      </c>
      <c r="N59" t="s">
        <v>641</v>
      </c>
    </row>
    <row r="60" spans="1:14" x14ac:dyDescent="0.2">
      <c r="B60">
        <v>50</v>
      </c>
      <c r="C60" t="s">
        <v>1091</v>
      </c>
      <c r="D60">
        <v>3</v>
      </c>
      <c r="E60">
        <v>5.67</v>
      </c>
      <c r="F60">
        <v>6.31</v>
      </c>
      <c r="G60">
        <v>5.92</v>
      </c>
      <c r="I60">
        <v>187.6</v>
      </c>
      <c r="J60">
        <v>4.95</v>
      </c>
      <c r="K60">
        <v>0.06</v>
      </c>
      <c r="L60">
        <v>5.14</v>
      </c>
      <c r="M60">
        <v>0.11</v>
      </c>
      <c r="N60" t="s">
        <v>641</v>
      </c>
    </row>
    <row r="61" spans="1:14" x14ac:dyDescent="0.2">
      <c r="B61">
        <v>51</v>
      </c>
      <c r="C61" t="s">
        <v>1092</v>
      </c>
      <c r="D61">
        <v>3</v>
      </c>
      <c r="E61">
        <v>5.66</v>
      </c>
      <c r="F61">
        <v>6.25</v>
      </c>
      <c r="G61">
        <v>5.92</v>
      </c>
      <c r="I61">
        <v>187.4</v>
      </c>
      <c r="J61">
        <v>5.17</v>
      </c>
      <c r="K61">
        <v>0.04</v>
      </c>
      <c r="L61">
        <v>5.37</v>
      </c>
      <c r="M61">
        <v>0.05</v>
      </c>
      <c r="N61" t="s">
        <v>641</v>
      </c>
    </row>
    <row r="62" spans="1:14" x14ac:dyDescent="0.2">
      <c r="B62">
        <v>52</v>
      </c>
      <c r="C62" t="s">
        <v>1093</v>
      </c>
      <c r="D62">
        <v>3</v>
      </c>
      <c r="E62">
        <v>5.44</v>
      </c>
      <c r="F62">
        <v>6.41</v>
      </c>
      <c r="G62">
        <v>5.81</v>
      </c>
      <c r="I62">
        <v>186.6</v>
      </c>
      <c r="J62">
        <v>4.8499999999999996</v>
      </c>
      <c r="K62">
        <v>0.03</v>
      </c>
      <c r="L62">
        <v>5.0599999999999996</v>
      </c>
      <c r="M62">
        <v>7.0000000000000007E-2</v>
      </c>
      <c r="N62" t="s">
        <v>641</v>
      </c>
    </row>
    <row r="63" spans="1:14" x14ac:dyDescent="0.2">
      <c r="B63">
        <v>53</v>
      </c>
      <c r="C63" t="s">
        <v>1094</v>
      </c>
      <c r="D63">
        <v>3</v>
      </c>
      <c r="E63">
        <v>5.6</v>
      </c>
      <c r="F63">
        <v>6.51</v>
      </c>
      <c r="G63">
        <v>5.92</v>
      </c>
      <c r="I63">
        <v>186.9</v>
      </c>
      <c r="J63">
        <v>5.23</v>
      </c>
      <c r="K63">
        <v>0.02</v>
      </c>
      <c r="L63">
        <v>5.44</v>
      </c>
      <c r="M63">
        <v>0.06</v>
      </c>
      <c r="N63" t="s">
        <v>651</v>
      </c>
    </row>
    <row r="64" spans="1:14" x14ac:dyDescent="0.2">
      <c r="B64">
        <v>54</v>
      </c>
      <c r="C64" t="s">
        <v>1095</v>
      </c>
      <c r="D64">
        <v>3</v>
      </c>
      <c r="E64">
        <v>5.44</v>
      </c>
      <c r="F64">
        <v>6.42</v>
      </c>
      <c r="G64">
        <v>5.81</v>
      </c>
      <c r="I64">
        <v>186.6</v>
      </c>
      <c r="J64">
        <v>4.93</v>
      </c>
      <c r="K64">
        <v>0.03</v>
      </c>
      <c r="L64">
        <v>5.14</v>
      </c>
      <c r="M64">
        <v>0.06</v>
      </c>
      <c r="N64" t="s">
        <v>641</v>
      </c>
    </row>
    <row r="65" spans="2:14" x14ac:dyDescent="0.2">
      <c r="B65">
        <v>55</v>
      </c>
      <c r="C65" t="s">
        <v>1096</v>
      </c>
      <c r="D65">
        <v>3</v>
      </c>
      <c r="E65">
        <v>5.83</v>
      </c>
      <c r="F65">
        <v>6.27</v>
      </c>
      <c r="G65">
        <v>6</v>
      </c>
      <c r="I65">
        <v>185.8</v>
      </c>
      <c r="J65">
        <v>5.43</v>
      </c>
      <c r="K65">
        <v>0.03</v>
      </c>
      <c r="L65">
        <v>5.59</v>
      </c>
      <c r="M65">
        <v>0.05</v>
      </c>
      <c r="N65" t="s">
        <v>641</v>
      </c>
    </row>
    <row r="66" spans="2:14" x14ac:dyDescent="0.2">
      <c r="B66">
        <v>56</v>
      </c>
      <c r="C66" t="s">
        <v>1097</v>
      </c>
      <c r="D66">
        <v>4</v>
      </c>
      <c r="E66">
        <v>5.66</v>
      </c>
      <c r="F66">
        <v>7.15</v>
      </c>
      <c r="G66">
        <v>6.49</v>
      </c>
      <c r="I66">
        <v>199</v>
      </c>
      <c r="J66">
        <v>5.22</v>
      </c>
      <c r="K66">
        <v>0.03</v>
      </c>
      <c r="L66">
        <v>5.31</v>
      </c>
      <c r="M66">
        <v>0.03</v>
      </c>
      <c r="N66" t="s">
        <v>641</v>
      </c>
    </row>
    <row r="67" spans="2:14" x14ac:dyDescent="0.2">
      <c r="B67">
        <v>57</v>
      </c>
      <c r="C67" t="s">
        <v>1098</v>
      </c>
      <c r="D67">
        <v>4</v>
      </c>
      <c r="E67">
        <v>5.69</v>
      </c>
      <c r="F67">
        <v>7.21</v>
      </c>
      <c r="G67">
        <v>6.49</v>
      </c>
      <c r="I67">
        <v>199.2</v>
      </c>
      <c r="J67">
        <v>5.47</v>
      </c>
      <c r="K67">
        <v>0.03</v>
      </c>
      <c r="L67">
        <v>5.6</v>
      </c>
      <c r="M67">
        <v>0.06</v>
      </c>
      <c r="N67" t="s">
        <v>641</v>
      </c>
    </row>
    <row r="68" spans="2:14" x14ac:dyDescent="0.2">
      <c r="B68">
        <v>58</v>
      </c>
      <c r="C68" t="s">
        <v>1099</v>
      </c>
      <c r="D68">
        <v>4</v>
      </c>
      <c r="E68">
        <v>5.76</v>
      </c>
      <c r="F68">
        <v>7.1</v>
      </c>
      <c r="G68">
        <v>6.49</v>
      </c>
      <c r="I68">
        <v>199.8</v>
      </c>
      <c r="J68">
        <v>5.34</v>
      </c>
      <c r="K68">
        <v>0.03</v>
      </c>
      <c r="L68">
        <v>5.46</v>
      </c>
      <c r="M68">
        <v>0.05</v>
      </c>
      <c r="N68" t="s">
        <v>641</v>
      </c>
    </row>
    <row r="69" spans="2:14" x14ac:dyDescent="0.2">
      <c r="B69">
        <v>59</v>
      </c>
      <c r="C69" t="s">
        <v>1100</v>
      </c>
      <c r="D69">
        <v>4</v>
      </c>
      <c r="E69">
        <v>5.75</v>
      </c>
      <c r="F69">
        <v>7.16</v>
      </c>
      <c r="G69">
        <v>6.49</v>
      </c>
      <c r="I69">
        <v>199.9</v>
      </c>
      <c r="J69">
        <v>5.55</v>
      </c>
      <c r="K69">
        <v>0.02</v>
      </c>
      <c r="L69">
        <v>5.69</v>
      </c>
      <c r="M69">
        <v>0.05</v>
      </c>
      <c r="N69" t="s">
        <v>641</v>
      </c>
    </row>
    <row r="70" spans="2:14" x14ac:dyDescent="0.2">
      <c r="B70">
        <v>60</v>
      </c>
      <c r="C70" t="s">
        <v>1101</v>
      </c>
      <c r="D70">
        <v>4</v>
      </c>
      <c r="E70">
        <v>5.75</v>
      </c>
      <c r="F70">
        <v>7.03</v>
      </c>
      <c r="G70">
        <v>6.49</v>
      </c>
      <c r="I70">
        <v>199.7</v>
      </c>
      <c r="J70">
        <v>5.37</v>
      </c>
      <c r="K70">
        <v>0.02</v>
      </c>
      <c r="L70">
        <v>5.52</v>
      </c>
      <c r="M70">
        <v>0.06</v>
      </c>
      <c r="N70" t="s">
        <v>652</v>
      </c>
    </row>
    <row r="71" spans="2:14" x14ac:dyDescent="0.2">
      <c r="B71">
        <v>61</v>
      </c>
      <c r="C71" t="s">
        <v>1102</v>
      </c>
      <c r="D71">
        <v>4</v>
      </c>
      <c r="E71">
        <v>5.53</v>
      </c>
      <c r="F71">
        <v>7.16</v>
      </c>
      <c r="G71">
        <v>6.31</v>
      </c>
      <c r="I71">
        <v>198.8</v>
      </c>
      <c r="J71">
        <v>5.18</v>
      </c>
      <c r="K71">
        <v>0.02</v>
      </c>
      <c r="L71">
        <v>5.34</v>
      </c>
      <c r="M71">
        <v>7.0000000000000007E-2</v>
      </c>
      <c r="N71" t="s">
        <v>641</v>
      </c>
    </row>
    <row r="72" spans="2:14" x14ac:dyDescent="0.2">
      <c r="B72">
        <v>62</v>
      </c>
      <c r="C72" t="s">
        <v>1103</v>
      </c>
      <c r="D72">
        <v>4</v>
      </c>
      <c r="E72">
        <v>5.53</v>
      </c>
      <c r="F72">
        <v>7.17</v>
      </c>
      <c r="G72">
        <v>6.31</v>
      </c>
      <c r="I72">
        <v>198.8</v>
      </c>
      <c r="J72">
        <v>5.0999999999999996</v>
      </c>
      <c r="K72">
        <v>0.02</v>
      </c>
      <c r="L72">
        <v>5.26</v>
      </c>
      <c r="M72">
        <v>0.06</v>
      </c>
      <c r="N72" t="s">
        <v>641</v>
      </c>
    </row>
    <row r="73" spans="2:14" x14ac:dyDescent="0.2">
      <c r="B73">
        <v>63</v>
      </c>
      <c r="C73" t="s">
        <v>1104</v>
      </c>
      <c r="D73">
        <v>4</v>
      </c>
      <c r="E73">
        <v>5.63</v>
      </c>
      <c r="F73">
        <v>7.13</v>
      </c>
      <c r="G73">
        <v>6.31</v>
      </c>
      <c r="I73">
        <v>199.6</v>
      </c>
      <c r="J73">
        <v>5.36</v>
      </c>
      <c r="K73">
        <v>0.02</v>
      </c>
      <c r="L73">
        <v>5.53</v>
      </c>
      <c r="M73">
        <v>0.05</v>
      </c>
      <c r="N73" t="s">
        <v>641</v>
      </c>
    </row>
    <row r="74" spans="2:14" x14ac:dyDescent="0.2">
      <c r="B74">
        <v>64</v>
      </c>
      <c r="C74" t="s">
        <v>1105</v>
      </c>
      <c r="D74">
        <v>4</v>
      </c>
      <c r="E74">
        <v>6.11</v>
      </c>
      <c r="F74">
        <v>7.04</v>
      </c>
      <c r="G74">
        <v>6.55</v>
      </c>
      <c r="I74">
        <v>198.1</v>
      </c>
      <c r="J74">
        <v>5.66</v>
      </c>
      <c r="K74">
        <v>0.02</v>
      </c>
      <c r="L74">
        <v>5.74</v>
      </c>
      <c r="M74">
        <v>0.05</v>
      </c>
      <c r="N74" t="s">
        <v>653</v>
      </c>
    </row>
    <row r="75" spans="2:14" x14ac:dyDescent="0.2">
      <c r="B75">
        <v>65</v>
      </c>
      <c r="C75" t="s">
        <v>1106</v>
      </c>
      <c r="D75">
        <v>4</v>
      </c>
      <c r="E75">
        <v>6.11</v>
      </c>
      <c r="F75">
        <v>7.12</v>
      </c>
      <c r="G75">
        <v>6.55</v>
      </c>
      <c r="I75">
        <v>198.5</v>
      </c>
      <c r="J75">
        <v>5.79</v>
      </c>
      <c r="K75">
        <v>0.02</v>
      </c>
      <c r="L75">
        <v>5.87</v>
      </c>
      <c r="M75">
        <v>0.05</v>
      </c>
      <c r="N75" t="s">
        <v>641</v>
      </c>
    </row>
    <row r="76" spans="2:14" x14ac:dyDescent="0.2">
      <c r="B76">
        <v>66</v>
      </c>
      <c r="C76" t="s">
        <v>1107</v>
      </c>
      <c r="D76">
        <v>4</v>
      </c>
      <c r="E76">
        <v>6.17</v>
      </c>
      <c r="F76">
        <v>7.08</v>
      </c>
      <c r="G76">
        <v>6.55</v>
      </c>
      <c r="I76">
        <v>199.2</v>
      </c>
      <c r="J76">
        <v>5.77</v>
      </c>
      <c r="K76">
        <v>0.04</v>
      </c>
      <c r="L76">
        <v>5.85</v>
      </c>
      <c r="M76">
        <v>0</v>
      </c>
      <c r="N76" t="s">
        <v>641</v>
      </c>
    </row>
    <row r="77" spans="2:14" x14ac:dyDescent="0.2">
      <c r="B77">
        <v>67</v>
      </c>
      <c r="C77" t="s">
        <v>1108</v>
      </c>
      <c r="D77">
        <v>4</v>
      </c>
      <c r="E77">
        <v>5.95</v>
      </c>
      <c r="F77">
        <v>7.1</v>
      </c>
      <c r="G77">
        <v>6.49</v>
      </c>
      <c r="I77">
        <v>198.3</v>
      </c>
      <c r="J77">
        <v>5.54</v>
      </c>
      <c r="K77">
        <v>0.02</v>
      </c>
      <c r="L77">
        <v>5.67</v>
      </c>
      <c r="M77">
        <v>0.06</v>
      </c>
      <c r="N77" t="s">
        <v>641</v>
      </c>
    </row>
    <row r="78" spans="2:14" x14ac:dyDescent="0.2">
      <c r="B78">
        <v>68</v>
      </c>
      <c r="C78" t="s">
        <v>1109</v>
      </c>
      <c r="D78">
        <v>4</v>
      </c>
      <c r="E78">
        <v>6.04</v>
      </c>
      <c r="F78">
        <v>7.16</v>
      </c>
      <c r="G78">
        <v>6.49</v>
      </c>
      <c r="I78">
        <v>199.2</v>
      </c>
      <c r="J78">
        <v>5.64</v>
      </c>
      <c r="K78">
        <v>0.03</v>
      </c>
      <c r="L78">
        <v>5.78</v>
      </c>
      <c r="M78">
        <v>0.08</v>
      </c>
      <c r="N78" t="s">
        <v>641</v>
      </c>
    </row>
    <row r="79" spans="2:14" x14ac:dyDescent="0.2">
      <c r="B79">
        <v>69</v>
      </c>
      <c r="C79" t="s">
        <v>1110</v>
      </c>
      <c r="D79">
        <v>4</v>
      </c>
      <c r="E79">
        <v>5.98</v>
      </c>
      <c r="F79">
        <v>7.09</v>
      </c>
      <c r="G79">
        <v>6.49</v>
      </c>
      <c r="I79">
        <v>198</v>
      </c>
      <c r="J79">
        <v>5.43</v>
      </c>
      <c r="K79">
        <v>0.02</v>
      </c>
      <c r="L79">
        <v>5.57</v>
      </c>
      <c r="M79">
        <v>0.05</v>
      </c>
      <c r="N79" t="s">
        <v>641</v>
      </c>
    </row>
    <row r="80" spans="2:14" x14ac:dyDescent="0.2">
      <c r="B80">
        <v>70</v>
      </c>
      <c r="C80" t="s">
        <v>1111</v>
      </c>
      <c r="D80">
        <v>4</v>
      </c>
      <c r="E80">
        <v>6.2</v>
      </c>
      <c r="F80">
        <v>7.03</v>
      </c>
      <c r="G80">
        <v>6.55</v>
      </c>
      <c r="I80">
        <v>199</v>
      </c>
      <c r="J80">
        <v>5.61</v>
      </c>
      <c r="K80">
        <v>0.09</v>
      </c>
      <c r="L80">
        <v>5.87</v>
      </c>
      <c r="M80">
        <v>0.08</v>
      </c>
      <c r="N80" t="s">
        <v>641</v>
      </c>
    </row>
    <row r="81" spans="2:14" x14ac:dyDescent="0.2">
      <c r="B81">
        <v>71</v>
      </c>
      <c r="C81" t="s">
        <v>1112</v>
      </c>
      <c r="D81">
        <v>4</v>
      </c>
      <c r="E81">
        <v>6.36</v>
      </c>
      <c r="F81">
        <v>6.94</v>
      </c>
      <c r="G81">
        <v>6.62</v>
      </c>
      <c r="I81">
        <v>197.2</v>
      </c>
      <c r="J81">
        <v>5.79</v>
      </c>
      <c r="K81">
        <v>0.02</v>
      </c>
      <c r="L81">
        <v>5.87</v>
      </c>
      <c r="M81">
        <v>0.03</v>
      </c>
      <c r="N81" t="s">
        <v>641</v>
      </c>
    </row>
    <row r="82" spans="2:14" x14ac:dyDescent="0.2">
      <c r="B82">
        <v>72</v>
      </c>
      <c r="C82" t="s">
        <v>1113</v>
      </c>
      <c r="D82">
        <v>4</v>
      </c>
      <c r="E82">
        <v>6.36</v>
      </c>
      <c r="F82">
        <v>7.03</v>
      </c>
      <c r="G82">
        <v>6.62</v>
      </c>
      <c r="I82">
        <v>197.6</v>
      </c>
      <c r="J82">
        <v>5.95</v>
      </c>
      <c r="K82">
        <v>0.02</v>
      </c>
      <c r="L82">
        <v>6.01</v>
      </c>
      <c r="M82">
        <v>0.03</v>
      </c>
      <c r="N82" t="s">
        <v>641</v>
      </c>
    </row>
    <row r="83" spans="2:14" x14ac:dyDescent="0.2">
      <c r="B83">
        <v>73</v>
      </c>
      <c r="C83" t="s">
        <v>1114</v>
      </c>
      <c r="D83">
        <v>5</v>
      </c>
      <c r="E83">
        <v>6.2</v>
      </c>
      <c r="F83">
        <v>7.92</v>
      </c>
      <c r="G83">
        <v>6.9</v>
      </c>
      <c r="I83">
        <v>210.8</v>
      </c>
      <c r="J83">
        <v>5.92</v>
      </c>
      <c r="K83">
        <v>0.01</v>
      </c>
      <c r="L83">
        <v>5.88</v>
      </c>
      <c r="M83">
        <v>0.06</v>
      </c>
      <c r="N83" t="s">
        <v>641</v>
      </c>
    </row>
    <row r="84" spans="2:14" x14ac:dyDescent="0.2">
      <c r="B84">
        <v>74</v>
      </c>
      <c r="C84" t="s">
        <v>1115</v>
      </c>
      <c r="D84">
        <v>5</v>
      </c>
      <c r="E84">
        <v>6.26</v>
      </c>
      <c r="F84">
        <v>7.84</v>
      </c>
      <c r="G84">
        <v>6.9</v>
      </c>
      <c r="I84">
        <v>211.5</v>
      </c>
      <c r="J84">
        <v>6</v>
      </c>
      <c r="K84">
        <v>0.03</v>
      </c>
      <c r="L84">
        <v>5.95</v>
      </c>
      <c r="M84">
        <v>0.1</v>
      </c>
      <c r="N84" t="s">
        <v>641</v>
      </c>
    </row>
    <row r="85" spans="2:14" x14ac:dyDescent="0.2">
      <c r="B85">
        <v>75</v>
      </c>
      <c r="C85" t="s">
        <v>1116</v>
      </c>
      <c r="D85">
        <v>5</v>
      </c>
      <c r="E85">
        <v>6.3</v>
      </c>
      <c r="F85">
        <v>7.88</v>
      </c>
      <c r="G85">
        <v>6.9</v>
      </c>
      <c r="I85">
        <v>211.6</v>
      </c>
      <c r="J85">
        <v>6.2</v>
      </c>
      <c r="K85">
        <v>0.02</v>
      </c>
      <c r="L85">
        <v>6.16</v>
      </c>
      <c r="M85">
        <v>0.06</v>
      </c>
      <c r="N85" t="s">
        <v>654</v>
      </c>
    </row>
    <row r="86" spans="2:14" x14ac:dyDescent="0.2">
      <c r="B86">
        <v>76</v>
      </c>
      <c r="C86" t="s">
        <v>1117</v>
      </c>
      <c r="D86">
        <v>5</v>
      </c>
      <c r="E86">
        <v>6.29</v>
      </c>
      <c r="F86">
        <v>7.78</v>
      </c>
      <c r="G86">
        <v>6.9</v>
      </c>
      <c r="I86">
        <v>211.4</v>
      </c>
      <c r="J86">
        <v>6.08</v>
      </c>
      <c r="K86">
        <v>0.02</v>
      </c>
      <c r="L86">
        <v>6.05</v>
      </c>
      <c r="M86">
        <v>0.05</v>
      </c>
      <c r="N86" t="s">
        <v>655</v>
      </c>
    </row>
    <row r="87" spans="2:14" x14ac:dyDescent="0.2">
      <c r="B87">
        <v>77</v>
      </c>
      <c r="C87" t="s">
        <v>1118</v>
      </c>
      <c r="D87">
        <v>5</v>
      </c>
      <c r="E87">
        <v>6.07</v>
      </c>
      <c r="F87">
        <v>7.94</v>
      </c>
      <c r="G87">
        <v>6.74</v>
      </c>
      <c r="I87">
        <v>210.5</v>
      </c>
      <c r="J87">
        <v>6.08</v>
      </c>
      <c r="K87">
        <v>0.02</v>
      </c>
      <c r="L87">
        <v>6.14</v>
      </c>
      <c r="M87">
        <v>0.06</v>
      </c>
      <c r="N87" t="s">
        <v>641</v>
      </c>
    </row>
    <row r="88" spans="2:14" x14ac:dyDescent="0.2">
      <c r="B88">
        <v>78</v>
      </c>
      <c r="C88" t="s">
        <v>1119</v>
      </c>
      <c r="D88">
        <v>5</v>
      </c>
      <c r="E88">
        <v>6.13</v>
      </c>
      <c r="F88">
        <v>7.82</v>
      </c>
      <c r="G88">
        <v>6.74</v>
      </c>
      <c r="I88">
        <v>211.2</v>
      </c>
      <c r="J88">
        <v>5.95</v>
      </c>
      <c r="K88">
        <v>0.05</v>
      </c>
      <c r="L88">
        <v>5.95</v>
      </c>
      <c r="M88">
        <v>0.06</v>
      </c>
      <c r="N88" t="s">
        <v>641</v>
      </c>
    </row>
    <row r="89" spans="2:14" x14ac:dyDescent="0.2">
      <c r="B89">
        <v>79</v>
      </c>
      <c r="C89" t="s">
        <v>1120</v>
      </c>
      <c r="D89">
        <v>5</v>
      </c>
      <c r="E89">
        <v>6.29</v>
      </c>
      <c r="F89">
        <v>7.83</v>
      </c>
      <c r="G89">
        <v>6.9</v>
      </c>
      <c r="I89">
        <v>211.2</v>
      </c>
      <c r="J89">
        <v>6.09</v>
      </c>
      <c r="K89">
        <v>0.03</v>
      </c>
      <c r="L89">
        <v>6.07</v>
      </c>
      <c r="M89">
        <v>0.06</v>
      </c>
      <c r="N89" t="s">
        <v>656</v>
      </c>
    </row>
    <row r="90" spans="2:14" x14ac:dyDescent="0.2">
      <c r="B90">
        <v>80</v>
      </c>
      <c r="C90" t="s">
        <v>1121</v>
      </c>
      <c r="D90">
        <v>5</v>
      </c>
      <c r="E90">
        <v>6.39</v>
      </c>
      <c r="F90">
        <v>7.79</v>
      </c>
      <c r="G90">
        <v>6.9</v>
      </c>
      <c r="I90">
        <v>212</v>
      </c>
      <c r="J90">
        <v>6.18</v>
      </c>
      <c r="K90">
        <v>0.04</v>
      </c>
      <c r="L90">
        <v>6.17</v>
      </c>
      <c r="M90">
        <v>7.0000000000000007E-2</v>
      </c>
      <c r="N90" t="s">
        <v>657</v>
      </c>
    </row>
    <row r="91" spans="2:14" x14ac:dyDescent="0.2">
      <c r="B91">
        <v>81</v>
      </c>
      <c r="C91" t="s">
        <v>1122</v>
      </c>
      <c r="D91">
        <v>5</v>
      </c>
      <c r="E91">
        <v>6.23</v>
      </c>
      <c r="F91">
        <v>7.89</v>
      </c>
      <c r="G91">
        <v>6.74</v>
      </c>
      <c r="I91">
        <v>212.1</v>
      </c>
      <c r="J91">
        <v>5.87</v>
      </c>
      <c r="K91">
        <v>0.03</v>
      </c>
      <c r="L91">
        <v>6.01</v>
      </c>
      <c r="M91">
        <v>0.04</v>
      </c>
      <c r="N91" t="s">
        <v>641</v>
      </c>
    </row>
    <row r="92" spans="2:14" x14ac:dyDescent="0.2">
      <c r="B92">
        <v>82</v>
      </c>
      <c r="C92" t="s">
        <v>1123</v>
      </c>
      <c r="D92">
        <v>5</v>
      </c>
      <c r="E92">
        <v>6.38</v>
      </c>
      <c r="F92">
        <v>7.7</v>
      </c>
      <c r="G92">
        <v>6.9</v>
      </c>
      <c r="I92">
        <v>211.9</v>
      </c>
      <c r="J92">
        <v>6.19</v>
      </c>
      <c r="K92">
        <v>0.03</v>
      </c>
      <c r="L92">
        <v>6.19</v>
      </c>
      <c r="M92">
        <v>0.06</v>
      </c>
      <c r="N92" t="s">
        <v>658</v>
      </c>
    </row>
    <row r="93" spans="2:14" x14ac:dyDescent="0.2">
      <c r="B93">
        <v>83</v>
      </c>
      <c r="C93" t="s">
        <v>1124</v>
      </c>
      <c r="D93">
        <v>5</v>
      </c>
      <c r="E93">
        <v>6.22</v>
      </c>
      <c r="F93">
        <v>7.8</v>
      </c>
      <c r="G93">
        <v>6.74</v>
      </c>
      <c r="I93">
        <v>212</v>
      </c>
      <c r="J93">
        <v>6.29</v>
      </c>
      <c r="K93">
        <v>0.11</v>
      </c>
      <c r="L93">
        <v>6.19</v>
      </c>
      <c r="M93">
        <v>0.1</v>
      </c>
      <c r="N93" t="s">
        <v>641</v>
      </c>
    </row>
    <row r="94" spans="2:14" x14ac:dyDescent="0.2">
      <c r="B94">
        <v>84</v>
      </c>
      <c r="C94" t="s">
        <v>1125</v>
      </c>
      <c r="D94">
        <v>5</v>
      </c>
      <c r="E94">
        <v>6.65</v>
      </c>
      <c r="F94">
        <v>7.78</v>
      </c>
      <c r="G94">
        <v>6.92</v>
      </c>
      <c r="I94">
        <v>209.9</v>
      </c>
      <c r="J94">
        <v>6.44</v>
      </c>
      <c r="K94">
        <v>7.0000000000000007E-2</v>
      </c>
      <c r="L94">
        <v>6.31</v>
      </c>
      <c r="M94">
        <v>0.08</v>
      </c>
      <c r="N94" t="s">
        <v>659</v>
      </c>
    </row>
    <row r="95" spans="2:14" x14ac:dyDescent="0.2">
      <c r="B95">
        <v>85</v>
      </c>
      <c r="C95" t="s">
        <v>1126</v>
      </c>
      <c r="D95">
        <v>5</v>
      </c>
      <c r="E95">
        <v>6.71</v>
      </c>
      <c r="F95">
        <v>7.75</v>
      </c>
      <c r="G95">
        <v>6.92</v>
      </c>
      <c r="I95">
        <v>210.6</v>
      </c>
      <c r="J95">
        <v>6.12</v>
      </c>
      <c r="K95">
        <v>0.15</v>
      </c>
      <c r="L95">
        <v>6.16</v>
      </c>
      <c r="M95">
        <v>0.27</v>
      </c>
      <c r="N95" t="s">
        <v>641</v>
      </c>
    </row>
    <row r="96" spans="2:14" x14ac:dyDescent="0.2">
      <c r="B96">
        <v>86</v>
      </c>
      <c r="C96" t="s">
        <v>1127</v>
      </c>
      <c r="D96">
        <v>5</v>
      </c>
      <c r="E96">
        <v>6.48</v>
      </c>
      <c r="F96">
        <v>7.76</v>
      </c>
      <c r="G96">
        <v>6.9</v>
      </c>
      <c r="I96">
        <v>209.7</v>
      </c>
      <c r="J96">
        <v>6.07</v>
      </c>
      <c r="K96">
        <v>0.02</v>
      </c>
      <c r="L96">
        <v>6.03</v>
      </c>
      <c r="M96">
        <v>0.06</v>
      </c>
      <c r="N96" t="s">
        <v>660</v>
      </c>
    </row>
    <row r="97" spans="2:14" x14ac:dyDescent="0.2">
      <c r="B97">
        <v>87</v>
      </c>
      <c r="C97" t="s">
        <v>1128</v>
      </c>
      <c r="D97">
        <v>5</v>
      </c>
      <c r="E97">
        <v>6.74</v>
      </c>
      <c r="F97">
        <v>7.7</v>
      </c>
      <c r="G97">
        <v>6.92</v>
      </c>
      <c r="I97">
        <v>210.4</v>
      </c>
      <c r="J97">
        <v>6.42</v>
      </c>
      <c r="K97">
        <v>0.03</v>
      </c>
      <c r="L97">
        <v>6.35</v>
      </c>
      <c r="M97">
        <v>0.09</v>
      </c>
      <c r="N97" t="s">
        <v>661</v>
      </c>
    </row>
    <row r="98" spans="2:14" x14ac:dyDescent="0.2">
      <c r="B98">
        <v>88</v>
      </c>
      <c r="C98" t="s">
        <v>1129</v>
      </c>
      <c r="D98">
        <v>5</v>
      </c>
      <c r="E98">
        <v>6.58</v>
      </c>
      <c r="F98">
        <v>7.83</v>
      </c>
      <c r="G98">
        <v>6.9</v>
      </c>
      <c r="I98">
        <v>210.6</v>
      </c>
      <c r="J98">
        <v>5.93</v>
      </c>
      <c r="K98">
        <v>0.05</v>
      </c>
      <c r="L98">
        <v>6.03</v>
      </c>
      <c r="M98">
        <v>0</v>
      </c>
      <c r="N98" t="s">
        <v>641</v>
      </c>
    </row>
    <row r="99" spans="2:14" x14ac:dyDescent="0.2">
      <c r="B99">
        <v>89</v>
      </c>
      <c r="C99" t="s">
        <v>1130</v>
      </c>
      <c r="D99">
        <v>6</v>
      </c>
      <c r="E99">
        <v>6.74</v>
      </c>
      <c r="F99">
        <v>8.67</v>
      </c>
      <c r="G99">
        <v>7.31</v>
      </c>
      <c r="I99">
        <v>222.6</v>
      </c>
      <c r="J99">
        <v>6.52</v>
      </c>
      <c r="K99">
        <v>0.01</v>
      </c>
      <c r="L99">
        <v>6.28</v>
      </c>
      <c r="M99">
        <v>0.03</v>
      </c>
      <c r="N99" t="s">
        <v>662</v>
      </c>
    </row>
    <row r="100" spans="2:14" x14ac:dyDescent="0.2">
      <c r="B100">
        <v>90</v>
      </c>
      <c r="C100" t="s">
        <v>1131</v>
      </c>
      <c r="D100">
        <v>6</v>
      </c>
      <c r="E100">
        <v>6.58</v>
      </c>
      <c r="F100">
        <v>8.61</v>
      </c>
      <c r="G100">
        <v>7.18</v>
      </c>
      <c r="I100">
        <v>222.2</v>
      </c>
      <c r="J100">
        <v>6.3</v>
      </c>
      <c r="K100">
        <v>0.06</v>
      </c>
      <c r="L100">
        <v>6.22</v>
      </c>
      <c r="M100">
        <v>0.06</v>
      </c>
      <c r="N100" t="s">
        <v>641</v>
      </c>
    </row>
    <row r="101" spans="2:14" x14ac:dyDescent="0.2">
      <c r="B101">
        <v>91</v>
      </c>
      <c r="C101" t="s">
        <v>1132</v>
      </c>
      <c r="D101">
        <v>6</v>
      </c>
      <c r="E101">
        <v>6.55</v>
      </c>
      <c r="F101">
        <v>8.65</v>
      </c>
      <c r="G101">
        <v>7.18</v>
      </c>
      <c r="I101">
        <v>222.2</v>
      </c>
      <c r="J101">
        <v>6.53</v>
      </c>
      <c r="K101">
        <v>0.1</v>
      </c>
      <c r="L101">
        <v>6.34</v>
      </c>
      <c r="M101">
        <v>7.0000000000000007E-2</v>
      </c>
      <c r="N101" t="s">
        <v>641</v>
      </c>
    </row>
    <row r="102" spans="2:14" x14ac:dyDescent="0.2">
      <c r="B102">
        <v>92</v>
      </c>
      <c r="C102" t="s">
        <v>1133</v>
      </c>
      <c r="D102">
        <v>6</v>
      </c>
      <c r="E102">
        <v>6.64</v>
      </c>
      <c r="F102">
        <v>8.57</v>
      </c>
      <c r="G102">
        <v>7.18</v>
      </c>
      <c r="I102">
        <v>222.9</v>
      </c>
      <c r="J102">
        <v>6.45</v>
      </c>
      <c r="K102">
        <v>0.01</v>
      </c>
      <c r="L102">
        <v>6.33</v>
      </c>
      <c r="M102">
        <v>0.08</v>
      </c>
      <c r="N102" t="s">
        <v>641</v>
      </c>
    </row>
    <row r="103" spans="2:14" x14ac:dyDescent="0.2">
      <c r="B103">
        <v>93</v>
      </c>
      <c r="C103" t="s">
        <v>1134</v>
      </c>
      <c r="D103">
        <v>6</v>
      </c>
      <c r="E103">
        <v>6.22</v>
      </c>
      <c r="F103">
        <v>8.57</v>
      </c>
      <c r="G103">
        <v>7.05</v>
      </c>
      <c r="I103">
        <v>221.7</v>
      </c>
      <c r="J103">
        <v>6.23</v>
      </c>
      <c r="K103">
        <v>0.02</v>
      </c>
      <c r="L103">
        <v>6.15</v>
      </c>
      <c r="M103">
        <v>7.0000000000000007E-2</v>
      </c>
      <c r="N103" t="s">
        <v>641</v>
      </c>
    </row>
    <row r="104" spans="2:14" x14ac:dyDescent="0.2">
      <c r="B104">
        <v>94</v>
      </c>
      <c r="C104" t="s">
        <v>1135</v>
      </c>
      <c r="D104">
        <v>6</v>
      </c>
      <c r="E104">
        <v>6.83</v>
      </c>
      <c r="F104">
        <v>8.58</v>
      </c>
      <c r="G104">
        <v>7.31</v>
      </c>
      <c r="I104">
        <v>223</v>
      </c>
      <c r="J104">
        <v>6.66</v>
      </c>
      <c r="K104">
        <v>0.04</v>
      </c>
      <c r="L104">
        <v>6.51</v>
      </c>
      <c r="M104">
        <v>0.06</v>
      </c>
      <c r="N104" t="s">
        <v>663</v>
      </c>
    </row>
    <row r="105" spans="2:14" x14ac:dyDescent="0.2">
      <c r="B105">
        <v>95</v>
      </c>
      <c r="C105" t="s">
        <v>1136</v>
      </c>
      <c r="D105">
        <v>6</v>
      </c>
      <c r="E105">
        <v>6.82</v>
      </c>
      <c r="F105">
        <v>8.6</v>
      </c>
      <c r="G105">
        <v>7.31</v>
      </c>
      <c r="I105">
        <v>223.3</v>
      </c>
      <c r="J105">
        <v>6.96</v>
      </c>
      <c r="K105">
        <v>0.06</v>
      </c>
      <c r="L105">
        <v>6.76</v>
      </c>
      <c r="M105">
        <v>0.05</v>
      </c>
      <c r="N105" t="s">
        <v>664</v>
      </c>
    </row>
    <row r="106" spans="2:14" x14ac:dyDescent="0.2">
      <c r="B106">
        <v>96</v>
      </c>
      <c r="C106" t="s">
        <v>1137</v>
      </c>
      <c r="D106">
        <v>6</v>
      </c>
      <c r="E106">
        <v>6.89</v>
      </c>
      <c r="F106">
        <v>8.51</v>
      </c>
      <c r="G106">
        <v>7.31</v>
      </c>
      <c r="I106">
        <v>223.7</v>
      </c>
      <c r="J106">
        <v>6.81</v>
      </c>
      <c r="K106">
        <v>0.06</v>
      </c>
      <c r="L106">
        <v>6.7</v>
      </c>
      <c r="M106">
        <v>0.06</v>
      </c>
      <c r="N106" t="s">
        <v>641</v>
      </c>
    </row>
    <row r="107" spans="2:14" x14ac:dyDescent="0.2">
      <c r="B107">
        <v>97</v>
      </c>
      <c r="C107" t="s">
        <v>1138</v>
      </c>
      <c r="D107">
        <v>6</v>
      </c>
      <c r="E107">
        <v>6.64</v>
      </c>
      <c r="F107">
        <v>8.5299999999999994</v>
      </c>
      <c r="G107">
        <v>7.18</v>
      </c>
      <c r="I107">
        <v>222.9</v>
      </c>
      <c r="J107">
        <v>6.52</v>
      </c>
      <c r="K107">
        <v>0.01</v>
      </c>
      <c r="L107">
        <v>6.45</v>
      </c>
      <c r="M107">
        <v>7.0000000000000007E-2</v>
      </c>
      <c r="N107" t="s">
        <v>665</v>
      </c>
    </row>
    <row r="108" spans="2:14" x14ac:dyDescent="0.2">
      <c r="B108">
        <v>98</v>
      </c>
      <c r="C108" t="s">
        <v>1139</v>
      </c>
      <c r="D108">
        <v>6</v>
      </c>
      <c r="E108">
        <v>6.92</v>
      </c>
      <c r="F108">
        <v>8.5</v>
      </c>
      <c r="G108">
        <v>7.31</v>
      </c>
      <c r="I108">
        <v>223.5</v>
      </c>
      <c r="J108">
        <v>6.81</v>
      </c>
      <c r="K108">
        <v>0.06</v>
      </c>
      <c r="L108">
        <v>6.7</v>
      </c>
      <c r="M108">
        <v>0.06</v>
      </c>
      <c r="N108" t="s">
        <v>666</v>
      </c>
    </row>
    <row r="109" spans="2:14" x14ac:dyDescent="0.2">
      <c r="B109">
        <v>99</v>
      </c>
      <c r="C109" t="s">
        <v>1140</v>
      </c>
      <c r="D109">
        <v>6</v>
      </c>
      <c r="E109">
        <v>6.41</v>
      </c>
      <c r="F109">
        <v>8.73</v>
      </c>
      <c r="G109">
        <v>6.99</v>
      </c>
      <c r="I109">
        <v>223.6</v>
      </c>
      <c r="J109">
        <v>6.56</v>
      </c>
      <c r="K109">
        <v>0.15</v>
      </c>
      <c r="L109">
        <v>6.61</v>
      </c>
      <c r="M109">
        <v>0.24</v>
      </c>
      <c r="N109" t="s">
        <v>667</v>
      </c>
    </row>
    <row r="110" spans="2:14" x14ac:dyDescent="0.2">
      <c r="B110">
        <v>100</v>
      </c>
      <c r="C110" t="s">
        <v>1141</v>
      </c>
      <c r="D110">
        <v>6</v>
      </c>
      <c r="E110">
        <v>7.18</v>
      </c>
      <c r="F110">
        <v>8.6</v>
      </c>
      <c r="G110">
        <v>7.29</v>
      </c>
      <c r="I110">
        <v>221.8</v>
      </c>
      <c r="J110">
        <v>6.52</v>
      </c>
      <c r="K110">
        <v>7.0000000000000007E-2</v>
      </c>
      <c r="L110">
        <v>6.38</v>
      </c>
      <c r="M110">
        <v>0.11</v>
      </c>
      <c r="N110" t="s">
        <v>668</v>
      </c>
    </row>
    <row r="111" spans="2:14" x14ac:dyDescent="0.2">
      <c r="B111">
        <v>101</v>
      </c>
      <c r="C111" t="s">
        <v>1142</v>
      </c>
      <c r="D111">
        <v>6</v>
      </c>
      <c r="E111">
        <v>7.02</v>
      </c>
      <c r="F111">
        <v>8.64</v>
      </c>
      <c r="G111">
        <v>7.31</v>
      </c>
      <c r="I111">
        <v>221.6</v>
      </c>
      <c r="J111">
        <v>6.67</v>
      </c>
      <c r="K111">
        <v>0.03</v>
      </c>
      <c r="L111">
        <v>6.55</v>
      </c>
      <c r="M111">
        <v>0.1</v>
      </c>
      <c r="N111" t="s">
        <v>641</v>
      </c>
    </row>
    <row r="112" spans="2:14" x14ac:dyDescent="0.2">
      <c r="B112">
        <v>102</v>
      </c>
      <c r="C112" t="s">
        <v>1143</v>
      </c>
      <c r="D112">
        <v>6</v>
      </c>
      <c r="E112">
        <v>6.99</v>
      </c>
      <c r="F112">
        <v>8.56</v>
      </c>
      <c r="G112">
        <v>7.31</v>
      </c>
      <c r="I112">
        <v>221.5</v>
      </c>
      <c r="J112">
        <v>6.63</v>
      </c>
      <c r="K112">
        <v>0.04</v>
      </c>
      <c r="L112">
        <v>6.51</v>
      </c>
      <c r="M112">
        <v>0.06</v>
      </c>
      <c r="N112" t="s">
        <v>641</v>
      </c>
    </row>
    <row r="113" spans="2:14" x14ac:dyDescent="0.2">
      <c r="B113">
        <v>103</v>
      </c>
      <c r="C113" t="s">
        <v>1144</v>
      </c>
      <c r="D113">
        <v>7</v>
      </c>
      <c r="E113">
        <v>7.11</v>
      </c>
      <c r="F113">
        <v>9.5</v>
      </c>
      <c r="G113">
        <v>7.72</v>
      </c>
      <c r="I113">
        <v>234.1</v>
      </c>
      <c r="J113">
        <v>6.76</v>
      </c>
      <c r="K113">
        <v>0.02</v>
      </c>
      <c r="L113">
        <v>6.67</v>
      </c>
      <c r="M113">
        <v>0.1</v>
      </c>
      <c r="N113" t="s">
        <v>641</v>
      </c>
    </row>
    <row r="114" spans="2:14" x14ac:dyDescent="0.2">
      <c r="B114">
        <v>104</v>
      </c>
      <c r="C114" t="s">
        <v>1145</v>
      </c>
      <c r="D114">
        <v>7</v>
      </c>
      <c r="E114">
        <v>7.33</v>
      </c>
      <c r="F114">
        <v>9.42</v>
      </c>
      <c r="G114">
        <v>7.72</v>
      </c>
      <c r="I114">
        <v>235.1</v>
      </c>
      <c r="J114">
        <v>6.51</v>
      </c>
      <c r="K114">
        <v>0.13</v>
      </c>
      <c r="L114">
        <v>6.52</v>
      </c>
      <c r="M114">
        <v>0.13</v>
      </c>
      <c r="N114" t="s">
        <v>641</v>
      </c>
    </row>
    <row r="115" spans="2:14" x14ac:dyDescent="0.2">
      <c r="B115">
        <v>105</v>
      </c>
      <c r="C115" t="s">
        <v>1146</v>
      </c>
      <c r="D115">
        <v>7</v>
      </c>
      <c r="E115">
        <v>7.11</v>
      </c>
      <c r="F115">
        <v>9.44</v>
      </c>
      <c r="G115">
        <v>7.61</v>
      </c>
      <c r="I115">
        <v>234</v>
      </c>
      <c r="J115">
        <v>7.04</v>
      </c>
      <c r="K115">
        <v>0.04</v>
      </c>
      <c r="L115">
        <v>6.79</v>
      </c>
      <c r="M115">
        <v>7.0000000000000007E-2</v>
      </c>
      <c r="N115" t="s">
        <v>641</v>
      </c>
    </row>
    <row r="116" spans="2:14" x14ac:dyDescent="0.2">
      <c r="B116">
        <v>106</v>
      </c>
      <c r="C116" t="s">
        <v>1147</v>
      </c>
      <c r="D116">
        <v>7</v>
      </c>
      <c r="E116">
        <v>7.08</v>
      </c>
      <c r="F116">
        <v>9.42</v>
      </c>
      <c r="G116">
        <v>7.61</v>
      </c>
      <c r="I116">
        <v>234</v>
      </c>
      <c r="J116">
        <v>7.07</v>
      </c>
      <c r="K116">
        <v>0.06</v>
      </c>
      <c r="L116">
        <v>6.84</v>
      </c>
      <c r="M116">
        <v>7.0000000000000007E-2</v>
      </c>
      <c r="N116" t="s">
        <v>641</v>
      </c>
    </row>
    <row r="117" spans="2:14" x14ac:dyDescent="0.2">
      <c r="B117">
        <v>107</v>
      </c>
      <c r="C117" t="s">
        <v>1148</v>
      </c>
      <c r="D117">
        <v>7</v>
      </c>
      <c r="E117">
        <v>7.14</v>
      </c>
      <c r="F117">
        <v>9.35</v>
      </c>
      <c r="G117">
        <v>7.61</v>
      </c>
      <c r="I117">
        <v>234.7</v>
      </c>
      <c r="J117">
        <v>6.99</v>
      </c>
      <c r="K117">
        <v>0.06</v>
      </c>
      <c r="L117">
        <v>6.82</v>
      </c>
      <c r="M117">
        <v>0.02</v>
      </c>
      <c r="N117" t="s">
        <v>641</v>
      </c>
    </row>
    <row r="118" spans="2:14" x14ac:dyDescent="0.2">
      <c r="B118">
        <v>108</v>
      </c>
      <c r="C118" t="s">
        <v>1149</v>
      </c>
      <c r="D118">
        <v>7</v>
      </c>
      <c r="E118">
        <v>7.36</v>
      </c>
      <c r="F118">
        <v>9.41</v>
      </c>
      <c r="G118">
        <v>7.72</v>
      </c>
      <c r="I118">
        <v>234.9</v>
      </c>
      <c r="J118">
        <v>7.2</v>
      </c>
      <c r="K118">
        <v>0.1</v>
      </c>
      <c r="L118">
        <v>7.02</v>
      </c>
      <c r="M118">
        <v>7.0000000000000007E-2</v>
      </c>
      <c r="N118" t="s">
        <v>669</v>
      </c>
    </row>
    <row r="119" spans="2:14" x14ac:dyDescent="0.2">
      <c r="B119">
        <v>109</v>
      </c>
      <c r="C119" t="s">
        <v>1150</v>
      </c>
      <c r="D119">
        <v>7</v>
      </c>
      <c r="E119">
        <v>7.2</v>
      </c>
      <c r="F119">
        <v>9.42</v>
      </c>
      <c r="G119">
        <v>7.61</v>
      </c>
      <c r="I119">
        <v>234.6</v>
      </c>
      <c r="J119">
        <v>7.14</v>
      </c>
      <c r="K119">
        <v>0.05</v>
      </c>
      <c r="L119">
        <v>6.98</v>
      </c>
      <c r="M119">
        <v>0.04</v>
      </c>
      <c r="N119" t="s">
        <v>641</v>
      </c>
    </row>
    <row r="120" spans="2:14" x14ac:dyDescent="0.2">
      <c r="B120">
        <v>110</v>
      </c>
      <c r="C120" t="s">
        <v>1151</v>
      </c>
      <c r="D120">
        <v>7</v>
      </c>
      <c r="E120">
        <v>7.11</v>
      </c>
      <c r="F120">
        <v>9.5299999999999994</v>
      </c>
      <c r="G120">
        <v>7.61</v>
      </c>
      <c r="I120">
        <v>234.4</v>
      </c>
      <c r="J120">
        <v>6.98</v>
      </c>
      <c r="K120">
        <v>0.06</v>
      </c>
      <c r="L120">
        <v>6.84</v>
      </c>
      <c r="M120">
        <v>0.08</v>
      </c>
      <c r="N120" t="s">
        <v>641</v>
      </c>
    </row>
    <row r="121" spans="2:14" x14ac:dyDescent="0.2">
      <c r="B121">
        <v>111</v>
      </c>
      <c r="C121" t="s">
        <v>1152</v>
      </c>
      <c r="D121">
        <v>7</v>
      </c>
      <c r="E121">
        <v>7.52</v>
      </c>
      <c r="F121">
        <v>9.5500000000000007</v>
      </c>
      <c r="G121">
        <v>7.72</v>
      </c>
      <c r="I121">
        <v>234</v>
      </c>
      <c r="J121">
        <v>7.1</v>
      </c>
      <c r="K121">
        <v>0.06</v>
      </c>
      <c r="L121">
        <v>6.98</v>
      </c>
      <c r="M121">
        <v>0.06</v>
      </c>
      <c r="N121" t="s">
        <v>641</v>
      </c>
    </row>
    <row r="122" spans="2:14" x14ac:dyDescent="0.2">
      <c r="B122">
        <v>112</v>
      </c>
      <c r="C122" t="s">
        <v>1153</v>
      </c>
      <c r="D122">
        <v>8</v>
      </c>
      <c r="E122">
        <v>7.8</v>
      </c>
      <c r="F122">
        <v>10.29</v>
      </c>
      <c r="G122">
        <v>8.1199999999999992</v>
      </c>
      <c r="I122">
        <v>246.3</v>
      </c>
      <c r="J122">
        <v>7.41</v>
      </c>
      <c r="K122">
        <v>0.19</v>
      </c>
      <c r="L122">
        <v>7.25</v>
      </c>
      <c r="M122">
        <v>0.09</v>
      </c>
      <c r="N122" t="s">
        <v>641</v>
      </c>
    </row>
    <row r="123" spans="2:14" x14ac:dyDescent="0.2">
      <c r="B123">
        <v>113</v>
      </c>
      <c r="C123" t="s">
        <v>1154</v>
      </c>
      <c r="D123">
        <v>8</v>
      </c>
      <c r="E123">
        <v>7.56</v>
      </c>
      <c r="F123">
        <v>10.42</v>
      </c>
      <c r="G123">
        <v>8.0399999999999991</v>
      </c>
      <c r="I123">
        <v>245.5</v>
      </c>
      <c r="J123">
        <v>7.38</v>
      </c>
      <c r="K123">
        <v>0.14000000000000001</v>
      </c>
      <c r="L123">
        <v>7.15</v>
      </c>
      <c r="M123">
        <v>0.08</v>
      </c>
      <c r="N123" t="s">
        <v>641</v>
      </c>
    </row>
    <row r="124" spans="2:14" x14ac:dyDescent="0.2">
      <c r="B124">
        <v>114</v>
      </c>
      <c r="C124" t="s">
        <v>1155</v>
      </c>
      <c r="D124">
        <v>8</v>
      </c>
      <c r="E124">
        <v>7.3</v>
      </c>
      <c r="F124">
        <v>10.32</v>
      </c>
      <c r="G124">
        <v>8</v>
      </c>
      <c r="I124">
        <v>245.6</v>
      </c>
      <c r="J124">
        <v>6.8</v>
      </c>
      <c r="K124">
        <v>0.1</v>
      </c>
      <c r="L124">
        <v>6.83</v>
      </c>
      <c r="M124">
        <v>0.12</v>
      </c>
      <c r="N124" t="s">
        <v>641</v>
      </c>
    </row>
    <row r="125" spans="2:14" x14ac:dyDescent="0.2">
      <c r="B125">
        <v>115</v>
      </c>
      <c r="C125" t="s">
        <v>1156</v>
      </c>
      <c r="D125">
        <v>8</v>
      </c>
      <c r="E125">
        <v>7.2</v>
      </c>
      <c r="F125">
        <v>10.220000000000001</v>
      </c>
      <c r="G125">
        <v>8.0399999999999991</v>
      </c>
      <c r="I125">
        <v>246.2</v>
      </c>
      <c r="J125">
        <v>6.83</v>
      </c>
      <c r="K125">
        <v>7.0000000000000007E-2</v>
      </c>
      <c r="L125">
        <v>6.76</v>
      </c>
      <c r="M125">
        <v>0.12</v>
      </c>
      <c r="N125" t="s">
        <v>641</v>
      </c>
    </row>
    <row r="126" spans="2:14" x14ac:dyDescent="0.2">
      <c r="B126">
        <v>116</v>
      </c>
      <c r="C126" t="s">
        <v>1157</v>
      </c>
      <c r="D126">
        <v>8</v>
      </c>
      <c r="E126">
        <v>7.62</v>
      </c>
      <c r="F126">
        <v>10.24</v>
      </c>
      <c r="G126">
        <v>8</v>
      </c>
      <c r="I126">
        <v>245.5</v>
      </c>
      <c r="J126">
        <v>7.45</v>
      </c>
      <c r="K126">
        <v>0.15</v>
      </c>
      <c r="L126">
        <v>7.26</v>
      </c>
      <c r="M126">
        <v>0.06</v>
      </c>
      <c r="N126" t="s">
        <v>641</v>
      </c>
    </row>
    <row r="127" spans="2:14" x14ac:dyDescent="0.2">
      <c r="B127">
        <v>117</v>
      </c>
      <c r="C127" t="s">
        <v>1158</v>
      </c>
      <c r="D127">
        <v>8</v>
      </c>
      <c r="E127">
        <v>7.24</v>
      </c>
      <c r="F127">
        <v>10.18</v>
      </c>
      <c r="G127">
        <v>8</v>
      </c>
      <c r="I127">
        <v>245.3</v>
      </c>
      <c r="J127">
        <v>7.12</v>
      </c>
      <c r="K127">
        <v>0.1</v>
      </c>
      <c r="L127">
        <v>7.09</v>
      </c>
      <c r="M127">
        <v>0.09</v>
      </c>
      <c r="N127" t="s">
        <v>641</v>
      </c>
    </row>
    <row r="128" spans="2:14" x14ac:dyDescent="0.2">
      <c r="B128">
        <v>118</v>
      </c>
      <c r="C128" t="s">
        <v>1159</v>
      </c>
      <c r="D128">
        <v>8</v>
      </c>
      <c r="E128">
        <v>8</v>
      </c>
      <c r="F128">
        <v>10.35</v>
      </c>
      <c r="G128">
        <v>8.1199999999999992</v>
      </c>
      <c r="I128">
        <v>244.8</v>
      </c>
      <c r="J128">
        <v>7.15</v>
      </c>
      <c r="K128">
        <v>0.13</v>
      </c>
      <c r="L128">
        <v>7.19</v>
      </c>
      <c r="M128">
        <v>0.1</v>
      </c>
      <c r="N128" t="s">
        <v>641</v>
      </c>
    </row>
    <row r="129" spans="2:14" x14ac:dyDescent="0.2">
      <c r="B129">
        <v>119</v>
      </c>
      <c r="C129" t="s">
        <v>1160</v>
      </c>
      <c r="D129">
        <v>9</v>
      </c>
      <c r="E129">
        <v>8.09</v>
      </c>
      <c r="F129">
        <v>11.23</v>
      </c>
      <c r="G129">
        <v>8.4700000000000006</v>
      </c>
      <c r="I129">
        <v>257.39999999999998</v>
      </c>
      <c r="J129">
        <v>7.56</v>
      </c>
      <c r="K129">
        <v>0.28000000000000003</v>
      </c>
      <c r="L129">
        <v>7.43</v>
      </c>
      <c r="M129">
        <v>0.01</v>
      </c>
      <c r="N129" t="s">
        <v>641</v>
      </c>
    </row>
    <row r="130" spans="2:14" x14ac:dyDescent="0.2">
      <c r="B130">
        <v>120</v>
      </c>
      <c r="C130" t="s">
        <v>1161</v>
      </c>
      <c r="D130">
        <v>9</v>
      </c>
      <c r="E130">
        <v>7.74</v>
      </c>
      <c r="F130">
        <v>11.25</v>
      </c>
      <c r="G130">
        <v>8.4700000000000006</v>
      </c>
      <c r="I130">
        <v>257</v>
      </c>
      <c r="J130">
        <v>6.87</v>
      </c>
      <c r="K130">
        <v>0.09</v>
      </c>
      <c r="L130">
        <v>6.93</v>
      </c>
      <c r="M130">
        <v>0.1</v>
      </c>
      <c r="N130" t="s">
        <v>641</v>
      </c>
    </row>
    <row r="131" spans="2:14" x14ac:dyDescent="0.2">
      <c r="B131">
        <v>121</v>
      </c>
      <c r="C131" t="s">
        <v>1162</v>
      </c>
      <c r="D131">
        <v>9</v>
      </c>
      <c r="E131">
        <v>7.71</v>
      </c>
      <c r="F131">
        <v>11.19</v>
      </c>
      <c r="G131">
        <v>8.4700000000000006</v>
      </c>
      <c r="I131">
        <v>256.89999999999998</v>
      </c>
      <c r="J131">
        <v>7.05</v>
      </c>
      <c r="K131">
        <v>0.18</v>
      </c>
      <c r="L131">
        <v>7.07</v>
      </c>
      <c r="M131">
        <v>0.12</v>
      </c>
      <c r="N131" t="s">
        <v>641</v>
      </c>
    </row>
    <row r="132" spans="2:14" x14ac:dyDescent="0.2">
      <c r="B132">
        <v>122</v>
      </c>
      <c r="C132" t="s">
        <v>1163</v>
      </c>
      <c r="J132">
        <v>4.1399999999999997</v>
      </c>
      <c r="K132">
        <v>0.02</v>
      </c>
      <c r="L132">
        <v>4.3499999999999996</v>
      </c>
      <c r="M132">
        <v>0.06</v>
      </c>
      <c r="N132" t="s">
        <v>641</v>
      </c>
    </row>
    <row r="133" spans="2:14" x14ac:dyDescent="0.2">
      <c r="B133">
        <v>123</v>
      </c>
      <c r="C133" t="s">
        <v>1164</v>
      </c>
      <c r="J133">
        <v>4.5999999999999996</v>
      </c>
      <c r="K133">
        <v>0.03</v>
      </c>
      <c r="L133">
        <v>4.82</v>
      </c>
      <c r="M133">
        <v>7.0000000000000007E-2</v>
      </c>
      <c r="N133" t="s">
        <v>641</v>
      </c>
    </row>
    <row r="134" spans="2:14" x14ac:dyDescent="0.2">
      <c r="B134">
        <v>124</v>
      </c>
      <c r="C134" t="s">
        <v>1165</v>
      </c>
      <c r="J134">
        <v>4.57</v>
      </c>
      <c r="K134">
        <v>0.03</v>
      </c>
      <c r="L134">
        <v>4.8</v>
      </c>
      <c r="M134">
        <v>0.09</v>
      </c>
      <c r="N134" t="s">
        <v>641</v>
      </c>
    </row>
    <row r="135" spans="2:14" x14ac:dyDescent="0.2">
      <c r="B135">
        <v>125</v>
      </c>
      <c r="C135" t="s">
        <v>1166</v>
      </c>
      <c r="J135">
        <v>4.71</v>
      </c>
      <c r="K135">
        <v>0.02</v>
      </c>
      <c r="L135">
        <v>4.91</v>
      </c>
      <c r="M135">
        <v>0.08</v>
      </c>
      <c r="N135" t="s">
        <v>641</v>
      </c>
    </row>
    <row r="136" spans="2:14" x14ac:dyDescent="0.2">
      <c r="B136">
        <v>126</v>
      </c>
      <c r="C136" t="s">
        <v>1167</v>
      </c>
      <c r="J136">
        <v>4.95</v>
      </c>
      <c r="K136">
        <v>0.03</v>
      </c>
      <c r="L136">
        <v>5.16</v>
      </c>
      <c r="M136">
        <v>7.0000000000000007E-2</v>
      </c>
      <c r="N136" t="s">
        <v>641</v>
      </c>
    </row>
    <row r="137" spans="2:14" x14ac:dyDescent="0.2">
      <c r="B137">
        <v>127</v>
      </c>
      <c r="C137" t="s">
        <v>1168</v>
      </c>
      <c r="J137" t="s">
        <v>616</v>
      </c>
      <c r="L137" t="s">
        <v>617</v>
      </c>
      <c r="N137" t="s">
        <v>670</v>
      </c>
    </row>
    <row r="138" spans="2:14" x14ac:dyDescent="0.2">
      <c r="B138">
        <v>128</v>
      </c>
      <c r="C138" t="s">
        <v>1169</v>
      </c>
      <c r="J138">
        <v>5.26</v>
      </c>
      <c r="K138">
        <v>0.02</v>
      </c>
      <c r="L138">
        <v>5.45</v>
      </c>
      <c r="M138">
        <v>0.06</v>
      </c>
      <c r="N138" t="s">
        <v>641</v>
      </c>
    </row>
    <row r="139" spans="2:14" x14ac:dyDescent="0.2">
      <c r="B139">
        <v>129</v>
      </c>
      <c r="C139" t="s">
        <v>1170</v>
      </c>
      <c r="J139">
        <v>5.61</v>
      </c>
      <c r="K139">
        <v>0.02</v>
      </c>
      <c r="L139">
        <v>5.76</v>
      </c>
      <c r="M139">
        <v>7.0000000000000007E-2</v>
      </c>
      <c r="N139" t="s">
        <v>641</v>
      </c>
    </row>
    <row r="140" spans="2:14" x14ac:dyDescent="0.2">
      <c r="B140">
        <v>130</v>
      </c>
      <c r="C140" t="s">
        <v>1171</v>
      </c>
      <c r="J140">
        <v>5.43</v>
      </c>
      <c r="K140">
        <v>0.02</v>
      </c>
      <c r="L140">
        <v>5.59</v>
      </c>
      <c r="M140">
        <v>7.0000000000000007E-2</v>
      </c>
      <c r="N140" t="s">
        <v>641</v>
      </c>
    </row>
    <row r="141" spans="2:14" x14ac:dyDescent="0.2">
      <c r="B141">
        <v>131</v>
      </c>
      <c r="C141" t="s">
        <v>1172</v>
      </c>
      <c r="J141">
        <v>5.94</v>
      </c>
      <c r="K141">
        <v>0.05</v>
      </c>
      <c r="L141">
        <v>6.1</v>
      </c>
      <c r="M141">
        <v>0.06</v>
      </c>
      <c r="N141" t="s">
        <v>641</v>
      </c>
    </row>
    <row r="142" spans="2:14" x14ac:dyDescent="0.2">
      <c r="B142">
        <v>132</v>
      </c>
      <c r="C142" t="s">
        <v>1173</v>
      </c>
      <c r="J142">
        <v>5.76</v>
      </c>
      <c r="K142">
        <v>0.03</v>
      </c>
      <c r="L142">
        <v>5.85</v>
      </c>
      <c r="M142">
        <v>7.0000000000000007E-2</v>
      </c>
      <c r="N142" t="s">
        <v>641</v>
      </c>
    </row>
    <row r="143" spans="2:14" x14ac:dyDescent="0.2">
      <c r="B143">
        <v>133</v>
      </c>
      <c r="C143" t="s">
        <v>1174</v>
      </c>
      <c r="J143">
        <v>5.78</v>
      </c>
      <c r="K143" t="s">
        <v>674</v>
      </c>
      <c r="L143">
        <v>5.81</v>
      </c>
      <c r="M143">
        <v>0.05</v>
      </c>
      <c r="N143" t="s">
        <v>641</v>
      </c>
    </row>
    <row r="144" spans="2:14" x14ac:dyDescent="0.2">
      <c r="B144">
        <v>134</v>
      </c>
      <c r="C144" t="s">
        <v>1175</v>
      </c>
      <c r="J144">
        <v>6.2</v>
      </c>
      <c r="K144">
        <v>0.02</v>
      </c>
      <c r="L144">
        <v>6.22</v>
      </c>
      <c r="M144">
        <v>0.04</v>
      </c>
      <c r="N144" t="s">
        <v>641</v>
      </c>
    </row>
    <row r="145" spans="2:14" x14ac:dyDescent="0.2">
      <c r="B145">
        <v>135</v>
      </c>
      <c r="C145" t="s">
        <v>1176</v>
      </c>
      <c r="J145">
        <v>6.51</v>
      </c>
      <c r="K145">
        <v>0.03</v>
      </c>
      <c r="L145">
        <v>6.41</v>
      </c>
      <c r="M145">
        <v>0.09</v>
      </c>
      <c r="N145" t="s">
        <v>641</v>
      </c>
    </row>
    <row r="146" spans="2:14" x14ac:dyDescent="0.2">
      <c r="B146">
        <v>136</v>
      </c>
      <c r="C146" t="s">
        <v>1177</v>
      </c>
      <c r="J146" t="s">
        <v>616</v>
      </c>
      <c r="L146" t="s">
        <v>618</v>
      </c>
      <c r="N146" t="s">
        <v>671</v>
      </c>
    </row>
    <row r="147" spans="2:14" x14ac:dyDescent="0.2">
      <c r="B147">
        <v>137</v>
      </c>
      <c r="C147" t="s">
        <v>1178</v>
      </c>
      <c r="J147" t="s">
        <v>616</v>
      </c>
      <c r="L147" t="s">
        <v>619</v>
      </c>
      <c r="N147" t="s">
        <v>672</v>
      </c>
    </row>
    <row r="148" spans="2:14" x14ac:dyDescent="0.2">
      <c r="B148">
        <v>138</v>
      </c>
      <c r="C148" t="s">
        <v>1179</v>
      </c>
      <c r="J148">
        <v>7.47</v>
      </c>
      <c r="K148">
        <v>0.14000000000000001</v>
      </c>
      <c r="L148">
        <v>7.47</v>
      </c>
      <c r="M148">
        <v>7.0000000000000007E-2</v>
      </c>
      <c r="N148" t="s">
        <v>641</v>
      </c>
    </row>
    <row r="149" spans="2:14" x14ac:dyDescent="0.2">
      <c r="B149">
        <v>139</v>
      </c>
      <c r="C149" t="s">
        <v>1180</v>
      </c>
      <c r="J149">
        <v>7.05</v>
      </c>
      <c r="K149">
        <v>7.0000000000000007E-2</v>
      </c>
      <c r="L149">
        <v>6.84</v>
      </c>
      <c r="M149">
        <v>7.0000000000000007E-2</v>
      </c>
      <c r="N149" t="s">
        <v>641</v>
      </c>
    </row>
    <row r="150" spans="2:14" x14ac:dyDescent="0.2">
      <c r="B150">
        <v>140</v>
      </c>
      <c r="C150" t="s">
        <v>1181</v>
      </c>
      <c r="J150">
        <v>7.12</v>
      </c>
      <c r="K150">
        <v>0.05</v>
      </c>
      <c r="L150">
        <v>6.95</v>
      </c>
      <c r="M150">
        <v>7.0000000000000007E-2</v>
      </c>
      <c r="N150" t="s">
        <v>641</v>
      </c>
    </row>
    <row r="151" spans="2:14" x14ac:dyDescent="0.2">
      <c r="B151">
        <v>141</v>
      </c>
      <c r="C151" t="s">
        <v>1182</v>
      </c>
      <c r="J151">
        <v>7.39</v>
      </c>
      <c r="K151">
        <v>0.16</v>
      </c>
      <c r="L151">
        <v>7.28</v>
      </c>
      <c r="M151">
        <v>0.08</v>
      </c>
      <c r="N151" t="s">
        <v>641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87"/>
  <sheetViews>
    <sheetView topLeftCell="J1" zoomScale="70" zoomScaleNormal="70" workbookViewId="0">
      <selection activeCell="Q6" sqref="Q6"/>
    </sheetView>
  </sheetViews>
  <sheetFormatPr defaultRowHeight="12.75" x14ac:dyDescent="0.2"/>
  <cols>
    <col min="1" max="1" width="13.5703125" style="33" customWidth="1"/>
    <col min="2" max="2" width="5.42578125" style="33" customWidth="1"/>
    <col min="3" max="8" width="9.140625" style="33"/>
    <col min="9" max="9" width="9.42578125" style="33" customWidth="1"/>
    <col min="10" max="14" width="9.140625" style="33"/>
    <col min="15" max="15" width="10.7109375" style="33" bestFit="1" customWidth="1"/>
    <col min="16" max="19" width="9.140625" style="33"/>
    <col min="20" max="23" width="8.28515625" style="33" customWidth="1"/>
    <col min="24" max="16384" width="9.140625" style="33"/>
  </cols>
  <sheetData>
    <row r="1" spans="1:26" x14ac:dyDescent="0.2">
      <c r="A1" s="31" t="s">
        <v>685</v>
      </c>
    </row>
    <row r="3" spans="1:26" x14ac:dyDescent="0.2">
      <c r="A3" s="142" t="s">
        <v>875</v>
      </c>
      <c r="B3" s="143"/>
      <c r="C3" s="143"/>
      <c r="D3" s="144"/>
      <c r="E3" s="142" t="s">
        <v>879</v>
      </c>
      <c r="F3" s="143"/>
      <c r="G3" s="143"/>
      <c r="H3" s="144"/>
      <c r="J3" s="142" t="s">
        <v>532</v>
      </c>
      <c r="K3" s="143"/>
      <c r="L3" s="143"/>
      <c r="M3" s="143"/>
      <c r="N3" s="143"/>
      <c r="O3" s="143"/>
      <c r="P3" s="143"/>
      <c r="Q3" s="143"/>
      <c r="R3" s="144"/>
      <c r="V3" s="33" t="s">
        <v>889</v>
      </c>
    </row>
    <row r="4" spans="1:26" x14ac:dyDescent="0.2">
      <c r="E4" s="73" t="s">
        <v>412</v>
      </c>
      <c r="F4" s="73" t="s">
        <v>413</v>
      </c>
      <c r="G4" s="73" t="s">
        <v>368</v>
      </c>
      <c r="H4" s="73"/>
      <c r="J4" s="73" t="s">
        <v>414</v>
      </c>
      <c r="K4" s="73" t="s">
        <v>886</v>
      </c>
      <c r="L4" s="73" t="s">
        <v>888</v>
      </c>
      <c r="M4" s="73" t="s">
        <v>415</v>
      </c>
      <c r="N4" s="73"/>
      <c r="O4" s="73" t="s">
        <v>397</v>
      </c>
      <c r="P4" s="73"/>
      <c r="Q4" s="73" t="s">
        <v>746</v>
      </c>
      <c r="R4" s="73"/>
      <c r="V4" s="152" t="s">
        <v>20</v>
      </c>
      <c r="W4" s="152" t="s">
        <v>98</v>
      </c>
      <c r="X4" s="152" t="s">
        <v>91</v>
      </c>
      <c r="Y4" s="152" t="s">
        <v>99</v>
      </c>
      <c r="Z4" s="152" t="s">
        <v>406</v>
      </c>
    </row>
    <row r="5" spans="1:26" x14ac:dyDescent="0.2">
      <c r="E5" s="73"/>
      <c r="F5" s="73"/>
      <c r="G5" s="73"/>
      <c r="H5" s="73"/>
      <c r="J5" s="73"/>
      <c r="K5" s="73"/>
      <c r="L5" s="73" t="s">
        <v>887</v>
      </c>
      <c r="M5" s="73"/>
      <c r="N5" s="73"/>
      <c r="O5" s="73"/>
      <c r="P5" s="73"/>
      <c r="Q5" s="73"/>
      <c r="R5" s="73"/>
    </row>
    <row r="6" spans="1:26" x14ac:dyDescent="0.2">
      <c r="E6" s="73"/>
      <c r="F6" s="73"/>
      <c r="G6" s="73" t="s">
        <v>416</v>
      </c>
      <c r="H6" s="73" t="s">
        <v>417</v>
      </c>
      <c r="J6" s="73"/>
      <c r="K6" s="73"/>
      <c r="L6" s="73">
        <f>SUM(V11:Y11)*1000</f>
        <v>1237.86963017571</v>
      </c>
      <c r="M6" s="73" t="s">
        <v>416</v>
      </c>
      <c r="N6" s="73" t="s">
        <v>417</v>
      </c>
      <c r="O6" s="73" t="s">
        <v>416</v>
      </c>
      <c r="P6" s="73" t="s">
        <v>417</v>
      </c>
      <c r="Q6" s="73" t="s">
        <v>416</v>
      </c>
      <c r="R6" s="73" t="s">
        <v>417</v>
      </c>
    </row>
    <row r="7" spans="1:26" x14ac:dyDescent="0.2">
      <c r="A7" s="33" t="s">
        <v>880</v>
      </c>
      <c r="E7" s="73" t="s">
        <v>418</v>
      </c>
      <c r="F7" s="73" t="s">
        <v>419</v>
      </c>
      <c r="G7" s="73" t="s">
        <v>420</v>
      </c>
      <c r="H7" s="73" t="s">
        <v>420</v>
      </c>
      <c r="J7" s="73" t="s">
        <v>393</v>
      </c>
      <c r="K7" s="73" t="s">
        <v>421</v>
      </c>
      <c r="L7" s="73"/>
      <c r="M7" s="73" t="s">
        <v>422</v>
      </c>
      <c r="N7" s="73" t="s">
        <v>422</v>
      </c>
      <c r="O7" s="73" t="s">
        <v>423</v>
      </c>
      <c r="P7" s="73" t="s">
        <v>423</v>
      </c>
      <c r="Q7" s="73"/>
      <c r="R7" s="73"/>
      <c r="T7" s="33" t="s">
        <v>410</v>
      </c>
      <c r="U7" s="33" t="s">
        <v>341</v>
      </c>
      <c r="V7" s="45">
        <v>118.24608258218545</v>
      </c>
      <c r="W7" s="45">
        <v>347.13722095075872</v>
      </c>
      <c r="X7" s="45">
        <v>380.17994441407546</v>
      </c>
      <c r="Y7" s="45">
        <v>364.79833707082673</v>
      </c>
      <c r="Z7" s="45">
        <f>4*(1/(1/V7+1/W7+1/X7+1/Y7))</f>
        <v>239.38880770433727</v>
      </c>
    </row>
    <row r="8" spans="1:26" x14ac:dyDescent="0.2">
      <c r="A8" s="33" t="s">
        <v>881</v>
      </c>
      <c r="B8" s="33" t="s">
        <v>882</v>
      </c>
      <c r="C8" s="48">
        <v>2.9999999999999997E-4</v>
      </c>
      <c r="D8" s="48">
        <v>4.8999999999999998E-4</v>
      </c>
      <c r="E8" s="33">
        <v>1.5</v>
      </c>
      <c r="F8" s="33">
        <v>7</v>
      </c>
      <c r="G8" s="33">
        <v>97</v>
      </c>
      <c r="H8" s="33">
        <v>113</v>
      </c>
      <c r="J8" s="33">
        <f t="shared" ref="J8:J13" si="0">1000*E8/$C$15/$C$16*(1-$C$17)</f>
        <v>1041.6666666666665</v>
      </c>
      <c r="M8" s="41">
        <f>G8*C$8/C$13/$F8</f>
        <v>5.2930386788276045E-2</v>
      </c>
      <c r="N8" s="41">
        <f>H8*D$8/D$13/$F8</f>
        <v>7.8682224991055746E-2</v>
      </c>
      <c r="O8" s="49">
        <f t="shared" ref="O8:P13" si="1">M8*C$12/$J8*10^8</f>
        <v>13.86157785970124</v>
      </c>
      <c r="P8" s="49">
        <f t="shared" si="1"/>
        <v>26.521306946225895</v>
      </c>
      <c r="T8" s="33" t="s">
        <v>43</v>
      </c>
      <c r="U8" s="33" t="s">
        <v>800</v>
      </c>
      <c r="V8" s="49">
        <v>92.14249284505685</v>
      </c>
      <c r="W8" s="49">
        <v>106.18666499232586</v>
      </c>
      <c r="X8" s="49">
        <v>106.18999905823263</v>
      </c>
      <c r="Y8" s="49">
        <v>106.18666499232586</v>
      </c>
    </row>
    <row r="9" spans="1:26" x14ac:dyDescent="0.2">
      <c r="A9" s="33" t="s">
        <v>405</v>
      </c>
      <c r="B9" s="33" t="s">
        <v>882</v>
      </c>
      <c r="C9" s="48">
        <f>SQRT(C8/PI())</f>
        <v>9.7720502380583985E-3</v>
      </c>
      <c r="D9" s="48">
        <f>SQRT(D8/PI())</f>
        <v>1.2488868813069397E-2</v>
      </c>
      <c r="E9" s="33">
        <v>1.5</v>
      </c>
      <c r="F9" s="33">
        <v>14</v>
      </c>
      <c r="G9" s="33">
        <v>164</v>
      </c>
      <c r="H9" s="33">
        <v>111</v>
      </c>
      <c r="J9" s="33">
        <f t="shared" si="0"/>
        <v>1041.6666666666665</v>
      </c>
      <c r="M9" s="103">
        <f>G9*C$8/C$13/(F9-F8)</f>
        <v>8.949055085852857E-2</v>
      </c>
      <c r="N9" s="103">
        <f>H9*D$8/D$13/(F9-F8)</f>
        <v>7.728961923900167E-2</v>
      </c>
      <c r="O9" s="49">
        <f t="shared" si="1"/>
        <v>23.436069783412403</v>
      </c>
      <c r="P9" s="49">
        <f t="shared" si="1"/>
        <v>26.051903283460838</v>
      </c>
      <c r="T9" s="33" t="s">
        <v>398</v>
      </c>
      <c r="U9" s="33" t="s">
        <v>890</v>
      </c>
      <c r="V9" s="49">
        <f>EXP(11.5-0.1351*V8^(2/3)+0.003*V8-10454/293)*60*60*24/10^-8</f>
        <v>22.84124906681966</v>
      </c>
      <c r="W9" s="49">
        <f>EXP(11.5-0.1351*W8^(2/3)+0.003*W8-10454/293)*60*60*24/10^-8</f>
        <v>18.125481395799369</v>
      </c>
      <c r="X9" s="49">
        <f>EXP(11.5-0.1351*X8^(2/3)+0.003*X8-10454/293)*60*60*24/10^-8</f>
        <v>18.124513322402702</v>
      </c>
      <c r="Y9" s="49">
        <f>EXP(11.5-0.1351*Y8^(2/3)+0.003*Y8-10454/293)*60*60*24/10^-8</f>
        <v>18.125481395799369</v>
      </c>
      <c r="Z9" s="45">
        <f>4*(1/(1/V9+1/W9+1/X9+1/Y9))</f>
        <v>19.11166724227003</v>
      </c>
    </row>
    <row r="10" spans="1:26" x14ac:dyDescent="0.2">
      <c r="A10" s="33" t="s">
        <v>407</v>
      </c>
      <c r="B10" s="33" t="s">
        <v>882</v>
      </c>
      <c r="C10" s="48">
        <f>2*C9</f>
        <v>1.9544100476116797E-2</v>
      </c>
      <c r="D10" s="48">
        <f>2*D9</f>
        <v>2.4977737626138793E-2</v>
      </c>
      <c r="E10" s="33">
        <v>1.5</v>
      </c>
      <c r="F10" s="33">
        <v>30</v>
      </c>
      <c r="G10" s="33">
        <v>272</v>
      </c>
      <c r="H10" s="33">
        <v>192</v>
      </c>
      <c r="J10" s="33">
        <f t="shared" si="0"/>
        <v>1041.6666666666665</v>
      </c>
      <c r="M10" s="103">
        <f>G10*C$8/C$13/(F10-F9)</f>
        <v>6.4935216781493291E-2</v>
      </c>
      <c r="N10" s="103">
        <f>H10*D$8/D$13/(F10-F9)</f>
        <v>5.8489441586271534E-2</v>
      </c>
      <c r="O10" s="49">
        <f t="shared" si="1"/>
        <v>17.005440879427294</v>
      </c>
      <c r="P10" s="49">
        <f t="shared" si="1"/>
        <v>19.714953836132526</v>
      </c>
      <c r="T10" s="33" t="s">
        <v>397</v>
      </c>
      <c r="U10" s="33" t="s">
        <v>890</v>
      </c>
      <c r="V10" s="49">
        <f>V9*V7</f>
        <v>2700.8882234354242</v>
      </c>
      <c r="W10" s="49">
        <f>W9*W7</f>
        <v>6292.0292401324723</v>
      </c>
      <c r="X10" s="49">
        <f>X9*X7</f>
        <v>6890.5764674432294</v>
      </c>
      <c r="Y10" s="49">
        <f>Y9*Y7</f>
        <v>6612.1454717958177</v>
      </c>
      <c r="Z10" s="49">
        <f>4*(1/(1/V10+1/W10+1/X10+1/Y10))</f>
        <v>4845.2993529172936</v>
      </c>
    </row>
    <row r="11" spans="1:26" x14ac:dyDescent="0.2">
      <c r="A11" s="33" t="s">
        <v>409</v>
      </c>
      <c r="B11" s="33" t="s">
        <v>882</v>
      </c>
      <c r="C11" s="48">
        <v>2.5000000000000001E-2</v>
      </c>
      <c r="D11" s="48">
        <v>3.2000000000000001E-2</v>
      </c>
      <c r="E11" s="33">
        <v>1.5</v>
      </c>
      <c r="F11" s="33">
        <v>37</v>
      </c>
      <c r="G11" s="33">
        <v>270</v>
      </c>
      <c r="H11" s="33">
        <v>214</v>
      </c>
      <c r="J11" s="33">
        <f t="shared" si="0"/>
        <v>1041.6666666666665</v>
      </c>
      <c r="M11" s="103">
        <f>G11*C$8/C$13/(F11-F10)</f>
        <v>0.14733200446221167</v>
      </c>
      <c r="N11" s="103">
        <f>H11*D$8/D$13/(F11-F10)</f>
        <v>0.149008815469787</v>
      </c>
      <c r="O11" s="49">
        <f t="shared" si="1"/>
        <v>38.583773423910671</v>
      </c>
      <c r="P11" s="49">
        <f t="shared" si="1"/>
        <v>50.226191915861442</v>
      </c>
      <c r="T11" s="33" t="s">
        <v>887</v>
      </c>
      <c r="U11" s="33" t="s">
        <v>342</v>
      </c>
      <c r="V11" s="33">
        <v>0.61059105234897149</v>
      </c>
      <c r="W11" s="33">
        <v>0.21893359574593291</v>
      </c>
      <c r="X11" s="33">
        <v>0.1974065205245514</v>
      </c>
      <c r="Y11" s="33">
        <v>0.21093846155625409</v>
      </c>
    </row>
    <row r="12" spans="1:26" x14ac:dyDescent="0.2">
      <c r="A12" s="33" t="s">
        <v>884</v>
      </c>
      <c r="B12" s="33" t="s">
        <v>882</v>
      </c>
      <c r="C12" s="48">
        <f>(C11-C10)/2</f>
        <v>2.7279497619416022E-3</v>
      </c>
      <c r="D12" s="48">
        <f>(D11-D10)/2</f>
        <v>3.5111311869306036E-3</v>
      </c>
      <c r="E12" s="33">
        <v>1.5</v>
      </c>
      <c r="F12" s="33">
        <v>44</v>
      </c>
      <c r="G12" s="33">
        <v>400</v>
      </c>
      <c r="H12" s="33">
        <v>300</v>
      </c>
      <c r="J12" s="33">
        <f t="shared" si="0"/>
        <v>1041.6666666666665</v>
      </c>
      <c r="M12" s="103">
        <f>G12*C$8/C$13/(F12-F11)</f>
        <v>0.21826963624031359</v>
      </c>
      <c r="N12" s="103">
        <f>H12*D$8/D$13/(F12-F11)</f>
        <v>0.20889086280811262</v>
      </c>
      <c r="O12" s="49">
        <f t="shared" si="1"/>
        <v>57.161145813200989</v>
      </c>
      <c r="P12" s="49">
        <f t="shared" si="1"/>
        <v>70.410549414759018</v>
      </c>
    </row>
    <row r="13" spans="1:26" x14ac:dyDescent="0.2">
      <c r="A13" s="33" t="s">
        <v>411</v>
      </c>
      <c r="B13" s="33" t="s">
        <v>883</v>
      </c>
      <c r="C13" s="33">
        <f>C11*PI()</f>
        <v>7.8539816339744828E-2</v>
      </c>
      <c r="D13" s="33">
        <f>D11*PI()</f>
        <v>0.10053096491487339</v>
      </c>
      <c r="E13" s="33">
        <v>1.5</v>
      </c>
      <c r="F13" s="33">
        <v>51</v>
      </c>
      <c r="G13" s="33">
        <v>700</v>
      </c>
      <c r="H13" s="33">
        <v>500</v>
      </c>
      <c r="J13" s="33">
        <f t="shared" si="0"/>
        <v>1041.6666666666665</v>
      </c>
      <c r="K13" s="99">
        <f>E13/E10</f>
        <v>1</v>
      </c>
      <c r="L13" s="99">
        <f>J13/L$6</f>
        <v>0.84149949338268093</v>
      </c>
      <c r="M13" s="103">
        <f>G13*C$8/C$13/(F13-F12)</f>
        <v>0.38197186342054884</v>
      </c>
      <c r="N13" s="103">
        <f>H13*D$8/D$13/(F13-F12)</f>
        <v>0.34815143801352105</v>
      </c>
      <c r="O13" s="49">
        <f>M13*C$12/$J13*10^8</f>
        <v>100.03200517310175</v>
      </c>
      <c r="P13" s="49">
        <f t="shared" si="1"/>
        <v>117.35091569126506</v>
      </c>
      <c r="Q13" s="99">
        <f>O13/O13</f>
        <v>1</v>
      </c>
      <c r="R13" s="99">
        <f>P13/P13</f>
        <v>1</v>
      </c>
    </row>
    <row r="14" spans="1:26" x14ac:dyDescent="0.2">
      <c r="M14" s="41"/>
      <c r="N14" s="41"/>
      <c r="O14" s="49"/>
      <c r="P14" s="49"/>
    </row>
    <row r="15" spans="1:26" x14ac:dyDescent="0.2">
      <c r="A15" s="33" t="s">
        <v>876</v>
      </c>
      <c r="B15" s="33" t="s">
        <v>878</v>
      </c>
      <c r="C15" s="33">
        <v>1.8</v>
      </c>
      <c r="E15" s="33">
        <v>1</v>
      </c>
      <c r="F15" s="33">
        <v>9</v>
      </c>
      <c r="G15" s="33">
        <v>0.17</v>
      </c>
      <c r="H15" s="33">
        <v>0.18</v>
      </c>
      <c r="J15" s="33">
        <f t="shared" ref="J15:J20" si="2">1000*E15/$C$15/$C$16*(1-$C$17)</f>
        <v>694.44444444444434</v>
      </c>
      <c r="M15" s="41">
        <f>G15*C$8/C$13/$F15</f>
        <v>7.2150240868325887E-5</v>
      </c>
      <c r="N15" s="41">
        <f>H15*D$8/D$13/$F15</f>
        <v>9.748240264378588E-5</v>
      </c>
      <c r="O15" s="49">
        <f t="shared" ref="O15:P19" si="3">M15*C$12/$J15*10^8</f>
        <v>2.8342401465712156E-2</v>
      </c>
      <c r="P15" s="49">
        <f t="shared" si="3"/>
        <v>4.9287384590331315E-2</v>
      </c>
    </row>
    <row r="16" spans="1:26" x14ac:dyDescent="0.2">
      <c r="A16" s="33" t="s">
        <v>877</v>
      </c>
      <c r="B16" s="33" t="s">
        <v>715</v>
      </c>
      <c r="C16" s="104">
        <v>0.2</v>
      </c>
      <c r="E16" s="33">
        <v>1</v>
      </c>
      <c r="F16" s="33">
        <v>17</v>
      </c>
      <c r="G16" s="33">
        <v>20</v>
      </c>
      <c r="H16" s="33">
        <v>0.22800000000000001</v>
      </c>
      <c r="J16" s="33">
        <f t="shared" si="2"/>
        <v>694.44444444444434</v>
      </c>
      <c r="K16" s="99"/>
      <c r="L16" s="99"/>
      <c r="M16" s="103">
        <f>G16*C$8/C$13/(F16-F15)</f>
        <v>9.5492965855137196E-3</v>
      </c>
      <c r="N16" s="103">
        <f>H16*D$8/D$13/(F16-F15)</f>
        <v>1.3891242376739489E-4</v>
      </c>
      <c r="O16" s="49">
        <f t="shared" si="3"/>
        <v>3.7512001939913149</v>
      </c>
      <c r="P16" s="49">
        <f t="shared" si="3"/>
        <v>7.0234523041222116E-2</v>
      </c>
    </row>
    <row r="17" spans="1:21" x14ac:dyDescent="0.2">
      <c r="A17" s="151" t="s">
        <v>885</v>
      </c>
      <c r="B17" s="33" t="s">
        <v>715</v>
      </c>
      <c r="C17" s="104">
        <v>0.75</v>
      </c>
      <c r="E17" s="33">
        <v>1</v>
      </c>
      <c r="F17" s="33">
        <v>25</v>
      </c>
      <c r="G17" s="33">
        <v>221</v>
      </c>
      <c r="H17" s="33">
        <v>180</v>
      </c>
      <c r="J17" s="33">
        <f t="shared" si="2"/>
        <v>694.44444444444434</v>
      </c>
      <c r="M17" s="103">
        <f>G17*C$8/C$13/(F17-F16)</f>
        <v>0.1055197272699266</v>
      </c>
      <c r="N17" s="103">
        <f>H17*D$8/D$13/(F17-F16)</f>
        <v>0.10966770297425912</v>
      </c>
      <c r="O17" s="49">
        <f t="shared" si="3"/>
        <v>41.450762143604031</v>
      </c>
      <c r="P17" s="49">
        <f t="shared" si="3"/>
        <v>55.44830766412273</v>
      </c>
    </row>
    <row r="18" spans="1:21" x14ac:dyDescent="0.2">
      <c r="E18" s="33">
        <v>1</v>
      </c>
      <c r="F18" s="33">
        <v>36</v>
      </c>
      <c r="G18" s="33">
        <v>281</v>
      </c>
      <c r="H18" s="33">
        <v>284</v>
      </c>
      <c r="J18" s="33">
        <f t="shared" si="2"/>
        <v>694.44444444444434</v>
      </c>
      <c r="M18" s="103">
        <f>G18*C$8/C$13/(F18-F17)</f>
        <v>9.7576448746522007E-2</v>
      </c>
      <c r="N18" s="103">
        <f>H18*D$8/D$13/(F18-F17)</f>
        <v>0.12584091977652359</v>
      </c>
      <c r="O18" s="49">
        <f t="shared" si="3"/>
        <v>38.330445618602162</v>
      </c>
      <c r="P18" s="49">
        <f t="shared" si="3"/>
        <v>63.625532834791329</v>
      </c>
    </row>
    <row r="19" spans="1:21" x14ac:dyDescent="0.2">
      <c r="E19" s="33">
        <v>1</v>
      </c>
      <c r="F19" s="33">
        <v>47</v>
      </c>
      <c r="G19" s="33">
        <v>293</v>
      </c>
      <c r="H19" s="33">
        <v>280</v>
      </c>
      <c r="J19" s="33">
        <f t="shared" si="2"/>
        <v>694.44444444444434</v>
      </c>
      <c r="K19" s="99">
        <f>E19/E10</f>
        <v>0.66666666666666663</v>
      </c>
      <c r="L19" s="99">
        <f>J19/L$6</f>
        <v>0.56099966225512066</v>
      </c>
      <c r="M19" s="103">
        <f>G19*C$8/C$13/(F19-F18)</f>
        <v>0.10174341452929164</v>
      </c>
      <c r="N19" s="103">
        <f>H19*D$8/D$13/(F19-F18)</f>
        <v>0.12406851245572749</v>
      </c>
      <c r="O19" s="49">
        <f t="shared" si="3"/>
        <v>39.967332975980192</v>
      </c>
      <c r="P19" s="49">
        <f t="shared" si="3"/>
        <v>62.729398569512576</v>
      </c>
      <c r="Q19" s="99">
        <f>O19/O13</f>
        <v>0.39954545454545448</v>
      </c>
      <c r="R19" s="99">
        <f>P19/P13</f>
        <v>0.53454545454545443</v>
      </c>
    </row>
    <row r="20" spans="1:21" x14ac:dyDescent="0.2">
      <c r="E20" s="33">
        <v>1</v>
      </c>
      <c r="F20" s="33">
        <v>55</v>
      </c>
      <c r="J20" s="33">
        <f t="shared" si="2"/>
        <v>694.44444444444434</v>
      </c>
      <c r="M20" s="41"/>
      <c r="N20" s="41"/>
      <c r="O20" s="49"/>
      <c r="P20" s="49"/>
    </row>
    <row r="21" spans="1:21" x14ac:dyDescent="0.2">
      <c r="M21" s="41"/>
      <c r="N21" s="41"/>
      <c r="O21" s="49"/>
      <c r="P21" s="49"/>
    </row>
    <row r="22" spans="1:21" x14ac:dyDescent="0.2">
      <c r="E22" s="33">
        <v>0.2</v>
      </c>
      <c r="F22" s="33">
        <v>16</v>
      </c>
      <c r="G22" s="33">
        <v>5.3</v>
      </c>
      <c r="H22" s="33">
        <v>3.4</v>
      </c>
      <c r="J22" s="33">
        <f t="shared" ref="J22:J27" si="4">1000*E22/$C$15/$C$16*(1-$C$17)</f>
        <v>138.88888888888889</v>
      </c>
      <c r="M22" s="41">
        <f>G22*C$8/C$13/$F22</f>
        <v>1.2652817975805678E-3</v>
      </c>
      <c r="N22" s="41">
        <f>H22*D$8/D$13/$F22</f>
        <v>1.035750528090225E-3</v>
      </c>
      <c r="O22" s="49">
        <f t="shared" ref="O22:P27" si="5">M22*C$12/$J22*10^8</f>
        <v>2.485170128519246</v>
      </c>
      <c r="P22" s="49">
        <f t="shared" si="5"/>
        <v>2.6183923063613506</v>
      </c>
    </row>
    <row r="23" spans="1:21" x14ac:dyDescent="0.2">
      <c r="E23" s="33">
        <v>0.2</v>
      </c>
      <c r="F23" s="33">
        <v>36</v>
      </c>
      <c r="G23" s="33">
        <v>65.5</v>
      </c>
      <c r="H23" s="33">
        <v>54.7</v>
      </c>
      <c r="J23" s="33">
        <f t="shared" si="4"/>
        <v>138.88888888888889</v>
      </c>
      <c r="M23" s="103">
        <f>G23*C$8/C$13/(F23-F22)</f>
        <v>1.2509578527022971E-2</v>
      </c>
      <c r="N23" s="103">
        <f>H23*D$8/D$13/(F23-F22)</f>
        <v>1.3330718561537721E-2</v>
      </c>
      <c r="O23" s="49">
        <f t="shared" si="5"/>
        <v>24.570361270643104</v>
      </c>
      <c r="P23" s="49">
        <f t="shared" si="5"/>
        <v>33.700249213639033</v>
      </c>
    </row>
    <row r="24" spans="1:21" x14ac:dyDescent="0.2">
      <c r="E24" s="33">
        <v>0.2</v>
      </c>
      <c r="F24" s="33">
        <v>54</v>
      </c>
      <c r="G24" s="33">
        <v>21.9</v>
      </c>
      <c r="H24" s="33">
        <v>20.8</v>
      </c>
      <c r="J24" s="33">
        <f t="shared" si="4"/>
        <v>138.88888888888889</v>
      </c>
      <c r="L24" s="99"/>
      <c r="M24" s="103">
        <f>G24*C$8/C$13/(F24-F23)</f>
        <v>4.6473243382833436E-3</v>
      </c>
      <c r="N24" s="103">
        <f>H24*D$8/D$13/(F24-F23)</f>
        <v>5.632316597196518E-3</v>
      </c>
      <c r="O24" s="49">
        <f t="shared" si="5"/>
        <v>9.1279204720455311</v>
      </c>
      <c r="P24" s="49">
        <f t="shared" si="5"/>
        <v>14.238577770540157</v>
      </c>
    </row>
    <row r="25" spans="1:21" x14ac:dyDescent="0.2">
      <c r="E25" s="33">
        <v>0.2</v>
      </c>
      <c r="F25" s="33">
        <v>68</v>
      </c>
      <c r="G25" s="33">
        <v>25.5</v>
      </c>
      <c r="H25" s="33">
        <v>22.3</v>
      </c>
      <c r="J25" s="33">
        <f t="shared" si="4"/>
        <v>138.88888888888889</v>
      </c>
      <c r="M25" s="103">
        <f>G25*C$8/C$13/(F25-F24)</f>
        <v>6.9573446551599956E-3</v>
      </c>
      <c r="N25" s="103">
        <f>H25*D$8/D$13/(F25-F24)</f>
        <v>7.7637770677015184E-3</v>
      </c>
      <c r="O25" s="49">
        <f t="shared" si="5"/>
        <v>13.665086420968359</v>
      </c>
      <c r="P25" s="49">
        <f t="shared" si="5"/>
        <v>19.626940649364073</v>
      </c>
    </row>
    <row r="26" spans="1:21" x14ac:dyDescent="0.2">
      <c r="E26" s="33">
        <v>0.2</v>
      </c>
      <c r="F26" s="33">
        <v>85</v>
      </c>
      <c r="G26" s="33">
        <v>29.2</v>
      </c>
      <c r="H26" s="33">
        <v>27.3</v>
      </c>
      <c r="J26" s="33">
        <f t="shared" si="4"/>
        <v>138.88888888888889</v>
      </c>
      <c r="M26" s="103">
        <f>G26*C$8/C$13/(F26-F25)</f>
        <v>6.5609284775764842E-3</v>
      </c>
      <c r="N26" s="103">
        <f>H26*D$8/D$13/(F26-F25)</f>
        <v>7.8272635063981032E-3</v>
      </c>
      <c r="O26" s="49">
        <f t="shared" si="5"/>
        <v>12.886475960534867</v>
      </c>
      <c r="P26" s="49">
        <f t="shared" si="5"/>
        <v>19.787435284059484</v>
      </c>
    </row>
    <row r="27" spans="1:21" x14ac:dyDescent="0.2">
      <c r="E27" s="33">
        <v>0.2</v>
      </c>
      <c r="F27" s="33">
        <v>105</v>
      </c>
      <c r="G27" s="33">
        <v>44.2</v>
      </c>
      <c r="H27" s="33">
        <v>33.299999999999997</v>
      </c>
      <c r="J27" s="33">
        <f t="shared" si="4"/>
        <v>138.88888888888889</v>
      </c>
      <c r="K27" s="99">
        <f>E27/E10</f>
        <v>0.13333333333333333</v>
      </c>
      <c r="L27" s="99">
        <f>J27/L$6</f>
        <v>0.11219993245102414</v>
      </c>
      <c r="M27" s="103">
        <f>G27*C$8/C$13/(F27-F26)</f>
        <v>8.4415781815941286E-3</v>
      </c>
      <c r="N27" s="103">
        <f>H27*D$8/D$13/(F27-F26)</f>
        <v>8.1154100200951755E-3</v>
      </c>
      <c r="O27" s="49">
        <f t="shared" si="5"/>
        <v>16.580304857441611</v>
      </c>
      <c r="P27" s="49">
        <f t="shared" si="5"/>
        <v>20.515873835725404</v>
      </c>
      <c r="Q27" s="99">
        <f>O27/O13</f>
        <v>0.16574999999999995</v>
      </c>
      <c r="R27" s="99">
        <f>P27/P13</f>
        <v>0.17482499999999992</v>
      </c>
    </row>
    <row r="28" spans="1:21" x14ac:dyDescent="0.2">
      <c r="E28" s="33">
        <v>0.2</v>
      </c>
      <c r="F28" s="33">
        <v>121</v>
      </c>
    </row>
    <row r="30" spans="1:21" x14ac:dyDescent="0.2">
      <c r="E30" s="142" t="s">
        <v>424</v>
      </c>
      <c r="F30" s="143"/>
      <c r="G30" s="143"/>
      <c r="H30" s="143"/>
      <c r="I30" s="144"/>
      <c r="J30" s="142" t="s">
        <v>532</v>
      </c>
      <c r="K30" s="143"/>
      <c r="L30" s="143"/>
      <c r="M30" s="143"/>
      <c r="N30" s="143"/>
      <c r="O30" s="143"/>
      <c r="P30" s="143"/>
      <c r="Q30" s="143"/>
      <c r="R30" s="143"/>
      <c r="S30" s="143"/>
      <c r="T30" s="143"/>
      <c r="U30" s="143"/>
    </row>
    <row r="31" spans="1:21" x14ac:dyDescent="0.2">
      <c r="E31" s="73" t="s">
        <v>412</v>
      </c>
      <c r="F31" s="73" t="s">
        <v>413</v>
      </c>
      <c r="G31" s="73" t="s">
        <v>368</v>
      </c>
      <c r="H31" s="73"/>
      <c r="I31" s="73"/>
      <c r="J31" s="73" t="s">
        <v>414</v>
      </c>
      <c r="K31" s="73" t="s">
        <v>886</v>
      </c>
      <c r="L31" s="73" t="s">
        <v>888</v>
      </c>
      <c r="M31" s="73" t="s">
        <v>415</v>
      </c>
      <c r="N31" s="73"/>
      <c r="O31" s="73"/>
      <c r="P31" s="73" t="s">
        <v>397</v>
      </c>
      <c r="Q31" s="73"/>
      <c r="R31" s="73"/>
      <c r="S31" s="73" t="s">
        <v>746</v>
      </c>
      <c r="T31" s="73"/>
      <c r="U31" s="73"/>
    </row>
    <row r="32" spans="1:21" x14ac:dyDescent="0.2">
      <c r="E32" s="73"/>
      <c r="F32" s="73"/>
      <c r="G32" s="73" t="s">
        <v>416</v>
      </c>
      <c r="H32" s="73"/>
      <c r="I32" s="73"/>
      <c r="J32" s="73"/>
      <c r="K32" s="73"/>
      <c r="L32" s="73" t="s">
        <v>887</v>
      </c>
      <c r="M32" s="73" t="s">
        <v>416</v>
      </c>
      <c r="N32" s="73"/>
      <c r="O32" s="73"/>
      <c r="P32" s="73" t="s">
        <v>416</v>
      </c>
      <c r="Q32" s="73"/>
      <c r="R32" s="73"/>
      <c r="S32" s="73" t="s">
        <v>416</v>
      </c>
      <c r="T32" s="73"/>
      <c r="U32" s="73"/>
    </row>
    <row r="33" spans="5:22" x14ac:dyDescent="0.2">
      <c r="E33" s="73"/>
      <c r="F33" s="73"/>
      <c r="G33" s="73" t="s">
        <v>425</v>
      </c>
      <c r="H33" s="73" t="s">
        <v>426</v>
      </c>
      <c r="I33" s="73" t="s">
        <v>427</v>
      </c>
      <c r="J33" s="73"/>
      <c r="K33" s="73"/>
      <c r="L33" s="73">
        <v>4000</v>
      </c>
      <c r="M33" s="73" t="s">
        <v>425</v>
      </c>
      <c r="N33" s="73" t="s">
        <v>426</v>
      </c>
      <c r="O33" s="73" t="s">
        <v>427</v>
      </c>
      <c r="P33" s="73" t="s">
        <v>425</v>
      </c>
      <c r="Q33" s="73" t="s">
        <v>426</v>
      </c>
      <c r="R33" s="73" t="s">
        <v>427</v>
      </c>
      <c r="S33" s="73" t="s">
        <v>425</v>
      </c>
      <c r="T33" s="73" t="s">
        <v>426</v>
      </c>
      <c r="U33" s="73" t="s">
        <v>427</v>
      </c>
    </row>
    <row r="34" spans="5:22" x14ac:dyDescent="0.2">
      <c r="E34" s="73" t="s">
        <v>418</v>
      </c>
      <c r="F34" s="73" t="s">
        <v>419</v>
      </c>
      <c r="G34" s="73" t="s">
        <v>420</v>
      </c>
      <c r="H34" s="73" t="s">
        <v>420</v>
      </c>
      <c r="I34" s="73" t="s">
        <v>420</v>
      </c>
      <c r="J34" s="73" t="s">
        <v>393</v>
      </c>
      <c r="K34" s="73" t="s">
        <v>421</v>
      </c>
      <c r="L34" s="73"/>
      <c r="M34" s="73" t="s">
        <v>422</v>
      </c>
      <c r="N34" s="73" t="s">
        <v>422</v>
      </c>
      <c r="O34" s="73" t="s">
        <v>422</v>
      </c>
      <c r="P34" s="73" t="s">
        <v>423</v>
      </c>
      <c r="Q34" s="73" t="s">
        <v>423</v>
      </c>
      <c r="R34" s="73" t="s">
        <v>423</v>
      </c>
      <c r="S34" s="73"/>
      <c r="T34" s="73"/>
      <c r="U34" s="73"/>
    </row>
    <row r="35" spans="5:22" x14ac:dyDescent="0.2">
      <c r="E35" s="33">
        <v>3</v>
      </c>
      <c r="F35" s="33">
        <v>7</v>
      </c>
      <c r="G35" s="33">
        <v>0.25</v>
      </c>
      <c r="H35" s="33">
        <v>1.23</v>
      </c>
      <c r="I35" s="33">
        <v>1.28</v>
      </c>
      <c r="J35" s="33">
        <f>1000*E35/$C$15/$C$16*(1-$C$17)</f>
        <v>2083.333333333333</v>
      </c>
      <c r="M35" s="41">
        <f>G35*$C$8/$C$13/$F35</f>
        <v>1.3641852265019598E-4</v>
      </c>
      <c r="N35" s="41">
        <f>H35*$C$8/$C$13/$F35</f>
        <v>6.7117913143896425E-4</v>
      </c>
      <c r="O35" s="41">
        <f>I35*$C$8/$C$13/$F35</f>
        <v>6.984628359690035E-4</v>
      </c>
      <c r="P35" s="44">
        <f t="shared" ref="P35:R38" si="6">M35*$C$12/$J35*10^8</f>
        <v>1.7862858066625312E-2</v>
      </c>
      <c r="Q35" s="44">
        <f t="shared" si="6"/>
        <v>8.788526168779652E-2</v>
      </c>
      <c r="R35" s="44">
        <f t="shared" si="6"/>
        <v>9.1457833301121588E-2</v>
      </c>
    </row>
    <row r="36" spans="5:22" x14ac:dyDescent="0.2">
      <c r="E36" s="33">
        <f>E35</f>
        <v>3</v>
      </c>
      <c r="F36" s="33">
        <v>14</v>
      </c>
      <c r="G36" s="31">
        <v>22.3</v>
      </c>
      <c r="H36" s="31">
        <v>32.5</v>
      </c>
      <c r="I36" s="31">
        <v>9.3000000000000007</v>
      </c>
      <c r="J36" s="33">
        <f>1000*E36/$C$15/$C$16*(1-$C$17)</f>
        <v>2083.333333333333</v>
      </c>
      <c r="K36" s="104">
        <f>E36/E$45</f>
        <v>0.3</v>
      </c>
      <c r="L36" s="99">
        <f>J36/L$33</f>
        <v>0.52083333333333326</v>
      </c>
      <c r="M36" s="103">
        <f t="shared" ref="M36:O38" si="7">G36*$C$8/$C$13/($F36-$F35)</f>
        <v>1.2168532220397484E-2</v>
      </c>
      <c r="N36" s="103">
        <f t="shared" si="7"/>
        <v>1.7734407944525483E-2</v>
      </c>
      <c r="O36" s="103">
        <f t="shared" si="7"/>
        <v>5.074769042587292E-3</v>
      </c>
      <c r="P36" s="154">
        <f t="shared" si="6"/>
        <v>1.5933669395429777</v>
      </c>
      <c r="Q36" s="154">
        <f t="shared" si="6"/>
        <v>2.3221715486612906</v>
      </c>
      <c r="R36" s="154">
        <f t="shared" si="6"/>
        <v>0.66449832007846166</v>
      </c>
      <c r="S36" s="153">
        <f>P36/P$41</f>
        <v>2.5632183908045985</v>
      </c>
      <c r="T36" s="153">
        <f>Q36/Q$41</f>
        <v>0.71743929359823433</v>
      </c>
      <c r="U36" s="153">
        <f>R36/R$41</f>
        <v>0.73809523809523836</v>
      </c>
    </row>
    <row r="37" spans="5:22" x14ac:dyDescent="0.2">
      <c r="E37" s="33">
        <f>E36</f>
        <v>3</v>
      </c>
      <c r="F37" s="33">
        <v>28</v>
      </c>
      <c r="G37" s="33">
        <v>8.6</v>
      </c>
      <c r="H37" s="33">
        <v>30.1</v>
      </c>
      <c r="I37" s="33">
        <v>11.3</v>
      </c>
      <c r="J37" s="33">
        <f>1000*E37/$C$15/$C$16*(1-$C$17)</f>
        <v>2083.333333333333</v>
      </c>
      <c r="M37" s="103">
        <f t="shared" si="7"/>
        <v>2.3463985895833712E-3</v>
      </c>
      <c r="N37" s="103">
        <f t="shared" si="7"/>
        <v>8.2123950635417994E-3</v>
      </c>
      <c r="O37" s="103">
        <f t="shared" si="7"/>
        <v>3.0830586118944297E-3</v>
      </c>
      <c r="P37" s="44">
        <f t="shared" si="6"/>
        <v>0.30724115874595531</v>
      </c>
      <c r="Q37" s="44">
        <f t="shared" si="6"/>
        <v>1.0753440556108438</v>
      </c>
      <c r="R37" s="44">
        <f t="shared" si="6"/>
        <v>0.40370059230573208</v>
      </c>
    </row>
    <row r="38" spans="5:22" x14ac:dyDescent="0.2">
      <c r="E38" s="33">
        <f>E37</f>
        <v>3</v>
      </c>
      <c r="F38" s="33">
        <v>48</v>
      </c>
      <c r="G38" s="33">
        <v>11.6</v>
      </c>
      <c r="H38" s="33">
        <v>22.1</v>
      </c>
      <c r="I38" s="33">
        <v>10.6</v>
      </c>
      <c r="J38" s="33">
        <f>1000*E38/$C$15/$C$16*(1-$C$17)</f>
        <v>2083.333333333333</v>
      </c>
      <c r="K38" s="104">
        <f>E38/E$45</f>
        <v>0.3</v>
      </c>
      <c r="L38" s="99">
        <f>J38/L$33</f>
        <v>0.52083333333333326</v>
      </c>
      <c r="M38" s="103">
        <f t="shared" si="7"/>
        <v>2.215436807839183E-3</v>
      </c>
      <c r="N38" s="103">
        <f t="shared" si="7"/>
        <v>4.2207890907970643E-3</v>
      </c>
      <c r="O38" s="103">
        <f t="shared" si="7"/>
        <v>2.0244508761289087E-3</v>
      </c>
      <c r="P38" s="44">
        <f t="shared" si="6"/>
        <v>0.29009281500199502</v>
      </c>
      <c r="Q38" s="44">
        <f t="shared" si="6"/>
        <v>0.55267682858138711</v>
      </c>
      <c r="R38" s="44">
        <f t="shared" si="6"/>
        <v>0.26508481370871961</v>
      </c>
    </row>
    <row r="39" spans="5:22" x14ac:dyDescent="0.2">
      <c r="M39" s="41"/>
      <c r="N39" s="41"/>
      <c r="O39" s="41"/>
      <c r="P39" s="44"/>
      <c r="Q39" s="44"/>
      <c r="R39" s="44"/>
    </row>
    <row r="40" spans="5:22" x14ac:dyDescent="0.2">
      <c r="E40" s="33">
        <v>10</v>
      </c>
      <c r="F40" s="33">
        <v>7</v>
      </c>
      <c r="G40" s="33" t="s">
        <v>891</v>
      </c>
      <c r="M40" s="41"/>
      <c r="N40" s="41"/>
      <c r="O40" s="41"/>
      <c r="P40" s="44"/>
      <c r="Q40" s="44"/>
      <c r="R40" s="44"/>
    </row>
    <row r="41" spans="5:22" x14ac:dyDescent="0.2">
      <c r="E41" s="33">
        <v>10</v>
      </c>
      <c r="F41" s="33">
        <v>14</v>
      </c>
      <c r="G41" s="31">
        <v>29</v>
      </c>
      <c r="H41" s="31">
        <v>151</v>
      </c>
      <c r="I41" s="31">
        <v>42</v>
      </c>
      <c r="J41" s="33">
        <f>1000*E41/$C$15/$C$16*(1-$C$17)</f>
        <v>6944.4444444444443</v>
      </c>
      <c r="K41" s="104">
        <f>E41/E$45</f>
        <v>1</v>
      </c>
      <c r="L41" s="99">
        <f>J41/L$33</f>
        <v>1.7361111111111112</v>
      </c>
      <c r="M41" s="103">
        <f t="shared" ref="M41:O45" si="8">G41*$C$8/$C$13/($F41-$F40)</f>
        <v>1.5824548627422736E-2</v>
      </c>
      <c r="N41" s="103">
        <f t="shared" si="8"/>
        <v>8.239678768071837E-2</v>
      </c>
      <c r="O41" s="103">
        <f t="shared" si="8"/>
        <v>2.2918311805232926E-2</v>
      </c>
      <c r="P41" s="154">
        <f t="shared" ref="P41:R45" si="9">M41*$C$12/$J41*10^8</f>
        <v>0.62162746071856068</v>
      </c>
      <c r="Q41" s="154">
        <f t="shared" si="9"/>
        <v>3.2367498816725049</v>
      </c>
      <c r="R41" s="154">
        <f t="shared" si="9"/>
        <v>0.9002880465579155</v>
      </c>
      <c r="S41" s="153">
        <f>P41/P$41</f>
        <v>1</v>
      </c>
      <c r="T41" s="153">
        <f>Q41/Q$41</f>
        <v>1</v>
      </c>
      <c r="U41" s="153">
        <f>R41/R$41</f>
        <v>1</v>
      </c>
      <c r="V41" s="102"/>
    </row>
    <row r="42" spans="5:22" x14ac:dyDescent="0.2">
      <c r="E42" s="33">
        <f>E41</f>
        <v>10</v>
      </c>
      <c r="F42" s="33">
        <v>29</v>
      </c>
      <c r="G42" s="33">
        <v>13.6</v>
      </c>
      <c r="H42" s="33">
        <v>186</v>
      </c>
      <c r="I42" s="33">
        <v>22</v>
      </c>
      <c r="J42" s="33">
        <f>1000*E42/$C$15/$C$16*(1-$C$17)</f>
        <v>6944.4444444444443</v>
      </c>
      <c r="M42" s="103">
        <f t="shared" si="8"/>
        <v>3.4632115616796419E-3</v>
      </c>
      <c r="N42" s="103">
        <f t="shared" si="8"/>
        <v>4.7364511064148053E-2</v>
      </c>
      <c r="O42" s="103">
        <f t="shared" si="8"/>
        <v>5.6022539968347152E-3</v>
      </c>
      <c r="P42" s="44">
        <f t="shared" si="9"/>
        <v>0.13604352703541833</v>
      </c>
      <c r="Q42" s="44">
        <f t="shared" si="9"/>
        <v>1.8605952962196923</v>
      </c>
      <c r="R42" s="44">
        <f t="shared" si="9"/>
        <v>0.22007041138082373</v>
      </c>
      <c r="S42" s="102"/>
      <c r="T42" s="102"/>
      <c r="U42" s="102"/>
      <c r="V42" s="102"/>
    </row>
    <row r="43" spans="5:22" x14ac:dyDescent="0.2">
      <c r="E43" s="33">
        <f>E42</f>
        <v>10</v>
      </c>
      <c r="F43" s="33">
        <v>45</v>
      </c>
      <c r="G43" s="33">
        <v>16.8</v>
      </c>
      <c r="H43" s="33">
        <v>44</v>
      </c>
      <c r="I43" s="33">
        <v>6.7</v>
      </c>
      <c r="J43" s="33">
        <f>1000*E43/$C$15/$C$16*(1-$C$17)</f>
        <v>6944.4444444444443</v>
      </c>
      <c r="M43" s="103">
        <f t="shared" si="8"/>
        <v>4.0107045659157625E-3</v>
      </c>
      <c r="N43" s="103">
        <f t="shared" si="8"/>
        <v>1.0504226244065091E-2</v>
      </c>
      <c r="O43" s="103">
        <f t="shared" si="8"/>
        <v>1.5995071780735483E-3</v>
      </c>
      <c r="P43" s="44">
        <f t="shared" si="9"/>
        <v>0.15755040814763521</v>
      </c>
      <c r="Q43" s="44">
        <f t="shared" si="9"/>
        <v>0.41263202133904459</v>
      </c>
      <c r="R43" s="44">
        <f t="shared" si="9"/>
        <v>6.2832603249354524E-2</v>
      </c>
    </row>
    <row r="44" spans="5:22" x14ac:dyDescent="0.2">
      <c r="E44" s="33">
        <f>E43</f>
        <v>10</v>
      </c>
      <c r="F44" s="33">
        <v>65</v>
      </c>
      <c r="G44" s="33">
        <v>1.4</v>
      </c>
      <c r="H44" s="33">
        <v>24</v>
      </c>
      <c r="I44" s="33">
        <v>2.1</v>
      </c>
      <c r="J44" s="33">
        <f>1000*E44/$C$15/$C$16*(1-$C$17)</f>
        <v>6944.4444444444443</v>
      </c>
      <c r="K44" s="99"/>
      <c r="L44" s="99"/>
      <c r="M44" s="103">
        <f t="shared" si="8"/>
        <v>2.6738030439438416E-4</v>
      </c>
      <c r="N44" s="103">
        <f t="shared" si="8"/>
        <v>4.5836623610465855E-3</v>
      </c>
      <c r="O44" s="103">
        <f t="shared" si="8"/>
        <v>4.0107045659157624E-4</v>
      </c>
      <c r="P44" s="44">
        <f t="shared" si="9"/>
        <v>1.0503360543175681E-2</v>
      </c>
      <c r="Q44" s="44">
        <f t="shared" si="9"/>
        <v>0.1800576093115831</v>
      </c>
      <c r="R44" s="44">
        <f t="shared" si="9"/>
        <v>1.5755040814763522E-2</v>
      </c>
    </row>
    <row r="45" spans="5:22" x14ac:dyDescent="0.2">
      <c r="E45" s="33">
        <f>E44</f>
        <v>10</v>
      </c>
      <c r="F45" s="33">
        <v>81</v>
      </c>
      <c r="G45" s="33">
        <v>22.1</v>
      </c>
      <c r="H45" s="33">
        <v>35</v>
      </c>
      <c r="I45" s="33">
        <v>6.8</v>
      </c>
      <c r="J45" s="33">
        <f>1000*E45/$C$15/$C$16*(1-$C$17)</f>
        <v>6944.4444444444443</v>
      </c>
      <c r="K45" s="104">
        <f>E45/E$45</f>
        <v>1</v>
      </c>
      <c r="L45" s="99">
        <f>J45/L$33</f>
        <v>1.7361111111111112</v>
      </c>
      <c r="M45" s="103">
        <f t="shared" si="8"/>
        <v>5.2759863634963301E-3</v>
      </c>
      <c r="N45" s="103">
        <f t="shared" si="8"/>
        <v>8.3556345123245047E-3</v>
      </c>
      <c r="O45" s="103">
        <f t="shared" si="8"/>
        <v>1.6233804195373322E-3</v>
      </c>
      <c r="P45" s="44">
        <f t="shared" si="9"/>
        <v>0.20725381071802013</v>
      </c>
      <c r="Q45" s="44">
        <f t="shared" si="9"/>
        <v>0.32823001697424004</v>
      </c>
      <c r="R45" s="44">
        <f t="shared" si="9"/>
        <v>6.3770403297852343E-2</v>
      </c>
    </row>
    <row r="46" spans="5:22" x14ac:dyDescent="0.2">
      <c r="M46" s="41"/>
      <c r="N46" s="41"/>
      <c r="P46" s="49"/>
      <c r="Q46" s="49"/>
    </row>
    <row r="47" spans="5:22" x14ac:dyDescent="0.2">
      <c r="E47" s="155" t="s">
        <v>892</v>
      </c>
      <c r="F47" s="156"/>
      <c r="G47" s="156"/>
      <c r="H47" s="156"/>
      <c r="I47" s="156"/>
      <c r="J47" s="156"/>
      <c r="K47" s="156"/>
      <c r="L47" s="156"/>
      <c r="M47" s="156"/>
      <c r="N47" s="156"/>
      <c r="O47" s="156"/>
      <c r="P47" s="156"/>
      <c r="Q47" s="156"/>
      <c r="R47" s="156"/>
      <c r="S47" s="156"/>
      <c r="T47" s="156"/>
      <c r="U47" s="157"/>
    </row>
    <row r="48" spans="5:22" x14ac:dyDescent="0.2">
      <c r="E48" s="33">
        <v>3</v>
      </c>
      <c r="F48" s="33">
        <v>7</v>
      </c>
      <c r="G48" s="33">
        <v>3.14</v>
      </c>
      <c r="H48" s="33">
        <v>14.4</v>
      </c>
      <c r="I48" s="33">
        <v>6.3</v>
      </c>
      <c r="J48" s="33">
        <f>1000*E48/$C$15/$C$16*(1-$C$17)</f>
        <v>2083.333333333333</v>
      </c>
      <c r="M48" s="41">
        <f>G48*$C$8/$C$13/$F48</f>
        <v>1.7134166444864618E-3</v>
      </c>
      <c r="N48" s="41">
        <f>H48*$C$8/$C$13/$F48</f>
        <v>7.8577069046512904E-3</v>
      </c>
      <c r="O48" s="41">
        <f>I48*$C$8/$C$13/$F48</f>
        <v>3.4377467707849387E-3</v>
      </c>
      <c r="P48" s="44">
        <f t="shared" ref="P48:R51" si="10">M48*$C$12/$J48*10^8</f>
        <v>0.2243574973168139</v>
      </c>
      <c r="Q48" s="44">
        <f t="shared" si="10"/>
        <v>1.028900624637618</v>
      </c>
      <c r="R48" s="44">
        <f t="shared" si="10"/>
        <v>0.45014402327895775</v>
      </c>
    </row>
    <row r="49" spans="5:22" x14ac:dyDescent="0.2">
      <c r="E49" s="33">
        <f>E48</f>
        <v>3</v>
      </c>
      <c r="F49" s="33">
        <v>14</v>
      </c>
      <c r="G49" s="31">
        <v>1.68</v>
      </c>
      <c r="H49" s="31">
        <v>10.8</v>
      </c>
      <c r="I49" s="31">
        <v>1.43</v>
      </c>
      <c r="J49" s="33">
        <f>1000*E49/$C$15/$C$16*(1-$C$17)</f>
        <v>2083.333333333333</v>
      </c>
      <c r="K49" s="104">
        <f>E49/E$58</f>
        <v>0.3</v>
      </c>
      <c r="L49" s="99">
        <f>J49/L$33</f>
        <v>0.52083333333333326</v>
      </c>
      <c r="M49" s="103">
        <f t="shared" ref="M49:O51" si="11">G49*$C$8/$C$13/($F49-$F48)</f>
        <v>9.1673247220931697E-4</v>
      </c>
      <c r="N49" s="103">
        <f t="shared" si="11"/>
        <v>5.8932801784884669E-3</v>
      </c>
      <c r="O49" s="103">
        <f t="shared" si="11"/>
        <v>7.8031394955912104E-4</v>
      </c>
      <c r="P49" s="154">
        <f t="shared" si="10"/>
        <v>0.12003840620772208</v>
      </c>
      <c r="Q49" s="154">
        <f t="shared" si="10"/>
        <v>0.77167546847821333</v>
      </c>
      <c r="R49" s="154">
        <f t="shared" si="10"/>
        <v>0.10217554814109678</v>
      </c>
      <c r="S49" s="153">
        <f>P49/P$54</f>
        <v>0.82352941176470607</v>
      </c>
      <c r="T49" s="153">
        <f>Q49/Q$54</f>
        <v>0.85918854415274493</v>
      </c>
      <c r="U49" s="153">
        <f>R49/R$54</f>
        <v>0.21185185185185185</v>
      </c>
    </row>
    <row r="50" spans="5:22" x14ac:dyDescent="0.2">
      <c r="E50" s="33">
        <f>E49</f>
        <v>3</v>
      </c>
      <c r="F50" s="33">
        <v>28</v>
      </c>
      <c r="G50" s="33">
        <v>5.7</v>
      </c>
      <c r="H50" s="33">
        <v>20.100000000000001</v>
      </c>
      <c r="I50" s="33">
        <v>12.8</v>
      </c>
      <c r="J50" s="33">
        <f>1000*E50/$C$15/$C$16*(1-$C$17)</f>
        <v>2083.333333333333</v>
      </c>
      <c r="M50" s="103">
        <f t="shared" si="11"/>
        <v>1.5551711582122345E-3</v>
      </c>
      <c r="N50" s="103">
        <f t="shared" si="11"/>
        <v>5.4840246105378795E-3</v>
      </c>
      <c r="O50" s="103">
        <f t="shared" si="11"/>
        <v>3.4923141798450176E-3</v>
      </c>
      <c r="P50" s="44">
        <f t="shared" si="10"/>
        <v>0.20363658195952855</v>
      </c>
      <c r="Q50" s="44">
        <f t="shared" si="10"/>
        <v>0.7180868942783375</v>
      </c>
      <c r="R50" s="44">
        <f t="shared" si="10"/>
        <v>0.45728916650560791</v>
      </c>
    </row>
    <row r="51" spans="5:22" x14ac:dyDescent="0.2">
      <c r="E51" s="33">
        <f>E50</f>
        <v>3</v>
      </c>
      <c r="F51" s="33">
        <v>48</v>
      </c>
      <c r="G51" s="33">
        <v>10.8</v>
      </c>
      <c r="H51" s="33">
        <v>42.9</v>
      </c>
      <c r="I51" s="33">
        <v>15</v>
      </c>
      <c r="J51" s="33">
        <f>1000*E51/$C$15/$C$16*(1-$C$17)</f>
        <v>2083.333333333333</v>
      </c>
      <c r="K51" s="104">
        <f>E51/E$58</f>
        <v>0.3</v>
      </c>
      <c r="L51" s="99">
        <f>J51/L$33</f>
        <v>0.52083333333333326</v>
      </c>
      <c r="M51" s="103">
        <f t="shared" si="11"/>
        <v>2.0626480624709636E-3</v>
      </c>
      <c r="N51" s="103">
        <f t="shared" si="11"/>
        <v>8.1932964703707711E-3</v>
      </c>
      <c r="O51" s="103">
        <f t="shared" si="11"/>
        <v>2.8647889756541157E-3</v>
      </c>
      <c r="P51" s="44">
        <f t="shared" si="10"/>
        <v>0.27008641396737471</v>
      </c>
      <c r="Q51" s="44">
        <f t="shared" si="10"/>
        <v>1.0728432554815162</v>
      </c>
      <c r="R51" s="44">
        <f t="shared" si="10"/>
        <v>0.37512001939913148</v>
      </c>
    </row>
    <row r="52" spans="5:22" x14ac:dyDescent="0.2">
      <c r="M52" s="41"/>
      <c r="N52" s="41"/>
      <c r="O52" s="41"/>
      <c r="P52" s="44"/>
      <c r="Q52" s="44"/>
      <c r="R52" s="44"/>
    </row>
    <row r="53" spans="5:22" x14ac:dyDescent="0.2">
      <c r="E53" s="33">
        <v>10</v>
      </c>
      <c r="F53" s="33">
        <v>7</v>
      </c>
      <c r="G53" s="33" t="s">
        <v>891</v>
      </c>
      <c r="M53" s="41"/>
      <c r="N53" s="41"/>
      <c r="O53" s="41"/>
      <c r="P53" s="44"/>
      <c r="Q53" s="44"/>
      <c r="R53" s="44"/>
    </row>
    <row r="54" spans="5:22" x14ac:dyDescent="0.2">
      <c r="E54" s="33">
        <v>10</v>
      </c>
      <c r="F54" s="33">
        <v>14</v>
      </c>
      <c r="G54" s="31">
        <v>6.8</v>
      </c>
      <c r="H54" s="31">
        <v>41.9</v>
      </c>
      <c r="I54" s="31">
        <v>22.5</v>
      </c>
      <c r="J54" s="33">
        <f>1000*E54/$C$15/$C$16*(1-$C$17)</f>
        <v>6944.4444444444443</v>
      </c>
      <c r="K54" s="104">
        <f>E54/E$58</f>
        <v>1</v>
      </c>
      <c r="L54" s="99">
        <f>J54/L$33</f>
        <v>1.7361111111111112</v>
      </c>
      <c r="M54" s="103">
        <f t="shared" ref="M54:O58" si="12">G54*$C$8/$C$13/($F54-$F53)</f>
        <v>3.7105838160853308E-3</v>
      </c>
      <c r="N54" s="103">
        <f t="shared" si="12"/>
        <v>2.2863744396172846E-2</v>
      </c>
      <c r="O54" s="103">
        <f t="shared" si="12"/>
        <v>1.227766703851764E-2</v>
      </c>
      <c r="P54" s="154">
        <f t="shared" ref="P54:R58" si="13">M54*$C$12/$J54*10^8</f>
        <v>0.14576092182366249</v>
      </c>
      <c r="Q54" s="154">
        <f t="shared" si="13"/>
        <v>0.89814450358992026</v>
      </c>
      <c r="R54" s="154">
        <f t="shared" si="13"/>
        <v>0.48229716779888337</v>
      </c>
      <c r="S54" s="153">
        <f>P54/P$54</f>
        <v>1</v>
      </c>
      <c r="T54" s="153">
        <f>Q54/Q$54</f>
        <v>1</v>
      </c>
      <c r="U54" s="153">
        <f>R54/R$54</f>
        <v>1</v>
      </c>
      <c r="V54" s="102"/>
    </row>
    <row r="55" spans="5:22" x14ac:dyDescent="0.2">
      <c r="E55" s="33">
        <f>E54</f>
        <v>10</v>
      </c>
      <c r="F55" s="33">
        <v>29</v>
      </c>
      <c r="G55" s="33">
        <v>0.21</v>
      </c>
      <c r="H55" s="33">
        <v>45</v>
      </c>
      <c r="I55" s="33">
        <v>0.33</v>
      </c>
      <c r="J55" s="33">
        <f>1000*E55/$C$15/$C$16*(1-$C$17)</f>
        <v>6944.4444444444443</v>
      </c>
      <c r="M55" s="103">
        <f t="shared" si="12"/>
        <v>5.3476060878876824E-5</v>
      </c>
      <c r="N55" s="103">
        <f t="shared" si="12"/>
        <v>1.1459155902616463E-2</v>
      </c>
      <c r="O55" s="103">
        <f t="shared" si="12"/>
        <v>8.4033809952520729E-5</v>
      </c>
      <c r="P55" s="44">
        <f t="shared" si="13"/>
        <v>2.1006721086351361E-3</v>
      </c>
      <c r="Q55" s="44">
        <f t="shared" si="13"/>
        <v>0.45014402327895775</v>
      </c>
      <c r="R55" s="44">
        <f t="shared" si="13"/>
        <v>3.3010561707123567E-3</v>
      </c>
      <c r="S55" s="102"/>
      <c r="T55" s="102"/>
      <c r="U55" s="102"/>
      <c r="V55" s="102"/>
    </row>
    <row r="56" spans="5:22" x14ac:dyDescent="0.2">
      <c r="E56" s="33">
        <f>E55</f>
        <v>10</v>
      </c>
      <c r="F56" s="33">
        <v>45</v>
      </c>
      <c r="G56" s="33">
        <v>1.5</v>
      </c>
      <c r="H56" s="33">
        <v>26.9</v>
      </c>
      <c r="I56" s="33">
        <v>1.7</v>
      </c>
      <c r="J56" s="33">
        <f>1000*E56/$C$15/$C$16*(1-$C$17)</f>
        <v>6944.4444444444443</v>
      </c>
      <c r="M56" s="103">
        <f t="shared" si="12"/>
        <v>3.5809862195676452E-4</v>
      </c>
      <c r="N56" s="103">
        <f t="shared" si="12"/>
        <v>6.4219019537579761E-3</v>
      </c>
      <c r="O56" s="103">
        <f t="shared" si="12"/>
        <v>4.0584510488433305E-4</v>
      </c>
      <c r="P56" s="44">
        <f t="shared" si="13"/>
        <v>1.4067000727467431E-2</v>
      </c>
      <c r="Q56" s="44">
        <f t="shared" si="13"/>
        <v>0.2522682130459159</v>
      </c>
      <c r="R56" s="44">
        <f t="shared" si="13"/>
        <v>1.5942600824463086E-2</v>
      </c>
    </row>
    <row r="57" spans="5:22" x14ac:dyDescent="0.2">
      <c r="E57" s="33">
        <f>E56</f>
        <v>10</v>
      </c>
      <c r="F57" s="33">
        <v>65</v>
      </c>
      <c r="G57" s="33">
        <v>1.7</v>
      </c>
      <c r="H57" s="33">
        <v>24</v>
      </c>
      <c r="I57" s="33">
        <v>1.5</v>
      </c>
      <c r="J57" s="33">
        <f>1000*E57/$C$15/$C$16*(1-$C$17)</f>
        <v>6944.4444444444443</v>
      </c>
      <c r="K57" s="99"/>
      <c r="L57" s="99"/>
      <c r="M57" s="103">
        <f t="shared" si="12"/>
        <v>3.2467608390746646E-4</v>
      </c>
      <c r="N57" s="103">
        <f t="shared" si="12"/>
        <v>4.5836623610465855E-3</v>
      </c>
      <c r="O57" s="103">
        <f t="shared" si="12"/>
        <v>2.8647889756541159E-4</v>
      </c>
      <c r="P57" s="44">
        <f t="shared" si="13"/>
        <v>1.2754080659570469E-2</v>
      </c>
      <c r="Q57" s="44">
        <f t="shared" si="13"/>
        <v>0.1800576093115831</v>
      </c>
      <c r="R57" s="44">
        <f t="shared" si="13"/>
        <v>1.1253600581973944E-2</v>
      </c>
    </row>
    <row r="58" spans="5:22" x14ac:dyDescent="0.2">
      <c r="E58" s="33">
        <f>E57</f>
        <v>10</v>
      </c>
      <c r="F58" s="33">
        <v>81</v>
      </c>
      <c r="G58" s="33">
        <v>5.0999999999999996</v>
      </c>
      <c r="H58" s="33">
        <v>25.3</v>
      </c>
      <c r="I58" s="33">
        <v>3.2</v>
      </c>
      <c r="J58" s="33">
        <f>1000*E58/$C$15/$C$16*(1-$C$17)</f>
        <v>6944.4444444444443</v>
      </c>
      <c r="K58" s="104">
        <f>E58/E$58</f>
        <v>1</v>
      </c>
      <c r="L58" s="99">
        <f>J58/L$33</f>
        <v>1.7361111111111112</v>
      </c>
      <c r="M58" s="103">
        <f t="shared" si="12"/>
        <v>1.217535314652999E-3</v>
      </c>
      <c r="N58" s="103">
        <f t="shared" si="12"/>
        <v>6.0399300903374274E-3</v>
      </c>
      <c r="O58" s="103">
        <f t="shared" si="12"/>
        <v>7.6394372684109762E-4</v>
      </c>
      <c r="P58" s="44">
        <f t="shared" si="13"/>
        <v>4.7827802473389247E-2</v>
      </c>
      <c r="Q58" s="44">
        <f t="shared" si="13"/>
        <v>0.2372634122699506</v>
      </c>
      <c r="R58" s="44">
        <f t="shared" si="13"/>
        <v>3.0009601551930519E-2</v>
      </c>
    </row>
    <row r="59" spans="5:22" x14ac:dyDescent="0.2">
      <c r="M59" s="41"/>
      <c r="N59" s="41"/>
      <c r="P59" s="49"/>
      <c r="Q59" s="49"/>
    </row>
    <row r="60" spans="5:22" x14ac:dyDescent="0.2">
      <c r="E60" s="33" t="s">
        <v>428</v>
      </c>
      <c r="K60" s="99"/>
      <c r="L60" s="99"/>
      <c r="M60" s="41"/>
      <c r="N60" s="41"/>
      <c r="P60" s="49"/>
      <c r="Q60" s="49"/>
    </row>
    <row r="61" spans="5:22" x14ac:dyDescent="0.2">
      <c r="E61" s="33" t="s">
        <v>429</v>
      </c>
      <c r="M61" s="41"/>
      <c r="N61" s="41"/>
      <c r="P61" s="49"/>
      <c r="Q61" s="49"/>
    </row>
    <row r="62" spans="5:22" x14ac:dyDescent="0.2">
      <c r="M62" s="41"/>
      <c r="N62" s="41"/>
      <c r="P62" s="49"/>
      <c r="Q62" s="49"/>
    </row>
    <row r="64" spans="5:22" x14ac:dyDescent="0.2">
      <c r="E64" s="142" t="s">
        <v>404</v>
      </c>
      <c r="F64" s="143"/>
      <c r="G64" s="143"/>
      <c r="H64" s="144"/>
      <c r="J64" s="142" t="s">
        <v>532</v>
      </c>
      <c r="K64" s="143"/>
      <c r="L64" s="143"/>
      <c r="M64" s="143"/>
      <c r="N64" s="143"/>
      <c r="O64" s="143"/>
      <c r="P64" s="143"/>
      <c r="Q64" s="143"/>
      <c r="R64" s="144"/>
    </row>
    <row r="65" spans="5:18" x14ac:dyDescent="0.2">
      <c r="E65" s="73" t="s">
        <v>412</v>
      </c>
      <c r="F65" s="73" t="s">
        <v>413</v>
      </c>
      <c r="G65" s="73" t="s">
        <v>368</v>
      </c>
      <c r="H65" s="73"/>
      <c r="J65" s="73" t="s">
        <v>414</v>
      </c>
      <c r="K65" s="73" t="s">
        <v>886</v>
      </c>
      <c r="L65" s="73" t="s">
        <v>888</v>
      </c>
      <c r="M65" s="73" t="s">
        <v>415</v>
      </c>
      <c r="N65" s="73"/>
      <c r="O65" s="73" t="s">
        <v>397</v>
      </c>
      <c r="P65" s="73"/>
      <c r="Q65" s="73" t="s">
        <v>746</v>
      </c>
      <c r="R65" s="73"/>
    </row>
    <row r="66" spans="5:18" x14ac:dyDescent="0.2">
      <c r="E66" s="73"/>
      <c r="F66" s="73"/>
      <c r="G66" s="73"/>
      <c r="H66" s="73"/>
      <c r="J66" s="73"/>
      <c r="K66" s="73"/>
      <c r="L66" s="73" t="s">
        <v>887</v>
      </c>
      <c r="M66" s="73"/>
      <c r="N66" s="73"/>
      <c r="O66" s="73"/>
      <c r="P66" s="73"/>
      <c r="Q66" s="73"/>
      <c r="R66" s="73"/>
    </row>
    <row r="67" spans="5:18" x14ac:dyDescent="0.2">
      <c r="E67" s="73"/>
      <c r="F67" s="73"/>
      <c r="G67" s="73" t="s">
        <v>893</v>
      </c>
      <c r="H67" s="73" t="s">
        <v>894</v>
      </c>
      <c r="J67" s="73"/>
      <c r="K67" s="73"/>
      <c r="L67" s="73">
        <f>SUM(V72:Y72)*1000</f>
        <v>0</v>
      </c>
      <c r="M67" s="73" t="s">
        <v>893</v>
      </c>
      <c r="N67" s="73" t="s">
        <v>894</v>
      </c>
      <c r="O67" s="73" t="s">
        <v>893</v>
      </c>
      <c r="P67" s="73" t="s">
        <v>894</v>
      </c>
      <c r="Q67" s="73" t="s">
        <v>893</v>
      </c>
      <c r="R67" s="73" t="s">
        <v>894</v>
      </c>
    </row>
    <row r="68" spans="5:18" x14ac:dyDescent="0.2">
      <c r="E68" s="73" t="s">
        <v>418</v>
      </c>
      <c r="F68" s="73" t="s">
        <v>419</v>
      </c>
      <c r="G68" s="73" t="s">
        <v>420</v>
      </c>
      <c r="H68" s="73" t="s">
        <v>420</v>
      </c>
      <c r="J68" s="73" t="s">
        <v>393</v>
      </c>
      <c r="K68" s="73" t="s">
        <v>421</v>
      </c>
      <c r="L68" s="73"/>
      <c r="M68" s="73" t="s">
        <v>422</v>
      </c>
      <c r="N68" s="73" t="s">
        <v>422</v>
      </c>
      <c r="O68" s="73" t="s">
        <v>423</v>
      </c>
      <c r="P68" s="73" t="s">
        <v>423</v>
      </c>
      <c r="Q68" s="73"/>
      <c r="R68" s="73"/>
    </row>
    <row r="69" spans="5:18" x14ac:dyDescent="0.2">
      <c r="E69" s="33">
        <v>1</v>
      </c>
      <c r="F69" s="33">
        <v>17</v>
      </c>
      <c r="G69" s="33">
        <v>18.100000000000001</v>
      </c>
      <c r="H69" s="33">
        <v>12.4</v>
      </c>
      <c r="J69" s="33">
        <f>1000*E69/$C$15/$C$16*(1-$C$17)</f>
        <v>694.44444444444434</v>
      </c>
      <c r="M69" s="41">
        <f>G69*C$8/C$13/$F69</f>
        <v>4.066876898771726E-3</v>
      </c>
      <c r="N69" s="41">
        <f>H69*D$8/D$13/$F69</f>
        <v>3.5552405670086617E-3</v>
      </c>
      <c r="O69" s="49">
        <f t="shared" ref="O69:P73" si="14">M69*C$12/$J69*10^8</f>
        <v>1.5975699649704191</v>
      </c>
      <c r="P69" s="49">
        <f t="shared" si="14"/>
        <v>1.7975399085885537</v>
      </c>
    </row>
    <row r="70" spans="5:18" x14ac:dyDescent="0.2">
      <c r="E70" s="33">
        <f>E69</f>
        <v>1</v>
      </c>
      <c r="F70" s="33">
        <v>37</v>
      </c>
      <c r="G70" s="33">
        <v>20</v>
      </c>
      <c r="H70" s="33">
        <v>16.7</v>
      </c>
      <c r="J70" s="33">
        <f>1000*E70/$C$15/$C$16*(1-$C$17)</f>
        <v>694.44444444444434</v>
      </c>
      <c r="M70" s="103">
        <f>G70*C$8/C$13/(F70-F69)</f>
        <v>3.8197186342054878E-3</v>
      </c>
      <c r="N70" s="103">
        <f>H70*D$8/D$13/(F70-F69)</f>
        <v>4.0698903103780605E-3</v>
      </c>
      <c r="O70" s="49">
        <f t="shared" si="14"/>
        <v>1.5004800775965259</v>
      </c>
      <c r="P70" s="49">
        <f t="shared" si="14"/>
        <v>2.057748306646332</v>
      </c>
    </row>
    <row r="71" spans="5:18" x14ac:dyDescent="0.2">
      <c r="E71" s="33">
        <f>E70</f>
        <v>1</v>
      </c>
      <c r="F71" s="33">
        <v>55</v>
      </c>
      <c r="G71" s="33">
        <v>29.2</v>
      </c>
      <c r="H71" s="33">
        <v>31.2</v>
      </c>
      <c r="J71" s="33">
        <f>1000*E71/$C$15/$C$16*(1-$C$17)</f>
        <v>694.44444444444434</v>
      </c>
      <c r="M71" s="103">
        <f>G71*C$8/C$13/(F71-F70)</f>
        <v>6.196432451044457E-3</v>
      </c>
      <c r="N71" s="103">
        <f>H71*D$8/D$13/(F71-F70)</f>
        <v>8.4484748957947761E-3</v>
      </c>
      <c r="O71" s="49">
        <f t="shared" si="14"/>
        <v>2.4341121258788081</v>
      </c>
      <c r="P71" s="49">
        <f t="shared" si="14"/>
        <v>4.2715733311620472</v>
      </c>
    </row>
    <row r="72" spans="5:18" x14ac:dyDescent="0.2">
      <c r="E72" s="33">
        <f>E71</f>
        <v>1</v>
      </c>
      <c r="F72" s="33">
        <v>70</v>
      </c>
      <c r="G72" s="33">
        <v>40.9</v>
      </c>
      <c r="H72" s="33">
        <v>42.3</v>
      </c>
      <c r="J72" s="33">
        <f>1000*E72/$C$15/$C$16*(1-$C$17)</f>
        <v>694.44444444444434</v>
      </c>
      <c r="M72" s="103">
        <f>G72*C$8/C$13/(F72-F71)</f>
        <v>1.041509947593363E-2</v>
      </c>
      <c r="N72" s="103">
        <f>H72*D$8/D$13/(F72-F71)</f>
        <v>1.374501877277381E-2</v>
      </c>
      <c r="O72" s="49">
        <f t="shared" si="14"/>
        <v>4.0913090115798605</v>
      </c>
      <c r="P72" s="49">
        <f t="shared" si="14"/>
        <v>6.9495212272367137</v>
      </c>
    </row>
    <row r="73" spans="5:18" x14ac:dyDescent="0.2">
      <c r="E73" s="33">
        <f>E72</f>
        <v>1</v>
      </c>
      <c r="F73" s="33">
        <v>86</v>
      </c>
      <c r="G73" s="33">
        <v>54.5</v>
      </c>
      <c r="H73" s="33">
        <v>54.7</v>
      </c>
      <c r="J73" s="33">
        <f>1000*E73/$C$15/$C$16*(1-$C$17)</f>
        <v>694.44444444444434</v>
      </c>
      <c r="M73" s="103">
        <f>G73*C$8/C$13/(F73-F72)</f>
        <v>1.3010916597762445E-2</v>
      </c>
      <c r="N73" s="103">
        <f>H73*D$8/D$13/(F73-F72)</f>
        <v>1.6663398201922152E-2</v>
      </c>
      <c r="O73" s="49">
        <f t="shared" si="14"/>
        <v>5.1110102643131672</v>
      </c>
      <c r="P73" s="49">
        <f t="shared" si="14"/>
        <v>8.4250623034097583</v>
      </c>
      <c r="Q73" s="99">
        <f>O73/O$73</f>
        <v>1</v>
      </c>
      <c r="R73" s="99">
        <f>P73/P$73</f>
        <v>1</v>
      </c>
    </row>
    <row r="74" spans="5:18" x14ac:dyDescent="0.2">
      <c r="M74" s="41"/>
      <c r="N74" s="41"/>
      <c r="O74" s="49"/>
      <c r="P74" s="49"/>
    </row>
    <row r="75" spans="5:18" x14ac:dyDescent="0.2">
      <c r="E75" s="33">
        <v>0.2</v>
      </c>
      <c r="F75" s="33">
        <v>17</v>
      </c>
      <c r="G75" s="33">
        <v>9.4</v>
      </c>
      <c r="H75" s="33">
        <v>3.1</v>
      </c>
      <c r="J75" s="33">
        <f t="shared" ref="J75:J80" si="15">1000*E75/$C$15/$C$16*(1-$C$17)</f>
        <v>138.88888888888889</v>
      </c>
      <c r="M75" s="41">
        <f>G75*C$8/C$13/$F75</f>
        <v>2.1120797153842109E-3</v>
      </c>
      <c r="N75" s="41">
        <f>H75*D$8/D$13/$F75</f>
        <v>8.8881014175216542E-4</v>
      </c>
      <c r="O75" s="49">
        <f t="shared" ref="O75:P80" si="16">M75*C$12/$J75*10^8</f>
        <v>4.1483860968845123</v>
      </c>
      <c r="P75" s="49">
        <f t="shared" si="16"/>
        <v>2.2469248857356918</v>
      </c>
    </row>
    <row r="76" spans="5:18" x14ac:dyDescent="0.2">
      <c r="E76" s="33">
        <f>E75</f>
        <v>0.2</v>
      </c>
      <c r="F76" s="33">
        <v>37</v>
      </c>
      <c r="G76" s="33">
        <v>11.7</v>
      </c>
      <c r="H76" s="33">
        <v>6.8</v>
      </c>
      <c r="J76" s="33">
        <f t="shared" si="15"/>
        <v>138.88888888888889</v>
      </c>
      <c r="K76" s="99"/>
      <c r="L76" s="99"/>
      <c r="M76" s="103">
        <f>G76*C$8/C$13/(F76-F75)</f>
        <v>2.2345354010102104E-3</v>
      </c>
      <c r="N76" s="103">
        <f>H76*D$8/D$13/(F76-F75)</f>
        <v>1.6572008449443599E-3</v>
      </c>
      <c r="O76" s="49">
        <f t="shared" si="16"/>
        <v>4.3889042269698386</v>
      </c>
      <c r="P76" s="49">
        <f t="shared" si="16"/>
        <v>4.1894276901781611</v>
      </c>
    </row>
    <row r="77" spans="5:18" x14ac:dyDescent="0.2">
      <c r="E77" s="33">
        <f>E76</f>
        <v>0.2</v>
      </c>
      <c r="F77" s="33">
        <v>55</v>
      </c>
      <c r="G77" s="33">
        <v>16.5</v>
      </c>
      <c r="H77" s="33">
        <v>14</v>
      </c>
      <c r="J77" s="33">
        <f t="shared" si="15"/>
        <v>138.88888888888889</v>
      </c>
      <c r="M77" s="103">
        <f>G77*C$8/C$13/(F77-F76)</f>
        <v>3.5014087480216968E-3</v>
      </c>
      <c r="N77" s="103">
        <f>H77*D$8/D$13/(F77-F76)</f>
        <v>3.7909823250361183E-3</v>
      </c>
      <c r="O77" s="49">
        <f t="shared" si="16"/>
        <v>6.8772003556507419</v>
      </c>
      <c r="P77" s="49">
        <f t="shared" si="16"/>
        <v>9.583658114786644</v>
      </c>
    </row>
    <row r="78" spans="5:18" x14ac:dyDescent="0.2">
      <c r="E78" s="33">
        <f>E77</f>
        <v>0.2</v>
      </c>
      <c r="F78" s="33">
        <v>70</v>
      </c>
      <c r="G78" s="33">
        <v>16.899999999999999</v>
      </c>
      <c r="H78" s="33">
        <v>16.5</v>
      </c>
      <c r="J78" s="33">
        <f t="shared" si="15"/>
        <v>138.88888888888889</v>
      </c>
      <c r="M78" s="103">
        <f>G78*C$8/C$13/(F78-F77)</f>
        <v>4.3035496612048489E-3</v>
      </c>
      <c r="N78" s="103">
        <f>H78*D$8/D$13/(F78-F77)</f>
        <v>5.3615321454082241E-3</v>
      </c>
      <c r="O78" s="49">
        <f t="shared" si="16"/>
        <v>8.4527044371270943</v>
      </c>
      <c r="P78" s="49">
        <f t="shared" si="16"/>
        <v>13.55403076234111</v>
      </c>
    </row>
    <row r="79" spans="5:18" x14ac:dyDescent="0.2">
      <c r="E79" s="33">
        <f>E78</f>
        <v>0.2</v>
      </c>
      <c r="F79" s="33">
        <v>86</v>
      </c>
      <c r="G79" s="33">
        <v>20.8</v>
      </c>
      <c r="H79" s="33">
        <v>22.6</v>
      </c>
      <c r="J79" s="33">
        <f t="shared" si="15"/>
        <v>138.88888888888889</v>
      </c>
      <c r="M79" s="103">
        <f>G79*C$8/C$13/(F79-F78)</f>
        <v>4.965634224467135E-3</v>
      </c>
      <c r="N79" s="103">
        <f>H79*D$8/D$13/(F79-F78)</f>
        <v>6.8846946867173785E-3</v>
      </c>
      <c r="O79" s="49">
        <f t="shared" si="16"/>
        <v>9.753120504377419</v>
      </c>
      <c r="P79" s="49">
        <f t="shared" si="16"/>
        <v>17.404607683460743</v>
      </c>
    </row>
    <row r="80" spans="5:18" x14ac:dyDescent="0.2">
      <c r="E80" s="33">
        <f>E79</f>
        <v>0.2</v>
      </c>
      <c r="F80" s="33">
        <v>106</v>
      </c>
      <c r="G80" s="33">
        <v>43</v>
      </c>
      <c r="H80" s="33">
        <v>45.4</v>
      </c>
      <c r="J80" s="33">
        <f t="shared" si="15"/>
        <v>138.88888888888889</v>
      </c>
      <c r="K80" s="99">
        <f>E80/E71</f>
        <v>0.2</v>
      </c>
      <c r="L80" s="99">
        <f>J80/L$6</f>
        <v>0.11219993245102414</v>
      </c>
      <c r="M80" s="103">
        <f>G80*C$8/C$13/(F80-F79)</f>
        <v>8.2123950635417976E-3</v>
      </c>
      <c r="N80" s="103">
        <f>H80*D$8/D$13/(F80-F79)</f>
        <v>1.1064252700069697E-2</v>
      </c>
      <c r="O80" s="49">
        <f t="shared" si="16"/>
        <v>16.130160834162648</v>
      </c>
      <c r="P80" s="49">
        <f t="shared" si="16"/>
        <v>27.970590755013014</v>
      </c>
      <c r="Q80" s="99">
        <f>O80/O$73</f>
        <v>3.155963302752292</v>
      </c>
      <c r="R80" s="99">
        <f>P80/P$73</f>
        <v>3.3199268738574035</v>
      </c>
    </row>
    <row r="81" spans="11:18" x14ac:dyDescent="0.2">
      <c r="M81" s="41"/>
      <c r="N81" s="41"/>
      <c r="O81" s="49"/>
      <c r="P81" s="49"/>
    </row>
    <row r="82" spans="11:18" x14ac:dyDescent="0.2">
      <c r="M82" s="41"/>
      <c r="N82" s="41"/>
      <c r="O82" s="49"/>
      <c r="P82" s="49"/>
    </row>
    <row r="83" spans="11:18" x14ac:dyDescent="0.2">
      <c r="M83" s="103"/>
      <c r="N83" s="103"/>
      <c r="O83" s="49"/>
      <c r="P83" s="49"/>
    </row>
    <row r="84" spans="11:18" x14ac:dyDescent="0.2">
      <c r="L84" s="99"/>
      <c r="M84" s="103"/>
      <c r="N84" s="103"/>
      <c r="O84" s="49"/>
      <c r="P84" s="49"/>
    </row>
    <row r="85" spans="11:18" x14ac:dyDescent="0.2">
      <c r="M85" s="103"/>
      <c r="N85" s="103"/>
      <c r="O85" s="49"/>
      <c r="P85" s="49"/>
    </row>
    <row r="86" spans="11:18" x14ac:dyDescent="0.2">
      <c r="M86" s="103"/>
      <c r="N86" s="103"/>
      <c r="O86" s="49"/>
      <c r="P86" s="49"/>
    </row>
    <row r="87" spans="11:18" x14ac:dyDescent="0.2">
      <c r="K87" s="99"/>
      <c r="L87" s="99"/>
      <c r="M87" s="103"/>
      <c r="N87" s="103"/>
      <c r="O87" s="49"/>
      <c r="P87" s="49"/>
      <c r="Q87" s="99"/>
      <c r="R87" s="99"/>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31"/>
  <sheetViews>
    <sheetView zoomScale="70" zoomScaleNormal="70" workbookViewId="0">
      <selection activeCell="G6" sqref="G6"/>
    </sheetView>
  </sheetViews>
  <sheetFormatPr defaultRowHeight="12.75" x14ac:dyDescent="0.2"/>
  <cols>
    <col min="1" max="1" width="5.85546875" customWidth="1"/>
    <col min="2" max="2" width="23.5703125" customWidth="1"/>
    <col min="5" max="5" width="5.42578125" customWidth="1"/>
    <col min="6" max="6" width="4.42578125" customWidth="1"/>
    <col min="9" max="9" width="11.42578125" style="162" bestFit="1" customWidth="1"/>
    <col min="10" max="10" width="11.42578125" style="162" customWidth="1"/>
    <col min="11" max="11" width="11.42578125" customWidth="1"/>
    <col min="12" max="12" width="6.140625" style="2" customWidth="1"/>
  </cols>
  <sheetData>
    <row r="1" spans="1:17" x14ac:dyDescent="0.2">
      <c r="B1" t="s">
        <v>838</v>
      </c>
    </row>
    <row r="2" spans="1:17" x14ac:dyDescent="0.2">
      <c r="B2" s="132" t="s">
        <v>898</v>
      </c>
      <c r="C2" s="134"/>
      <c r="D2" s="134"/>
      <c r="E2" s="134"/>
      <c r="F2" s="134"/>
      <c r="G2" s="134"/>
      <c r="H2" s="134"/>
      <c r="I2" s="163"/>
      <c r="J2" s="177"/>
      <c r="K2" s="107" t="s">
        <v>532</v>
      </c>
      <c r="L2" s="71"/>
      <c r="M2" s="110"/>
      <c r="N2" s="110"/>
      <c r="O2" s="111"/>
      <c r="Q2" s="4" t="s">
        <v>895</v>
      </c>
    </row>
    <row r="3" spans="1:17" ht="15.75" x14ac:dyDescent="0.3">
      <c r="B3" s="160" t="s">
        <v>769</v>
      </c>
      <c r="C3" s="51" t="s">
        <v>43</v>
      </c>
      <c r="D3" s="51" t="s">
        <v>842</v>
      </c>
      <c r="E3" s="51" t="s">
        <v>852</v>
      </c>
      <c r="F3" s="51"/>
      <c r="G3" s="51" t="s">
        <v>901</v>
      </c>
      <c r="H3" s="51"/>
      <c r="I3" s="164" t="s">
        <v>900</v>
      </c>
      <c r="J3" s="178" t="s">
        <v>1227</v>
      </c>
      <c r="K3" s="51" t="s">
        <v>902</v>
      </c>
      <c r="L3" s="64" t="s">
        <v>874</v>
      </c>
      <c r="M3" s="51" t="s">
        <v>6</v>
      </c>
      <c r="N3" s="51" t="s">
        <v>6</v>
      </c>
      <c r="O3" s="52" t="s">
        <v>862</v>
      </c>
      <c r="Q3" s="4" t="s">
        <v>840</v>
      </c>
    </row>
    <row r="4" spans="1:17" x14ac:dyDescent="0.2">
      <c r="B4" s="161" t="s">
        <v>835</v>
      </c>
      <c r="C4" s="65"/>
      <c r="D4" s="53" t="s">
        <v>843</v>
      </c>
      <c r="E4" s="53"/>
      <c r="F4" s="53"/>
      <c r="G4" s="65"/>
      <c r="H4" s="65"/>
      <c r="I4" s="165" t="s">
        <v>488</v>
      </c>
      <c r="J4" s="56"/>
      <c r="K4" s="65" t="s">
        <v>379</v>
      </c>
      <c r="L4" s="54"/>
      <c r="M4" s="65"/>
      <c r="N4" s="65"/>
      <c r="O4" s="55"/>
      <c r="Q4" s="4" t="s">
        <v>841</v>
      </c>
    </row>
    <row r="5" spans="1:17" x14ac:dyDescent="0.2">
      <c r="B5" s="63"/>
      <c r="C5" s="57" t="s">
        <v>800</v>
      </c>
      <c r="D5" s="57" t="s">
        <v>844</v>
      </c>
      <c r="E5" s="57" t="s">
        <v>771</v>
      </c>
      <c r="F5" s="57"/>
      <c r="G5" s="57" t="s">
        <v>772</v>
      </c>
      <c r="H5" s="57" t="s">
        <v>1188</v>
      </c>
      <c r="I5" s="166"/>
      <c r="J5" s="60" t="s">
        <v>771</v>
      </c>
      <c r="K5" s="66"/>
      <c r="L5" s="58"/>
      <c r="M5" s="57"/>
      <c r="N5" s="57" t="s">
        <v>873</v>
      </c>
      <c r="O5" s="59"/>
      <c r="Q5" s="4" t="s">
        <v>853</v>
      </c>
    </row>
    <row r="6" spans="1:17" x14ac:dyDescent="0.2">
      <c r="A6">
        <v>1</v>
      </c>
      <c r="B6" s="4" t="s">
        <v>796</v>
      </c>
      <c r="C6">
        <v>16</v>
      </c>
      <c r="D6" s="4" t="s">
        <v>398</v>
      </c>
      <c r="E6" s="4">
        <v>10</v>
      </c>
      <c r="F6" s="4">
        <v>50</v>
      </c>
      <c r="G6">
        <v>18</v>
      </c>
      <c r="H6">
        <f>G6*10^-8*10^-4</f>
        <v>1.7999999999999999E-11</v>
      </c>
      <c r="J6" s="21">
        <f t="shared" ref="J6:J21" si="0">IF(I6="**",E6,23)</f>
        <v>23</v>
      </c>
      <c r="K6" s="139">
        <f>EXP(11.5-0.1351*C6^(2/3)+0.003*C6-10454/296)*10^4*10^8</f>
        <v>20.158419047744495</v>
      </c>
      <c r="L6" s="2">
        <v>1</v>
      </c>
      <c r="M6">
        <f>G6*L6</f>
        <v>18</v>
      </c>
      <c r="Q6" s="4" t="s">
        <v>854</v>
      </c>
    </row>
    <row r="7" spans="1:17" x14ac:dyDescent="0.2">
      <c r="A7">
        <v>2</v>
      </c>
      <c r="B7" s="4" t="s">
        <v>796</v>
      </c>
      <c r="C7">
        <v>16</v>
      </c>
      <c r="D7" s="4" t="s">
        <v>398</v>
      </c>
      <c r="E7" s="4">
        <v>15</v>
      </c>
      <c r="F7" s="4">
        <v>50</v>
      </c>
      <c r="G7">
        <v>1.94</v>
      </c>
      <c r="H7">
        <f t="shared" ref="H7:H70" si="1">G7*10^-8*10^-4</f>
        <v>1.9399999999999998E-12</v>
      </c>
      <c r="J7" s="21">
        <f t="shared" si="0"/>
        <v>23</v>
      </c>
      <c r="K7" s="139">
        <f t="shared" ref="K7:K37" si="2">EXP(11.5-0.1351*C7^(2/3)+0.003*C7-10454/296)*10^4*10^8</f>
        <v>20.158419047744495</v>
      </c>
      <c r="L7" s="2">
        <v>1</v>
      </c>
      <c r="M7">
        <f>G7*L7</f>
        <v>1.94</v>
      </c>
    </row>
    <row r="8" spans="1:17" x14ac:dyDescent="0.2">
      <c r="A8">
        <v>3</v>
      </c>
      <c r="B8" s="4" t="s">
        <v>796</v>
      </c>
      <c r="C8">
        <v>16</v>
      </c>
      <c r="D8" s="4" t="s">
        <v>398</v>
      </c>
      <c r="E8" s="4">
        <v>5</v>
      </c>
      <c r="F8" s="4">
        <v>50</v>
      </c>
      <c r="G8">
        <v>15</v>
      </c>
      <c r="H8">
        <f t="shared" si="1"/>
        <v>1.5E-11</v>
      </c>
      <c r="J8" s="21">
        <f t="shared" si="0"/>
        <v>23</v>
      </c>
      <c r="K8" s="139">
        <f t="shared" si="2"/>
        <v>20.158419047744495</v>
      </c>
      <c r="L8" s="2">
        <v>1</v>
      </c>
      <c r="M8">
        <f>G8*L8</f>
        <v>15</v>
      </c>
    </row>
    <row r="9" spans="1:17" x14ac:dyDescent="0.2">
      <c r="A9">
        <v>4</v>
      </c>
      <c r="B9" s="4" t="s">
        <v>432</v>
      </c>
      <c r="C9">
        <v>28.1</v>
      </c>
      <c r="D9" s="4" t="s">
        <v>845</v>
      </c>
      <c r="E9" s="4">
        <v>5</v>
      </c>
      <c r="F9" s="4">
        <v>35</v>
      </c>
      <c r="G9">
        <v>13.4</v>
      </c>
      <c r="H9">
        <f t="shared" si="1"/>
        <v>1.3400000000000002E-11</v>
      </c>
      <c r="J9" s="21">
        <f t="shared" si="0"/>
        <v>23</v>
      </c>
      <c r="K9" s="139">
        <f t="shared" si="2"/>
        <v>14.140589892639548</v>
      </c>
      <c r="L9" s="2">
        <v>1</v>
      </c>
      <c r="N9">
        <f>G9*L9</f>
        <v>13.4</v>
      </c>
      <c r="O9" s="140">
        <f>AVERAGE(G9)/AVERAGE(G10)</f>
        <v>1.089430894308943</v>
      </c>
    </row>
    <row r="10" spans="1:17" x14ac:dyDescent="0.2">
      <c r="A10">
        <v>5</v>
      </c>
      <c r="B10" s="4" t="s">
        <v>432</v>
      </c>
      <c r="C10">
        <v>28.1</v>
      </c>
      <c r="D10" s="4" t="s">
        <v>398</v>
      </c>
      <c r="E10" s="4">
        <v>23</v>
      </c>
      <c r="F10" s="4">
        <v>73</v>
      </c>
      <c r="G10">
        <v>12.3</v>
      </c>
      <c r="H10">
        <f t="shared" si="1"/>
        <v>1.23E-11</v>
      </c>
      <c r="J10" s="21">
        <f t="shared" si="0"/>
        <v>23</v>
      </c>
      <c r="K10" s="139">
        <f t="shared" si="2"/>
        <v>14.140589892639548</v>
      </c>
      <c r="L10" s="2">
        <v>1</v>
      </c>
      <c r="M10">
        <f>G10*L10</f>
        <v>12.3</v>
      </c>
    </row>
    <row r="11" spans="1:17" x14ac:dyDescent="0.2">
      <c r="A11">
        <v>6</v>
      </c>
      <c r="B11" s="4" t="s">
        <v>480</v>
      </c>
      <c r="C11">
        <v>30.1</v>
      </c>
      <c r="D11" s="4" t="s">
        <v>398</v>
      </c>
      <c r="E11" s="4">
        <v>25</v>
      </c>
      <c r="F11" s="4">
        <v>50</v>
      </c>
      <c r="G11">
        <v>7.8</v>
      </c>
      <c r="H11">
        <f t="shared" si="1"/>
        <v>7.7999999999999999E-12</v>
      </c>
      <c r="J11" s="21">
        <f t="shared" si="0"/>
        <v>23</v>
      </c>
      <c r="K11" s="139">
        <f t="shared" si="2"/>
        <v>13.416434142236719</v>
      </c>
      <c r="L11" s="2">
        <v>1</v>
      </c>
      <c r="M11">
        <f>G11*L11</f>
        <v>7.8</v>
      </c>
    </row>
    <row r="12" spans="1:17" x14ac:dyDescent="0.2">
      <c r="A12">
        <v>7</v>
      </c>
      <c r="B12" s="4" t="s">
        <v>480</v>
      </c>
      <c r="C12">
        <v>30.1</v>
      </c>
      <c r="D12" s="4" t="s">
        <v>845</v>
      </c>
      <c r="E12" s="4">
        <v>-30</v>
      </c>
      <c r="F12" s="4">
        <v>30</v>
      </c>
      <c r="G12" s="4">
        <v>5.7</v>
      </c>
      <c r="H12">
        <f t="shared" si="1"/>
        <v>5.7000000000000003E-12</v>
      </c>
      <c r="I12" s="21" t="s">
        <v>855</v>
      </c>
      <c r="J12" s="21">
        <f t="shared" si="0"/>
        <v>23</v>
      </c>
      <c r="K12" s="139">
        <f t="shared" si="2"/>
        <v>13.416434142236719</v>
      </c>
      <c r="L12" s="2">
        <v>1</v>
      </c>
      <c r="N12">
        <f>G12*L12</f>
        <v>5.7</v>
      </c>
      <c r="O12" s="140">
        <f>AVERAGE(G12)/AVERAGE(G11,G13)</f>
        <v>0.89763779527559062</v>
      </c>
    </row>
    <row r="13" spans="1:17" x14ac:dyDescent="0.2">
      <c r="A13">
        <v>8</v>
      </c>
      <c r="B13" s="4" t="s">
        <v>480</v>
      </c>
      <c r="C13">
        <v>30.1</v>
      </c>
      <c r="D13" s="4" t="s">
        <v>398</v>
      </c>
      <c r="E13" s="4">
        <v>0</v>
      </c>
      <c r="F13" s="4">
        <v>50</v>
      </c>
      <c r="G13">
        <v>4.9000000000000004</v>
      </c>
      <c r="H13">
        <f t="shared" si="1"/>
        <v>4.9000000000000005E-12</v>
      </c>
      <c r="J13" s="21">
        <f t="shared" si="0"/>
        <v>23</v>
      </c>
      <c r="K13" s="139">
        <f t="shared" si="2"/>
        <v>13.416434142236719</v>
      </c>
      <c r="L13" s="2">
        <v>1</v>
      </c>
      <c r="M13">
        <f>G13*L13</f>
        <v>4.9000000000000004</v>
      </c>
    </row>
    <row r="14" spans="1:17" x14ac:dyDescent="0.2">
      <c r="A14">
        <v>9</v>
      </c>
      <c r="B14" s="4" t="s">
        <v>435</v>
      </c>
      <c r="C14">
        <v>32</v>
      </c>
      <c r="D14" s="4" t="s">
        <v>398</v>
      </c>
      <c r="E14" s="4">
        <v>23</v>
      </c>
      <c r="F14" s="4"/>
      <c r="G14">
        <v>4.8</v>
      </c>
      <c r="H14">
        <f t="shared" si="1"/>
        <v>4.8000000000000005E-12</v>
      </c>
      <c r="J14" s="21">
        <f t="shared" si="0"/>
        <v>23</v>
      </c>
      <c r="K14" s="139">
        <f t="shared" si="2"/>
        <v>12.778075843462073</v>
      </c>
      <c r="L14" s="2">
        <v>1</v>
      </c>
      <c r="M14">
        <f>G14*L14</f>
        <v>4.8</v>
      </c>
    </row>
    <row r="15" spans="1:17" x14ac:dyDescent="0.2">
      <c r="A15">
        <v>10</v>
      </c>
      <c r="B15" s="4" t="s">
        <v>435</v>
      </c>
      <c r="C15">
        <v>32</v>
      </c>
      <c r="D15" s="4" t="s">
        <v>845</v>
      </c>
      <c r="E15" s="4">
        <v>23</v>
      </c>
      <c r="F15" s="4"/>
      <c r="G15">
        <v>1.95</v>
      </c>
      <c r="H15">
        <f t="shared" si="1"/>
        <v>1.95E-12</v>
      </c>
      <c r="J15" s="21">
        <f t="shared" si="0"/>
        <v>23</v>
      </c>
      <c r="K15" s="139">
        <f t="shared" si="2"/>
        <v>12.778075843462073</v>
      </c>
      <c r="L15" s="2">
        <v>1</v>
      </c>
      <c r="N15">
        <f>G15*L15</f>
        <v>1.95</v>
      </c>
      <c r="O15" s="140">
        <f>AVERAGE(G15)/AVERAGE(G14)</f>
        <v>0.40625</v>
      </c>
    </row>
    <row r="16" spans="1:17" x14ac:dyDescent="0.2">
      <c r="A16">
        <v>11</v>
      </c>
      <c r="B16" s="4" t="s">
        <v>437</v>
      </c>
      <c r="C16">
        <v>40.1</v>
      </c>
      <c r="D16" s="4" t="s">
        <v>398</v>
      </c>
      <c r="E16" s="4">
        <v>10</v>
      </c>
      <c r="F16" s="4">
        <v>50</v>
      </c>
      <c r="G16">
        <v>9.1</v>
      </c>
      <c r="H16">
        <f t="shared" si="1"/>
        <v>9.0999999999999996E-12</v>
      </c>
      <c r="J16" s="21">
        <f t="shared" si="0"/>
        <v>23</v>
      </c>
      <c r="K16" s="139">
        <f t="shared" si="2"/>
        <v>10.49587049297331</v>
      </c>
      <c r="L16" s="2">
        <v>1</v>
      </c>
      <c r="M16">
        <f>G16*L16</f>
        <v>9.1</v>
      </c>
    </row>
    <row r="17" spans="1:15" x14ac:dyDescent="0.2">
      <c r="A17">
        <v>12</v>
      </c>
      <c r="B17" s="4" t="s">
        <v>839</v>
      </c>
      <c r="C17">
        <v>42.1</v>
      </c>
      <c r="D17" s="4" t="s">
        <v>398</v>
      </c>
      <c r="E17" s="4">
        <v>10</v>
      </c>
      <c r="F17" s="4">
        <v>50</v>
      </c>
      <c r="G17">
        <v>5.2</v>
      </c>
      <c r="H17">
        <f t="shared" si="1"/>
        <v>5.2000000000000005E-12</v>
      </c>
      <c r="J17" s="21">
        <f t="shared" si="0"/>
        <v>23</v>
      </c>
      <c r="K17" s="139">
        <f t="shared" si="2"/>
        <v>10.021997744496968</v>
      </c>
      <c r="L17" s="2">
        <v>1</v>
      </c>
      <c r="M17">
        <f>G17*L17</f>
        <v>5.2</v>
      </c>
    </row>
    <row r="18" spans="1:15" x14ac:dyDescent="0.2">
      <c r="A18">
        <v>13</v>
      </c>
      <c r="B18" s="4" t="s">
        <v>799</v>
      </c>
      <c r="C18">
        <v>44.1</v>
      </c>
      <c r="D18" s="4" t="s">
        <v>398</v>
      </c>
      <c r="E18" s="4">
        <v>10</v>
      </c>
      <c r="F18" s="4">
        <v>50</v>
      </c>
      <c r="G18">
        <v>3.1</v>
      </c>
      <c r="H18">
        <f t="shared" si="1"/>
        <v>3.1000000000000001E-12</v>
      </c>
      <c r="J18" s="21">
        <f t="shared" si="0"/>
        <v>23</v>
      </c>
      <c r="K18" s="139">
        <f t="shared" si="2"/>
        <v>9.577374090701678</v>
      </c>
      <c r="L18" s="2">
        <v>1</v>
      </c>
      <c r="M18">
        <f>G18*L18</f>
        <v>3.1</v>
      </c>
    </row>
    <row r="19" spans="1:15" x14ac:dyDescent="0.2">
      <c r="A19">
        <v>14</v>
      </c>
      <c r="B19" s="4" t="s">
        <v>799</v>
      </c>
      <c r="C19">
        <v>44.1</v>
      </c>
      <c r="D19" s="4" t="s">
        <v>398</v>
      </c>
      <c r="E19" s="4">
        <v>25</v>
      </c>
      <c r="F19" s="4">
        <v>55</v>
      </c>
      <c r="G19">
        <v>2.1</v>
      </c>
      <c r="H19">
        <f t="shared" si="1"/>
        <v>2.1000000000000003E-12</v>
      </c>
      <c r="I19" s="21" t="s">
        <v>855</v>
      </c>
      <c r="J19" s="21">
        <f t="shared" si="0"/>
        <v>23</v>
      </c>
      <c r="K19" s="139">
        <f t="shared" si="2"/>
        <v>9.577374090701678</v>
      </c>
      <c r="L19" s="2">
        <v>1</v>
      </c>
      <c r="M19">
        <f>G19*L19</f>
        <v>2.1</v>
      </c>
      <c r="N19" s="4"/>
    </row>
    <row r="20" spans="1:15" x14ac:dyDescent="0.2">
      <c r="A20">
        <v>15</v>
      </c>
      <c r="B20" s="4" t="s">
        <v>799</v>
      </c>
      <c r="C20">
        <v>44.1</v>
      </c>
      <c r="D20" s="4" t="s">
        <v>845</v>
      </c>
      <c r="E20" s="4">
        <v>20</v>
      </c>
      <c r="F20" s="4">
        <v>50</v>
      </c>
      <c r="G20">
        <v>1.7</v>
      </c>
      <c r="H20">
        <f t="shared" si="1"/>
        <v>1.7E-12</v>
      </c>
      <c r="J20" s="21">
        <f t="shared" si="0"/>
        <v>23</v>
      </c>
      <c r="K20" s="139">
        <f t="shared" si="2"/>
        <v>9.577374090701678</v>
      </c>
      <c r="L20" s="2">
        <v>1</v>
      </c>
      <c r="N20">
        <f>G20*L20</f>
        <v>1.7</v>
      </c>
      <c r="O20" s="140">
        <f>AVERAGE(G20:G21)/AVERAGE(G18:G19)</f>
        <v>1.3076923076923077</v>
      </c>
    </row>
    <row r="21" spans="1:15" x14ac:dyDescent="0.2">
      <c r="A21">
        <v>16</v>
      </c>
      <c r="B21" s="4" t="s">
        <v>799</v>
      </c>
      <c r="C21">
        <v>44.1</v>
      </c>
      <c r="D21" s="4" t="s">
        <v>845</v>
      </c>
      <c r="E21" s="4">
        <v>5</v>
      </c>
      <c r="F21" s="4">
        <v>35</v>
      </c>
      <c r="G21">
        <v>5.0999999999999996</v>
      </c>
      <c r="H21">
        <f t="shared" si="1"/>
        <v>5.1000000000000005E-12</v>
      </c>
      <c r="J21" s="21">
        <f t="shared" si="0"/>
        <v>23</v>
      </c>
      <c r="K21" s="139">
        <f t="shared" si="2"/>
        <v>9.577374090701678</v>
      </c>
      <c r="L21" s="2">
        <v>1</v>
      </c>
      <c r="N21">
        <f>G21*L21</f>
        <v>5.0999999999999996</v>
      </c>
    </row>
    <row r="22" spans="1:15" x14ac:dyDescent="0.2">
      <c r="A22">
        <v>17</v>
      </c>
      <c r="B22" s="4" t="s">
        <v>444</v>
      </c>
      <c r="C22">
        <v>55.1</v>
      </c>
      <c r="D22" s="4" t="s">
        <v>398</v>
      </c>
      <c r="E22" s="4">
        <v>25</v>
      </c>
      <c r="G22">
        <v>0.5</v>
      </c>
      <c r="H22">
        <f t="shared" si="1"/>
        <v>4.9999999999999999E-13</v>
      </c>
      <c r="I22" s="21" t="s">
        <v>856</v>
      </c>
      <c r="J22" s="21">
        <f t="shared" ref="J22:J53" si="3">IF(I22="**",E22,23)</f>
        <v>25</v>
      </c>
      <c r="K22" s="139">
        <f t="shared" si="2"/>
        <v>7.557264483080103</v>
      </c>
      <c r="L22" s="2">
        <v>1</v>
      </c>
      <c r="M22">
        <f>G22*L22</f>
        <v>0.5</v>
      </c>
      <c r="N22" s="4"/>
    </row>
    <row r="23" spans="1:15" x14ac:dyDescent="0.2">
      <c r="A23">
        <v>18</v>
      </c>
      <c r="B23" s="4" t="s">
        <v>846</v>
      </c>
      <c r="C23">
        <v>56.1</v>
      </c>
      <c r="D23" s="4" t="s">
        <v>398</v>
      </c>
      <c r="E23" s="4">
        <v>-8</v>
      </c>
      <c r="F23">
        <v>30</v>
      </c>
      <c r="G23">
        <v>4</v>
      </c>
      <c r="H23">
        <f t="shared" si="1"/>
        <v>3.9999999999999999E-12</v>
      </c>
      <c r="J23" s="21">
        <f t="shared" si="3"/>
        <v>23</v>
      </c>
      <c r="K23" s="139">
        <f t="shared" si="2"/>
        <v>7.4031922284152678</v>
      </c>
      <c r="L23" s="2">
        <v>1</v>
      </c>
      <c r="M23">
        <f>G23*L23</f>
        <v>4</v>
      </c>
    </row>
    <row r="24" spans="1:15" x14ac:dyDescent="0.2">
      <c r="A24">
        <v>19</v>
      </c>
      <c r="B24" s="4" t="s">
        <v>846</v>
      </c>
      <c r="C24">
        <v>56.1</v>
      </c>
      <c r="D24" s="4" t="s">
        <v>845</v>
      </c>
      <c r="E24" s="4">
        <v>-8</v>
      </c>
      <c r="F24">
        <v>30</v>
      </c>
      <c r="G24">
        <v>2.6</v>
      </c>
      <c r="H24">
        <f t="shared" si="1"/>
        <v>2.6000000000000002E-12</v>
      </c>
      <c r="J24" s="21">
        <f t="shared" si="3"/>
        <v>23</v>
      </c>
      <c r="K24" s="139">
        <f t="shared" si="2"/>
        <v>7.4031922284152678</v>
      </c>
      <c r="L24" s="2">
        <v>1</v>
      </c>
      <c r="N24">
        <f>G24*L24</f>
        <v>2.6</v>
      </c>
      <c r="O24" s="140">
        <f>AVERAGE(G24)/AVERAGE(G23)</f>
        <v>0.65</v>
      </c>
    </row>
    <row r="25" spans="1:15" x14ac:dyDescent="0.2">
      <c r="A25">
        <v>20</v>
      </c>
      <c r="B25" s="4" t="s">
        <v>448</v>
      </c>
      <c r="C25">
        <v>58.1</v>
      </c>
      <c r="D25" s="4" t="s">
        <v>398</v>
      </c>
      <c r="E25" s="4">
        <v>25</v>
      </c>
      <c r="G25">
        <v>0.7</v>
      </c>
      <c r="H25">
        <f t="shared" si="1"/>
        <v>7.0000000000000005E-13</v>
      </c>
      <c r="I25" s="21" t="s">
        <v>856</v>
      </c>
      <c r="J25" s="21">
        <f t="shared" si="3"/>
        <v>25</v>
      </c>
      <c r="K25" s="139">
        <f t="shared" si="2"/>
        <v>7.107364253749564</v>
      </c>
      <c r="L25" s="2">
        <v>1</v>
      </c>
      <c r="M25">
        <f>G25*L25</f>
        <v>0.7</v>
      </c>
      <c r="N25" s="4"/>
    </row>
    <row r="26" spans="1:15" x14ac:dyDescent="0.2">
      <c r="A26">
        <v>21</v>
      </c>
      <c r="B26" s="4" t="s">
        <v>847</v>
      </c>
      <c r="C26">
        <v>58.1</v>
      </c>
      <c r="D26" s="4" t="s">
        <v>398</v>
      </c>
      <c r="E26" s="4">
        <v>30</v>
      </c>
      <c r="F26">
        <v>60</v>
      </c>
      <c r="G26">
        <v>3.6</v>
      </c>
      <c r="H26">
        <f t="shared" si="1"/>
        <v>3.6000000000000008E-12</v>
      </c>
      <c r="I26" s="21" t="s">
        <v>855</v>
      </c>
      <c r="J26" s="21">
        <f t="shared" si="3"/>
        <v>23</v>
      </c>
      <c r="K26" s="139">
        <f t="shared" si="2"/>
        <v>7.107364253749564</v>
      </c>
      <c r="L26" s="2">
        <v>1</v>
      </c>
      <c r="M26">
        <f>G26*L26</f>
        <v>3.6</v>
      </c>
      <c r="N26" s="4"/>
    </row>
    <row r="27" spans="1:15" x14ac:dyDescent="0.2">
      <c r="A27">
        <v>22</v>
      </c>
      <c r="B27" s="4" t="s">
        <v>847</v>
      </c>
      <c r="C27">
        <v>58.1</v>
      </c>
      <c r="D27" s="4" t="s">
        <v>398</v>
      </c>
      <c r="E27" s="4">
        <v>25</v>
      </c>
      <c r="G27">
        <v>1.95</v>
      </c>
      <c r="H27">
        <f t="shared" si="1"/>
        <v>1.95E-12</v>
      </c>
      <c r="I27" s="21" t="s">
        <v>856</v>
      </c>
      <c r="J27" s="21">
        <f t="shared" si="3"/>
        <v>25</v>
      </c>
      <c r="K27" s="139">
        <f t="shared" si="2"/>
        <v>7.107364253749564</v>
      </c>
      <c r="L27" s="2">
        <v>1</v>
      </c>
      <c r="M27">
        <f>G27*L27</f>
        <v>1.95</v>
      </c>
      <c r="N27" s="4"/>
    </row>
    <row r="28" spans="1:15" x14ac:dyDescent="0.2">
      <c r="A28">
        <v>23</v>
      </c>
      <c r="B28" s="4" t="s">
        <v>847</v>
      </c>
      <c r="C28">
        <v>58.1</v>
      </c>
      <c r="D28" s="4" t="s">
        <v>398</v>
      </c>
      <c r="E28" s="4">
        <v>25</v>
      </c>
      <c r="G28">
        <v>1.4</v>
      </c>
      <c r="H28">
        <f t="shared" si="1"/>
        <v>1.4000000000000001E-12</v>
      </c>
      <c r="J28" s="21">
        <f t="shared" si="3"/>
        <v>23</v>
      </c>
      <c r="K28" s="139">
        <f t="shared" si="2"/>
        <v>7.107364253749564</v>
      </c>
      <c r="L28" s="2">
        <v>1</v>
      </c>
      <c r="M28">
        <f>G28*L28</f>
        <v>1.4</v>
      </c>
    </row>
    <row r="29" spans="1:15" x14ac:dyDescent="0.2">
      <c r="A29">
        <v>24</v>
      </c>
      <c r="B29" s="4" t="s">
        <v>848</v>
      </c>
      <c r="C29">
        <v>58.1</v>
      </c>
      <c r="D29" s="4" t="s">
        <v>845</v>
      </c>
      <c r="E29" s="4">
        <v>23</v>
      </c>
      <c r="G29">
        <v>4.5</v>
      </c>
      <c r="H29">
        <f t="shared" si="1"/>
        <v>4.4999999999999998E-12</v>
      </c>
      <c r="J29" s="21">
        <f t="shared" si="3"/>
        <v>23</v>
      </c>
      <c r="K29" s="139">
        <f t="shared" si="2"/>
        <v>7.107364253749564</v>
      </c>
      <c r="L29" s="2">
        <v>1</v>
      </c>
      <c r="N29">
        <f>G29*L29</f>
        <v>4.5</v>
      </c>
    </row>
    <row r="30" spans="1:15" x14ac:dyDescent="0.2">
      <c r="A30">
        <v>25</v>
      </c>
      <c r="B30" s="4" t="s">
        <v>849</v>
      </c>
      <c r="C30">
        <v>72.099999999999994</v>
      </c>
      <c r="D30" s="4" t="s">
        <v>398</v>
      </c>
      <c r="E30" s="4">
        <v>25</v>
      </c>
      <c r="F30">
        <v>50</v>
      </c>
      <c r="G30">
        <v>0.154</v>
      </c>
      <c r="H30">
        <f t="shared" si="1"/>
        <v>1.5400000000000003E-13</v>
      </c>
      <c r="I30" s="21" t="s">
        <v>855</v>
      </c>
      <c r="J30" s="21">
        <f t="shared" si="3"/>
        <v>23</v>
      </c>
      <c r="K30" s="139">
        <f t="shared" si="2"/>
        <v>5.416306193314357</v>
      </c>
      <c r="L30" s="2">
        <v>1</v>
      </c>
      <c r="M30">
        <f>G30*L30</f>
        <v>0.154</v>
      </c>
      <c r="N30" s="4"/>
    </row>
    <row r="31" spans="1:15" x14ac:dyDescent="0.2">
      <c r="A31">
        <v>26</v>
      </c>
      <c r="B31" s="4" t="s">
        <v>450</v>
      </c>
      <c r="C31">
        <v>72.099999999999994</v>
      </c>
      <c r="D31" s="4" t="s">
        <v>398</v>
      </c>
      <c r="E31" s="4">
        <v>25</v>
      </c>
      <c r="F31">
        <v>50</v>
      </c>
      <c r="G31">
        <v>0.77300000000000002</v>
      </c>
      <c r="H31">
        <f t="shared" si="1"/>
        <v>7.7300000000000004E-13</v>
      </c>
      <c r="I31" s="21" t="s">
        <v>855</v>
      </c>
      <c r="J31" s="21">
        <f t="shared" si="3"/>
        <v>23</v>
      </c>
      <c r="K31" s="139">
        <f t="shared" si="2"/>
        <v>5.416306193314357</v>
      </c>
      <c r="L31" s="2">
        <v>1</v>
      </c>
      <c r="M31">
        <f>G31*L31</f>
        <v>0.77300000000000002</v>
      </c>
      <c r="N31" s="4"/>
    </row>
    <row r="32" spans="1:15" x14ac:dyDescent="0.2">
      <c r="A32">
        <v>27</v>
      </c>
      <c r="B32" s="4" t="s">
        <v>450</v>
      </c>
      <c r="C32">
        <v>72.099999999999994</v>
      </c>
      <c r="D32" s="4" t="s">
        <v>845</v>
      </c>
      <c r="E32" s="4">
        <v>23</v>
      </c>
      <c r="G32">
        <v>2.5</v>
      </c>
      <c r="H32">
        <f t="shared" si="1"/>
        <v>2.4999999999999998E-12</v>
      </c>
      <c r="J32" s="21">
        <f t="shared" si="3"/>
        <v>23</v>
      </c>
      <c r="K32" s="139">
        <f t="shared" si="2"/>
        <v>5.416306193314357</v>
      </c>
      <c r="L32" s="2">
        <v>1</v>
      </c>
      <c r="N32">
        <f>G32*L32</f>
        <v>2.5</v>
      </c>
    </row>
    <row r="33" spans="1:14" x14ac:dyDescent="0.2">
      <c r="A33">
        <v>28</v>
      </c>
      <c r="B33" s="4" t="s">
        <v>850</v>
      </c>
      <c r="C33">
        <v>72.099999999999994</v>
      </c>
      <c r="D33" s="4" t="s">
        <v>398</v>
      </c>
      <c r="E33" s="4">
        <v>25</v>
      </c>
      <c r="G33">
        <v>1.18</v>
      </c>
      <c r="H33">
        <f t="shared" si="1"/>
        <v>1.18E-12</v>
      </c>
      <c r="I33" s="21" t="s">
        <v>856</v>
      </c>
      <c r="J33" s="21">
        <f t="shared" si="3"/>
        <v>25</v>
      </c>
      <c r="K33" s="139">
        <f t="shared" si="2"/>
        <v>5.416306193314357</v>
      </c>
      <c r="L33" s="2">
        <v>1</v>
      </c>
      <c r="M33">
        <f>G33*L33</f>
        <v>1.18</v>
      </c>
      <c r="N33" s="4"/>
    </row>
    <row r="34" spans="1:14" x14ac:dyDescent="0.2">
      <c r="A34">
        <v>29</v>
      </c>
      <c r="B34" s="4" t="s">
        <v>850</v>
      </c>
      <c r="C34">
        <v>72.099999999999994</v>
      </c>
      <c r="D34" s="4" t="s">
        <v>398</v>
      </c>
      <c r="E34" s="4">
        <v>25</v>
      </c>
      <c r="G34">
        <v>1.05</v>
      </c>
      <c r="H34">
        <f t="shared" si="1"/>
        <v>1.0500000000000002E-12</v>
      </c>
      <c r="I34" s="21" t="s">
        <v>856</v>
      </c>
      <c r="J34" s="21">
        <f t="shared" si="3"/>
        <v>25</v>
      </c>
      <c r="K34" s="139">
        <f t="shared" si="2"/>
        <v>5.416306193314357</v>
      </c>
      <c r="L34" s="2">
        <v>1</v>
      </c>
      <c r="M34">
        <f>G34*L34</f>
        <v>1.05</v>
      </c>
      <c r="N34" s="4"/>
    </row>
    <row r="35" spans="1:14" x14ac:dyDescent="0.2">
      <c r="A35">
        <v>30</v>
      </c>
      <c r="B35" s="4" t="s">
        <v>851</v>
      </c>
      <c r="C35">
        <v>72.099999999999994</v>
      </c>
      <c r="D35" s="4" t="s">
        <v>398</v>
      </c>
      <c r="E35" s="4">
        <v>25</v>
      </c>
      <c r="G35">
        <v>2.8000000000000001E-2</v>
      </c>
      <c r="H35">
        <f t="shared" si="1"/>
        <v>2.8000000000000004E-14</v>
      </c>
      <c r="I35" s="21" t="s">
        <v>856</v>
      </c>
      <c r="J35" s="21">
        <f t="shared" si="3"/>
        <v>25</v>
      </c>
      <c r="K35" s="139">
        <f t="shared" si="2"/>
        <v>5.416306193314357</v>
      </c>
      <c r="L35" s="2">
        <v>1</v>
      </c>
      <c r="M35">
        <f>G35*L35</f>
        <v>2.8000000000000001E-2</v>
      </c>
      <c r="N35" s="4"/>
    </row>
    <row r="36" spans="1:14" x14ac:dyDescent="0.2">
      <c r="A36">
        <v>31</v>
      </c>
      <c r="B36" s="4" t="s">
        <v>452</v>
      </c>
      <c r="C36">
        <v>74.099999999999994</v>
      </c>
      <c r="D36" s="4" t="s">
        <v>398</v>
      </c>
      <c r="E36" s="4">
        <v>25</v>
      </c>
      <c r="G36">
        <v>1.08</v>
      </c>
      <c r="H36">
        <f t="shared" si="1"/>
        <v>1.08E-12</v>
      </c>
      <c r="I36" s="21" t="s">
        <v>856</v>
      </c>
      <c r="J36" s="21">
        <f t="shared" si="3"/>
        <v>25</v>
      </c>
      <c r="K36" s="139">
        <f t="shared" si="2"/>
        <v>5.2191378320223087</v>
      </c>
      <c r="L36" s="2">
        <v>1</v>
      </c>
      <c r="M36">
        <f>G36*L36</f>
        <v>1.08</v>
      </c>
      <c r="N36" s="4"/>
    </row>
    <row r="37" spans="1:14" x14ac:dyDescent="0.2">
      <c r="A37">
        <v>32</v>
      </c>
      <c r="B37" s="4" t="s">
        <v>452</v>
      </c>
      <c r="C37">
        <v>74.099999999999994</v>
      </c>
      <c r="D37" s="4" t="s">
        <v>398</v>
      </c>
      <c r="E37" s="4">
        <v>25</v>
      </c>
      <c r="G37">
        <v>0.9</v>
      </c>
      <c r="H37">
        <f t="shared" si="1"/>
        <v>9.000000000000002E-13</v>
      </c>
      <c r="I37" s="21" t="s">
        <v>856</v>
      </c>
      <c r="J37" s="21">
        <f t="shared" si="3"/>
        <v>25</v>
      </c>
      <c r="K37" s="139">
        <f t="shared" si="2"/>
        <v>5.2191378320223087</v>
      </c>
      <c r="L37" s="2">
        <v>1</v>
      </c>
      <c r="M37">
        <f>G37*L37</f>
        <v>0.9</v>
      </c>
      <c r="N37" s="4"/>
    </row>
    <row r="38" spans="1:14" x14ac:dyDescent="0.2">
      <c r="A38">
        <v>33</v>
      </c>
      <c r="B38" s="4" t="s">
        <v>548</v>
      </c>
      <c r="C38">
        <v>78.099999999999994</v>
      </c>
      <c r="D38" s="4" t="s">
        <v>845</v>
      </c>
      <c r="E38" s="4">
        <v>25</v>
      </c>
      <c r="F38">
        <v>50</v>
      </c>
      <c r="G38">
        <v>0.99</v>
      </c>
      <c r="H38">
        <f t="shared" si="1"/>
        <v>9.9000000000000002E-13</v>
      </c>
      <c r="I38" s="21" t="s">
        <v>855</v>
      </c>
      <c r="J38" s="21">
        <f t="shared" si="3"/>
        <v>23</v>
      </c>
      <c r="K38" s="139">
        <f t="shared" ref="K38:K69" si="4">EXP(11.5-0.1351*C38^(2/3)+0.003*C38-10454/296)*10^4*10^8</f>
        <v>4.8516206890236431</v>
      </c>
      <c r="L38" s="2">
        <v>1</v>
      </c>
      <c r="N38">
        <f t="shared" ref="N38:N46" si="5">G38*L38</f>
        <v>0.99</v>
      </c>
    </row>
    <row r="39" spans="1:14" x14ac:dyDescent="0.2">
      <c r="A39">
        <v>34</v>
      </c>
      <c r="B39" s="4" t="s">
        <v>548</v>
      </c>
      <c r="C39">
        <v>78.099999999999994</v>
      </c>
      <c r="D39" s="4" t="s">
        <v>845</v>
      </c>
      <c r="E39" s="4">
        <v>25</v>
      </c>
      <c r="F39">
        <v>45</v>
      </c>
      <c r="G39">
        <v>1.1000000000000001</v>
      </c>
      <c r="H39">
        <f t="shared" si="1"/>
        <v>1.1000000000000002E-12</v>
      </c>
      <c r="I39" s="21" t="s">
        <v>855</v>
      </c>
      <c r="J39" s="21">
        <f t="shared" si="3"/>
        <v>23</v>
      </c>
      <c r="K39" s="139">
        <f t="shared" si="4"/>
        <v>4.8516206890236431</v>
      </c>
      <c r="L39" s="2">
        <v>1</v>
      </c>
      <c r="N39">
        <f t="shared" si="5"/>
        <v>1.1000000000000001</v>
      </c>
    </row>
    <row r="40" spans="1:14" x14ac:dyDescent="0.2">
      <c r="A40">
        <v>35</v>
      </c>
      <c r="B40" s="4" t="s">
        <v>548</v>
      </c>
      <c r="C40">
        <v>78.099999999999994</v>
      </c>
      <c r="D40" s="4" t="s">
        <v>845</v>
      </c>
      <c r="E40" s="4">
        <v>23</v>
      </c>
      <c r="G40">
        <v>3</v>
      </c>
      <c r="H40">
        <f t="shared" si="1"/>
        <v>3.0000000000000005E-12</v>
      </c>
      <c r="J40" s="21">
        <f t="shared" si="3"/>
        <v>23</v>
      </c>
      <c r="K40" s="139">
        <f t="shared" si="4"/>
        <v>4.8516206890236431</v>
      </c>
      <c r="L40" s="2">
        <v>1</v>
      </c>
      <c r="N40">
        <f t="shared" si="5"/>
        <v>3</v>
      </c>
    </row>
    <row r="41" spans="1:14" x14ac:dyDescent="0.2">
      <c r="A41">
        <v>36</v>
      </c>
      <c r="B41" s="4" t="s">
        <v>548</v>
      </c>
      <c r="C41">
        <v>78.099999999999994</v>
      </c>
      <c r="D41" s="4" t="s">
        <v>845</v>
      </c>
      <c r="E41" s="4">
        <v>25</v>
      </c>
      <c r="G41">
        <v>1.2</v>
      </c>
      <c r="H41">
        <f t="shared" si="1"/>
        <v>1.2000000000000001E-12</v>
      </c>
      <c r="I41" s="21" t="s">
        <v>855</v>
      </c>
      <c r="J41" s="21">
        <f t="shared" si="3"/>
        <v>23</v>
      </c>
      <c r="K41" s="139">
        <f t="shared" si="4"/>
        <v>4.8516206890236431</v>
      </c>
      <c r="L41" s="2">
        <v>1</v>
      </c>
      <c r="N41">
        <f t="shared" si="5"/>
        <v>1.2</v>
      </c>
    </row>
    <row r="42" spans="1:14" x14ac:dyDescent="0.2">
      <c r="A42">
        <v>37</v>
      </c>
      <c r="B42" s="4" t="s">
        <v>548</v>
      </c>
      <c r="C42">
        <v>78.099999999999994</v>
      </c>
      <c r="D42" s="4" t="s">
        <v>845</v>
      </c>
      <c r="E42" s="4">
        <v>25</v>
      </c>
      <c r="G42">
        <v>2</v>
      </c>
      <c r="H42">
        <f t="shared" si="1"/>
        <v>2E-12</v>
      </c>
      <c r="I42" s="21" t="s">
        <v>856</v>
      </c>
      <c r="J42" s="21">
        <f t="shared" si="3"/>
        <v>25</v>
      </c>
      <c r="K42" s="139">
        <f t="shared" si="4"/>
        <v>4.8516206890236431</v>
      </c>
      <c r="L42" s="2">
        <v>1</v>
      </c>
      <c r="N42">
        <f t="shared" si="5"/>
        <v>2</v>
      </c>
    </row>
    <row r="43" spans="1:14" x14ac:dyDescent="0.2">
      <c r="A43">
        <v>38</v>
      </c>
      <c r="B43" s="4" t="s">
        <v>548</v>
      </c>
      <c r="C43">
        <v>78.099999999999994</v>
      </c>
      <c r="D43" s="4" t="s">
        <v>845</v>
      </c>
      <c r="E43" s="4">
        <v>30</v>
      </c>
      <c r="F43">
        <v>40</v>
      </c>
      <c r="G43">
        <v>1.5</v>
      </c>
      <c r="H43">
        <f t="shared" si="1"/>
        <v>1.5000000000000003E-12</v>
      </c>
      <c r="I43" s="21" t="s">
        <v>855</v>
      </c>
      <c r="J43" s="21">
        <f t="shared" si="3"/>
        <v>23</v>
      </c>
      <c r="K43" s="139">
        <f t="shared" si="4"/>
        <v>4.8516206890236431</v>
      </c>
      <c r="L43" s="2">
        <v>1</v>
      </c>
      <c r="N43">
        <f t="shared" si="5"/>
        <v>1.5</v>
      </c>
    </row>
    <row r="44" spans="1:14" x14ac:dyDescent="0.2">
      <c r="A44">
        <v>39</v>
      </c>
      <c r="B44" s="4" t="s">
        <v>548</v>
      </c>
      <c r="C44">
        <v>78.099999999999994</v>
      </c>
      <c r="D44" s="4" t="s">
        <v>845</v>
      </c>
      <c r="E44" s="4">
        <v>23</v>
      </c>
      <c r="G44">
        <v>0.38</v>
      </c>
      <c r="H44">
        <f t="shared" si="1"/>
        <v>3.8000000000000005E-13</v>
      </c>
      <c r="J44" s="21">
        <f t="shared" si="3"/>
        <v>23</v>
      </c>
      <c r="K44" s="139">
        <f t="shared" si="4"/>
        <v>4.8516206890236431</v>
      </c>
      <c r="L44" s="2">
        <v>1</v>
      </c>
      <c r="N44">
        <f t="shared" si="5"/>
        <v>0.38</v>
      </c>
    </row>
    <row r="45" spans="1:14" x14ac:dyDescent="0.2">
      <c r="A45">
        <v>40</v>
      </c>
      <c r="B45" s="4" t="s">
        <v>548</v>
      </c>
      <c r="C45">
        <v>78.099999999999994</v>
      </c>
      <c r="D45" s="4" t="s">
        <v>845</v>
      </c>
      <c r="E45" s="4">
        <v>25</v>
      </c>
      <c r="F45">
        <v>45</v>
      </c>
      <c r="G45">
        <v>1.08</v>
      </c>
      <c r="H45">
        <f t="shared" si="1"/>
        <v>1.08E-12</v>
      </c>
      <c r="I45" s="21" t="s">
        <v>855</v>
      </c>
      <c r="J45" s="21">
        <f t="shared" si="3"/>
        <v>23</v>
      </c>
      <c r="K45" s="139">
        <f t="shared" si="4"/>
        <v>4.8516206890236431</v>
      </c>
      <c r="L45" s="2">
        <v>1</v>
      </c>
      <c r="N45">
        <f t="shared" si="5"/>
        <v>1.08</v>
      </c>
    </row>
    <row r="46" spans="1:14" x14ac:dyDescent="0.2">
      <c r="A46">
        <v>41</v>
      </c>
      <c r="B46" s="4" t="s">
        <v>548</v>
      </c>
      <c r="C46">
        <v>78.099999999999994</v>
      </c>
      <c r="D46" s="4" t="s">
        <v>845</v>
      </c>
      <c r="E46" s="4">
        <v>25</v>
      </c>
      <c r="G46">
        <v>0.4</v>
      </c>
      <c r="H46">
        <f t="shared" si="1"/>
        <v>4.0000000000000006E-13</v>
      </c>
      <c r="I46" s="21" t="s">
        <v>856</v>
      </c>
      <c r="J46" s="21">
        <f t="shared" si="3"/>
        <v>25</v>
      </c>
      <c r="K46" s="139">
        <f t="shared" si="4"/>
        <v>4.8516206890236431</v>
      </c>
      <c r="L46" s="2">
        <v>1</v>
      </c>
      <c r="N46">
        <f t="shared" si="5"/>
        <v>0.4</v>
      </c>
    </row>
    <row r="47" spans="1:14" x14ac:dyDescent="0.2">
      <c r="A47">
        <v>42</v>
      </c>
      <c r="B47" s="4" t="s">
        <v>857</v>
      </c>
      <c r="C47">
        <v>78.099999999999994</v>
      </c>
      <c r="D47" s="4" t="s">
        <v>398</v>
      </c>
      <c r="E47" s="4">
        <v>30</v>
      </c>
      <c r="F47">
        <v>45</v>
      </c>
      <c r="G47">
        <v>0.25</v>
      </c>
      <c r="H47">
        <f t="shared" si="1"/>
        <v>2.4999999999999999E-13</v>
      </c>
      <c r="I47" s="21" t="s">
        <v>855</v>
      </c>
      <c r="J47" s="21">
        <f t="shared" si="3"/>
        <v>23</v>
      </c>
      <c r="K47" s="139">
        <f t="shared" si="4"/>
        <v>4.8516206890236431</v>
      </c>
      <c r="L47" s="2">
        <v>1</v>
      </c>
      <c r="M47">
        <f>G47*L47</f>
        <v>0.25</v>
      </c>
      <c r="N47" s="4"/>
    </row>
    <row r="48" spans="1:14" x14ac:dyDescent="0.2">
      <c r="A48">
        <v>43</v>
      </c>
      <c r="B48" s="4" t="s">
        <v>858</v>
      </c>
      <c r="C48">
        <v>84.2</v>
      </c>
      <c r="D48" s="4" t="s">
        <v>845</v>
      </c>
      <c r="E48" s="4">
        <v>25</v>
      </c>
      <c r="F48">
        <v>50</v>
      </c>
      <c r="G48">
        <v>0.71</v>
      </c>
      <c r="H48">
        <f t="shared" si="1"/>
        <v>7.1E-13</v>
      </c>
      <c r="I48" s="21" t="s">
        <v>855</v>
      </c>
      <c r="J48" s="21">
        <f t="shared" si="3"/>
        <v>23</v>
      </c>
      <c r="K48" s="139">
        <f t="shared" si="4"/>
        <v>4.3522750537187616</v>
      </c>
      <c r="L48" s="2">
        <v>1</v>
      </c>
      <c r="N48">
        <f>G48*L48</f>
        <v>0.71</v>
      </c>
    </row>
    <row r="49" spans="1:15" x14ac:dyDescent="0.2">
      <c r="A49">
        <v>44</v>
      </c>
      <c r="B49" s="4" t="s">
        <v>859</v>
      </c>
      <c r="C49">
        <v>84.2</v>
      </c>
      <c r="D49" s="4" t="s">
        <v>845</v>
      </c>
      <c r="E49" s="4">
        <v>25</v>
      </c>
      <c r="F49">
        <v>50</v>
      </c>
      <c r="G49">
        <v>0.41</v>
      </c>
      <c r="H49">
        <f t="shared" si="1"/>
        <v>4.0999999999999997E-13</v>
      </c>
      <c r="I49" s="21" t="s">
        <v>855</v>
      </c>
      <c r="J49" s="21">
        <f t="shared" si="3"/>
        <v>23</v>
      </c>
      <c r="K49" s="139">
        <f t="shared" si="4"/>
        <v>4.3522750537187616</v>
      </c>
      <c r="L49" s="2">
        <v>1</v>
      </c>
      <c r="N49">
        <f>G49*L49</f>
        <v>0.41</v>
      </c>
    </row>
    <row r="50" spans="1:15" x14ac:dyDescent="0.2">
      <c r="A50">
        <v>45</v>
      </c>
      <c r="B50" s="4" t="s">
        <v>859</v>
      </c>
      <c r="C50">
        <v>84.2</v>
      </c>
      <c r="D50" s="4" t="s">
        <v>845</v>
      </c>
      <c r="E50" s="4">
        <v>25</v>
      </c>
      <c r="G50">
        <v>0.61</v>
      </c>
      <c r="H50">
        <f t="shared" si="1"/>
        <v>6.1000000000000003E-13</v>
      </c>
      <c r="I50" s="21" t="s">
        <v>856</v>
      </c>
      <c r="J50" s="21">
        <f t="shared" si="3"/>
        <v>25</v>
      </c>
      <c r="K50" s="139">
        <f t="shared" si="4"/>
        <v>4.3522750537187616</v>
      </c>
      <c r="L50" s="2">
        <v>1</v>
      </c>
      <c r="N50">
        <f>G50*L50</f>
        <v>0.61</v>
      </c>
    </row>
    <row r="51" spans="1:15" x14ac:dyDescent="0.2">
      <c r="A51">
        <v>46</v>
      </c>
      <c r="B51" s="4" t="s">
        <v>859</v>
      </c>
      <c r="C51">
        <v>84.2</v>
      </c>
      <c r="D51" s="4" t="s">
        <v>845</v>
      </c>
      <c r="E51" s="4">
        <v>23</v>
      </c>
      <c r="G51">
        <v>0.2</v>
      </c>
      <c r="H51">
        <f t="shared" si="1"/>
        <v>2.0000000000000003E-13</v>
      </c>
      <c r="J51" s="21">
        <f t="shared" si="3"/>
        <v>23</v>
      </c>
      <c r="K51" s="139">
        <f t="shared" si="4"/>
        <v>4.3522750537187616</v>
      </c>
      <c r="L51" s="2">
        <v>1</v>
      </c>
      <c r="N51">
        <f>G51*L51</f>
        <v>0.2</v>
      </c>
    </row>
    <row r="52" spans="1:15" x14ac:dyDescent="0.2">
      <c r="A52">
        <v>47</v>
      </c>
      <c r="B52" s="4" t="s">
        <v>859</v>
      </c>
      <c r="C52">
        <v>84.2</v>
      </c>
      <c r="D52" s="4" t="s">
        <v>845</v>
      </c>
      <c r="E52" s="4">
        <v>25</v>
      </c>
      <c r="F52">
        <v>30</v>
      </c>
      <c r="G52">
        <v>0.17</v>
      </c>
      <c r="H52">
        <f t="shared" si="1"/>
        <v>1.7000000000000003E-13</v>
      </c>
      <c r="I52" s="21" t="s">
        <v>855</v>
      </c>
      <c r="J52" s="21">
        <f t="shared" si="3"/>
        <v>23</v>
      </c>
      <c r="K52" s="139">
        <f t="shared" si="4"/>
        <v>4.3522750537187616</v>
      </c>
      <c r="L52" s="2">
        <v>1</v>
      </c>
      <c r="N52">
        <f>G52*L52</f>
        <v>0.17</v>
      </c>
    </row>
    <row r="53" spans="1:15" x14ac:dyDescent="0.2">
      <c r="A53">
        <v>48</v>
      </c>
      <c r="B53" s="4" t="s">
        <v>456</v>
      </c>
      <c r="C53">
        <v>86.1</v>
      </c>
      <c r="D53" s="4" t="s">
        <v>398</v>
      </c>
      <c r="E53" s="4">
        <v>25</v>
      </c>
      <c r="G53">
        <v>7.0000000000000007E-2</v>
      </c>
      <c r="H53">
        <f t="shared" si="1"/>
        <v>7.0000000000000005E-14</v>
      </c>
      <c r="I53" s="21" t="s">
        <v>856</v>
      </c>
      <c r="J53" s="21">
        <f t="shared" si="3"/>
        <v>25</v>
      </c>
      <c r="K53" s="139">
        <f t="shared" si="4"/>
        <v>4.2101604158636832</v>
      </c>
      <c r="L53" s="2">
        <v>1</v>
      </c>
      <c r="M53">
        <f>G53*L53</f>
        <v>7.0000000000000007E-2</v>
      </c>
      <c r="N53" s="4"/>
    </row>
    <row r="54" spans="1:15" x14ac:dyDescent="0.2">
      <c r="A54">
        <v>49</v>
      </c>
      <c r="B54" s="4" t="s">
        <v>759</v>
      </c>
      <c r="C54">
        <v>86.2</v>
      </c>
      <c r="D54" s="4" t="s">
        <v>845</v>
      </c>
      <c r="E54" s="4">
        <v>25</v>
      </c>
      <c r="F54">
        <v>50</v>
      </c>
      <c r="G54">
        <v>0.54</v>
      </c>
      <c r="H54">
        <f t="shared" si="1"/>
        <v>5.4000000000000002E-13</v>
      </c>
      <c r="I54" s="21" t="s">
        <v>855</v>
      </c>
      <c r="J54" s="21">
        <f t="shared" ref="J54:J85" si="6">IF(I54="**",E54,23)</f>
        <v>23</v>
      </c>
      <c r="K54" s="139">
        <f t="shared" si="4"/>
        <v>4.2028440900634223</v>
      </c>
      <c r="L54" s="2">
        <v>1</v>
      </c>
      <c r="N54">
        <f t="shared" ref="N54:N59" si="7">G54*L54</f>
        <v>0.54</v>
      </c>
      <c r="O54" s="140">
        <f>AVERAGE(G54:G59,G62)/AVERAGE(G60:G61)</f>
        <v>0.90842490842490842</v>
      </c>
    </row>
    <row r="55" spans="1:15" x14ac:dyDescent="0.2">
      <c r="A55">
        <v>50</v>
      </c>
      <c r="B55" s="4" t="s">
        <v>759</v>
      </c>
      <c r="C55">
        <v>86.2</v>
      </c>
      <c r="D55" s="4" t="s">
        <v>845</v>
      </c>
      <c r="E55" s="4">
        <v>25</v>
      </c>
      <c r="F55">
        <v>45</v>
      </c>
      <c r="G55">
        <v>0.88</v>
      </c>
      <c r="H55">
        <f t="shared" si="1"/>
        <v>8.8000000000000019E-13</v>
      </c>
      <c r="I55" s="21" t="s">
        <v>855</v>
      </c>
      <c r="J55" s="21">
        <f t="shared" si="6"/>
        <v>23</v>
      </c>
      <c r="K55" s="139">
        <f t="shared" si="4"/>
        <v>4.2028440900634223</v>
      </c>
      <c r="L55" s="2">
        <v>1</v>
      </c>
      <c r="N55">
        <f t="shared" si="7"/>
        <v>0.88</v>
      </c>
    </row>
    <row r="56" spans="1:15" x14ac:dyDescent="0.2">
      <c r="A56">
        <v>51</v>
      </c>
      <c r="B56" s="4" t="s">
        <v>759</v>
      </c>
      <c r="C56">
        <v>86.2</v>
      </c>
      <c r="D56" s="4" t="s">
        <v>845</v>
      </c>
      <c r="E56" s="4">
        <v>25</v>
      </c>
      <c r="F56">
        <v>35</v>
      </c>
      <c r="G56">
        <v>0.12</v>
      </c>
      <c r="H56">
        <f t="shared" si="1"/>
        <v>1.1999999999999999E-13</v>
      </c>
      <c r="I56" s="21" t="s">
        <v>855</v>
      </c>
      <c r="J56" s="21">
        <f t="shared" si="6"/>
        <v>23</v>
      </c>
      <c r="K56" s="139">
        <f t="shared" si="4"/>
        <v>4.2028440900634223</v>
      </c>
      <c r="L56" s="2">
        <v>1</v>
      </c>
      <c r="N56">
        <f t="shared" si="7"/>
        <v>0.12</v>
      </c>
    </row>
    <row r="57" spans="1:15" x14ac:dyDescent="0.2">
      <c r="A57">
        <v>52</v>
      </c>
      <c r="B57" s="4" t="s">
        <v>759</v>
      </c>
      <c r="C57">
        <v>86.2</v>
      </c>
      <c r="D57" s="4" t="s">
        <v>845</v>
      </c>
      <c r="E57" s="4">
        <v>25</v>
      </c>
      <c r="F57">
        <v>50</v>
      </c>
      <c r="G57">
        <v>1</v>
      </c>
      <c r="H57">
        <f t="shared" si="1"/>
        <v>9.9999999999999998E-13</v>
      </c>
      <c r="I57" s="21" t="s">
        <v>855</v>
      </c>
      <c r="J57" s="21">
        <f t="shared" si="6"/>
        <v>23</v>
      </c>
      <c r="K57" s="139">
        <f t="shared" si="4"/>
        <v>4.2028440900634223</v>
      </c>
      <c r="L57" s="2">
        <v>1</v>
      </c>
      <c r="N57">
        <f t="shared" si="7"/>
        <v>1</v>
      </c>
    </row>
    <row r="58" spans="1:15" x14ac:dyDescent="0.2">
      <c r="A58">
        <v>53</v>
      </c>
      <c r="B58" s="4" t="s">
        <v>759</v>
      </c>
      <c r="C58">
        <v>86.2</v>
      </c>
      <c r="D58" s="4" t="s">
        <v>845</v>
      </c>
      <c r="E58" s="4">
        <v>25</v>
      </c>
      <c r="G58">
        <v>1.26</v>
      </c>
      <c r="H58">
        <f t="shared" si="1"/>
        <v>1.2600000000000001E-12</v>
      </c>
      <c r="I58" s="21" t="s">
        <v>856</v>
      </c>
      <c r="J58" s="21">
        <f t="shared" si="6"/>
        <v>25</v>
      </c>
      <c r="K58" s="139">
        <f t="shared" si="4"/>
        <v>4.2028440900634223</v>
      </c>
      <c r="L58" s="2">
        <v>1</v>
      </c>
      <c r="N58">
        <f t="shared" si="7"/>
        <v>1.26</v>
      </c>
    </row>
    <row r="59" spans="1:15" x14ac:dyDescent="0.2">
      <c r="A59">
        <v>54</v>
      </c>
      <c r="B59" s="4" t="s">
        <v>759</v>
      </c>
      <c r="C59">
        <v>86.2</v>
      </c>
      <c r="D59" s="4" t="s">
        <v>845</v>
      </c>
      <c r="E59" s="4">
        <v>23</v>
      </c>
      <c r="G59">
        <v>2.1</v>
      </c>
      <c r="H59">
        <f t="shared" si="1"/>
        <v>2.1000000000000003E-12</v>
      </c>
      <c r="J59" s="21">
        <f t="shared" si="6"/>
        <v>23</v>
      </c>
      <c r="K59" s="139">
        <f t="shared" si="4"/>
        <v>4.2028440900634223</v>
      </c>
      <c r="L59" s="2">
        <v>1</v>
      </c>
      <c r="N59">
        <f t="shared" si="7"/>
        <v>2.1</v>
      </c>
    </row>
    <row r="60" spans="1:15" x14ac:dyDescent="0.2">
      <c r="A60">
        <v>55</v>
      </c>
      <c r="B60" s="4" t="s">
        <v>759</v>
      </c>
      <c r="C60">
        <v>86.2</v>
      </c>
      <c r="D60" s="4" t="s">
        <v>398</v>
      </c>
      <c r="E60" s="4">
        <v>25</v>
      </c>
      <c r="G60">
        <v>1.05</v>
      </c>
      <c r="H60">
        <f t="shared" si="1"/>
        <v>1.0500000000000002E-12</v>
      </c>
      <c r="I60" s="21" t="s">
        <v>856</v>
      </c>
      <c r="J60" s="21">
        <f t="shared" si="6"/>
        <v>25</v>
      </c>
      <c r="K60" s="139">
        <f t="shared" si="4"/>
        <v>4.2028440900634223</v>
      </c>
      <c r="L60" s="2">
        <v>1</v>
      </c>
      <c r="M60">
        <f>G60*L60</f>
        <v>1.05</v>
      </c>
      <c r="N60" s="4"/>
    </row>
    <row r="61" spans="1:15" x14ac:dyDescent="0.2">
      <c r="A61">
        <v>56</v>
      </c>
      <c r="B61" s="4" t="s">
        <v>759</v>
      </c>
      <c r="C61">
        <v>86.2</v>
      </c>
      <c r="D61" s="4" t="s">
        <v>398</v>
      </c>
      <c r="E61" s="4">
        <v>25</v>
      </c>
      <c r="G61">
        <v>0.9</v>
      </c>
      <c r="H61">
        <f t="shared" si="1"/>
        <v>9.000000000000002E-13</v>
      </c>
      <c r="I61" s="21" t="s">
        <v>856</v>
      </c>
      <c r="J61" s="21">
        <f t="shared" si="6"/>
        <v>25</v>
      </c>
      <c r="K61" s="139">
        <f t="shared" si="4"/>
        <v>4.2028440900634223</v>
      </c>
      <c r="L61" s="2">
        <v>1</v>
      </c>
      <c r="M61">
        <f>G61*L61</f>
        <v>0.9</v>
      </c>
      <c r="N61" s="4"/>
    </row>
    <row r="62" spans="1:15" x14ac:dyDescent="0.2">
      <c r="A62">
        <v>57</v>
      </c>
      <c r="B62" s="4" t="s">
        <v>759</v>
      </c>
      <c r="C62">
        <v>86.2</v>
      </c>
      <c r="D62" s="4" t="s">
        <v>845</v>
      </c>
      <c r="E62" s="4">
        <v>25</v>
      </c>
      <c r="G62">
        <v>0.3</v>
      </c>
      <c r="H62">
        <f t="shared" si="1"/>
        <v>3.0000000000000003E-13</v>
      </c>
      <c r="I62" s="21" t="s">
        <v>856</v>
      </c>
      <c r="J62" s="21">
        <f t="shared" si="6"/>
        <v>25</v>
      </c>
      <c r="K62" s="139">
        <f t="shared" si="4"/>
        <v>4.2028440900634223</v>
      </c>
      <c r="L62" s="2">
        <v>1</v>
      </c>
      <c r="N62">
        <f>G62*L62</f>
        <v>0.3</v>
      </c>
    </row>
    <row r="63" spans="1:15" x14ac:dyDescent="0.2">
      <c r="A63">
        <v>58</v>
      </c>
      <c r="B63" s="4" t="s">
        <v>458</v>
      </c>
      <c r="C63">
        <v>86.2</v>
      </c>
      <c r="D63" s="4" t="s">
        <v>845</v>
      </c>
      <c r="E63" s="4">
        <v>25</v>
      </c>
      <c r="F63">
        <v>50</v>
      </c>
      <c r="G63">
        <v>0.41</v>
      </c>
      <c r="H63">
        <f t="shared" si="1"/>
        <v>4.0999999999999997E-13</v>
      </c>
      <c r="I63" s="21" t="s">
        <v>855</v>
      </c>
      <c r="J63" s="21">
        <f t="shared" si="6"/>
        <v>23</v>
      </c>
      <c r="K63" s="139">
        <f t="shared" si="4"/>
        <v>4.2028440900634223</v>
      </c>
      <c r="L63" s="2">
        <v>1</v>
      </c>
      <c r="N63">
        <f>G63*L63</f>
        <v>0.41</v>
      </c>
    </row>
    <row r="64" spans="1:15" x14ac:dyDescent="0.2">
      <c r="A64">
        <v>59</v>
      </c>
      <c r="B64" s="4" t="s">
        <v>860</v>
      </c>
      <c r="C64">
        <v>86.2</v>
      </c>
      <c r="D64" s="4" t="s">
        <v>845</v>
      </c>
      <c r="E64" s="4">
        <v>25</v>
      </c>
      <c r="F64">
        <v>50</v>
      </c>
      <c r="G64">
        <v>0.28000000000000003</v>
      </c>
      <c r="H64">
        <f t="shared" si="1"/>
        <v>2.8000000000000002E-13</v>
      </c>
      <c r="I64" s="21" t="s">
        <v>855</v>
      </c>
      <c r="J64" s="21">
        <f t="shared" si="6"/>
        <v>23</v>
      </c>
      <c r="K64" s="139">
        <f t="shared" si="4"/>
        <v>4.2028440900634223</v>
      </c>
      <c r="L64" s="2">
        <v>1</v>
      </c>
      <c r="N64">
        <f>G64*L64</f>
        <v>0.28000000000000003</v>
      </c>
    </row>
    <row r="65" spans="1:14" x14ac:dyDescent="0.2">
      <c r="A65">
        <v>60</v>
      </c>
      <c r="B65" s="4" t="s">
        <v>861</v>
      </c>
      <c r="C65">
        <v>88</v>
      </c>
      <c r="D65" s="4" t="s">
        <v>845</v>
      </c>
      <c r="E65" s="4">
        <v>25</v>
      </c>
      <c r="F65">
        <v>50</v>
      </c>
      <c r="G65">
        <v>0.74</v>
      </c>
      <c r="H65">
        <f t="shared" si="1"/>
        <v>7.4000000000000008E-13</v>
      </c>
      <c r="J65" s="21">
        <f t="shared" si="6"/>
        <v>23</v>
      </c>
      <c r="K65" s="139">
        <f t="shared" si="4"/>
        <v>4.0738475383925756</v>
      </c>
      <c r="L65" s="2">
        <v>1</v>
      </c>
      <c r="N65">
        <f>G65*L65</f>
        <v>0.74</v>
      </c>
    </row>
    <row r="66" spans="1:14" x14ac:dyDescent="0.2">
      <c r="A66">
        <v>61</v>
      </c>
      <c r="B66" s="4" t="s">
        <v>863</v>
      </c>
      <c r="C66">
        <v>88.1</v>
      </c>
      <c r="D66" s="4" t="s">
        <v>398</v>
      </c>
      <c r="E66" s="4">
        <v>25</v>
      </c>
      <c r="G66">
        <v>5.3</v>
      </c>
      <c r="H66">
        <f t="shared" si="1"/>
        <v>5.3000000000000004E-12</v>
      </c>
      <c r="I66" s="21" t="s">
        <v>856</v>
      </c>
      <c r="J66" s="21">
        <f t="shared" si="6"/>
        <v>25</v>
      </c>
      <c r="K66" s="139">
        <f t="shared" si="4"/>
        <v>4.0668281817911511</v>
      </c>
      <c r="L66" s="2">
        <v>1</v>
      </c>
      <c r="M66">
        <f>G66*L66</f>
        <v>5.3</v>
      </c>
      <c r="N66" s="4"/>
    </row>
    <row r="67" spans="1:14" x14ac:dyDescent="0.2">
      <c r="A67">
        <v>62</v>
      </c>
      <c r="B67" s="4" t="s">
        <v>863</v>
      </c>
      <c r="C67">
        <v>88.1</v>
      </c>
      <c r="D67" s="4" t="s">
        <v>398</v>
      </c>
      <c r="E67" s="4">
        <v>25</v>
      </c>
      <c r="G67">
        <v>4.7</v>
      </c>
      <c r="H67">
        <f t="shared" si="1"/>
        <v>4.7000000000000006E-12</v>
      </c>
      <c r="I67" s="21" t="s">
        <v>856</v>
      </c>
      <c r="J67" s="21">
        <f t="shared" si="6"/>
        <v>25</v>
      </c>
      <c r="K67" s="139">
        <f t="shared" si="4"/>
        <v>4.0668281817911511</v>
      </c>
      <c r="L67" s="2">
        <v>1</v>
      </c>
      <c r="M67">
        <f>G67*L67</f>
        <v>4.7</v>
      </c>
      <c r="N67" s="4"/>
    </row>
    <row r="68" spans="1:14" x14ac:dyDescent="0.2">
      <c r="A68">
        <v>63</v>
      </c>
      <c r="B68" s="4" t="s">
        <v>864</v>
      </c>
      <c r="C68">
        <v>88.1</v>
      </c>
      <c r="D68" s="4" t="s">
        <v>845</v>
      </c>
      <c r="E68" s="4">
        <v>25</v>
      </c>
      <c r="F68">
        <v>50</v>
      </c>
      <c r="G68">
        <v>0.4</v>
      </c>
      <c r="H68">
        <f t="shared" si="1"/>
        <v>4.0000000000000006E-13</v>
      </c>
      <c r="I68" s="21" t="s">
        <v>855</v>
      </c>
      <c r="J68" s="21">
        <f t="shared" si="6"/>
        <v>23</v>
      </c>
      <c r="K68" s="139">
        <f t="shared" si="4"/>
        <v>4.0668281817911511</v>
      </c>
      <c r="L68" s="2">
        <v>1</v>
      </c>
      <c r="N68">
        <f>G68*L68</f>
        <v>0.4</v>
      </c>
    </row>
    <row r="69" spans="1:14" x14ac:dyDescent="0.2">
      <c r="A69">
        <v>64</v>
      </c>
      <c r="B69" s="4" t="s">
        <v>465</v>
      </c>
      <c r="C69">
        <v>88.2</v>
      </c>
      <c r="D69" s="4" t="s">
        <v>398</v>
      </c>
      <c r="E69" s="4">
        <v>25</v>
      </c>
      <c r="G69">
        <v>0.63500000000000001</v>
      </c>
      <c r="H69">
        <f t="shared" si="1"/>
        <v>6.3500000000000012E-13</v>
      </c>
      <c r="I69" s="21" t="s">
        <v>856</v>
      </c>
      <c r="J69" s="21">
        <f t="shared" si="6"/>
        <v>25</v>
      </c>
      <c r="K69" s="139">
        <f t="shared" si="4"/>
        <v>4.0598240289443464</v>
      </c>
      <c r="L69" s="2">
        <v>1</v>
      </c>
      <c r="M69">
        <f>G69*L69</f>
        <v>0.63500000000000001</v>
      </c>
      <c r="N69" s="4"/>
    </row>
    <row r="70" spans="1:14" x14ac:dyDescent="0.2">
      <c r="A70">
        <v>65</v>
      </c>
      <c r="B70" s="4" t="s">
        <v>467</v>
      </c>
      <c r="C70">
        <v>88.2</v>
      </c>
      <c r="D70" s="4" t="s">
        <v>398</v>
      </c>
      <c r="E70" s="4">
        <v>25</v>
      </c>
      <c r="G70">
        <v>0.96899999999999997</v>
      </c>
      <c r="H70">
        <f t="shared" si="1"/>
        <v>9.6900000000000001E-13</v>
      </c>
      <c r="I70" s="21" t="s">
        <v>856</v>
      </c>
      <c r="J70" s="21">
        <f t="shared" si="6"/>
        <v>25</v>
      </c>
      <c r="K70" s="139">
        <f t="shared" ref="K70:K89" si="8">EXP(11.5-0.1351*C70^(2/3)+0.003*C70-10454/296)*10^4*10^8</f>
        <v>4.0598240289443464</v>
      </c>
      <c r="L70" s="2">
        <v>1</v>
      </c>
      <c r="M70">
        <f>G70*L70</f>
        <v>0.96899999999999997</v>
      </c>
      <c r="N70" s="4"/>
    </row>
    <row r="71" spans="1:14" x14ac:dyDescent="0.2">
      <c r="A71">
        <v>66</v>
      </c>
      <c r="B71" s="4" t="s">
        <v>492</v>
      </c>
      <c r="C71">
        <v>92.1</v>
      </c>
      <c r="D71" s="4" t="s">
        <v>845</v>
      </c>
      <c r="E71" s="4">
        <v>25</v>
      </c>
      <c r="G71">
        <v>1.8</v>
      </c>
      <c r="H71">
        <f t="shared" ref="H71:H89" si="9">G71*10^-8*10^-4</f>
        <v>1.8000000000000004E-12</v>
      </c>
      <c r="I71" s="21" t="s">
        <v>856</v>
      </c>
      <c r="J71" s="21">
        <f t="shared" si="6"/>
        <v>25</v>
      </c>
      <c r="K71" s="139">
        <f t="shared" si="8"/>
        <v>3.7980916335090829</v>
      </c>
      <c r="L71" s="2">
        <v>1</v>
      </c>
      <c r="N71">
        <f>G71*L71</f>
        <v>1.8</v>
      </c>
    </row>
    <row r="72" spans="1:14" x14ac:dyDescent="0.2">
      <c r="A72">
        <v>67</v>
      </c>
      <c r="B72" s="4" t="s">
        <v>492</v>
      </c>
      <c r="C72">
        <v>92.1</v>
      </c>
      <c r="D72" s="4" t="s">
        <v>845</v>
      </c>
      <c r="E72" s="4">
        <v>25</v>
      </c>
      <c r="F72">
        <v>45</v>
      </c>
      <c r="G72">
        <v>1.05</v>
      </c>
      <c r="H72">
        <f t="shared" si="9"/>
        <v>1.0500000000000002E-12</v>
      </c>
      <c r="I72" s="21" t="s">
        <v>855</v>
      </c>
      <c r="J72" s="21">
        <f t="shared" si="6"/>
        <v>23</v>
      </c>
      <c r="K72" s="139">
        <f t="shared" si="8"/>
        <v>3.7980916335090829</v>
      </c>
      <c r="L72" s="2">
        <v>1</v>
      </c>
      <c r="N72">
        <f>G72*L72</f>
        <v>1.05</v>
      </c>
    </row>
    <row r="73" spans="1:14" x14ac:dyDescent="0.2">
      <c r="A73">
        <v>68</v>
      </c>
      <c r="B73" s="4" t="s">
        <v>492</v>
      </c>
      <c r="C73">
        <v>92.1</v>
      </c>
      <c r="D73" s="4" t="s">
        <v>845</v>
      </c>
      <c r="E73" s="4">
        <v>30</v>
      </c>
      <c r="F73">
        <v>50</v>
      </c>
      <c r="G73">
        <v>1.4</v>
      </c>
      <c r="H73">
        <f t="shared" si="9"/>
        <v>1.4000000000000001E-12</v>
      </c>
      <c r="I73" s="21" t="s">
        <v>855</v>
      </c>
      <c r="J73" s="21">
        <f t="shared" si="6"/>
        <v>23</v>
      </c>
      <c r="K73" s="139">
        <f t="shared" si="8"/>
        <v>3.7980916335090829</v>
      </c>
      <c r="L73" s="2">
        <v>1</v>
      </c>
      <c r="N73">
        <f>G73*L73</f>
        <v>1.4</v>
      </c>
    </row>
    <row r="74" spans="1:14" x14ac:dyDescent="0.2">
      <c r="A74">
        <v>69</v>
      </c>
      <c r="B74" s="4" t="s">
        <v>492</v>
      </c>
      <c r="C74">
        <v>92.1</v>
      </c>
      <c r="D74" s="4" t="s">
        <v>845</v>
      </c>
      <c r="E74" s="4">
        <v>25</v>
      </c>
      <c r="G74">
        <v>3.2</v>
      </c>
      <c r="H74">
        <f t="shared" si="9"/>
        <v>3.2000000000000005E-12</v>
      </c>
      <c r="I74" s="21" t="s">
        <v>856</v>
      </c>
      <c r="J74" s="21">
        <f t="shared" si="6"/>
        <v>25</v>
      </c>
      <c r="K74" s="139">
        <f t="shared" si="8"/>
        <v>3.7980916335090829</v>
      </c>
      <c r="L74" s="2">
        <v>1</v>
      </c>
      <c r="N74">
        <f>G74*L74</f>
        <v>3.2</v>
      </c>
    </row>
    <row r="75" spans="1:14" x14ac:dyDescent="0.2">
      <c r="A75">
        <v>70</v>
      </c>
      <c r="B75" s="4" t="s">
        <v>865</v>
      </c>
      <c r="C75">
        <v>94.1</v>
      </c>
      <c r="D75" s="4" t="s">
        <v>398</v>
      </c>
      <c r="E75" s="4">
        <v>23</v>
      </c>
      <c r="G75">
        <v>5.0000000000000001E-3</v>
      </c>
      <c r="H75">
        <f t="shared" si="9"/>
        <v>5.0000000000000008E-15</v>
      </c>
      <c r="J75" s="21">
        <f t="shared" si="6"/>
        <v>23</v>
      </c>
      <c r="K75" s="139">
        <f t="shared" si="8"/>
        <v>3.6720638266306125</v>
      </c>
      <c r="L75" s="2">
        <v>1</v>
      </c>
      <c r="M75">
        <f>G75*L75</f>
        <v>5.0000000000000001E-3</v>
      </c>
    </row>
    <row r="76" spans="1:14" x14ac:dyDescent="0.2">
      <c r="A76">
        <v>71</v>
      </c>
      <c r="B76" s="4" t="s">
        <v>866</v>
      </c>
      <c r="C76">
        <v>100.2</v>
      </c>
      <c r="D76" s="4" t="s">
        <v>845</v>
      </c>
      <c r="E76" s="4">
        <v>25</v>
      </c>
      <c r="F76">
        <v>30</v>
      </c>
      <c r="G76">
        <v>0.35</v>
      </c>
      <c r="H76">
        <f t="shared" si="9"/>
        <v>3.5000000000000002E-13</v>
      </c>
      <c r="I76" s="21" t="s">
        <v>855</v>
      </c>
      <c r="J76" s="21">
        <f t="shared" si="6"/>
        <v>23</v>
      </c>
      <c r="K76" s="139">
        <f t="shared" si="8"/>
        <v>3.3185658595123351</v>
      </c>
      <c r="L76" s="2">
        <v>1</v>
      </c>
      <c r="N76">
        <f>G76*L76</f>
        <v>0.35</v>
      </c>
    </row>
    <row r="77" spans="1:14" x14ac:dyDescent="0.2">
      <c r="A77">
        <v>72</v>
      </c>
      <c r="B77" s="4" t="s">
        <v>866</v>
      </c>
      <c r="C77">
        <v>100.2</v>
      </c>
      <c r="D77" s="4" t="s">
        <v>845</v>
      </c>
      <c r="E77" s="4">
        <v>25</v>
      </c>
      <c r="F77">
        <v>45</v>
      </c>
      <c r="G77">
        <v>0.11</v>
      </c>
      <c r="H77">
        <f t="shared" si="9"/>
        <v>1.1000000000000002E-13</v>
      </c>
      <c r="I77" s="21" t="s">
        <v>855</v>
      </c>
      <c r="J77" s="21">
        <f t="shared" si="6"/>
        <v>23</v>
      </c>
      <c r="K77" s="139">
        <f t="shared" si="8"/>
        <v>3.3185658595123351</v>
      </c>
      <c r="L77" s="2">
        <v>1</v>
      </c>
      <c r="N77">
        <f>G77*L77</f>
        <v>0.11</v>
      </c>
    </row>
    <row r="78" spans="1:14" x14ac:dyDescent="0.2">
      <c r="A78">
        <v>73</v>
      </c>
      <c r="B78" s="4" t="s">
        <v>866</v>
      </c>
      <c r="C78">
        <v>100.2</v>
      </c>
      <c r="D78" s="4" t="s">
        <v>845</v>
      </c>
      <c r="E78" s="4">
        <v>25</v>
      </c>
      <c r="F78">
        <v>50</v>
      </c>
      <c r="G78">
        <v>0.9</v>
      </c>
      <c r="H78">
        <f t="shared" si="9"/>
        <v>9.000000000000002E-13</v>
      </c>
      <c r="I78" s="21" t="s">
        <v>855</v>
      </c>
      <c r="J78" s="21">
        <f t="shared" si="6"/>
        <v>23</v>
      </c>
      <c r="K78" s="139">
        <f t="shared" si="8"/>
        <v>3.3185658595123351</v>
      </c>
      <c r="L78" s="2">
        <v>1</v>
      </c>
      <c r="N78">
        <f>G78*L78</f>
        <v>0.9</v>
      </c>
    </row>
    <row r="79" spans="1:14" x14ac:dyDescent="0.2">
      <c r="A79">
        <v>74</v>
      </c>
      <c r="B79" s="4" t="s">
        <v>867</v>
      </c>
      <c r="C79">
        <v>100.2</v>
      </c>
      <c r="D79" s="4" t="s">
        <v>398</v>
      </c>
      <c r="E79" s="4">
        <v>25</v>
      </c>
      <c r="G79">
        <v>0.8</v>
      </c>
      <c r="H79">
        <f t="shared" si="9"/>
        <v>8.0000000000000013E-13</v>
      </c>
      <c r="I79" s="21" t="s">
        <v>855</v>
      </c>
      <c r="J79" s="21">
        <f t="shared" si="6"/>
        <v>23</v>
      </c>
      <c r="K79" s="139">
        <f t="shared" si="8"/>
        <v>3.3185658595123351</v>
      </c>
      <c r="L79" s="2">
        <v>1</v>
      </c>
      <c r="M79">
        <f>G79*L79</f>
        <v>0.8</v>
      </c>
      <c r="N79" s="4"/>
    </row>
    <row r="80" spans="1:14" x14ac:dyDescent="0.2">
      <c r="A80">
        <v>75</v>
      </c>
      <c r="B80" s="4" t="s">
        <v>867</v>
      </c>
      <c r="C80">
        <v>100.2</v>
      </c>
      <c r="D80" s="4" t="s">
        <v>398</v>
      </c>
      <c r="E80" s="4">
        <v>25</v>
      </c>
      <c r="G80">
        <v>0.6</v>
      </c>
      <c r="H80">
        <f t="shared" si="9"/>
        <v>6.0000000000000007E-13</v>
      </c>
      <c r="I80" s="21" t="s">
        <v>856</v>
      </c>
      <c r="J80" s="21">
        <f t="shared" si="6"/>
        <v>25</v>
      </c>
      <c r="K80" s="139">
        <f t="shared" si="8"/>
        <v>3.3185658595123351</v>
      </c>
      <c r="L80" s="2">
        <v>1</v>
      </c>
      <c r="M80">
        <f>G80*L80</f>
        <v>0.6</v>
      </c>
      <c r="N80" s="4"/>
    </row>
    <row r="81" spans="1:15" x14ac:dyDescent="0.2">
      <c r="A81">
        <v>76</v>
      </c>
      <c r="B81" s="4" t="s">
        <v>868</v>
      </c>
      <c r="C81">
        <v>100.2</v>
      </c>
      <c r="D81" s="4" t="s">
        <v>398</v>
      </c>
      <c r="E81" s="4">
        <v>23</v>
      </c>
      <c r="G81">
        <v>1.4</v>
      </c>
      <c r="H81">
        <f t="shared" si="9"/>
        <v>1.4000000000000001E-12</v>
      </c>
      <c r="J81" s="21">
        <f t="shared" si="6"/>
        <v>23</v>
      </c>
      <c r="K81" s="139">
        <f t="shared" si="8"/>
        <v>3.3185658595123351</v>
      </c>
      <c r="L81" s="2">
        <v>1</v>
      </c>
      <c r="M81">
        <f>G81*L81</f>
        <v>1.4</v>
      </c>
    </row>
    <row r="82" spans="1:15" x14ac:dyDescent="0.2">
      <c r="A82">
        <v>77</v>
      </c>
      <c r="B82" s="4" t="s">
        <v>869</v>
      </c>
      <c r="C82">
        <v>100.2</v>
      </c>
      <c r="D82" s="4" t="s">
        <v>398</v>
      </c>
      <c r="E82" s="4">
        <v>25</v>
      </c>
      <c r="G82">
        <v>0.03</v>
      </c>
      <c r="H82">
        <f t="shared" si="9"/>
        <v>2.9999999999999998E-14</v>
      </c>
      <c r="I82" s="21" t="s">
        <v>856</v>
      </c>
      <c r="J82" s="21">
        <f t="shared" si="6"/>
        <v>25</v>
      </c>
      <c r="K82" s="139">
        <f t="shared" si="8"/>
        <v>3.3185658595123351</v>
      </c>
      <c r="L82" s="2">
        <v>1</v>
      </c>
      <c r="M82">
        <f>G82*L82</f>
        <v>0.03</v>
      </c>
      <c r="N82" s="4"/>
    </row>
    <row r="83" spans="1:15" x14ac:dyDescent="0.2">
      <c r="A83">
        <v>78</v>
      </c>
      <c r="B83" s="4" t="s">
        <v>870</v>
      </c>
      <c r="C83">
        <v>102.1</v>
      </c>
      <c r="D83" s="4" t="s">
        <v>845</v>
      </c>
      <c r="E83" s="4">
        <v>30</v>
      </c>
      <c r="G83">
        <v>1.22</v>
      </c>
      <c r="H83">
        <f t="shared" si="9"/>
        <v>1.2200000000000001E-12</v>
      </c>
      <c r="I83" s="21" t="s">
        <v>856</v>
      </c>
      <c r="J83" s="21">
        <f t="shared" si="6"/>
        <v>30</v>
      </c>
      <c r="K83" s="139">
        <f t="shared" si="8"/>
        <v>3.2171781061377978</v>
      </c>
      <c r="L83" s="2">
        <v>1</v>
      </c>
      <c r="N83">
        <f>G83*L83</f>
        <v>1.22</v>
      </c>
    </row>
    <row r="84" spans="1:15" x14ac:dyDescent="0.2">
      <c r="A84">
        <v>79</v>
      </c>
      <c r="B84" s="4" t="s">
        <v>871</v>
      </c>
      <c r="C84">
        <v>102.2</v>
      </c>
      <c r="D84" s="4" t="s">
        <v>398</v>
      </c>
      <c r="E84" s="4">
        <v>25</v>
      </c>
      <c r="G84">
        <v>0.7</v>
      </c>
      <c r="H84">
        <f t="shared" si="9"/>
        <v>7.0000000000000005E-13</v>
      </c>
      <c r="I84" s="21" t="s">
        <v>856</v>
      </c>
      <c r="J84" s="21">
        <f t="shared" si="6"/>
        <v>25</v>
      </c>
      <c r="K84" s="139">
        <f t="shared" si="8"/>
        <v>3.2119489215377688</v>
      </c>
      <c r="L84" s="2">
        <v>1</v>
      </c>
      <c r="M84">
        <f t="shared" ref="M84:M89" si="10">G84*L84</f>
        <v>0.7</v>
      </c>
      <c r="N84" s="4"/>
    </row>
    <row r="85" spans="1:15" x14ac:dyDescent="0.2">
      <c r="A85">
        <v>80</v>
      </c>
      <c r="B85" s="4" t="s">
        <v>336</v>
      </c>
      <c r="C85">
        <v>102.2</v>
      </c>
      <c r="D85" s="4" t="s">
        <v>398</v>
      </c>
      <c r="E85" s="4">
        <v>25</v>
      </c>
      <c r="G85">
        <v>1.44</v>
      </c>
      <c r="H85">
        <f t="shared" si="9"/>
        <v>1.4400000000000001E-12</v>
      </c>
      <c r="I85" s="21" t="s">
        <v>856</v>
      </c>
      <c r="J85" s="21">
        <f t="shared" si="6"/>
        <v>25</v>
      </c>
      <c r="K85" s="139">
        <f t="shared" si="8"/>
        <v>3.2119489215377688</v>
      </c>
      <c r="L85" s="2">
        <v>1</v>
      </c>
      <c r="M85">
        <f t="shared" si="10"/>
        <v>1.44</v>
      </c>
      <c r="N85" s="4"/>
    </row>
    <row r="86" spans="1:15" x14ac:dyDescent="0.2">
      <c r="A86">
        <v>81</v>
      </c>
      <c r="B86" s="4" t="s">
        <v>476</v>
      </c>
      <c r="C86">
        <v>102.2</v>
      </c>
      <c r="D86" s="4" t="s">
        <v>398</v>
      </c>
      <c r="E86" s="4">
        <v>25</v>
      </c>
      <c r="G86">
        <v>0.40500000000000003</v>
      </c>
      <c r="H86">
        <f t="shared" si="9"/>
        <v>4.0500000000000009E-13</v>
      </c>
      <c r="I86" s="21" t="s">
        <v>856</v>
      </c>
      <c r="J86" s="21">
        <f>IF(I86="**",E86,23)</f>
        <v>25</v>
      </c>
      <c r="K86" s="139">
        <f t="shared" si="8"/>
        <v>3.2119489215377688</v>
      </c>
      <c r="L86" s="2">
        <v>1</v>
      </c>
      <c r="M86">
        <f t="shared" si="10"/>
        <v>0.40500000000000003</v>
      </c>
      <c r="N86" s="4"/>
    </row>
    <row r="87" spans="1:15" x14ac:dyDescent="0.2">
      <c r="A87">
        <v>82</v>
      </c>
      <c r="B87" s="4" t="s">
        <v>871</v>
      </c>
      <c r="C87">
        <v>102.2</v>
      </c>
      <c r="D87" s="4" t="s">
        <v>398</v>
      </c>
      <c r="E87" s="4">
        <v>25</v>
      </c>
      <c r="G87">
        <v>0.6</v>
      </c>
      <c r="H87">
        <f t="shared" si="9"/>
        <v>6.0000000000000007E-13</v>
      </c>
      <c r="I87" s="21" t="s">
        <v>856</v>
      </c>
      <c r="J87" s="21">
        <f>IF(I87="**",E87,23)</f>
        <v>25</v>
      </c>
      <c r="K87" s="139">
        <f t="shared" si="8"/>
        <v>3.2119489215377688</v>
      </c>
      <c r="L87" s="2">
        <v>1</v>
      </c>
      <c r="M87">
        <f t="shared" si="10"/>
        <v>0.6</v>
      </c>
      <c r="N87" s="4"/>
    </row>
    <row r="88" spans="1:15" x14ac:dyDescent="0.2">
      <c r="A88">
        <v>83</v>
      </c>
      <c r="B88" s="4" t="s">
        <v>872</v>
      </c>
      <c r="C88">
        <v>106.2</v>
      </c>
      <c r="D88" s="4" t="s">
        <v>845</v>
      </c>
      <c r="E88" s="4">
        <v>25</v>
      </c>
      <c r="G88">
        <v>0.94</v>
      </c>
      <c r="H88">
        <f t="shared" si="9"/>
        <v>9.4000000000000003E-13</v>
      </c>
      <c r="I88" s="21" t="s">
        <v>856</v>
      </c>
      <c r="J88" s="21">
        <f>IF(I88="**",E88,23)</f>
        <v>25</v>
      </c>
      <c r="K88" s="139">
        <f t="shared" si="8"/>
        <v>3.0111313665656607</v>
      </c>
      <c r="L88" s="2">
        <v>1</v>
      </c>
      <c r="M88">
        <f t="shared" si="10"/>
        <v>0.94</v>
      </c>
      <c r="N88" s="4"/>
    </row>
    <row r="89" spans="1:15" x14ac:dyDescent="0.2">
      <c r="A89">
        <v>84</v>
      </c>
      <c r="B89" s="4" t="s">
        <v>762</v>
      </c>
      <c r="C89">
        <v>106.2</v>
      </c>
      <c r="D89" s="4" t="s">
        <v>845</v>
      </c>
      <c r="E89" s="4">
        <v>25</v>
      </c>
      <c r="G89">
        <v>1.46</v>
      </c>
      <c r="H89">
        <f t="shared" si="9"/>
        <v>1.46E-12</v>
      </c>
      <c r="I89" s="21" t="s">
        <v>856</v>
      </c>
      <c r="J89" s="21">
        <f>IF(I89="**",E89,23)</f>
        <v>25</v>
      </c>
      <c r="K89" s="139">
        <f t="shared" si="8"/>
        <v>3.0111313665656607</v>
      </c>
      <c r="L89" s="2">
        <v>1</v>
      </c>
      <c r="M89">
        <f t="shared" si="10"/>
        <v>1.46</v>
      </c>
      <c r="N89" s="4"/>
    </row>
    <row r="91" spans="1:15" x14ac:dyDescent="0.2">
      <c r="B91" s="107" t="s">
        <v>897</v>
      </c>
      <c r="C91" s="110"/>
      <c r="D91" s="110"/>
      <c r="E91" s="110"/>
      <c r="F91" s="110"/>
      <c r="G91" s="110"/>
      <c r="H91" s="110"/>
      <c r="I91" s="167"/>
      <c r="J91" s="180"/>
      <c r="K91" s="107" t="s">
        <v>532</v>
      </c>
      <c r="L91" s="71"/>
      <c r="M91" s="110"/>
      <c r="N91" s="110"/>
      <c r="O91" s="111"/>
    </row>
    <row r="92" spans="1:15" ht="15.75" x14ac:dyDescent="0.3">
      <c r="B92" s="158" t="s">
        <v>717</v>
      </c>
      <c r="C92" s="51" t="s">
        <v>43</v>
      </c>
      <c r="D92" s="51" t="s">
        <v>842</v>
      </c>
      <c r="E92" s="51" t="s">
        <v>852</v>
      </c>
      <c r="F92" s="51"/>
      <c r="G92" s="52" t="s">
        <v>896</v>
      </c>
      <c r="H92" s="52"/>
      <c r="I92" s="164" t="s">
        <v>900</v>
      </c>
      <c r="J92" s="178"/>
      <c r="K92" s="51" t="s">
        <v>902</v>
      </c>
      <c r="L92" s="64" t="s">
        <v>874</v>
      </c>
      <c r="M92" s="51" t="s">
        <v>6</v>
      </c>
      <c r="N92" s="51" t="s">
        <v>6</v>
      </c>
      <c r="O92" s="52" t="s">
        <v>862</v>
      </c>
    </row>
    <row r="93" spans="1:15" x14ac:dyDescent="0.2">
      <c r="B93" s="159" t="s">
        <v>835</v>
      </c>
      <c r="C93" s="65"/>
      <c r="D93" s="53" t="s">
        <v>843</v>
      </c>
      <c r="E93" s="53"/>
      <c r="F93" s="53"/>
      <c r="G93" s="55"/>
      <c r="H93" s="55"/>
      <c r="I93" s="165" t="s">
        <v>488</v>
      </c>
      <c r="J93" s="56"/>
      <c r="K93" s="65" t="s">
        <v>379</v>
      </c>
      <c r="L93" s="54"/>
      <c r="M93" s="65"/>
      <c r="N93" s="65"/>
      <c r="O93" s="55"/>
    </row>
    <row r="94" spans="1:15" x14ac:dyDescent="0.2">
      <c r="B94" s="126"/>
      <c r="C94" s="57" t="s">
        <v>800</v>
      </c>
      <c r="D94" s="57" t="s">
        <v>844</v>
      </c>
      <c r="E94" s="57" t="s">
        <v>771</v>
      </c>
      <c r="F94" s="57"/>
      <c r="G94" s="120" t="s">
        <v>772</v>
      </c>
      <c r="H94" s="120" t="s">
        <v>1229</v>
      </c>
      <c r="I94" s="166"/>
      <c r="J94" s="179"/>
      <c r="K94" s="66"/>
      <c r="L94" s="58"/>
      <c r="M94" s="57"/>
      <c r="N94" s="57" t="s">
        <v>873</v>
      </c>
      <c r="O94" s="59"/>
    </row>
    <row r="95" spans="1:15" x14ac:dyDescent="0.2">
      <c r="A95">
        <v>85</v>
      </c>
      <c r="B95" s="4" t="s">
        <v>796</v>
      </c>
      <c r="C95">
        <v>16</v>
      </c>
      <c r="D95" s="4" t="s">
        <v>398</v>
      </c>
      <c r="E95" s="4">
        <v>5</v>
      </c>
      <c r="F95" s="4">
        <v>55</v>
      </c>
      <c r="G95">
        <v>5.0999999999999996</v>
      </c>
      <c r="H95">
        <f t="shared" ref="H95:H131" si="11">G95*10^-8*10^-4</f>
        <v>5.1000000000000005E-12</v>
      </c>
      <c r="J95" s="21">
        <f t="shared" ref="J95:J131" si="12">IF(I95="**",E95,23)</f>
        <v>23</v>
      </c>
      <c r="K95" s="139">
        <f t="shared" ref="K95:K131" si="13">EXP(9.1723-0.1351*C95^(2/3)+0.003*C95-10454/296)*10^4*10^8</f>
        <v>1.9658446885026375</v>
      </c>
      <c r="L95" s="2">
        <v>1</v>
      </c>
      <c r="M95">
        <f>G95*L95</f>
        <v>5.0999999999999996</v>
      </c>
    </row>
    <row r="96" spans="1:15" x14ac:dyDescent="0.2">
      <c r="A96">
        <v>86</v>
      </c>
      <c r="B96" s="4" t="s">
        <v>796</v>
      </c>
      <c r="C96">
        <v>16</v>
      </c>
      <c r="D96" s="4" t="s">
        <v>398</v>
      </c>
      <c r="E96">
        <v>25</v>
      </c>
      <c r="F96">
        <v>50</v>
      </c>
      <c r="G96">
        <v>0.95</v>
      </c>
      <c r="H96">
        <f t="shared" si="11"/>
        <v>9.4999999999999999E-13</v>
      </c>
      <c r="I96" s="21" t="s">
        <v>855</v>
      </c>
      <c r="J96" s="21">
        <f t="shared" si="12"/>
        <v>23</v>
      </c>
      <c r="K96" s="139">
        <f t="shared" si="13"/>
        <v>1.9658446885026375</v>
      </c>
      <c r="L96" s="2">
        <v>1</v>
      </c>
      <c r="M96">
        <f>G96*L96</f>
        <v>0.95</v>
      </c>
    </row>
    <row r="97" spans="1:15" x14ac:dyDescent="0.2">
      <c r="A97">
        <v>87</v>
      </c>
      <c r="B97" s="4" t="s">
        <v>480</v>
      </c>
      <c r="C97">
        <v>30.1</v>
      </c>
      <c r="D97" s="4" t="s">
        <v>398</v>
      </c>
      <c r="E97">
        <v>5</v>
      </c>
      <c r="F97">
        <v>55</v>
      </c>
      <c r="G97">
        <v>1.27</v>
      </c>
      <c r="H97">
        <f t="shared" si="11"/>
        <v>1.2700000000000002E-12</v>
      </c>
      <c r="J97" s="21">
        <f t="shared" si="12"/>
        <v>23</v>
      </c>
      <c r="K97" s="139">
        <f t="shared" si="13"/>
        <v>1.3083677710387023</v>
      </c>
      <c r="L97" s="2">
        <v>1</v>
      </c>
      <c r="M97">
        <f>G97*L97</f>
        <v>1.27</v>
      </c>
    </row>
    <row r="98" spans="1:15" x14ac:dyDescent="0.2">
      <c r="A98">
        <v>88</v>
      </c>
      <c r="B98" s="4" t="s">
        <v>480</v>
      </c>
      <c r="C98">
        <v>30.1</v>
      </c>
      <c r="D98" s="4" t="s">
        <v>398</v>
      </c>
      <c r="E98">
        <v>0</v>
      </c>
      <c r="F98">
        <v>50</v>
      </c>
      <c r="G98">
        <v>2.78</v>
      </c>
      <c r="H98">
        <f t="shared" si="11"/>
        <v>2.7799999999999999E-12</v>
      </c>
      <c r="J98" s="21">
        <f t="shared" si="12"/>
        <v>23</v>
      </c>
      <c r="K98" s="139">
        <f t="shared" si="13"/>
        <v>1.3083677710387023</v>
      </c>
      <c r="L98" s="2">
        <v>1</v>
      </c>
      <c r="M98">
        <f>G98*L98</f>
        <v>2.78</v>
      </c>
    </row>
    <row r="99" spans="1:15" x14ac:dyDescent="0.2">
      <c r="A99">
        <v>89</v>
      </c>
      <c r="B99" s="4" t="s">
        <v>480</v>
      </c>
      <c r="C99">
        <v>30.1</v>
      </c>
      <c r="D99" s="4" t="s">
        <v>398</v>
      </c>
      <c r="E99">
        <v>25</v>
      </c>
      <c r="F99">
        <v>50</v>
      </c>
      <c r="G99">
        <v>0.93</v>
      </c>
      <c r="H99">
        <f t="shared" si="11"/>
        <v>9.3000000000000008E-13</v>
      </c>
      <c r="I99" s="21" t="s">
        <v>855</v>
      </c>
      <c r="J99" s="21">
        <f t="shared" si="12"/>
        <v>23</v>
      </c>
      <c r="K99" s="139">
        <f t="shared" si="13"/>
        <v>1.3083677710387023</v>
      </c>
      <c r="L99" s="2">
        <v>1</v>
      </c>
      <c r="M99">
        <f>G99*L99</f>
        <v>0.93</v>
      </c>
    </row>
    <row r="100" spans="1:15" x14ac:dyDescent="0.2">
      <c r="A100">
        <v>90</v>
      </c>
      <c r="B100" s="4" t="s">
        <v>480</v>
      </c>
      <c r="C100">
        <v>30.1</v>
      </c>
      <c r="D100" s="4" t="s">
        <v>845</v>
      </c>
      <c r="E100">
        <v>23</v>
      </c>
      <c r="G100">
        <v>1.7</v>
      </c>
      <c r="H100">
        <f t="shared" si="11"/>
        <v>1.7E-12</v>
      </c>
      <c r="J100" s="21">
        <f t="shared" si="12"/>
        <v>23</v>
      </c>
      <c r="K100" s="139">
        <f t="shared" si="13"/>
        <v>1.3083677710387023</v>
      </c>
      <c r="L100" s="2">
        <v>1</v>
      </c>
      <c r="N100">
        <f>G100*L100</f>
        <v>1.7</v>
      </c>
      <c r="O100" s="140">
        <f>N100/AVERAGE(M97:M101)</f>
        <v>0.98124098124098125</v>
      </c>
    </row>
    <row r="101" spans="1:15" x14ac:dyDescent="0.2">
      <c r="A101">
        <v>91</v>
      </c>
      <c r="B101" s="4" t="s">
        <v>480</v>
      </c>
      <c r="C101">
        <v>30.1</v>
      </c>
      <c r="D101" s="4" t="s">
        <v>398</v>
      </c>
      <c r="E101">
        <v>25</v>
      </c>
      <c r="F101">
        <v>60</v>
      </c>
      <c r="G101">
        <v>1.95</v>
      </c>
      <c r="H101">
        <f t="shared" si="11"/>
        <v>1.95E-12</v>
      </c>
      <c r="I101" s="21" t="s">
        <v>855</v>
      </c>
      <c r="J101" s="21">
        <f t="shared" si="12"/>
        <v>23</v>
      </c>
      <c r="K101" s="139">
        <f t="shared" si="13"/>
        <v>1.3083677710387023</v>
      </c>
      <c r="L101" s="2">
        <v>1</v>
      </c>
      <c r="M101">
        <f t="shared" ref="M101:M127" si="14">G101*L101</f>
        <v>1.95</v>
      </c>
    </row>
    <row r="102" spans="1:15" x14ac:dyDescent="0.2">
      <c r="A102">
        <v>92</v>
      </c>
      <c r="B102" s="4" t="s">
        <v>437</v>
      </c>
      <c r="C102">
        <v>40.1</v>
      </c>
      <c r="D102" s="4" t="s">
        <v>398</v>
      </c>
      <c r="E102">
        <v>5</v>
      </c>
      <c r="F102">
        <v>55</v>
      </c>
      <c r="G102">
        <v>2.1800000000000002</v>
      </c>
      <c r="H102">
        <f t="shared" si="11"/>
        <v>2.1800000000000004E-12</v>
      </c>
      <c r="J102" s="21">
        <f t="shared" si="12"/>
        <v>23</v>
      </c>
      <c r="K102" s="139">
        <f t="shared" si="13"/>
        <v>1.0235550323144895</v>
      </c>
      <c r="L102" s="2">
        <v>1</v>
      </c>
      <c r="M102">
        <f t="shared" si="14"/>
        <v>2.1800000000000002</v>
      </c>
    </row>
    <row r="103" spans="1:15" x14ac:dyDescent="0.2">
      <c r="A103">
        <v>93</v>
      </c>
      <c r="B103" s="4" t="s">
        <v>899</v>
      </c>
      <c r="C103">
        <v>42.1</v>
      </c>
      <c r="D103" s="4" t="s">
        <v>398</v>
      </c>
      <c r="E103">
        <v>30</v>
      </c>
      <c r="F103">
        <v>55</v>
      </c>
      <c r="G103">
        <v>1.1499999999999999</v>
      </c>
      <c r="H103">
        <f t="shared" si="11"/>
        <v>1.1499999999999999E-12</v>
      </c>
      <c r="I103" s="21" t="s">
        <v>855</v>
      </c>
      <c r="J103" s="21">
        <f t="shared" si="12"/>
        <v>23</v>
      </c>
      <c r="K103" s="139">
        <f t="shared" si="13"/>
        <v>0.97734306383561242</v>
      </c>
      <c r="L103" s="2">
        <v>1</v>
      </c>
      <c r="M103">
        <f t="shared" si="14"/>
        <v>1.1499999999999999</v>
      </c>
    </row>
    <row r="104" spans="1:15" x14ac:dyDescent="0.2">
      <c r="A104">
        <v>94</v>
      </c>
      <c r="B104" s="4" t="s">
        <v>839</v>
      </c>
      <c r="C104">
        <v>42.1</v>
      </c>
      <c r="D104" s="4" t="s">
        <v>398</v>
      </c>
      <c r="E104">
        <v>5</v>
      </c>
      <c r="F104">
        <v>55</v>
      </c>
      <c r="G104">
        <v>0.92</v>
      </c>
      <c r="H104">
        <f t="shared" si="11"/>
        <v>9.2000000000000012E-13</v>
      </c>
      <c r="J104" s="21">
        <f t="shared" si="12"/>
        <v>23</v>
      </c>
      <c r="K104" s="139">
        <f t="shared" si="13"/>
        <v>0.97734306383561242</v>
      </c>
      <c r="L104" s="2">
        <v>1</v>
      </c>
      <c r="M104">
        <f t="shared" si="14"/>
        <v>0.92</v>
      </c>
    </row>
    <row r="105" spans="1:15" x14ac:dyDescent="0.2">
      <c r="A105">
        <v>95</v>
      </c>
      <c r="B105" s="4" t="s">
        <v>799</v>
      </c>
      <c r="C105">
        <v>44.1</v>
      </c>
      <c r="D105" s="4" t="s">
        <v>398</v>
      </c>
      <c r="E105">
        <v>5</v>
      </c>
      <c r="F105">
        <v>50</v>
      </c>
      <c r="G105">
        <v>0.47</v>
      </c>
      <c r="H105">
        <f t="shared" si="11"/>
        <v>4.7000000000000002E-13</v>
      </c>
      <c r="J105" s="21">
        <f t="shared" si="12"/>
        <v>23</v>
      </c>
      <c r="K105" s="139">
        <f t="shared" si="13"/>
        <v>0.9339834607771621</v>
      </c>
      <c r="L105" s="2">
        <v>1</v>
      </c>
      <c r="M105">
        <f t="shared" si="14"/>
        <v>0.47</v>
      </c>
    </row>
    <row r="106" spans="1:15" x14ac:dyDescent="0.2">
      <c r="A106">
        <v>96</v>
      </c>
      <c r="B106" s="4" t="s">
        <v>847</v>
      </c>
      <c r="C106">
        <v>58.1</v>
      </c>
      <c r="D106" s="4" t="s">
        <v>398</v>
      </c>
      <c r="E106">
        <v>40</v>
      </c>
      <c r="F106">
        <v>60</v>
      </c>
      <c r="G106">
        <v>0.52</v>
      </c>
      <c r="H106">
        <f t="shared" si="11"/>
        <v>5.2000000000000001E-13</v>
      </c>
      <c r="I106" s="21" t="s">
        <v>855</v>
      </c>
      <c r="J106" s="21">
        <f t="shared" si="12"/>
        <v>23</v>
      </c>
      <c r="K106" s="139">
        <f t="shared" si="13"/>
        <v>0.69310863289402658</v>
      </c>
      <c r="L106" s="2">
        <v>1</v>
      </c>
      <c r="M106">
        <f t="shared" si="14"/>
        <v>0.52</v>
      </c>
    </row>
    <row r="107" spans="1:15" x14ac:dyDescent="0.2">
      <c r="A107">
        <v>97</v>
      </c>
      <c r="B107" s="4" t="s">
        <v>847</v>
      </c>
      <c r="C107">
        <v>58.1</v>
      </c>
      <c r="D107" s="4" t="s">
        <v>398</v>
      </c>
      <c r="E107">
        <v>25</v>
      </c>
      <c r="G107">
        <v>3.6</v>
      </c>
      <c r="H107">
        <f t="shared" si="11"/>
        <v>3.6000000000000008E-12</v>
      </c>
      <c r="I107" s="21" t="s">
        <v>856</v>
      </c>
      <c r="J107" s="21">
        <f t="shared" si="12"/>
        <v>25</v>
      </c>
      <c r="K107" s="139">
        <f t="shared" si="13"/>
        <v>0.69310863289402658</v>
      </c>
      <c r="L107" s="2">
        <v>1</v>
      </c>
      <c r="M107">
        <f t="shared" si="14"/>
        <v>3.6</v>
      </c>
    </row>
    <row r="108" spans="1:15" x14ac:dyDescent="0.2">
      <c r="A108">
        <v>98</v>
      </c>
      <c r="B108" s="4" t="s">
        <v>847</v>
      </c>
      <c r="C108">
        <v>58.1</v>
      </c>
      <c r="D108" s="4" t="s">
        <v>398</v>
      </c>
      <c r="E108">
        <v>25</v>
      </c>
      <c r="G108">
        <v>0.7</v>
      </c>
      <c r="H108">
        <f t="shared" si="11"/>
        <v>7.0000000000000005E-13</v>
      </c>
      <c r="I108" s="21" t="s">
        <v>856</v>
      </c>
      <c r="J108" s="21">
        <f t="shared" si="12"/>
        <v>25</v>
      </c>
      <c r="K108" s="139">
        <f t="shared" si="13"/>
        <v>0.69310863289402658</v>
      </c>
      <c r="L108" s="2">
        <v>1</v>
      </c>
      <c r="M108">
        <f t="shared" si="14"/>
        <v>0.7</v>
      </c>
    </row>
    <row r="109" spans="1:15" x14ac:dyDescent="0.2">
      <c r="A109">
        <v>99</v>
      </c>
      <c r="B109" s="4" t="s">
        <v>847</v>
      </c>
      <c r="C109">
        <v>58.1</v>
      </c>
      <c r="D109" s="4" t="s">
        <v>398</v>
      </c>
      <c r="E109">
        <v>25</v>
      </c>
      <c r="G109">
        <v>1</v>
      </c>
      <c r="H109">
        <f t="shared" si="11"/>
        <v>9.9999999999999998E-13</v>
      </c>
      <c r="I109" s="21" t="s">
        <v>856</v>
      </c>
      <c r="J109" s="21">
        <f t="shared" si="12"/>
        <v>25</v>
      </c>
      <c r="K109" s="139">
        <f t="shared" si="13"/>
        <v>0.69310863289402658</v>
      </c>
      <c r="L109" s="2">
        <v>1</v>
      </c>
      <c r="M109">
        <f t="shared" si="14"/>
        <v>1</v>
      </c>
    </row>
    <row r="110" spans="1:15" x14ac:dyDescent="0.2">
      <c r="A110">
        <v>100</v>
      </c>
      <c r="B110" s="4" t="s">
        <v>849</v>
      </c>
      <c r="C110">
        <v>72.099999999999994</v>
      </c>
      <c r="D110" s="4" t="s">
        <v>398</v>
      </c>
      <c r="E110">
        <v>45</v>
      </c>
      <c r="F110">
        <v>80</v>
      </c>
      <c r="G110">
        <v>8.5000000000000006E-2</v>
      </c>
      <c r="H110">
        <f t="shared" si="11"/>
        <v>8.5000000000000016E-14</v>
      </c>
      <c r="I110" s="21" t="s">
        <v>855</v>
      </c>
      <c r="J110" s="21">
        <f t="shared" si="12"/>
        <v>23</v>
      </c>
      <c r="K110" s="139">
        <f t="shared" si="13"/>
        <v>0.52819701466729452</v>
      </c>
      <c r="L110" s="2">
        <v>1</v>
      </c>
      <c r="M110">
        <f t="shared" si="14"/>
        <v>8.5000000000000006E-2</v>
      </c>
    </row>
    <row r="111" spans="1:15" x14ac:dyDescent="0.2">
      <c r="A111">
        <v>101</v>
      </c>
      <c r="B111" s="4" t="s">
        <v>849</v>
      </c>
      <c r="C111">
        <v>72.099999999999994</v>
      </c>
      <c r="D111" s="4" t="s">
        <v>398</v>
      </c>
      <c r="E111">
        <v>25</v>
      </c>
      <c r="F111">
        <v>50</v>
      </c>
      <c r="G111">
        <v>0.28000000000000003</v>
      </c>
      <c r="H111">
        <f t="shared" si="11"/>
        <v>2.8000000000000002E-13</v>
      </c>
      <c r="I111" s="21" t="s">
        <v>855</v>
      </c>
      <c r="J111" s="21">
        <f t="shared" si="12"/>
        <v>23</v>
      </c>
      <c r="K111" s="139">
        <f t="shared" si="13"/>
        <v>0.52819701466729452</v>
      </c>
      <c r="L111" s="2">
        <v>1</v>
      </c>
      <c r="M111">
        <f t="shared" si="14"/>
        <v>0.28000000000000003</v>
      </c>
    </row>
    <row r="112" spans="1:15" x14ac:dyDescent="0.2">
      <c r="A112">
        <v>102</v>
      </c>
      <c r="B112" s="4" t="s">
        <v>450</v>
      </c>
      <c r="C112">
        <v>72.099999999999994</v>
      </c>
      <c r="D112" s="4" t="s">
        <v>398</v>
      </c>
      <c r="E112">
        <v>25</v>
      </c>
      <c r="F112">
        <v>50</v>
      </c>
      <c r="G112">
        <v>0.26300000000000001</v>
      </c>
      <c r="H112">
        <f t="shared" si="11"/>
        <v>2.6300000000000004E-13</v>
      </c>
      <c r="I112" s="21" t="s">
        <v>855</v>
      </c>
      <c r="J112" s="21">
        <f t="shared" si="12"/>
        <v>23</v>
      </c>
      <c r="K112" s="139">
        <f t="shared" si="13"/>
        <v>0.52819701466729452</v>
      </c>
      <c r="L112" s="2">
        <v>1</v>
      </c>
      <c r="M112">
        <f t="shared" si="14"/>
        <v>0.26300000000000001</v>
      </c>
    </row>
    <row r="113" spans="1:15" x14ac:dyDescent="0.2">
      <c r="A113">
        <v>103</v>
      </c>
      <c r="B113" s="4" t="s">
        <v>903</v>
      </c>
      <c r="C113">
        <v>72.099999999999994</v>
      </c>
      <c r="D113" s="4" t="s">
        <v>398</v>
      </c>
      <c r="E113">
        <v>25</v>
      </c>
      <c r="G113">
        <v>0.64</v>
      </c>
      <c r="H113">
        <f t="shared" si="11"/>
        <v>6.400000000000001E-13</v>
      </c>
      <c r="I113" s="21" t="s">
        <v>856</v>
      </c>
      <c r="J113" s="21">
        <f t="shared" si="12"/>
        <v>25</v>
      </c>
      <c r="K113" s="139">
        <f t="shared" si="13"/>
        <v>0.52819701466729452</v>
      </c>
      <c r="L113" s="2">
        <v>1</v>
      </c>
      <c r="M113">
        <f t="shared" si="14"/>
        <v>0.64</v>
      </c>
    </row>
    <row r="114" spans="1:15" x14ac:dyDescent="0.2">
      <c r="A114">
        <v>104</v>
      </c>
      <c r="B114" s="4" t="s">
        <v>903</v>
      </c>
      <c r="C114">
        <v>72.099999999999994</v>
      </c>
      <c r="D114" s="4" t="s">
        <v>398</v>
      </c>
      <c r="E114">
        <v>25</v>
      </c>
      <c r="G114">
        <v>0.44</v>
      </c>
      <c r="H114">
        <f t="shared" si="11"/>
        <v>4.4000000000000009E-13</v>
      </c>
      <c r="I114" s="21" t="s">
        <v>856</v>
      </c>
      <c r="J114" s="21">
        <f t="shared" si="12"/>
        <v>25</v>
      </c>
      <c r="K114" s="139">
        <f t="shared" si="13"/>
        <v>0.52819701466729452</v>
      </c>
      <c r="L114" s="2">
        <v>1</v>
      </c>
      <c r="M114">
        <f t="shared" si="14"/>
        <v>0.44</v>
      </c>
    </row>
    <row r="115" spans="1:15" x14ac:dyDescent="0.2">
      <c r="A115">
        <v>105</v>
      </c>
      <c r="B115" s="4" t="s">
        <v>851</v>
      </c>
      <c r="C115">
        <v>72.099999999999994</v>
      </c>
      <c r="D115" s="4" t="s">
        <v>398</v>
      </c>
      <c r="E115">
        <v>25</v>
      </c>
      <c r="G115">
        <v>0.35899999999999999</v>
      </c>
      <c r="H115">
        <f t="shared" si="11"/>
        <v>3.5899999999999998E-13</v>
      </c>
      <c r="I115" s="21" t="s">
        <v>856</v>
      </c>
      <c r="J115" s="21">
        <f t="shared" si="12"/>
        <v>25</v>
      </c>
      <c r="K115" s="139">
        <f t="shared" si="13"/>
        <v>0.52819701466729452</v>
      </c>
      <c r="L115" s="2">
        <v>1</v>
      </c>
      <c r="M115">
        <f t="shared" si="14"/>
        <v>0.35899999999999999</v>
      </c>
    </row>
    <row r="116" spans="1:15" x14ac:dyDescent="0.2">
      <c r="A116">
        <v>106</v>
      </c>
      <c r="B116" s="4" t="s">
        <v>452</v>
      </c>
      <c r="C116">
        <v>74.099999999999994</v>
      </c>
      <c r="D116" s="4" t="s">
        <v>398</v>
      </c>
      <c r="E116">
        <v>25</v>
      </c>
      <c r="G116">
        <v>0.48</v>
      </c>
      <c r="H116">
        <f t="shared" si="11"/>
        <v>4.7999999999999997E-13</v>
      </c>
      <c r="I116" s="21" t="s">
        <v>856</v>
      </c>
      <c r="J116" s="21">
        <f t="shared" si="12"/>
        <v>25</v>
      </c>
      <c r="K116" s="139">
        <f t="shared" si="13"/>
        <v>0.5089691984943735</v>
      </c>
      <c r="L116" s="2">
        <v>1</v>
      </c>
      <c r="M116">
        <f t="shared" si="14"/>
        <v>0.48</v>
      </c>
    </row>
    <row r="117" spans="1:15" x14ac:dyDescent="0.2">
      <c r="A117">
        <v>107</v>
      </c>
      <c r="B117" s="4" t="s">
        <v>452</v>
      </c>
      <c r="C117">
        <v>74.099999999999994</v>
      </c>
      <c r="D117" s="4" t="s">
        <v>398</v>
      </c>
      <c r="E117">
        <v>25</v>
      </c>
      <c r="G117">
        <v>0.25</v>
      </c>
      <c r="H117">
        <f t="shared" si="11"/>
        <v>2.4999999999999999E-13</v>
      </c>
      <c r="I117" s="21" t="s">
        <v>856</v>
      </c>
      <c r="J117" s="21">
        <f t="shared" si="12"/>
        <v>25</v>
      </c>
      <c r="K117" s="139">
        <f t="shared" si="13"/>
        <v>0.5089691984943735</v>
      </c>
      <c r="L117" s="2">
        <v>1</v>
      </c>
      <c r="M117">
        <f t="shared" si="14"/>
        <v>0.25</v>
      </c>
    </row>
    <row r="118" spans="1:15" x14ac:dyDescent="0.2">
      <c r="A118">
        <v>108</v>
      </c>
      <c r="B118" s="4" t="s">
        <v>548</v>
      </c>
      <c r="C118">
        <v>78.099999999999994</v>
      </c>
      <c r="D118" s="4" t="s">
        <v>398</v>
      </c>
      <c r="E118">
        <v>23</v>
      </c>
      <c r="G118">
        <v>0.4</v>
      </c>
      <c r="H118">
        <f t="shared" si="11"/>
        <v>4.0000000000000006E-13</v>
      </c>
      <c r="J118" s="21">
        <f t="shared" si="12"/>
        <v>23</v>
      </c>
      <c r="K118" s="139">
        <f t="shared" si="13"/>
        <v>0.47312900577953693</v>
      </c>
      <c r="L118" s="2">
        <v>1</v>
      </c>
      <c r="M118">
        <f t="shared" si="14"/>
        <v>0.4</v>
      </c>
    </row>
    <row r="119" spans="1:15" x14ac:dyDescent="0.2">
      <c r="A119">
        <v>109</v>
      </c>
      <c r="B119" s="4" t="s">
        <v>548</v>
      </c>
      <c r="C119">
        <v>78.099999999999994</v>
      </c>
      <c r="D119" s="4" t="s">
        <v>398</v>
      </c>
      <c r="E119">
        <v>20</v>
      </c>
      <c r="F119">
        <v>40</v>
      </c>
      <c r="G119">
        <v>0.32</v>
      </c>
      <c r="H119">
        <f t="shared" si="11"/>
        <v>3.2000000000000005E-13</v>
      </c>
      <c r="J119" s="21">
        <f t="shared" si="12"/>
        <v>23</v>
      </c>
      <c r="K119" s="139">
        <f t="shared" si="13"/>
        <v>0.47312900577953693</v>
      </c>
      <c r="L119" s="2">
        <v>1</v>
      </c>
      <c r="M119">
        <f t="shared" si="14"/>
        <v>0.32</v>
      </c>
    </row>
    <row r="120" spans="1:15" x14ac:dyDescent="0.2">
      <c r="A120">
        <v>110</v>
      </c>
      <c r="B120" s="4" t="s">
        <v>456</v>
      </c>
      <c r="C120">
        <v>86.1</v>
      </c>
      <c r="D120" s="4" t="s">
        <v>398</v>
      </c>
      <c r="E120">
        <v>25</v>
      </c>
      <c r="G120">
        <v>0.28000000000000003</v>
      </c>
      <c r="H120">
        <f t="shared" si="11"/>
        <v>2.8000000000000002E-13</v>
      </c>
      <c r="I120" s="21" t="s">
        <v>856</v>
      </c>
      <c r="J120" s="21">
        <f t="shared" si="12"/>
        <v>25</v>
      </c>
      <c r="K120" s="139">
        <f t="shared" si="13"/>
        <v>0.41057393794955005</v>
      </c>
      <c r="L120" s="2">
        <v>1</v>
      </c>
      <c r="M120">
        <f t="shared" si="14"/>
        <v>0.28000000000000003</v>
      </c>
    </row>
    <row r="121" spans="1:15" x14ac:dyDescent="0.2">
      <c r="A121">
        <v>111</v>
      </c>
      <c r="B121" s="4" t="s">
        <v>759</v>
      </c>
      <c r="C121">
        <v>86.2</v>
      </c>
      <c r="D121" s="4" t="s">
        <v>398</v>
      </c>
      <c r="E121">
        <v>23</v>
      </c>
      <c r="G121">
        <v>0.3</v>
      </c>
      <c r="H121">
        <f t="shared" si="11"/>
        <v>3.0000000000000003E-13</v>
      </c>
      <c r="J121" s="21">
        <f t="shared" si="12"/>
        <v>23</v>
      </c>
      <c r="K121" s="139">
        <f t="shared" si="13"/>
        <v>0.40986045143159933</v>
      </c>
      <c r="L121" s="2">
        <v>1</v>
      </c>
      <c r="M121">
        <f t="shared" si="14"/>
        <v>0.3</v>
      </c>
    </row>
    <row r="122" spans="1:15" x14ac:dyDescent="0.2">
      <c r="A122">
        <v>112</v>
      </c>
      <c r="B122" s="4" t="s">
        <v>759</v>
      </c>
      <c r="C122">
        <v>86.2</v>
      </c>
      <c r="D122" s="4" t="s">
        <v>398</v>
      </c>
      <c r="E122">
        <v>25</v>
      </c>
      <c r="G122">
        <v>0.6</v>
      </c>
      <c r="H122">
        <f t="shared" si="11"/>
        <v>6.0000000000000007E-13</v>
      </c>
      <c r="I122" s="21" t="s">
        <v>856</v>
      </c>
      <c r="J122" s="21">
        <f t="shared" si="12"/>
        <v>25</v>
      </c>
      <c r="K122" s="139">
        <f t="shared" si="13"/>
        <v>0.40986045143159933</v>
      </c>
      <c r="L122" s="2">
        <v>1</v>
      </c>
      <c r="M122">
        <f t="shared" si="14"/>
        <v>0.6</v>
      </c>
    </row>
    <row r="123" spans="1:15" x14ac:dyDescent="0.2">
      <c r="A123">
        <v>113</v>
      </c>
      <c r="B123" s="4" t="s">
        <v>759</v>
      </c>
      <c r="C123">
        <v>86.2</v>
      </c>
      <c r="D123" s="4" t="s">
        <v>398</v>
      </c>
      <c r="E123">
        <v>25</v>
      </c>
      <c r="G123">
        <v>0.38</v>
      </c>
      <c r="H123">
        <f t="shared" si="11"/>
        <v>3.8000000000000005E-13</v>
      </c>
      <c r="I123" s="21" t="s">
        <v>856</v>
      </c>
      <c r="J123" s="21">
        <f t="shared" si="12"/>
        <v>25</v>
      </c>
      <c r="K123" s="139">
        <f t="shared" si="13"/>
        <v>0.40986045143159933</v>
      </c>
      <c r="L123" s="2">
        <v>1</v>
      </c>
      <c r="M123">
        <f t="shared" si="14"/>
        <v>0.38</v>
      </c>
    </row>
    <row r="124" spans="1:15" x14ac:dyDescent="0.2">
      <c r="A124">
        <v>114</v>
      </c>
      <c r="B124" s="4" t="s">
        <v>463</v>
      </c>
      <c r="C124">
        <v>88.1</v>
      </c>
      <c r="D124" s="4" t="s">
        <v>398</v>
      </c>
      <c r="E124">
        <v>25</v>
      </c>
      <c r="G124">
        <v>0.28999999999999998</v>
      </c>
      <c r="H124">
        <f t="shared" si="11"/>
        <v>2.9000000000000003E-13</v>
      </c>
      <c r="I124" s="21" t="s">
        <v>856</v>
      </c>
      <c r="J124" s="21">
        <f t="shared" si="12"/>
        <v>25</v>
      </c>
      <c r="K124" s="139">
        <f t="shared" si="13"/>
        <v>0.39659620932036821</v>
      </c>
      <c r="L124" s="2">
        <v>1</v>
      </c>
      <c r="M124">
        <f t="shared" si="14"/>
        <v>0.28999999999999998</v>
      </c>
    </row>
    <row r="125" spans="1:15" x14ac:dyDescent="0.2">
      <c r="A125">
        <v>115</v>
      </c>
      <c r="B125" s="4" t="s">
        <v>463</v>
      </c>
      <c r="C125">
        <v>88.1</v>
      </c>
      <c r="D125" s="4" t="s">
        <v>398</v>
      </c>
      <c r="E125">
        <v>25</v>
      </c>
      <c r="G125">
        <v>0.2</v>
      </c>
      <c r="H125">
        <f t="shared" si="11"/>
        <v>2.0000000000000003E-13</v>
      </c>
      <c r="I125" s="21" t="s">
        <v>856</v>
      </c>
      <c r="J125" s="21">
        <f t="shared" si="12"/>
        <v>25</v>
      </c>
      <c r="K125" s="139">
        <f t="shared" si="13"/>
        <v>0.39659620932036821</v>
      </c>
      <c r="L125" s="2">
        <v>1</v>
      </c>
      <c r="M125">
        <f t="shared" si="14"/>
        <v>0.2</v>
      </c>
    </row>
    <row r="126" spans="1:15" x14ac:dyDescent="0.2">
      <c r="A126">
        <v>116</v>
      </c>
      <c r="B126" s="4" t="s">
        <v>465</v>
      </c>
      <c r="C126">
        <v>88.2</v>
      </c>
      <c r="D126" s="4" t="s">
        <v>398</v>
      </c>
      <c r="E126">
        <v>25</v>
      </c>
      <c r="G126">
        <v>0.29299999999999998</v>
      </c>
      <c r="H126">
        <f t="shared" si="11"/>
        <v>2.9300000000000001E-13</v>
      </c>
      <c r="I126" s="21" t="s">
        <v>856</v>
      </c>
      <c r="J126" s="21">
        <f t="shared" si="12"/>
        <v>25</v>
      </c>
      <c r="K126" s="139">
        <f t="shared" si="13"/>
        <v>0.39591316584167369</v>
      </c>
      <c r="L126" s="2">
        <v>1</v>
      </c>
      <c r="M126">
        <f t="shared" si="14"/>
        <v>0.29299999999999998</v>
      </c>
    </row>
    <row r="127" spans="1:15" x14ac:dyDescent="0.2">
      <c r="A127">
        <v>117</v>
      </c>
      <c r="B127" s="4" t="s">
        <v>467</v>
      </c>
      <c r="C127">
        <v>88.2</v>
      </c>
      <c r="D127" s="4" t="s">
        <v>398</v>
      </c>
      <c r="E127">
        <v>25</v>
      </c>
      <c r="G127">
        <v>0.253</v>
      </c>
      <c r="H127">
        <f t="shared" si="11"/>
        <v>2.5300000000000003E-13</v>
      </c>
      <c r="I127" s="21" t="s">
        <v>856</v>
      </c>
      <c r="J127" s="21">
        <f t="shared" si="12"/>
        <v>25</v>
      </c>
      <c r="K127" s="139">
        <f t="shared" si="13"/>
        <v>0.39591316584167369</v>
      </c>
      <c r="L127" s="2">
        <v>1</v>
      </c>
      <c r="M127">
        <f t="shared" si="14"/>
        <v>0.253</v>
      </c>
    </row>
    <row r="128" spans="1:15" x14ac:dyDescent="0.2">
      <c r="A128">
        <v>118</v>
      </c>
      <c r="B128" s="4" t="s">
        <v>492</v>
      </c>
      <c r="C128">
        <v>92.1</v>
      </c>
      <c r="D128" s="4" t="s">
        <v>845</v>
      </c>
      <c r="E128">
        <v>30</v>
      </c>
      <c r="G128">
        <v>0.32</v>
      </c>
      <c r="H128">
        <f t="shared" si="11"/>
        <v>3.2000000000000005E-13</v>
      </c>
      <c r="I128" s="21" t="s">
        <v>856</v>
      </c>
      <c r="J128" s="21">
        <f t="shared" si="12"/>
        <v>30</v>
      </c>
      <c r="K128" s="139">
        <f t="shared" si="13"/>
        <v>0.37038907894989664</v>
      </c>
      <c r="L128" s="2">
        <v>1</v>
      </c>
      <c r="N128">
        <f>G128*L128</f>
        <v>0.32</v>
      </c>
      <c r="O128" s="140">
        <f>N128/AVERAGE(M125:M129)</f>
        <v>1.2868632707774799</v>
      </c>
    </row>
    <row r="129" spans="1:15" x14ac:dyDescent="0.2">
      <c r="A129">
        <v>119</v>
      </c>
      <c r="B129" s="4" t="s">
        <v>492</v>
      </c>
      <c r="C129">
        <v>92.1</v>
      </c>
      <c r="D129" s="4" t="s">
        <v>845</v>
      </c>
      <c r="E129">
        <v>30</v>
      </c>
      <c r="G129">
        <v>0.34</v>
      </c>
      <c r="H129">
        <f t="shared" si="11"/>
        <v>3.4000000000000007E-13</v>
      </c>
      <c r="I129" s="21" t="s">
        <v>856</v>
      </c>
      <c r="J129" s="21">
        <f t="shared" si="12"/>
        <v>30</v>
      </c>
      <c r="K129" s="139">
        <f t="shared" si="13"/>
        <v>0.37038907894989664</v>
      </c>
      <c r="L129" s="2">
        <v>1</v>
      </c>
      <c r="N129">
        <f>G129*L129</f>
        <v>0.34</v>
      </c>
      <c r="O129" s="140">
        <f>N129/AVERAGE(M126:M130)</f>
        <v>0.8186195826645265</v>
      </c>
    </row>
    <row r="130" spans="1:15" x14ac:dyDescent="0.2">
      <c r="A130">
        <v>120</v>
      </c>
      <c r="B130" s="4" t="s">
        <v>867</v>
      </c>
      <c r="C130">
        <v>100.2</v>
      </c>
      <c r="D130" s="4" t="s">
        <v>398</v>
      </c>
      <c r="E130">
        <v>25</v>
      </c>
      <c r="G130">
        <v>0.7</v>
      </c>
      <c r="H130">
        <f t="shared" si="11"/>
        <v>7.0000000000000005E-13</v>
      </c>
      <c r="I130" s="21" t="s">
        <v>856</v>
      </c>
      <c r="J130" s="21">
        <f t="shared" si="12"/>
        <v>25</v>
      </c>
      <c r="K130" s="139">
        <f t="shared" si="13"/>
        <v>0.32362582863850392</v>
      </c>
      <c r="L130" s="2">
        <v>1</v>
      </c>
      <c r="M130">
        <f>G130*L130</f>
        <v>0.7</v>
      </c>
    </row>
    <row r="131" spans="1:15" x14ac:dyDescent="0.2">
      <c r="A131">
        <v>121</v>
      </c>
      <c r="B131" s="4" t="s">
        <v>867</v>
      </c>
      <c r="C131">
        <v>100.2</v>
      </c>
      <c r="D131" s="4" t="s">
        <v>398</v>
      </c>
      <c r="E131">
        <v>25</v>
      </c>
      <c r="G131">
        <v>0.28499999999999998</v>
      </c>
      <c r="H131">
        <f t="shared" si="11"/>
        <v>2.85E-13</v>
      </c>
      <c r="I131" s="21" t="s">
        <v>856</v>
      </c>
      <c r="J131" s="21">
        <f t="shared" si="12"/>
        <v>25</v>
      </c>
      <c r="K131" s="139">
        <f t="shared" si="13"/>
        <v>0.32362582863850392</v>
      </c>
      <c r="L131" s="2">
        <v>1</v>
      </c>
      <c r="M131">
        <f>G131*L131</f>
        <v>0.28499999999999998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22"/>
  <sheetViews>
    <sheetView workbookViewId="0">
      <selection activeCell="G7" sqref="G7"/>
    </sheetView>
  </sheetViews>
  <sheetFormatPr defaultRowHeight="12.75" x14ac:dyDescent="0.2"/>
  <sheetData>
    <row r="1" spans="2:18" x14ac:dyDescent="0.2">
      <c r="B1" s="107" t="s">
        <v>1841</v>
      </c>
      <c r="C1" s="110"/>
      <c r="D1" s="110"/>
      <c r="E1" s="110"/>
      <c r="F1" s="224"/>
      <c r="G1" s="224"/>
      <c r="H1" s="224"/>
      <c r="I1" s="224"/>
      <c r="J1" s="224"/>
      <c r="K1" s="224"/>
      <c r="M1" s="280" t="s">
        <v>1849</v>
      </c>
      <c r="N1" s="224"/>
      <c r="O1" s="224"/>
      <c r="P1" s="224"/>
      <c r="Q1" s="224"/>
      <c r="R1" s="224"/>
    </row>
    <row r="2" spans="2:18" x14ac:dyDescent="0.2">
      <c r="B2" s="62"/>
      <c r="C2" s="53" t="s">
        <v>1842</v>
      </c>
      <c r="D2" s="53"/>
      <c r="E2" s="53"/>
      <c r="F2" s="53" t="s">
        <v>1847</v>
      </c>
      <c r="G2" s="53"/>
      <c r="H2" s="53"/>
      <c r="I2" s="53" t="s">
        <v>1848</v>
      </c>
      <c r="J2" s="53"/>
      <c r="K2" s="53"/>
      <c r="M2" s="53" t="s">
        <v>1847</v>
      </c>
      <c r="N2" s="53"/>
      <c r="O2" s="53"/>
      <c r="P2" s="53" t="s">
        <v>1848</v>
      </c>
      <c r="Q2" s="53"/>
      <c r="R2" s="53"/>
    </row>
    <row r="3" spans="2:18" x14ac:dyDescent="0.2">
      <c r="B3" s="62"/>
      <c r="C3" s="53" t="s">
        <v>526</v>
      </c>
      <c r="D3" s="53" t="s">
        <v>398</v>
      </c>
      <c r="E3" s="53" t="s">
        <v>397</v>
      </c>
      <c r="F3" s="53" t="s">
        <v>526</v>
      </c>
      <c r="G3" s="53" t="s">
        <v>398</v>
      </c>
      <c r="H3" s="53" t="s">
        <v>397</v>
      </c>
      <c r="I3" s="53" t="s">
        <v>526</v>
      </c>
      <c r="J3" s="53" t="s">
        <v>398</v>
      </c>
      <c r="K3" s="53" t="s">
        <v>397</v>
      </c>
      <c r="M3" s="53" t="s">
        <v>526</v>
      </c>
      <c r="N3" s="53" t="s">
        <v>398</v>
      </c>
      <c r="O3" s="53" t="s">
        <v>397</v>
      </c>
      <c r="P3" s="53" t="s">
        <v>526</v>
      </c>
      <c r="Q3" s="53" t="s">
        <v>398</v>
      </c>
      <c r="R3" s="53" t="s">
        <v>397</v>
      </c>
    </row>
    <row r="4" spans="2:18" x14ac:dyDescent="0.2">
      <c r="B4" s="62"/>
      <c r="C4" s="53" t="s">
        <v>1788</v>
      </c>
      <c r="D4" s="53" t="s">
        <v>1829</v>
      </c>
      <c r="E4" s="53" t="s">
        <v>1846</v>
      </c>
      <c r="F4" s="53" t="s">
        <v>1788</v>
      </c>
      <c r="G4" s="53" t="s">
        <v>1829</v>
      </c>
      <c r="H4" s="53" t="s">
        <v>1846</v>
      </c>
      <c r="I4" s="53" t="s">
        <v>1788</v>
      </c>
      <c r="J4" s="53" t="s">
        <v>1829</v>
      </c>
      <c r="K4" s="53" t="s">
        <v>1846</v>
      </c>
      <c r="M4" s="53"/>
      <c r="N4" s="53"/>
      <c r="O4" s="53"/>
      <c r="P4" s="53"/>
      <c r="Q4" s="53"/>
      <c r="R4" s="53"/>
    </row>
    <row r="5" spans="2:18" x14ac:dyDescent="0.2">
      <c r="B5" s="63"/>
      <c r="C5" s="57" t="s">
        <v>289</v>
      </c>
      <c r="D5" s="57" t="s">
        <v>1845</v>
      </c>
      <c r="E5" s="57" t="s">
        <v>1845</v>
      </c>
      <c r="F5" s="57" t="s">
        <v>289</v>
      </c>
      <c r="G5" s="57" t="s">
        <v>1845</v>
      </c>
      <c r="H5" s="57" t="s">
        <v>1845</v>
      </c>
      <c r="I5" s="57" t="s">
        <v>289</v>
      </c>
      <c r="J5" s="57" t="s">
        <v>1845</v>
      </c>
      <c r="K5" s="57" t="s">
        <v>1845</v>
      </c>
      <c r="M5" s="57"/>
      <c r="N5" s="57"/>
      <c r="O5" s="57"/>
      <c r="P5" s="57"/>
      <c r="Q5" s="57"/>
      <c r="R5" s="57"/>
    </row>
    <row r="6" spans="2:18" x14ac:dyDescent="0.2">
      <c r="B6" s="4" t="s">
        <v>548</v>
      </c>
      <c r="C6">
        <v>55</v>
      </c>
      <c r="D6">
        <v>0.24</v>
      </c>
      <c r="E6">
        <v>13</v>
      </c>
      <c r="F6">
        <v>45</v>
      </c>
      <c r="G6">
        <v>0.18</v>
      </c>
      <c r="H6">
        <v>7.9</v>
      </c>
      <c r="I6">
        <v>35</v>
      </c>
      <c r="J6">
        <v>0.14000000000000001</v>
      </c>
      <c r="K6">
        <v>4.9000000000000004</v>
      </c>
      <c r="M6" s="288">
        <f>F6/$C6</f>
        <v>0.81818181818181823</v>
      </c>
      <c r="N6" s="288">
        <f>G6/$D6</f>
        <v>0.75</v>
      </c>
      <c r="O6" s="288">
        <f>H6/$E6</f>
        <v>0.60769230769230775</v>
      </c>
      <c r="P6" s="288">
        <f t="shared" ref="P6:P10" si="0">I6/$C6</f>
        <v>0.63636363636363635</v>
      </c>
      <c r="Q6" s="288">
        <f t="shared" ref="Q6:Q10" si="1">J6/$D6</f>
        <v>0.58333333333333337</v>
      </c>
      <c r="R6" s="288">
        <f t="shared" ref="R6:R10" si="2">K6/$E6</f>
        <v>0.37692307692307697</v>
      </c>
    </row>
    <row r="7" spans="2:18" x14ac:dyDescent="0.2">
      <c r="B7" s="4" t="s">
        <v>539</v>
      </c>
      <c r="C7">
        <v>125</v>
      </c>
      <c r="D7">
        <v>0.22</v>
      </c>
      <c r="E7">
        <v>28</v>
      </c>
      <c r="F7">
        <v>100</v>
      </c>
      <c r="G7">
        <v>0.18</v>
      </c>
      <c r="H7">
        <v>18</v>
      </c>
      <c r="I7">
        <v>80</v>
      </c>
      <c r="J7">
        <v>0.14000000000000001</v>
      </c>
      <c r="K7">
        <v>11</v>
      </c>
      <c r="M7" s="288">
        <f t="shared" ref="M7:M10" si="3">F7/$C7</f>
        <v>0.8</v>
      </c>
      <c r="N7" s="288">
        <f t="shared" ref="N7:N10" si="4">G7/$D7</f>
        <v>0.81818181818181812</v>
      </c>
      <c r="O7" s="288">
        <f t="shared" ref="O7:O10" si="5">H7/$E7</f>
        <v>0.6428571428571429</v>
      </c>
      <c r="P7" s="288">
        <f t="shared" si="0"/>
        <v>0.64</v>
      </c>
      <c r="Q7" s="288">
        <f t="shared" si="1"/>
        <v>0.63636363636363646</v>
      </c>
      <c r="R7" s="288">
        <f t="shared" si="2"/>
        <v>0.39285714285714285</v>
      </c>
    </row>
    <row r="8" spans="2:18" x14ac:dyDescent="0.2">
      <c r="B8" s="4" t="s">
        <v>694</v>
      </c>
      <c r="C8">
        <v>345</v>
      </c>
      <c r="D8">
        <v>0.18</v>
      </c>
      <c r="E8">
        <v>62</v>
      </c>
      <c r="F8">
        <v>300</v>
      </c>
      <c r="G8">
        <v>0.14000000000000001</v>
      </c>
      <c r="H8">
        <v>42</v>
      </c>
      <c r="I8">
        <v>230</v>
      </c>
      <c r="J8">
        <v>0.11</v>
      </c>
      <c r="K8">
        <v>25</v>
      </c>
      <c r="M8" s="288">
        <f t="shared" si="3"/>
        <v>0.86956521739130432</v>
      </c>
      <c r="N8" s="288">
        <f t="shared" si="4"/>
        <v>0.7777777777777779</v>
      </c>
      <c r="O8" s="288">
        <f t="shared" si="5"/>
        <v>0.67741935483870963</v>
      </c>
      <c r="P8" s="288">
        <f t="shared" si="0"/>
        <v>0.66666666666666663</v>
      </c>
      <c r="Q8" s="288">
        <f t="shared" si="1"/>
        <v>0.61111111111111116</v>
      </c>
      <c r="R8" s="288">
        <f t="shared" si="2"/>
        <v>0.40322580645161288</v>
      </c>
    </row>
    <row r="9" spans="2:18" x14ac:dyDescent="0.2">
      <c r="B9" s="4" t="s">
        <v>1843</v>
      </c>
      <c r="C9">
        <v>440</v>
      </c>
      <c r="D9">
        <v>0.17</v>
      </c>
      <c r="E9">
        <v>75</v>
      </c>
      <c r="F9">
        <v>350</v>
      </c>
      <c r="G9">
        <v>0.13</v>
      </c>
      <c r="H9">
        <v>46</v>
      </c>
      <c r="I9">
        <v>260</v>
      </c>
      <c r="J9">
        <v>0.1</v>
      </c>
      <c r="K9">
        <v>26</v>
      </c>
      <c r="M9" s="288">
        <f t="shared" si="3"/>
        <v>0.79545454545454541</v>
      </c>
      <c r="N9" s="288">
        <f t="shared" si="4"/>
        <v>0.76470588235294112</v>
      </c>
      <c r="O9" s="288">
        <f t="shared" si="5"/>
        <v>0.61333333333333329</v>
      </c>
      <c r="P9" s="288">
        <f t="shared" si="0"/>
        <v>0.59090909090909094</v>
      </c>
      <c r="Q9" s="288">
        <f t="shared" si="1"/>
        <v>0.58823529411764708</v>
      </c>
      <c r="R9" s="288">
        <f t="shared" si="2"/>
        <v>0.34666666666666668</v>
      </c>
    </row>
    <row r="10" spans="2:18" x14ac:dyDescent="0.2">
      <c r="B10" s="4" t="s">
        <v>1844</v>
      </c>
      <c r="C10">
        <v>320</v>
      </c>
      <c r="D10">
        <v>0.17</v>
      </c>
      <c r="E10">
        <v>54</v>
      </c>
      <c r="F10">
        <v>290</v>
      </c>
      <c r="G10">
        <v>0.12</v>
      </c>
      <c r="H10">
        <v>35</v>
      </c>
      <c r="I10">
        <v>235</v>
      </c>
      <c r="J10">
        <v>0.09</v>
      </c>
      <c r="K10">
        <v>21</v>
      </c>
      <c r="M10" s="288">
        <f t="shared" si="3"/>
        <v>0.90625</v>
      </c>
      <c r="N10" s="288">
        <f t="shared" si="4"/>
        <v>0.70588235294117641</v>
      </c>
      <c r="O10" s="288">
        <f t="shared" si="5"/>
        <v>0.64814814814814814</v>
      </c>
      <c r="P10" s="288">
        <f t="shared" si="0"/>
        <v>0.734375</v>
      </c>
      <c r="Q10" s="288">
        <f t="shared" si="1"/>
        <v>0.52941176470588225</v>
      </c>
      <c r="R10" s="288">
        <f t="shared" si="2"/>
        <v>0.3888888888888889</v>
      </c>
    </row>
    <row r="12" spans="2:18" x14ac:dyDescent="0.2">
      <c r="B12" s="107" t="s">
        <v>1850</v>
      </c>
      <c r="C12" s="110"/>
      <c r="D12" s="110"/>
      <c r="E12" s="110"/>
      <c r="F12" s="224"/>
      <c r="G12" s="224"/>
      <c r="H12" s="224"/>
      <c r="I12" s="224"/>
      <c r="J12" s="224"/>
      <c r="K12" s="224"/>
      <c r="M12" s="224"/>
      <c r="N12" s="224"/>
      <c r="O12" s="224"/>
      <c r="P12" s="224"/>
      <c r="Q12" s="224"/>
      <c r="R12" s="224"/>
    </row>
    <row r="13" spans="2:18" x14ac:dyDescent="0.2">
      <c r="B13" s="4" t="s">
        <v>548</v>
      </c>
      <c r="C13">
        <v>50</v>
      </c>
      <c r="D13">
        <v>0.19</v>
      </c>
      <c r="E13">
        <v>9.5</v>
      </c>
      <c r="F13">
        <v>40</v>
      </c>
      <c r="G13">
        <v>0.15</v>
      </c>
      <c r="H13">
        <v>5.7</v>
      </c>
      <c r="I13">
        <v>30</v>
      </c>
      <c r="J13">
        <v>0.13</v>
      </c>
      <c r="K13">
        <v>3.9</v>
      </c>
      <c r="M13" s="288">
        <f t="shared" ref="M13:M17" si="6">F13/$C13</f>
        <v>0.8</v>
      </c>
      <c r="N13" s="288">
        <f t="shared" ref="N13:N17" si="7">G13/$D13</f>
        <v>0.78947368421052633</v>
      </c>
      <c r="O13" s="288">
        <f t="shared" ref="O13:O17" si="8">H13/$E13</f>
        <v>0.6</v>
      </c>
      <c r="P13" s="288">
        <f t="shared" ref="P13:P17" si="9">I13/$C13</f>
        <v>0.6</v>
      </c>
      <c r="Q13" s="288">
        <f t="shared" ref="Q13:Q17" si="10">J13/$D13</f>
        <v>0.68421052631578949</v>
      </c>
      <c r="R13" s="288">
        <f t="shared" ref="R13:R17" si="11">K13/$E13</f>
        <v>0.41052631578947368</v>
      </c>
    </row>
    <row r="14" spans="2:18" x14ac:dyDescent="0.2">
      <c r="B14" s="4" t="s">
        <v>539</v>
      </c>
      <c r="C14">
        <v>100</v>
      </c>
      <c r="D14">
        <v>0.19</v>
      </c>
      <c r="E14">
        <v>19</v>
      </c>
      <c r="F14">
        <v>80</v>
      </c>
      <c r="G14">
        <v>0.15</v>
      </c>
      <c r="H14">
        <v>12</v>
      </c>
      <c r="I14">
        <v>60</v>
      </c>
      <c r="J14">
        <v>0.11</v>
      </c>
      <c r="K14">
        <v>6.6</v>
      </c>
      <c r="M14" s="288">
        <f t="shared" si="6"/>
        <v>0.8</v>
      </c>
      <c r="N14" s="288">
        <f t="shared" si="7"/>
        <v>0.78947368421052633</v>
      </c>
      <c r="O14" s="288">
        <f t="shared" si="8"/>
        <v>0.63157894736842102</v>
      </c>
      <c r="P14" s="288">
        <f t="shared" si="9"/>
        <v>0.6</v>
      </c>
      <c r="Q14" s="288">
        <f t="shared" si="10"/>
        <v>0.57894736842105265</v>
      </c>
      <c r="R14" s="288">
        <f t="shared" si="11"/>
        <v>0.34736842105263155</v>
      </c>
    </row>
    <row r="15" spans="2:18" x14ac:dyDescent="0.2">
      <c r="B15" s="4" t="s">
        <v>694</v>
      </c>
      <c r="C15">
        <v>310</v>
      </c>
      <c r="D15">
        <v>0.16</v>
      </c>
      <c r="E15">
        <v>50</v>
      </c>
      <c r="F15">
        <v>270</v>
      </c>
      <c r="G15">
        <v>0.12</v>
      </c>
      <c r="H15">
        <v>32</v>
      </c>
      <c r="I15">
        <v>230</v>
      </c>
      <c r="J15">
        <v>0.09</v>
      </c>
      <c r="K15">
        <v>21</v>
      </c>
      <c r="M15" s="288">
        <f t="shared" si="6"/>
        <v>0.87096774193548387</v>
      </c>
      <c r="N15" s="288">
        <f t="shared" si="7"/>
        <v>0.75</v>
      </c>
      <c r="O15" s="288">
        <f t="shared" si="8"/>
        <v>0.64</v>
      </c>
      <c r="P15" s="288">
        <f t="shared" si="9"/>
        <v>0.74193548387096775</v>
      </c>
      <c r="Q15" s="288">
        <f t="shared" si="10"/>
        <v>0.5625</v>
      </c>
      <c r="R15" s="288">
        <f t="shared" si="11"/>
        <v>0.42</v>
      </c>
    </row>
    <row r="16" spans="2:18" x14ac:dyDescent="0.2">
      <c r="B16" s="4" t="s">
        <v>1843</v>
      </c>
      <c r="C16">
        <v>340</v>
      </c>
      <c r="D16">
        <v>0.15</v>
      </c>
      <c r="E16">
        <v>51</v>
      </c>
      <c r="F16">
        <v>290</v>
      </c>
      <c r="G16">
        <v>0.11</v>
      </c>
      <c r="H16">
        <v>32</v>
      </c>
      <c r="I16">
        <v>250</v>
      </c>
      <c r="J16">
        <v>0.08</v>
      </c>
      <c r="K16">
        <v>20</v>
      </c>
      <c r="M16" s="288">
        <f t="shared" si="6"/>
        <v>0.8529411764705882</v>
      </c>
      <c r="N16" s="288">
        <f t="shared" si="7"/>
        <v>0.73333333333333339</v>
      </c>
      <c r="O16" s="288">
        <f t="shared" si="8"/>
        <v>0.62745098039215685</v>
      </c>
      <c r="P16" s="288">
        <f t="shared" si="9"/>
        <v>0.73529411764705888</v>
      </c>
      <c r="Q16" s="288">
        <f t="shared" si="10"/>
        <v>0.53333333333333333</v>
      </c>
      <c r="R16" s="288">
        <f t="shared" si="11"/>
        <v>0.39215686274509803</v>
      </c>
    </row>
    <row r="17" spans="1:18" x14ac:dyDescent="0.2">
      <c r="B17" s="4" t="s">
        <v>1844</v>
      </c>
      <c r="C17">
        <v>295</v>
      </c>
      <c r="D17">
        <v>0.14000000000000001</v>
      </c>
      <c r="E17">
        <v>41</v>
      </c>
      <c r="F17">
        <v>255</v>
      </c>
      <c r="G17">
        <v>0.11</v>
      </c>
      <c r="H17">
        <v>28</v>
      </c>
      <c r="I17">
        <v>220</v>
      </c>
      <c r="J17">
        <v>0.08</v>
      </c>
      <c r="K17">
        <v>18</v>
      </c>
      <c r="M17" s="288">
        <f t="shared" si="6"/>
        <v>0.86440677966101698</v>
      </c>
      <c r="N17" s="288">
        <f t="shared" si="7"/>
        <v>0.7857142857142857</v>
      </c>
      <c r="O17" s="288">
        <f t="shared" si="8"/>
        <v>0.68292682926829273</v>
      </c>
      <c r="P17" s="288">
        <f t="shared" si="9"/>
        <v>0.74576271186440679</v>
      </c>
      <c r="Q17" s="288">
        <f t="shared" si="10"/>
        <v>0.5714285714285714</v>
      </c>
      <c r="R17" s="288">
        <f t="shared" si="11"/>
        <v>0.43902439024390244</v>
      </c>
    </row>
    <row r="18" spans="1:18" x14ac:dyDescent="0.2">
      <c r="A18" s="4"/>
    </row>
    <row r="19" spans="1:18" x14ac:dyDescent="0.2">
      <c r="L19" s="4" t="s">
        <v>784</v>
      </c>
      <c r="M19" s="138">
        <f>AVERAGE(M6:M17)</f>
        <v>0.83777672790947566</v>
      </c>
      <c r="N19" s="138">
        <f t="shared" ref="N19:R19" si="12">AVERAGE(N6:N17)</f>
        <v>0.76645428187223863</v>
      </c>
      <c r="O19" s="138">
        <f t="shared" si="12"/>
        <v>0.63714070438985115</v>
      </c>
      <c r="P19" s="138">
        <f t="shared" si="12"/>
        <v>0.66913067073218269</v>
      </c>
      <c r="Q19" s="138">
        <f t="shared" si="12"/>
        <v>0.58788749391303574</v>
      </c>
      <c r="R19" s="138">
        <f t="shared" si="12"/>
        <v>0.39176375716184941</v>
      </c>
    </row>
    <row r="20" spans="1:18" x14ac:dyDescent="0.2">
      <c r="L20" s="4" t="s">
        <v>1586</v>
      </c>
      <c r="M20" s="138">
        <f>STDEV(M6:M17)</f>
        <v>3.9715980204543873E-2</v>
      </c>
      <c r="N20" s="138">
        <f t="shared" ref="N20:R20" si="13">STDEV(N6:N17)</f>
        <v>3.2566500476356799E-2</v>
      </c>
      <c r="O20" s="138">
        <f t="shared" si="13"/>
        <v>2.7525767263832459E-2</v>
      </c>
      <c r="P20" s="138">
        <f t="shared" si="13"/>
        <v>6.4474366491191037E-2</v>
      </c>
      <c r="Q20" s="138">
        <f t="shared" si="13"/>
        <v>4.6641868245284622E-2</v>
      </c>
      <c r="R20" s="138">
        <f t="shared" si="13"/>
        <v>2.9342459092401321E-2</v>
      </c>
    </row>
    <row r="22" spans="1:18" x14ac:dyDescent="0.2">
      <c r="L22" s="4" t="s">
        <v>1851</v>
      </c>
      <c r="M22">
        <f>LOG(M19)</f>
        <v>-7.6871707809691964E-2</v>
      </c>
      <c r="N22">
        <f t="shared" ref="N22:R22" si="14">LOG(N19)</f>
        <v>-0.11551374520982251</v>
      </c>
      <c r="O22">
        <f t="shared" si="14"/>
        <v>-0.19576464868155802</v>
      </c>
      <c r="P22">
        <f t="shared" si="14"/>
        <v>-0.17448906304470169</v>
      </c>
      <c r="Q22">
        <f t="shared" si="14"/>
        <v>-0.23070577842688775</v>
      </c>
      <c r="R22">
        <f t="shared" si="14"/>
        <v>-0.4069757439223623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22"/>
  <sheetViews>
    <sheetView zoomScale="70" zoomScaleNormal="70" workbookViewId="0">
      <selection activeCell="B2" sqref="B2:E9"/>
    </sheetView>
  </sheetViews>
  <sheetFormatPr defaultRowHeight="12.75" x14ac:dyDescent="0.2"/>
  <cols>
    <col min="3" max="3" width="22.5703125" customWidth="1"/>
    <col min="6" max="6" width="15.42578125" customWidth="1"/>
    <col min="7" max="7" width="15.7109375" customWidth="1"/>
    <col min="9" max="9" width="9.5703125" bestFit="1" customWidth="1"/>
  </cols>
  <sheetData>
    <row r="1" spans="1:20" x14ac:dyDescent="0.2">
      <c r="B1" t="s">
        <v>712</v>
      </c>
      <c r="L1" s="4" t="s">
        <v>532</v>
      </c>
    </row>
    <row r="2" spans="1:20" x14ac:dyDescent="0.2">
      <c r="B2" s="107" t="s">
        <v>687</v>
      </c>
      <c r="C2" s="108"/>
      <c r="D2" s="110"/>
      <c r="E2" s="110"/>
      <c r="F2" s="110"/>
      <c r="G2" s="110"/>
      <c r="H2" s="110"/>
      <c r="I2" s="110"/>
      <c r="J2" s="110"/>
      <c r="K2" s="110"/>
      <c r="L2" s="136"/>
      <c r="M2" s="110"/>
      <c r="N2" s="111"/>
      <c r="O2" s="108" t="s">
        <v>719</v>
      </c>
      <c r="P2" s="108"/>
      <c r="Q2" s="110"/>
      <c r="R2" s="111"/>
    </row>
    <row r="3" spans="1:20" ht="15.75" x14ac:dyDescent="0.3">
      <c r="B3" s="62"/>
      <c r="C3" s="53" t="s">
        <v>686</v>
      </c>
      <c r="D3" s="53" t="s">
        <v>365</v>
      </c>
      <c r="E3" s="53" t="s">
        <v>779</v>
      </c>
      <c r="F3" s="53" t="s">
        <v>689</v>
      </c>
      <c r="G3" s="53" t="s">
        <v>690</v>
      </c>
      <c r="H3" s="53" t="s">
        <v>723</v>
      </c>
      <c r="I3" s="53"/>
      <c r="J3" s="53" t="s">
        <v>724</v>
      </c>
      <c r="K3" s="53"/>
      <c r="L3" s="78" t="s">
        <v>1185</v>
      </c>
      <c r="M3" s="53" t="s">
        <v>1186</v>
      </c>
      <c r="N3" s="67" t="s">
        <v>1187</v>
      </c>
      <c r="O3" s="53" t="s">
        <v>720</v>
      </c>
      <c r="P3" s="53" t="s">
        <v>722</v>
      </c>
      <c r="Q3" s="53"/>
    </row>
    <row r="4" spans="1:20" x14ac:dyDescent="0.2">
      <c r="B4" s="62"/>
      <c r="C4" s="65"/>
      <c r="D4" s="53" t="s">
        <v>688</v>
      </c>
      <c r="E4" s="53"/>
      <c r="F4" s="53" t="s">
        <v>692</v>
      </c>
      <c r="G4" s="53" t="s">
        <v>693</v>
      </c>
      <c r="H4" s="65"/>
      <c r="I4" s="65"/>
      <c r="J4" s="65"/>
      <c r="K4" s="65"/>
      <c r="L4" s="62"/>
      <c r="M4" s="53" t="s">
        <v>716</v>
      </c>
      <c r="N4" s="67"/>
      <c r="O4" s="53" t="s">
        <v>721</v>
      </c>
      <c r="P4" s="53" t="s">
        <v>725</v>
      </c>
      <c r="Q4" s="65"/>
    </row>
    <row r="5" spans="1:20" x14ac:dyDescent="0.2">
      <c r="B5" s="63"/>
      <c r="C5" s="66"/>
      <c r="D5" s="57" t="s">
        <v>420</v>
      </c>
      <c r="E5" s="57" t="s">
        <v>727</v>
      </c>
      <c r="F5" s="119" t="s">
        <v>289</v>
      </c>
      <c r="G5" s="119" t="s">
        <v>691</v>
      </c>
      <c r="H5" s="57" t="s">
        <v>711</v>
      </c>
      <c r="I5" s="57" t="s">
        <v>1188</v>
      </c>
      <c r="J5" s="57" t="s">
        <v>711</v>
      </c>
      <c r="K5" s="57"/>
      <c r="L5" s="63"/>
      <c r="M5" s="57" t="s">
        <v>715</v>
      </c>
      <c r="N5" s="120"/>
      <c r="O5" s="119" t="s">
        <v>289</v>
      </c>
      <c r="P5" s="57" t="s">
        <v>711</v>
      </c>
      <c r="Q5" s="57"/>
    </row>
    <row r="6" spans="1:20" x14ac:dyDescent="0.2">
      <c r="A6">
        <v>1</v>
      </c>
      <c r="B6" s="4" t="s">
        <v>700</v>
      </c>
      <c r="C6" s="4" t="s">
        <v>548</v>
      </c>
      <c r="D6">
        <v>1780</v>
      </c>
      <c r="E6" s="140">
        <f>AVERAGE(50,100)/D6</f>
        <v>4.2134831460674156E-2</v>
      </c>
      <c r="F6">
        <v>60.58</v>
      </c>
      <c r="G6">
        <v>91.12</v>
      </c>
      <c r="H6">
        <v>4.59</v>
      </c>
      <c r="I6">
        <f>H6*10^-9*10^-4</f>
        <v>4.5900000000000006E-13</v>
      </c>
      <c r="J6">
        <v>7.3</v>
      </c>
      <c r="K6">
        <f>J6*10^-9*10^-4</f>
        <v>7.3000000000000002E-13</v>
      </c>
      <c r="L6" s="140">
        <f>F6/G6</f>
        <v>0.66483757682177347</v>
      </c>
      <c r="M6" s="140">
        <f>H6/J6</f>
        <v>0.62876712328767126</v>
      </c>
      <c r="N6" s="140">
        <f>L6*M6</f>
        <v>0.41802801063177264</v>
      </c>
      <c r="O6">
        <v>47.06</v>
      </c>
      <c r="P6">
        <v>4.01</v>
      </c>
      <c r="Q6">
        <f t="shared" ref="Q6:Q15" si="0">P6*10^-9*10^-4</f>
        <v>4.0100000000000001E-13</v>
      </c>
    </row>
    <row r="7" spans="1:20" x14ac:dyDescent="0.2">
      <c r="A7">
        <v>2</v>
      </c>
      <c r="B7" s="4" t="s">
        <v>701</v>
      </c>
      <c r="C7" s="4" t="s">
        <v>539</v>
      </c>
      <c r="D7">
        <v>8000</v>
      </c>
      <c r="E7" s="140">
        <f t="shared" ref="E7:E15" si="1">AVERAGE(50,100)/D7</f>
        <v>9.3749999999999997E-3</v>
      </c>
      <c r="F7">
        <v>56.66</v>
      </c>
      <c r="G7">
        <v>63.01</v>
      </c>
      <c r="H7">
        <v>4.1900000000000004</v>
      </c>
      <c r="I7">
        <f t="shared" ref="I7:K15" si="2">H7*10^-9*10^-4</f>
        <v>4.1900000000000008E-13</v>
      </c>
      <c r="J7">
        <v>3.51</v>
      </c>
      <c r="K7">
        <f t="shared" si="2"/>
        <v>3.5100000000000002E-13</v>
      </c>
      <c r="L7" s="140">
        <f t="shared" ref="L7:L15" si="3">F7/G7</f>
        <v>0.89922234565941916</v>
      </c>
      <c r="M7" s="140"/>
      <c r="N7" s="140"/>
      <c r="O7">
        <v>43.51</v>
      </c>
      <c r="P7">
        <v>3.19</v>
      </c>
      <c r="Q7">
        <f t="shared" si="0"/>
        <v>3.19E-13</v>
      </c>
    </row>
    <row r="8" spans="1:20" x14ac:dyDescent="0.2">
      <c r="A8">
        <v>3</v>
      </c>
      <c r="B8" s="4" t="s">
        <v>702</v>
      </c>
      <c r="C8" s="4" t="s">
        <v>694</v>
      </c>
      <c r="D8">
        <v>152</v>
      </c>
      <c r="E8" s="140">
        <f t="shared" si="1"/>
        <v>0.49342105263157893</v>
      </c>
      <c r="F8">
        <v>231.92</v>
      </c>
      <c r="G8">
        <v>269.42</v>
      </c>
      <c r="H8">
        <v>2.15</v>
      </c>
      <c r="I8">
        <f t="shared" si="2"/>
        <v>2.1500000000000004E-13</v>
      </c>
      <c r="J8">
        <v>2.97</v>
      </c>
      <c r="K8">
        <f t="shared" si="2"/>
        <v>2.9700000000000005E-13</v>
      </c>
      <c r="L8" s="140">
        <f t="shared" si="3"/>
        <v>0.86081211491351783</v>
      </c>
      <c r="M8" s="140">
        <f t="shared" ref="M8:M15" si="4">H8/J8</f>
        <v>0.72390572390572383</v>
      </c>
      <c r="N8" s="140">
        <f t="shared" ref="N8:N15" si="5">L8*M8</f>
        <v>0.62314681719328724</v>
      </c>
      <c r="O8">
        <v>162.62</v>
      </c>
      <c r="P8">
        <v>1.94</v>
      </c>
      <c r="Q8">
        <f t="shared" si="0"/>
        <v>1.9400000000000001E-13</v>
      </c>
    </row>
    <row r="9" spans="1:20" x14ac:dyDescent="0.2">
      <c r="A9">
        <v>4</v>
      </c>
      <c r="B9" s="4" t="s">
        <v>704</v>
      </c>
      <c r="C9" s="4" t="s">
        <v>703</v>
      </c>
      <c r="D9">
        <v>20000</v>
      </c>
      <c r="E9" s="140">
        <f t="shared" si="1"/>
        <v>3.7499999999999999E-3</v>
      </c>
      <c r="F9">
        <v>17.260000000000002</v>
      </c>
      <c r="G9">
        <v>17.07</v>
      </c>
      <c r="H9">
        <v>5.09</v>
      </c>
      <c r="I9">
        <f t="shared" si="2"/>
        <v>5.0900000000000005E-13</v>
      </c>
      <c r="J9">
        <v>7.21</v>
      </c>
      <c r="K9">
        <f t="shared" si="2"/>
        <v>7.2100000000000006E-13</v>
      </c>
      <c r="L9" s="140">
        <f t="shared" si="3"/>
        <v>1.0111306385471588</v>
      </c>
      <c r="M9" s="140">
        <f t="shared" si="4"/>
        <v>0.70596393897364773</v>
      </c>
      <c r="N9" s="140">
        <f t="shared" si="5"/>
        <v>0.71382176840569189</v>
      </c>
      <c r="O9">
        <v>12.6</v>
      </c>
      <c r="P9">
        <v>5.12</v>
      </c>
      <c r="Q9">
        <f t="shared" si="0"/>
        <v>5.1200000000000004E-13</v>
      </c>
      <c r="T9" s="4" t="s">
        <v>726</v>
      </c>
    </row>
    <row r="10" spans="1:20" x14ac:dyDescent="0.2">
      <c r="A10">
        <v>5</v>
      </c>
      <c r="B10" s="4" t="s">
        <v>705</v>
      </c>
      <c r="C10" s="4" t="s">
        <v>695</v>
      </c>
      <c r="D10">
        <v>150</v>
      </c>
      <c r="E10" s="140">
        <f t="shared" si="1"/>
        <v>0.5</v>
      </c>
      <c r="F10">
        <v>273.77</v>
      </c>
      <c r="G10">
        <v>275.05</v>
      </c>
      <c r="H10">
        <v>2.31</v>
      </c>
      <c r="I10">
        <f t="shared" si="2"/>
        <v>2.3100000000000003E-13</v>
      </c>
      <c r="J10">
        <v>2.93</v>
      </c>
      <c r="K10">
        <f t="shared" si="2"/>
        <v>2.9300000000000006E-13</v>
      </c>
      <c r="L10" s="140">
        <f t="shared" si="3"/>
        <v>0.99534630067260488</v>
      </c>
      <c r="M10" s="140">
        <f t="shared" si="4"/>
        <v>0.78839590443686003</v>
      </c>
      <c r="N10" s="140">
        <f t="shared" si="5"/>
        <v>0.78472694694666112</v>
      </c>
      <c r="O10">
        <v>175.19</v>
      </c>
      <c r="P10">
        <v>2.25</v>
      </c>
      <c r="Q10">
        <f t="shared" si="0"/>
        <v>2.2500000000000005E-13</v>
      </c>
    </row>
    <row r="11" spans="1:20" x14ac:dyDescent="0.2">
      <c r="A11">
        <v>6</v>
      </c>
      <c r="B11" s="4" t="s">
        <v>706</v>
      </c>
      <c r="C11" s="4" t="s">
        <v>492</v>
      </c>
      <c r="D11">
        <v>515</v>
      </c>
      <c r="E11" s="140">
        <f t="shared" si="1"/>
        <v>0.14563106796116504</v>
      </c>
      <c r="F11">
        <v>112.85</v>
      </c>
      <c r="G11">
        <v>126.31</v>
      </c>
      <c r="H11">
        <v>2.2799999999999998</v>
      </c>
      <c r="I11">
        <f t="shared" si="2"/>
        <v>2.2799999999999999E-13</v>
      </c>
      <c r="J11">
        <v>3.94</v>
      </c>
      <c r="K11">
        <f t="shared" si="2"/>
        <v>3.9400000000000004E-13</v>
      </c>
      <c r="L11" s="140">
        <f t="shared" si="3"/>
        <v>0.89343678251919878</v>
      </c>
      <c r="M11" s="140">
        <f t="shared" si="4"/>
        <v>0.57868020304568524</v>
      </c>
      <c r="N11" s="140">
        <f t="shared" si="5"/>
        <v>0.51701417871669364</v>
      </c>
      <c r="O11">
        <v>59.76</v>
      </c>
      <c r="P11">
        <v>3.93</v>
      </c>
      <c r="Q11">
        <f t="shared" si="0"/>
        <v>3.9300000000000004E-13</v>
      </c>
    </row>
    <row r="12" spans="1:20" x14ac:dyDescent="0.2">
      <c r="A12">
        <v>7</v>
      </c>
      <c r="B12" s="4" t="s">
        <v>707</v>
      </c>
      <c r="C12" s="4" t="s">
        <v>696</v>
      </c>
      <c r="D12">
        <v>4400</v>
      </c>
      <c r="E12" s="140">
        <f t="shared" si="1"/>
        <v>1.7045454545454544E-2</v>
      </c>
      <c r="F12">
        <v>82.13</v>
      </c>
      <c r="G12">
        <v>73.709999999999994</v>
      </c>
      <c r="H12">
        <v>1.99</v>
      </c>
      <c r="I12">
        <f t="shared" si="2"/>
        <v>1.9900000000000001E-13</v>
      </c>
      <c r="J12">
        <v>4.1100000000000003</v>
      </c>
      <c r="K12">
        <f t="shared" si="2"/>
        <v>4.1100000000000012E-13</v>
      </c>
      <c r="L12" s="140">
        <f t="shared" si="3"/>
        <v>1.114231447564781</v>
      </c>
      <c r="M12" s="140">
        <f t="shared" si="4"/>
        <v>0.48418491484184911</v>
      </c>
      <c r="N12" s="140">
        <f t="shared" si="5"/>
        <v>0.53949405855326371</v>
      </c>
      <c r="O12">
        <v>51.26</v>
      </c>
      <c r="P12">
        <v>3.08</v>
      </c>
      <c r="Q12">
        <f t="shared" si="0"/>
        <v>3.0800000000000005E-13</v>
      </c>
    </row>
    <row r="13" spans="1:20" x14ac:dyDescent="0.2">
      <c r="A13">
        <v>8</v>
      </c>
      <c r="B13" s="4" t="s">
        <v>708</v>
      </c>
      <c r="C13" s="4" t="s">
        <v>697</v>
      </c>
      <c r="D13">
        <v>1100</v>
      </c>
      <c r="E13" s="140">
        <f t="shared" si="1"/>
        <v>6.8181818181818177E-2</v>
      </c>
      <c r="F13">
        <v>131.44</v>
      </c>
      <c r="G13">
        <v>148.91999999999999</v>
      </c>
      <c r="H13">
        <v>2.89</v>
      </c>
      <c r="I13">
        <f t="shared" si="2"/>
        <v>2.8900000000000003E-13</v>
      </c>
      <c r="J13">
        <v>4.54</v>
      </c>
      <c r="K13">
        <f t="shared" si="2"/>
        <v>4.5400000000000008E-13</v>
      </c>
      <c r="L13" s="140">
        <f t="shared" si="3"/>
        <v>0.88262154176739194</v>
      </c>
      <c r="M13" s="140">
        <f t="shared" si="4"/>
        <v>0.63656387665198244</v>
      </c>
      <c r="N13" s="140">
        <f t="shared" si="5"/>
        <v>0.5618449902440007</v>
      </c>
      <c r="O13">
        <v>62.29</v>
      </c>
      <c r="P13">
        <v>3.63</v>
      </c>
      <c r="Q13">
        <f t="shared" si="0"/>
        <v>3.6300000000000002E-13</v>
      </c>
    </row>
    <row r="14" spans="1:20" x14ac:dyDescent="0.2">
      <c r="A14">
        <v>9</v>
      </c>
      <c r="B14" s="4" t="s">
        <v>709</v>
      </c>
      <c r="C14" s="4" t="s">
        <v>698</v>
      </c>
      <c r="D14">
        <v>175</v>
      </c>
      <c r="E14" s="140">
        <f t="shared" si="1"/>
        <v>0.42857142857142855</v>
      </c>
      <c r="F14">
        <v>438.21</v>
      </c>
      <c r="G14">
        <v>436.57</v>
      </c>
      <c r="H14">
        <v>1.25</v>
      </c>
      <c r="I14">
        <f t="shared" si="2"/>
        <v>1.25E-13</v>
      </c>
      <c r="J14">
        <v>1.81</v>
      </c>
      <c r="K14">
        <f t="shared" si="2"/>
        <v>1.8100000000000004E-13</v>
      </c>
      <c r="L14" s="140">
        <f t="shared" si="3"/>
        <v>1.0037565567950157</v>
      </c>
      <c r="M14" s="140">
        <f t="shared" si="4"/>
        <v>0.69060773480662985</v>
      </c>
      <c r="N14" s="140">
        <f t="shared" si="5"/>
        <v>0.69320204198550817</v>
      </c>
      <c r="O14">
        <v>237.87</v>
      </c>
      <c r="P14">
        <v>2.0499999999999998</v>
      </c>
      <c r="Q14">
        <f t="shared" si="0"/>
        <v>2.0499999999999998E-13</v>
      </c>
    </row>
    <row r="15" spans="1:20" x14ac:dyDescent="0.2">
      <c r="A15">
        <v>10</v>
      </c>
      <c r="B15" s="4" t="s">
        <v>710</v>
      </c>
      <c r="C15" s="4" t="s">
        <v>699</v>
      </c>
      <c r="D15">
        <v>198</v>
      </c>
      <c r="E15" s="140">
        <f t="shared" si="1"/>
        <v>0.37878787878787878</v>
      </c>
      <c r="F15">
        <v>357.35</v>
      </c>
      <c r="G15">
        <v>383.39</v>
      </c>
      <c r="H15">
        <v>1.91</v>
      </c>
      <c r="I15">
        <f t="shared" si="2"/>
        <v>1.9100000000000004E-13</v>
      </c>
      <c r="J15">
        <v>2.69</v>
      </c>
      <c r="K15">
        <f t="shared" si="2"/>
        <v>2.6900000000000001E-13</v>
      </c>
      <c r="L15" s="140">
        <f t="shared" si="3"/>
        <v>0.93207960562351666</v>
      </c>
      <c r="M15" s="140">
        <f t="shared" si="4"/>
        <v>0.71003717472118955</v>
      </c>
      <c r="N15" s="140">
        <f t="shared" si="5"/>
        <v>0.66181116979216237</v>
      </c>
      <c r="O15">
        <v>221.53</v>
      </c>
      <c r="P15">
        <v>3.27</v>
      </c>
      <c r="Q15">
        <f t="shared" si="0"/>
        <v>3.2700000000000002E-13</v>
      </c>
    </row>
    <row r="17" spans="2:3" x14ac:dyDescent="0.2">
      <c r="B17" s="4" t="s">
        <v>717</v>
      </c>
      <c r="C17" s="4" t="s">
        <v>718</v>
      </c>
    </row>
    <row r="18" spans="2:3" x14ac:dyDescent="0.2">
      <c r="B18" s="4" t="s">
        <v>1183</v>
      </c>
    </row>
    <row r="19" spans="2:3" x14ac:dyDescent="0.2">
      <c r="B19" s="4" t="s">
        <v>713</v>
      </c>
    </row>
    <row r="20" spans="2:3" x14ac:dyDescent="0.2">
      <c r="B20" s="4" t="s">
        <v>714</v>
      </c>
    </row>
    <row r="22" spans="2:3" x14ac:dyDescent="0.2">
      <c r="B22" s="176" t="s">
        <v>1189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X128"/>
  <sheetViews>
    <sheetView zoomScale="70" zoomScaleNormal="70" workbookViewId="0">
      <pane xSplit="9" ySplit="5" topLeftCell="R99" activePane="bottomRight" state="frozen"/>
      <selection pane="topRight" activeCell="J1" sqref="J1"/>
      <selection pane="bottomLeft" activeCell="A6" sqref="A6"/>
      <selection pane="bottomRight" activeCell="X122" sqref="X122:X126"/>
    </sheetView>
  </sheetViews>
  <sheetFormatPr defaultRowHeight="12.75" x14ac:dyDescent="0.2"/>
  <cols>
    <col min="9" max="10" width="16.42578125" customWidth="1"/>
    <col min="13" max="13" width="4.42578125" customWidth="1"/>
    <col min="16" max="16" width="2.85546875" customWidth="1"/>
    <col min="17" max="17" width="6.28515625" customWidth="1"/>
    <col min="45" max="45" width="2.140625" customWidth="1"/>
  </cols>
  <sheetData>
    <row r="1" spans="1:38" x14ac:dyDescent="0.2">
      <c r="A1" t="s">
        <v>728</v>
      </c>
    </row>
    <row r="2" spans="1:38" x14ac:dyDescent="0.2">
      <c r="AI2" s="4" t="s">
        <v>1679</v>
      </c>
    </row>
    <row r="3" spans="1:38" x14ac:dyDescent="0.2">
      <c r="I3" s="4" t="s">
        <v>974</v>
      </c>
      <c r="J3" s="4"/>
      <c r="K3" t="s">
        <v>964</v>
      </c>
      <c r="L3" s="4" t="s">
        <v>972</v>
      </c>
      <c r="M3" s="4"/>
      <c r="N3" s="4" t="s">
        <v>972</v>
      </c>
      <c r="O3" s="4" t="s">
        <v>973</v>
      </c>
      <c r="P3" s="4"/>
      <c r="Q3" s="4"/>
      <c r="R3" s="4" t="s">
        <v>1018</v>
      </c>
      <c r="S3" s="4" t="s">
        <v>1018</v>
      </c>
      <c r="T3" t="s">
        <v>965</v>
      </c>
      <c r="U3" t="s">
        <v>965</v>
      </c>
      <c r="V3" s="4" t="s">
        <v>973</v>
      </c>
      <c r="W3" s="4" t="s">
        <v>377</v>
      </c>
      <c r="X3" s="4" t="s">
        <v>377</v>
      </c>
      <c r="Y3" s="4" t="s">
        <v>377</v>
      </c>
      <c r="Z3" s="4" t="s">
        <v>377</v>
      </c>
      <c r="AA3" s="4" t="s">
        <v>377</v>
      </c>
      <c r="AB3" s="4" t="s">
        <v>377</v>
      </c>
      <c r="AC3" s="4" t="s">
        <v>377</v>
      </c>
      <c r="AD3" s="4" t="s">
        <v>377</v>
      </c>
      <c r="AE3" s="4" t="s">
        <v>377</v>
      </c>
      <c r="AF3" s="4"/>
      <c r="AG3" s="4"/>
      <c r="AI3" t="s">
        <v>49</v>
      </c>
    </row>
    <row r="4" spans="1:38" x14ac:dyDescent="0.2">
      <c r="L4" t="s">
        <v>9</v>
      </c>
      <c r="O4" s="4" t="s">
        <v>1021</v>
      </c>
      <c r="P4" s="4"/>
      <c r="Q4" s="4" t="s">
        <v>400</v>
      </c>
      <c r="R4" s="4" t="s">
        <v>1020</v>
      </c>
      <c r="S4" s="4" t="s">
        <v>1019</v>
      </c>
      <c r="T4" s="4" t="s">
        <v>1019</v>
      </c>
      <c r="U4" s="4" t="s">
        <v>1020</v>
      </c>
    </row>
    <row r="5" spans="1:38" x14ac:dyDescent="0.2">
      <c r="K5" t="s">
        <v>258</v>
      </c>
      <c r="L5" t="s">
        <v>349</v>
      </c>
      <c r="O5" s="4" t="s">
        <v>1639</v>
      </c>
      <c r="V5" s="4" t="s">
        <v>400</v>
      </c>
      <c r="W5" s="4" t="s">
        <v>1644</v>
      </c>
      <c r="X5" s="4" t="s">
        <v>1547</v>
      </c>
      <c r="Y5" s="4" t="s">
        <v>1593</v>
      </c>
      <c r="Z5" s="4" t="s">
        <v>1594</v>
      </c>
      <c r="AA5" s="4" t="s">
        <v>1595</v>
      </c>
      <c r="AB5" s="4" t="s">
        <v>1596</v>
      </c>
      <c r="AC5" s="4" t="s">
        <v>1597</v>
      </c>
      <c r="AD5" s="4" t="s">
        <v>1597</v>
      </c>
      <c r="AE5" s="4" t="s">
        <v>1547</v>
      </c>
      <c r="AF5" s="4"/>
      <c r="AG5" s="4"/>
      <c r="AI5" t="s">
        <v>1680</v>
      </c>
      <c r="AJ5" t="s">
        <v>1597</v>
      </c>
      <c r="AK5" t="s">
        <v>956</v>
      </c>
      <c r="AL5" t="s">
        <v>1681</v>
      </c>
    </row>
    <row r="6" spans="1:38" x14ac:dyDescent="0.2">
      <c r="I6" t="s">
        <v>963</v>
      </c>
    </row>
    <row r="7" spans="1:38" x14ac:dyDescent="0.2">
      <c r="I7" t="s">
        <v>559</v>
      </c>
      <c r="J7">
        <v>310</v>
      </c>
      <c r="K7">
        <v>128.19999999999999</v>
      </c>
      <c r="L7">
        <v>3.4</v>
      </c>
      <c r="O7" s="139">
        <f t="shared" ref="O7:O28" si="0">-0.032 *K7+4.09</f>
        <v>-1.2399999999999523E-2</v>
      </c>
      <c r="P7" s="139"/>
      <c r="Q7">
        <f t="shared" ref="Q7:Q28" si="1">10^O7*K7/1000</f>
        <v>0.1245913883169298</v>
      </c>
      <c r="R7">
        <v>3.7</v>
      </c>
      <c r="S7">
        <v>3.7</v>
      </c>
      <c r="T7">
        <v>124.6</v>
      </c>
      <c r="U7">
        <v>108.5</v>
      </c>
      <c r="V7">
        <f>K7*10^O7/1000</f>
        <v>0.1245913883169298</v>
      </c>
      <c r="Y7">
        <v>3</v>
      </c>
      <c r="AA7">
        <v>2.8</v>
      </c>
      <c r="AL7">
        <v>-11.8</v>
      </c>
    </row>
    <row r="8" spans="1:38" x14ac:dyDescent="0.2">
      <c r="A8" s="4" t="s">
        <v>729</v>
      </c>
      <c r="I8" t="s">
        <v>966</v>
      </c>
      <c r="J8">
        <v>-1696</v>
      </c>
      <c r="K8">
        <v>152.19999999999999</v>
      </c>
      <c r="L8">
        <v>3.9</v>
      </c>
      <c r="O8" s="139">
        <f t="shared" si="0"/>
        <v>-0.7804000000000002</v>
      </c>
      <c r="P8" s="139"/>
      <c r="Q8">
        <f t="shared" si="1"/>
        <v>2.523565912315771E-2</v>
      </c>
      <c r="R8">
        <v>4.2</v>
      </c>
      <c r="S8">
        <v>3.9</v>
      </c>
      <c r="T8">
        <v>139.1</v>
      </c>
      <c r="U8">
        <v>121.6</v>
      </c>
      <c r="V8">
        <f t="shared" ref="V8:V20" si="2">K8*10^O8/1000</f>
        <v>2.523565912315771E-2</v>
      </c>
      <c r="W8">
        <v>3.7</v>
      </c>
      <c r="AA8">
        <v>3.2</v>
      </c>
      <c r="AI8">
        <v>-12.36</v>
      </c>
    </row>
    <row r="9" spans="1:38" x14ac:dyDescent="0.2">
      <c r="I9" t="s">
        <v>560</v>
      </c>
      <c r="J9" s="33">
        <v>-1536</v>
      </c>
      <c r="K9">
        <v>154.19999999999999</v>
      </c>
      <c r="L9">
        <v>4</v>
      </c>
      <c r="O9" s="139">
        <f t="shared" si="0"/>
        <v>-0.84440000000000026</v>
      </c>
      <c r="P9" s="139"/>
      <c r="Q9">
        <f t="shared" si="1"/>
        <v>2.2064006344594798E-2</v>
      </c>
      <c r="R9">
        <v>4.4000000000000004</v>
      </c>
      <c r="S9">
        <v>4.4000000000000004</v>
      </c>
      <c r="T9">
        <v>142</v>
      </c>
      <c r="U9">
        <v>125.9</v>
      </c>
      <c r="V9">
        <f t="shared" si="2"/>
        <v>2.2064006344594798E-2</v>
      </c>
      <c r="AA9">
        <v>3.6</v>
      </c>
      <c r="AI9">
        <v>-12.26</v>
      </c>
    </row>
    <row r="10" spans="1:38" x14ac:dyDescent="0.2">
      <c r="A10" s="4" t="s">
        <v>730</v>
      </c>
      <c r="I10" t="s">
        <v>561</v>
      </c>
      <c r="J10">
        <v>-1537</v>
      </c>
      <c r="K10">
        <v>166.2</v>
      </c>
      <c r="L10">
        <v>4.0999999999999996</v>
      </c>
      <c r="O10" s="139">
        <f t="shared" si="0"/>
        <v>-1.2283999999999997</v>
      </c>
      <c r="P10" s="139"/>
      <c r="Q10">
        <f t="shared" si="1"/>
        <v>9.8227031484622567E-3</v>
      </c>
      <c r="R10">
        <v>4.5</v>
      </c>
      <c r="S10">
        <v>4.5</v>
      </c>
      <c r="T10">
        <v>154.80000000000001</v>
      </c>
      <c r="U10">
        <v>133.5</v>
      </c>
      <c r="V10">
        <f t="shared" si="2"/>
        <v>9.8227031484622567E-3</v>
      </c>
      <c r="Y10">
        <v>3.8</v>
      </c>
      <c r="AA10">
        <v>3.8</v>
      </c>
      <c r="AB10">
        <v>3.4</v>
      </c>
      <c r="AE10">
        <v>4.2</v>
      </c>
      <c r="AI10">
        <v>-12.29</v>
      </c>
    </row>
    <row r="11" spans="1:38" x14ac:dyDescent="0.2">
      <c r="I11" t="s">
        <v>562</v>
      </c>
      <c r="J11" s="33">
        <v>-1538</v>
      </c>
      <c r="K11">
        <v>178.2</v>
      </c>
      <c r="L11">
        <v>4.5</v>
      </c>
      <c r="O11" s="139">
        <f t="shared" si="0"/>
        <v>-1.6124000000000001</v>
      </c>
      <c r="P11" s="139"/>
      <c r="Q11">
        <f t="shared" si="1"/>
        <v>4.3501847309898103E-3</v>
      </c>
      <c r="R11">
        <v>5</v>
      </c>
      <c r="S11">
        <v>5.0999999999999996</v>
      </c>
      <c r="T11">
        <v>160.6</v>
      </c>
      <c r="U11">
        <v>145.4</v>
      </c>
      <c r="V11">
        <f t="shared" si="2"/>
        <v>4.3501847309898103E-3</v>
      </c>
      <c r="W11">
        <v>4.3</v>
      </c>
      <c r="X11">
        <v>4.3</v>
      </c>
      <c r="Y11">
        <v>4.0999999999999996</v>
      </c>
      <c r="Z11">
        <v>4.3</v>
      </c>
      <c r="AA11">
        <v>4.2</v>
      </c>
      <c r="AC11">
        <v>4.2</v>
      </c>
      <c r="AD11">
        <v>4.2</v>
      </c>
      <c r="AI11">
        <v>-12.45</v>
      </c>
      <c r="AJ11">
        <v>-12.73</v>
      </c>
    </row>
    <row r="12" spans="1:38" x14ac:dyDescent="0.2">
      <c r="I12" t="s">
        <v>563</v>
      </c>
      <c r="J12" s="33">
        <v>-1539</v>
      </c>
      <c r="K12">
        <v>178.2</v>
      </c>
      <c r="L12">
        <v>4.5999999999999996</v>
      </c>
      <c r="O12" s="139">
        <f t="shared" si="0"/>
        <v>-1.6124000000000001</v>
      </c>
      <c r="P12" s="139"/>
      <c r="Q12">
        <f t="shared" si="1"/>
        <v>4.3501847309898103E-3</v>
      </c>
      <c r="R12">
        <v>5.0999999999999996</v>
      </c>
      <c r="S12">
        <v>5.0999999999999996</v>
      </c>
      <c r="T12">
        <v>159.1</v>
      </c>
      <c r="U12">
        <v>145.4</v>
      </c>
      <c r="V12">
        <f t="shared" si="2"/>
        <v>4.3501847309898103E-3</v>
      </c>
      <c r="Y12">
        <v>4.4000000000000004</v>
      </c>
      <c r="Z12">
        <v>4.3</v>
      </c>
      <c r="AA12">
        <v>4.3</v>
      </c>
      <c r="AB12">
        <v>4.5999999999999996</v>
      </c>
      <c r="AC12">
        <v>4.4000000000000004</v>
      </c>
      <c r="AD12">
        <v>4.3</v>
      </c>
      <c r="AI12">
        <v>-12.36</v>
      </c>
      <c r="AJ12">
        <v>-12.73</v>
      </c>
    </row>
    <row r="13" spans="1:38" x14ac:dyDescent="0.2">
      <c r="I13" t="s">
        <v>564</v>
      </c>
      <c r="J13" s="33">
        <v>-1540</v>
      </c>
      <c r="K13">
        <v>202.3</v>
      </c>
      <c r="L13">
        <v>5</v>
      </c>
      <c r="O13" s="139">
        <f t="shared" si="0"/>
        <v>-2.3836000000000004</v>
      </c>
      <c r="P13" s="139"/>
      <c r="Q13">
        <f t="shared" si="1"/>
        <v>8.3636506257935245E-4</v>
      </c>
      <c r="R13">
        <v>5.6</v>
      </c>
      <c r="S13">
        <v>5.7</v>
      </c>
      <c r="T13">
        <v>196.1</v>
      </c>
      <c r="U13">
        <v>158.5</v>
      </c>
      <c r="V13">
        <f t="shared" si="2"/>
        <v>8.3636506257935245E-4</v>
      </c>
      <c r="W13">
        <v>4.9000000000000004</v>
      </c>
      <c r="X13">
        <v>4.9000000000000004</v>
      </c>
      <c r="Y13">
        <v>4.9000000000000004</v>
      </c>
      <c r="Z13">
        <v>4.9000000000000004</v>
      </c>
      <c r="AA13">
        <v>4.9000000000000004</v>
      </c>
      <c r="AB13">
        <v>4.8</v>
      </c>
      <c r="AE13">
        <v>5</v>
      </c>
      <c r="AI13">
        <v>-12.7</v>
      </c>
      <c r="AK13">
        <v>-13.15</v>
      </c>
      <c r="AL13">
        <v>-12.5</v>
      </c>
    </row>
    <row r="14" spans="1:38" x14ac:dyDescent="0.2">
      <c r="I14" t="s">
        <v>565</v>
      </c>
      <c r="J14" s="33">
        <v>-1541</v>
      </c>
      <c r="K14">
        <v>202.3</v>
      </c>
      <c r="L14">
        <v>5</v>
      </c>
      <c r="O14" s="139">
        <f t="shared" si="0"/>
        <v>-2.3836000000000004</v>
      </c>
      <c r="P14" s="139"/>
      <c r="Q14">
        <f t="shared" si="1"/>
        <v>8.3636506257935245E-4</v>
      </c>
      <c r="R14">
        <v>5.6</v>
      </c>
      <c r="S14">
        <v>5.8</v>
      </c>
      <c r="T14">
        <v>182.3</v>
      </c>
      <c r="U14">
        <v>158.5</v>
      </c>
      <c r="V14">
        <f t="shared" si="2"/>
        <v>8.3636506257935245E-4</v>
      </c>
      <c r="W14">
        <v>5.0999999999999996</v>
      </c>
      <c r="X14">
        <v>5</v>
      </c>
      <c r="Y14">
        <v>5</v>
      </c>
      <c r="Z14">
        <v>4.7</v>
      </c>
      <c r="AA14">
        <v>5.0999999999999996</v>
      </c>
      <c r="AC14">
        <v>5.0999999999999996</v>
      </c>
      <c r="AD14">
        <v>5</v>
      </c>
      <c r="AJ14">
        <v>-13.4</v>
      </c>
      <c r="AK14">
        <v>-13.26</v>
      </c>
    </row>
    <row r="15" spans="1:38" x14ac:dyDescent="0.2">
      <c r="I15" t="s">
        <v>567</v>
      </c>
      <c r="J15" s="33">
        <v>-1543</v>
      </c>
      <c r="K15">
        <v>228.3</v>
      </c>
      <c r="L15">
        <v>5.7</v>
      </c>
      <c r="O15" s="139">
        <f t="shared" si="0"/>
        <v>-3.2156000000000002</v>
      </c>
      <c r="P15" s="139"/>
      <c r="Q15">
        <f t="shared" si="1"/>
        <v>1.3896515350405773E-4</v>
      </c>
      <c r="R15">
        <v>6.4</v>
      </c>
      <c r="S15">
        <v>6.5</v>
      </c>
      <c r="T15">
        <v>196.5</v>
      </c>
      <c r="U15">
        <v>182.3</v>
      </c>
      <c r="V15">
        <f t="shared" si="2"/>
        <v>1.3896515350405773E-4</v>
      </c>
      <c r="W15">
        <v>5.6</v>
      </c>
      <c r="X15">
        <v>5.7</v>
      </c>
      <c r="Y15">
        <v>5.6</v>
      </c>
      <c r="Z15">
        <v>5.5</v>
      </c>
      <c r="AA15">
        <v>5.8</v>
      </c>
      <c r="AB15">
        <v>5.5</v>
      </c>
      <c r="AI15">
        <v>-13.28</v>
      </c>
    </row>
    <row r="16" spans="1:38" x14ac:dyDescent="0.2">
      <c r="I16" s="4" t="s">
        <v>967</v>
      </c>
      <c r="J16" s="33">
        <v>-1542</v>
      </c>
      <c r="K16">
        <v>228.3</v>
      </c>
      <c r="L16">
        <v>5.8</v>
      </c>
      <c r="O16" s="139">
        <f t="shared" si="0"/>
        <v>-3.2156000000000002</v>
      </c>
      <c r="P16" s="139"/>
      <c r="Q16">
        <f t="shared" si="1"/>
        <v>1.3896515350405773E-4</v>
      </c>
      <c r="R16">
        <v>6.6</v>
      </c>
      <c r="S16">
        <v>6.4</v>
      </c>
      <c r="T16">
        <v>195.1</v>
      </c>
      <c r="U16">
        <v>182.3</v>
      </c>
      <c r="V16">
        <f t="shared" si="2"/>
        <v>1.3896515350405773E-4</v>
      </c>
      <c r="W16">
        <v>5.5</v>
      </c>
      <c r="X16">
        <v>5.7</v>
      </c>
      <c r="Y16">
        <v>5.6</v>
      </c>
      <c r="Z16">
        <v>5.5</v>
      </c>
      <c r="AA16">
        <v>5.7</v>
      </c>
      <c r="AI16">
        <v>-13.28</v>
      </c>
    </row>
    <row r="17" spans="1:50" x14ac:dyDescent="0.2">
      <c r="A17" s="4" t="s">
        <v>949</v>
      </c>
      <c r="B17" s="4" t="s">
        <v>950</v>
      </c>
      <c r="I17" t="s">
        <v>968</v>
      </c>
      <c r="J17" s="33">
        <v>-1547</v>
      </c>
      <c r="K17">
        <v>252.3</v>
      </c>
      <c r="L17">
        <v>6.1</v>
      </c>
      <c r="O17" s="139">
        <f t="shared" si="0"/>
        <v>-3.9836000000000009</v>
      </c>
      <c r="P17" s="139"/>
      <c r="Q17">
        <f t="shared" si="1"/>
        <v>2.6200962799858658E-5</v>
      </c>
      <c r="R17">
        <v>6.9</v>
      </c>
      <c r="S17">
        <v>7.3</v>
      </c>
      <c r="T17">
        <v>218.2</v>
      </c>
      <c r="U17">
        <v>195.4</v>
      </c>
      <c r="V17">
        <f t="shared" si="2"/>
        <v>2.6200962799858658E-5</v>
      </c>
      <c r="W17">
        <v>5.9</v>
      </c>
      <c r="Y17">
        <v>6.2</v>
      </c>
      <c r="Z17">
        <v>6.4</v>
      </c>
      <c r="AA17">
        <v>6.8</v>
      </c>
    </row>
    <row r="18" spans="1:50" x14ac:dyDescent="0.2">
      <c r="B18" s="4" t="s">
        <v>951</v>
      </c>
      <c r="I18" t="s">
        <v>969</v>
      </c>
      <c r="J18" s="33">
        <v>-1544</v>
      </c>
      <c r="K18">
        <v>252.3</v>
      </c>
      <c r="L18">
        <v>5.9</v>
      </c>
      <c r="O18" s="139">
        <f t="shared" si="0"/>
        <v>-3.9836000000000009</v>
      </c>
      <c r="P18" s="139"/>
      <c r="Q18">
        <f t="shared" si="1"/>
        <v>2.6200962799858658E-5</v>
      </c>
      <c r="R18">
        <v>6.7</v>
      </c>
      <c r="S18">
        <v>7.2</v>
      </c>
      <c r="T18">
        <v>232</v>
      </c>
      <c r="U18">
        <v>195.4</v>
      </c>
      <c r="V18">
        <f t="shared" si="2"/>
        <v>2.6200962799858658E-5</v>
      </c>
      <c r="Y18">
        <v>6.1</v>
      </c>
      <c r="Z18">
        <v>6.3</v>
      </c>
      <c r="AA18">
        <v>6.7</v>
      </c>
      <c r="AI18">
        <v>-13.7</v>
      </c>
    </row>
    <row r="19" spans="1:50" x14ac:dyDescent="0.2">
      <c r="I19" t="s">
        <v>970</v>
      </c>
      <c r="J19" s="33">
        <v>-1545</v>
      </c>
      <c r="K19">
        <v>252.3</v>
      </c>
      <c r="L19">
        <v>5.9</v>
      </c>
      <c r="O19" s="139">
        <f t="shared" si="0"/>
        <v>-3.9836000000000009</v>
      </c>
      <c r="P19" s="139"/>
      <c r="Q19">
        <f t="shared" si="1"/>
        <v>2.6200962799858658E-5</v>
      </c>
      <c r="R19">
        <v>6.6</v>
      </c>
      <c r="S19">
        <v>7.1</v>
      </c>
      <c r="T19">
        <v>229.5</v>
      </c>
      <c r="U19">
        <v>195.4</v>
      </c>
      <c r="V19">
        <f t="shared" si="2"/>
        <v>2.6200962799858658E-5</v>
      </c>
      <c r="Z19">
        <v>6.3</v>
      </c>
    </row>
    <row r="20" spans="1:50" x14ac:dyDescent="0.2">
      <c r="I20" t="s">
        <v>971</v>
      </c>
      <c r="J20" s="33">
        <v>-1546</v>
      </c>
      <c r="K20">
        <v>252.3</v>
      </c>
      <c r="L20">
        <v>6.1</v>
      </c>
      <c r="M20" s="4" t="s">
        <v>1558</v>
      </c>
      <c r="O20" s="139">
        <f t="shared" si="0"/>
        <v>-3.9836000000000009</v>
      </c>
      <c r="P20" s="139"/>
      <c r="Q20">
        <f t="shared" si="1"/>
        <v>2.6200962799858658E-5</v>
      </c>
      <c r="R20">
        <v>6.9</v>
      </c>
      <c r="S20">
        <v>7.3</v>
      </c>
      <c r="T20">
        <v>219.6</v>
      </c>
      <c r="U20">
        <v>195.4</v>
      </c>
      <c r="V20">
        <f t="shared" si="2"/>
        <v>2.6200962799858658E-5</v>
      </c>
      <c r="W20">
        <v>5.8</v>
      </c>
      <c r="X20">
        <v>6.2</v>
      </c>
      <c r="Y20">
        <v>6.3</v>
      </c>
    </row>
    <row r="21" spans="1:50" x14ac:dyDescent="0.2">
      <c r="I21" s="176" t="s">
        <v>1682</v>
      </c>
      <c r="J21" s="94"/>
      <c r="K21" s="148">
        <v>252.3</v>
      </c>
      <c r="L21" s="148"/>
      <c r="M21" s="176"/>
      <c r="N21" s="148"/>
      <c r="O21" s="336"/>
      <c r="P21" s="336"/>
      <c r="Q21" s="148"/>
      <c r="R21" s="148"/>
      <c r="S21" s="148"/>
      <c r="T21" s="148">
        <v>218.2</v>
      </c>
      <c r="U21" s="148"/>
      <c r="AI21">
        <v>-13.72</v>
      </c>
      <c r="AK21">
        <v>-13.6</v>
      </c>
    </row>
    <row r="22" spans="1:50" x14ac:dyDescent="0.2">
      <c r="I22" s="176" t="s">
        <v>1683</v>
      </c>
      <c r="J22" s="94"/>
      <c r="K22" s="148">
        <v>276.3</v>
      </c>
      <c r="L22" s="148"/>
      <c r="M22" s="176"/>
      <c r="N22" s="148"/>
      <c r="O22" s="336"/>
      <c r="P22" s="336"/>
      <c r="Q22" s="148"/>
      <c r="R22" s="148"/>
      <c r="S22" s="148"/>
      <c r="T22" s="148">
        <v>241.3</v>
      </c>
      <c r="U22" s="148"/>
      <c r="AI22">
        <v>-13.75</v>
      </c>
    </row>
    <row r="23" spans="1:50" x14ac:dyDescent="0.2">
      <c r="I23" s="176" t="s">
        <v>1684</v>
      </c>
      <c r="J23" s="94"/>
      <c r="K23" s="148">
        <v>278.3</v>
      </c>
      <c r="L23" s="148"/>
      <c r="M23" s="176"/>
      <c r="N23" s="148"/>
      <c r="O23" s="336"/>
      <c r="P23" s="336"/>
      <c r="Q23" s="148"/>
      <c r="R23" s="148"/>
      <c r="S23" s="148"/>
      <c r="T23" s="148">
        <v>244.2</v>
      </c>
      <c r="U23" s="148"/>
      <c r="AI23">
        <v>-13.69</v>
      </c>
    </row>
    <row r="24" spans="1:50" x14ac:dyDescent="0.2">
      <c r="I24" t="s">
        <v>572</v>
      </c>
      <c r="J24" s="33">
        <v>-1548</v>
      </c>
      <c r="K24">
        <v>252.3</v>
      </c>
      <c r="L24">
        <v>6.1</v>
      </c>
      <c r="M24" s="4" t="s">
        <v>1558</v>
      </c>
      <c r="O24" s="139">
        <f t="shared" si="0"/>
        <v>-3.9836000000000009</v>
      </c>
      <c r="P24" s="139"/>
      <c r="Q24">
        <f t="shared" si="1"/>
        <v>2.6200962799858658E-5</v>
      </c>
      <c r="R24">
        <v>6.9</v>
      </c>
      <c r="S24">
        <v>7.3</v>
      </c>
      <c r="T24">
        <v>219.6</v>
      </c>
      <c r="U24">
        <v>195.4</v>
      </c>
      <c r="V24">
        <f t="shared" ref="V24:V28" si="3">K24*10^O24/1000</f>
        <v>2.6200962799858658E-5</v>
      </c>
      <c r="X24">
        <v>6.5</v>
      </c>
      <c r="AB24">
        <v>5.9</v>
      </c>
    </row>
    <row r="25" spans="1:50" x14ac:dyDescent="0.2">
      <c r="I25" t="s">
        <v>594</v>
      </c>
      <c r="J25" s="33">
        <v>-1552</v>
      </c>
      <c r="K25">
        <v>192.3</v>
      </c>
      <c r="L25">
        <v>4.7</v>
      </c>
      <c r="M25" s="4" t="s">
        <v>1558</v>
      </c>
      <c r="O25" s="139">
        <f t="shared" si="0"/>
        <v>-2.063600000000001</v>
      </c>
      <c r="P25" s="139"/>
      <c r="Q25">
        <f t="shared" si="1"/>
        <v>1.6610369145756171E-3</v>
      </c>
      <c r="R25">
        <v>5.2</v>
      </c>
      <c r="S25">
        <v>5.6</v>
      </c>
      <c r="T25">
        <v>176.5</v>
      </c>
      <c r="U25">
        <v>159.5</v>
      </c>
      <c r="V25">
        <f t="shared" si="3"/>
        <v>1.6610369145756171E-3</v>
      </c>
      <c r="X25">
        <v>4.8</v>
      </c>
      <c r="Z25">
        <v>4.7</v>
      </c>
    </row>
    <row r="26" spans="1:50" x14ac:dyDescent="0.2">
      <c r="A26" s="4" t="s">
        <v>952</v>
      </c>
      <c r="B26" s="4" t="s">
        <v>950</v>
      </c>
      <c r="I26" t="s">
        <v>599</v>
      </c>
      <c r="J26" s="33">
        <v>-1567</v>
      </c>
      <c r="K26">
        <v>206.3</v>
      </c>
      <c r="L26">
        <v>4.9000000000000004</v>
      </c>
      <c r="M26" s="4" t="s">
        <v>1558</v>
      </c>
      <c r="O26" s="139">
        <f t="shared" si="0"/>
        <v>-2.5116000000000005</v>
      </c>
      <c r="P26" s="139"/>
      <c r="Q26">
        <f t="shared" si="1"/>
        <v>6.3518352919969285E-4</v>
      </c>
      <c r="R26">
        <v>5.5</v>
      </c>
      <c r="S26">
        <v>6</v>
      </c>
      <c r="T26">
        <v>192.4</v>
      </c>
      <c r="U26">
        <v>173.6</v>
      </c>
      <c r="V26">
        <f t="shared" si="3"/>
        <v>6.3518352919969285E-4</v>
      </c>
      <c r="Z26">
        <v>5.2</v>
      </c>
    </row>
    <row r="27" spans="1:50" x14ac:dyDescent="0.2">
      <c r="B27" s="4" t="s">
        <v>953</v>
      </c>
      <c r="I27" t="s">
        <v>595</v>
      </c>
      <c r="J27" s="33">
        <v>-1564</v>
      </c>
      <c r="K27">
        <v>192.3</v>
      </c>
      <c r="L27">
        <v>4.7</v>
      </c>
      <c r="M27" s="4" t="s">
        <v>1558</v>
      </c>
      <c r="O27" s="139">
        <f t="shared" si="0"/>
        <v>-2.063600000000001</v>
      </c>
      <c r="P27" s="139"/>
      <c r="Q27">
        <f t="shared" si="1"/>
        <v>1.6610369145756171E-3</v>
      </c>
      <c r="R27">
        <v>5.2</v>
      </c>
      <c r="S27">
        <v>5.5</v>
      </c>
      <c r="T27">
        <v>175</v>
      </c>
      <c r="U27">
        <v>159.5</v>
      </c>
      <c r="V27">
        <f t="shared" si="3"/>
        <v>1.6610369145756171E-3</v>
      </c>
      <c r="Z27">
        <v>5</v>
      </c>
    </row>
    <row r="28" spans="1:50" x14ac:dyDescent="0.2">
      <c r="I28" t="s">
        <v>601</v>
      </c>
      <c r="J28" s="33">
        <v>-1569</v>
      </c>
      <c r="K28">
        <v>206.3</v>
      </c>
      <c r="L28">
        <v>4.9000000000000004</v>
      </c>
      <c r="M28" s="4" t="s">
        <v>1558</v>
      </c>
      <c r="O28" s="139">
        <f t="shared" si="0"/>
        <v>-2.5116000000000005</v>
      </c>
      <c r="P28" s="139"/>
      <c r="Q28">
        <f t="shared" si="1"/>
        <v>6.3518352919969285E-4</v>
      </c>
      <c r="R28">
        <v>5.5</v>
      </c>
      <c r="S28">
        <v>5.9</v>
      </c>
      <c r="T28">
        <v>190.4</v>
      </c>
      <c r="U28">
        <v>173.6</v>
      </c>
      <c r="V28">
        <f t="shared" si="3"/>
        <v>6.3518352919969285E-4</v>
      </c>
      <c r="Z28">
        <v>5.3</v>
      </c>
      <c r="AM28" s="4"/>
      <c r="AO28" s="4" t="s">
        <v>1688</v>
      </c>
      <c r="AP28" s="4"/>
      <c r="AQ28" s="4"/>
      <c r="AR28" s="4"/>
      <c r="AS28" s="4"/>
      <c r="AT28" s="4"/>
      <c r="AU28" s="4"/>
      <c r="AV28" s="4"/>
    </row>
    <row r="29" spans="1:50" x14ac:dyDescent="0.2">
      <c r="AF29" s="338"/>
      <c r="AG29" s="338" t="s">
        <v>1686</v>
      </c>
      <c r="AI29" s="4" t="s">
        <v>1687</v>
      </c>
      <c r="AN29" s="4" t="s">
        <v>1738</v>
      </c>
      <c r="AO29" s="4" t="s">
        <v>1737</v>
      </c>
      <c r="AR29" s="4"/>
      <c r="AS29" s="4"/>
      <c r="AT29" s="4"/>
      <c r="AU29" s="4"/>
      <c r="AV29" s="4"/>
      <c r="AW29" s="4"/>
      <c r="AX29" s="4"/>
    </row>
    <row r="30" spans="1:50" x14ac:dyDescent="0.2">
      <c r="L30" s="4" t="s">
        <v>1023</v>
      </c>
      <c r="M30" s="4"/>
      <c r="N30" s="4" t="s">
        <v>1022</v>
      </c>
      <c r="W30" s="4" t="s">
        <v>1598</v>
      </c>
      <c r="X30" s="4" t="s">
        <v>1547</v>
      </c>
      <c r="Y30" s="4" t="s">
        <v>1595</v>
      </c>
      <c r="Z30" s="4" t="s">
        <v>1594</v>
      </c>
      <c r="AA30" s="4" t="s">
        <v>1596</v>
      </c>
      <c r="AF30" s="4"/>
      <c r="AG30" s="4" t="s">
        <v>964</v>
      </c>
      <c r="AH30" s="4" t="s">
        <v>1685</v>
      </c>
      <c r="AI30" t="s">
        <v>1680</v>
      </c>
    </row>
    <row r="31" spans="1:50" x14ac:dyDescent="0.2">
      <c r="A31" s="170" t="s">
        <v>954</v>
      </c>
      <c r="B31" s="4" t="s">
        <v>950</v>
      </c>
      <c r="H31">
        <v>-1700</v>
      </c>
      <c r="I31" t="s">
        <v>975</v>
      </c>
      <c r="J31">
        <v>-1700</v>
      </c>
      <c r="K31">
        <v>223.1</v>
      </c>
      <c r="L31">
        <v>4.7</v>
      </c>
      <c r="M31" s="4" t="s">
        <v>1558</v>
      </c>
      <c r="N31">
        <v>4.7</v>
      </c>
      <c r="O31">
        <v>-1.9</v>
      </c>
      <c r="P31" s="4" t="s">
        <v>855</v>
      </c>
      <c r="Q31">
        <f t="shared" ref="Q31:Q77" si="4">10^O31*K31/1000</f>
        <v>2.8086625937127851E-3</v>
      </c>
      <c r="R31">
        <v>5.3</v>
      </c>
      <c r="S31">
        <v>6.2</v>
      </c>
      <c r="T31">
        <v>188.6</v>
      </c>
      <c r="U31">
        <v>156.9</v>
      </c>
      <c r="V31">
        <f t="shared" ref="V31:V49" si="5">K31*10^O31/1000</f>
        <v>2.8086625937127851E-3</v>
      </c>
      <c r="Y31">
        <v>4.2</v>
      </c>
      <c r="AD31" s="4" t="s">
        <v>1692</v>
      </c>
      <c r="AG31">
        <v>223.1</v>
      </c>
      <c r="AH31" s="337">
        <v>176.4</v>
      </c>
      <c r="AI31">
        <v>-12.53</v>
      </c>
      <c r="AN31">
        <f>0.0145*T31+10.1</f>
        <v>12.8347</v>
      </c>
      <c r="AO31" s="139">
        <f>0.0145*AH31+10.1</f>
        <v>12.6578</v>
      </c>
      <c r="AP31" s="4"/>
      <c r="AS31" s="4"/>
    </row>
    <row r="32" spans="1:50" x14ac:dyDescent="0.2">
      <c r="H32">
        <v>-1701</v>
      </c>
      <c r="I32" t="s">
        <v>976</v>
      </c>
      <c r="J32">
        <v>-1701</v>
      </c>
      <c r="K32">
        <v>223.1</v>
      </c>
      <c r="L32">
        <v>5.0999999999999996</v>
      </c>
      <c r="N32">
        <v>5.0999999999999996</v>
      </c>
      <c r="O32">
        <v>-2.2000000000000002</v>
      </c>
      <c r="Q32">
        <f t="shared" si="4"/>
        <v>1.4076658355353096E-3</v>
      </c>
      <c r="R32">
        <v>5.8</v>
      </c>
      <c r="S32">
        <v>6.2</v>
      </c>
      <c r="T32">
        <v>188.1</v>
      </c>
      <c r="U32">
        <v>156.9</v>
      </c>
      <c r="V32">
        <f t="shared" si="5"/>
        <v>1.4076658355353096E-3</v>
      </c>
      <c r="AA32">
        <v>4.5999999999999996</v>
      </c>
      <c r="AO32" s="139"/>
    </row>
    <row r="33" spans="1:42" x14ac:dyDescent="0.2">
      <c r="A33" s="170" t="s">
        <v>955</v>
      </c>
      <c r="B33" s="4" t="s">
        <v>950</v>
      </c>
      <c r="H33">
        <v>-1702</v>
      </c>
      <c r="I33" t="s">
        <v>977</v>
      </c>
      <c r="J33">
        <v>-1702</v>
      </c>
      <c r="K33">
        <v>223.1</v>
      </c>
      <c r="L33">
        <v>4.9000000000000004</v>
      </c>
      <c r="M33" s="4" t="s">
        <v>1558</v>
      </c>
      <c r="N33">
        <v>4.8</v>
      </c>
      <c r="O33">
        <v>-2.1</v>
      </c>
      <c r="P33" s="4" t="s">
        <v>855</v>
      </c>
      <c r="Q33">
        <f t="shared" si="4"/>
        <v>1.7721462916698715E-3</v>
      </c>
      <c r="R33">
        <v>5.5</v>
      </c>
      <c r="S33">
        <v>6.9</v>
      </c>
      <c r="T33">
        <v>200.2</v>
      </c>
      <c r="U33">
        <v>156.9</v>
      </c>
      <c r="V33">
        <f t="shared" si="5"/>
        <v>1.7721462916698715E-3</v>
      </c>
      <c r="Y33">
        <v>4.2</v>
      </c>
      <c r="AO33" s="139"/>
      <c r="AP33" s="4"/>
    </row>
    <row r="34" spans="1:42" x14ac:dyDescent="0.2">
      <c r="H34">
        <v>-1703</v>
      </c>
      <c r="I34" t="s">
        <v>978</v>
      </c>
      <c r="J34">
        <v>-1703</v>
      </c>
      <c r="K34">
        <v>223.1</v>
      </c>
      <c r="L34">
        <v>5.3</v>
      </c>
      <c r="M34" s="4" t="s">
        <v>1558</v>
      </c>
      <c r="N34">
        <v>5.3</v>
      </c>
      <c r="O34">
        <v>-2.6</v>
      </c>
      <c r="P34" s="4" t="s">
        <v>855</v>
      </c>
      <c r="Q34">
        <f t="shared" si="4"/>
        <v>5.6040186286978677E-4</v>
      </c>
      <c r="R34">
        <v>6</v>
      </c>
      <c r="S34">
        <v>6.8</v>
      </c>
      <c r="T34">
        <v>200.8</v>
      </c>
      <c r="U34">
        <v>156.9</v>
      </c>
      <c r="V34">
        <f t="shared" si="5"/>
        <v>5.6040186286978677E-4</v>
      </c>
      <c r="Y34">
        <v>5</v>
      </c>
      <c r="AD34" s="4" t="s">
        <v>1693</v>
      </c>
      <c r="AG34">
        <v>223.1</v>
      </c>
      <c r="AH34" s="337">
        <v>175.1</v>
      </c>
      <c r="AI34">
        <v>-12.42</v>
      </c>
      <c r="AN34">
        <f>0.0145*T34+10.1</f>
        <v>13.0116</v>
      </c>
      <c r="AO34" s="139">
        <f>0.0145*AH34+10.1</f>
        <v>12.638949999999999</v>
      </c>
      <c r="AP34" s="4"/>
    </row>
    <row r="35" spans="1:42" x14ac:dyDescent="0.2">
      <c r="H35">
        <v>-1581</v>
      </c>
      <c r="I35" s="4" t="s">
        <v>1088</v>
      </c>
      <c r="J35" s="94">
        <v>-1581</v>
      </c>
      <c r="K35">
        <v>257.5</v>
      </c>
      <c r="L35">
        <v>5.3</v>
      </c>
      <c r="M35" s="4" t="s">
        <v>1558</v>
      </c>
      <c r="N35">
        <v>5.2</v>
      </c>
      <c r="O35">
        <v>-2.5</v>
      </c>
      <c r="P35" s="4" t="s">
        <v>855</v>
      </c>
      <c r="Q35">
        <f t="shared" si="4"/>
        <v>8.1428649749335695E-4</v>
      </c>
      <c r="R35">
        <v>6</v>
      </c>
      <c r="S35">
        <v>6.8</v>
      </c>
      <c r="T35">
        <v>199.4</v>
      </c>
      <c r="U35">
        <v>169.1</v>
      </c>
      <c r="V35">
        <f t="shared" si="5"/>
        <v>8.1428649749335695E-4</v>
      </c>
      <c r="Y35">
        <v>4.9000000000000004</v>
      </c>
      <c r="Z35">
        <v>4.9000000000000004</v>
      </c>
      <c r="AA35">
        <v>4.7</v>
      </c>
      <c r="AD35" s="4" t="s">
        <v>1694</v>
      </c>
      <c r="AG35">
        <v>257.5</v>
      </c>
      <c r="AH35" s="337">
        <v>188.6</v>
      </c>
      <c r="AI35">
        <v>-12.68</v>
      </c>
      <c r="AN35">
        <f>0.0145*T35+10.1</f>
        <v>12.991299999999999</v>
      </c>
      <c r="AO35" s="139">
        <f>0.0145*AH35+10.1</f>
        <v>12.8347</v>
      </c>
      <c r="AP35" s="4"/>
    </row>
    <row r="36" spans="1:42" x14ac:dyDescent="0.2">
      <c r="A36" s="170" t="s">
        <v>956</v>
      </c>
      <c r="B36" s="4" t="s">
        <v>950</v>
      </c>
      <c r="H36">
        <v>-1705</v>
      </c>
      <c r="I36" t="s">
        <v>980</v>
      </c>
      <c r="J36">
        <v>-1705</v>
      </c>
      <c r="K36">
        <v>257.5</v>
      </c>
      <c r="L36">
        <v>5.6</v>
      </c>
      <c r="M36" s="4" t="s">
        <v>1558</v>
      </c>
      <c r="N36">
        <v>5.5</v>
      </c>
      <c r="O36">
        <v>-2.9</v>
      </c>
      <c r="P36" s="4" t="s">
        <v>855</v>
      </c>
      <c r="Q36">
        <f t="shared" si="4"/>
        <v>3.241732935369978E-4</v>
      </c>
      <c r="R36">
        <v>6.3</v>
      </c>
      <c r="S36">
        <v>7.6</v>
      </c>
      <c r="T36">
        <v>212.5</v>
      </c>
      <c r="U36">
        <v>169.1</v>
      </c>
      <c r="V36">
        <f t="shared" si="5"/>
        <v>3.241732935369978E-4</v>
      </c>
      <c r="Y36">
        <v>5.0999999999999996</v>
      </c>
      <c r="AO36" s="139"/>
    </row>
    <row r="37" spans="1:42" x14ac:dyDescent="0.2">
      <c r="H37">
        <v>-1706</v>
      </c>
      <c r="I37" t="s">
        <v>981</v>
      </c>
      <c r="J37">
        <v>-1706</v>
      </c>
      <c r="K37">
        <v>257.5</v>
      </c>
      <c r="L37">
        <v>5.6</v>
      </c>
      <c r="N37">
        <v>5.7</v>
      </c>
      <c r="O37">
        <v>-3.1</v>
      </c>
      <c r="Q37">
        <f t="shared" si="4"/>
        <v>2.0453952044150237E-4</v>
      </c>
      <c r="R37">
        <v>6.4</v>
      </c>
      <c r="S37">
        <v>7.5</v>
      </c>
      <c r="T37">
        <v>212.4</v>
      </c>
      <c r="U37">
        <v>169.1</v>
      </c>
      <c r="V37">
        <f t="shared" si="5"/>
        <v>2.0453952044150237E-4</v>
      </c>
      <c r="W37">
        <v>5.5</v>
      </c>
      <c r="Y37">
        <v>5.4</v>
      </c>
      <c r="Z37">
        <v>5.4</v>
      </c>
      <c r="AA37">
        <v>5.9</v>
      </c>
      <c r="AD37" t="s">
        <v>1695</v>
      </c>
      <c r="AG37">
        <v>257.5</v>
      </c>
      <c r="AH37" s="337">
        <v>188.1</v>
      </c>
      <c r="AI37">
        <v>-12.51</v>
      </c>
      <c r="AN37">
        <f t="shared" ref="AN37:AN45" si="6">0.0145*T37+10.1</f>
        <v>13.1798</v>
      </c>
      <c r="AO37" s="139">
        <f t="shared" ref="AO37:AO45" si="7">0.0145*AH37+10.1</f>
        <v>12.827449999999999</v>
      </c>
    </row>
    <row r="38" spans="1:42" x14ac:dyDescent="0.2">
      <c r="A38" s="4" t="s">
        <v>957</v>
      </c>
      <c r="B38" s="4" t="s">
        <v>958</v>
      </c>
      <c r="H38">
        <v>-1587</v>
      </c>
      <c r="I38" s="4" t="s">
        <v>1094</v>
      </c>
      <c r="J38" s="148">
        <v>-1587</v>
      </c>
      <c r="K38">
        <v>257.5</v>
      </c>
      <c r="L38">
        <v>5.7</v>
      </c>
      <c r="M38" s="4" t="s">
        <v>1558</v>
      </c>
      <c r="N38">
        <v>5.6</v>
      </c>
      <c r="O38">
        <v>-2.9</v>
      </c>
      <c r="Q38">
        <f t="shared" si="4"/>
        <v>3.241732935369978E-4</v>
      </c>
      <c r="R38">
        <v>6.4</v>
      </c>
      <c r="S38">
        <v>7.6</v>
      </c>
      <c r="T38">
        <v>210.4</v>
      </c>
      <c r="U38">
        <v>169.1</v>
      </c>
      <c r="V38">
        <f t="shared" si="5"/>
        <v>3.241732935369978E-4</v>
      </c>
      <c r="X38">
        <v>5.0999999999999996</v>
      </c>
      <c r="Y38">
        <v>5.3</v>
      </c>
      <c r="AD38" t="s">
        <v>1696</v>
      </c>
      <c r="AG38">
        <v>257.5</v>
      </c>
      <c r="AH38" s="337">
        <v>188.1</v>
      </c>
      <c r="AI38">
        <v>-12.56</v>
      </c>
      <c r="AN38">
        <f t="shared" si="6"/>
        <v>13.1508</v>
      </c>
      <c r="AO38" s="139">
        <f t="shared" si="7"/>
        <v>12.827449999999999</v>
      </c>
    </row>
    <row r="39" spans="1:42" x14ac:dyDescent="0.2">
      <c r="H39">
        <v>-1708</v>
      </c>
      <c r="I39" t="s">
        <v>983</v>
      </c>
      <c r="J39">
        <v>-1708</v>
      </c>
      <c r="K39">
        <v>257.5</v>
      </c>
      <c r="L39">
        <v>5.5</v>
      </c>
      <c r="N39">
        <v>5.4</v>
      </c>
      <c r="O39">
        <v>-2.8</v>
      </c>
      <c r="P39" s="4" t="s">
        <v>855</v>
      </c>
      <c r="Q39">
        <f t="shared" si="4"/>
        <v>4.0810999705873666E-4</v>
      </c>
      <c r="R39">
        <v>6.2</v>
      </c>
      <c r="S39">
        <v>7.6</v>
      </c>
      <c r="T39">
        <v>210.1</v>
      </c>
      <c r="U39">
        <v>169.1</v>
      </c>
      <c r="V39">
        <f t="shared" si="5"/>
        <v>4.0810999705873666E-4</v>
      </c>
      <c r="Y39">
        <v>5.0999999999999996</v>
      </c>
      <c r="AD39" t="s">
        <v>1697</v>
      </c>
      <c r="AG39">
        <v>257.5</v>
      </c>
      <c r="AH39" s="337">
        <v>187.6</v>
      </c>
      <c r="AI39">
        <v>-12.64</v>
      </c>
      <c r="AN39">
        <f t="shared" si="6"/>
        <v>13.14645</v>
      </c>
      <c r="AO39" s="139">
        <f t="shared" si="7"/>
        <v>12.8202</v>
      </c>
      <c r="AP39" s="4"/>
    </row>
    <row r="40" spans="1:42" x14ac:dyDescent="0.2">
      <c r="H40">
        <v>-1709</v>
      </c>
      <c r="I40" t="s">
        <v>984</v>
      </c>
      <c r="J40">
        <v>-1709</v>
      </c>
      <c r="K40">
        <v>257.5</v>
      </c>
      <c r="L40">
        <v>5.8</v>
      </c>
      <c r="N40">
        <v>5.7</v>
      </c>
      <c r="O40">
        <v>-3.1</v>
      </c>
      <c r="Q40">
        <f t="shared" si="4"/>
        <v>2.0453952044150237E-4</v>
      </c>
      <c r="R40">
        <v>6.6</v>
      </c>
      <c r="S40">
        <v>7.5</v>
      </c>
      <c r="T40">
        <v>210.9</v>
      </c>
      <c r="U40">
        <v>169.1</v>
      </c>
      <c r="V40">
        <f t="shared" si="5"/>
        <v>2.0453952044150237E-4</v>
      </c>
      <c r="Y40">
        <v>5.3</v>
      </c>
      <c r="AD40" t="s">
        <v>1698</v>
      </c>
      <c r="AG40">
        <v>257.5</v>
      </c>
      <c r="AH40" s="337">
        <v>187.9</v>
      </c>
      <c r="AI40">
        <v>-12.57</v>
      </c>
      <c r="AN40">
        <f t="shared" si="6"/>
        <v>13.158049999999999</v>
      </c>
      <c r="AO40" s="139">
        <f t="shared" si="7"/>
        <v>12.82455</v>
      </c>
      <c r="AP40" s="4"/>
    </row>
    <row r="41" spans="1:42" x14ac:dyDescent="0.2">
      <c r="H41">
        <v>-1594</v>
      </c>
      <c r="I41" s="4" t="s">
        <v>1101</v>
      </c>
      <c r="J41" s="148">
        <v>-1594</v>
      </c>
      <c r="K41">
        <v>292</v>
      </c>
      <c r="L41">
        <v>5.8</v>
      </c>
      <c r="M41" s="4" t="s">
        <v>1558</v>
      </c>
      <c r="N41">
        <v>5.8</v>
      </c>
      <c r="O41">
        <v>-3.1</v>
      </c>
      <c r="P41" s="4" t="s">
        <v>855</v>
      </c>
      <c r="Q41">
        <f t="shared" si="4"/>
        <v>2.3194384453949004E-4</v>
      </c>
      <c r="R41">
        <v>6.6</v>
      </c>
      <c r="S41">
        <v>8.5</v>
      </c>
      <c r="T41">
        <v>223.1</v>
      </c>
      <c r="U41">
        <v>181.4</v>
      </c>
      <c r="V41">
        <f t="shared" si="5"/>
        <v>2.3194384453949004E-4</v>
      </c>
      <c r="Y41">
        <v>5.5</v>
      </c>
      <c r="Z41">
        <v>5.5</v>
      </c>
      <c r="AA41">
        <v>5.5</v>
      </c>
      <c r="AD41" t="s">
        <v>1699</v>
      </c>
      <c r="AG41">
        <v>292</v>
      </c>
      <c r="AH41" s="337">
        <v>200.2</v>
      </c>
      <c r="AI41">
        <v>-12.86</v>
      </c>
      <c r="AN41">
        <f t="shared" si="6"/>
        <v>13.334949999999999</v>
      </c>
      <c r="AO41" s="139">
        <f t="shared" si="7"/>
        <v>13.0029</v>
      </c>
      <c r="AP41" s="4"/>
    </row>
    <row r="42" spans="1:42" x14ac:dyDescent="0.2">
      <c r="H42">
        <v>-1711</v>
      </c>
      <c r="I42" t="s">
        <v>986</v>
      </c>
      <c r="J42">
        <v>-1711</v>
      </c>
      <c r="K42">
        <v>292</v>
      </c>
      <c r="L42">
        <v>5.9</v>
      </c>
      <c r="M42" s="4" t="s">
        <v>1558</v>
      </c>
      <c r="N42">
        <v>5.9</v>
      </c>
      <c r="O42">
        <v>-3.3</v>
      </c>
      <c r="P42" s="4" t="s">
        <v>855</v>
      </c>
      <c r="Q42">
        <f t="shared" si="4"/>
        <v>1.4634667221916344E-4</v>
      </c>
      <c r="R42">
        <v>6.7</v>
      </c>
      <c r="S42">
        <v>8.4</v>
      </c>
      <c r="T42">
        <v>223.5</v>
      </c>
      <c r="U42">
        <v>181.4</v>
      </c>
      <c r="V42">
        <f t="shared" si="5"/>
        <v>1.4634667221916344E-4</v>
      </c>
      <c r="Y42">
        <v>5.6</v>
      </c>
      <c r="AD42" t="s">
        <v>1700</v>
      </c>
      <c r="AG42">
        <v>292</v>
      </c>
      <c r="AH42" s="337">
        <v>201.1</v>
      </c>
      <c r="AI42">
        <v>-12.84</v>
      </c>
      <c r="AN42">
        <f t="shared" si="6"/>
        <v>13.34075</v>
      </c>
      <c r="AO42" s="139">
        <f t="shared" si="7"/>
        <v>13.01595</v>
      </c>
    </row>
    <row r="43" spans="1:42" x14ac:dyDescent="0.2">
      <c r="H43">
        <v>-1712</v>
      </c>
      <c r="I43" t="s">
        <v>987</v>
      </c>
      <c r="J43">
        <v>-1712</v>
      </c>
      <c r="K43">
        <v>292</v>
      </c>
      <c r="L43">
        <v>5.9</v>
      </c>
      <c r="M43" s="4" t="s">
        <v>1558</v>
      </c>
      <c r="N43">
        <v>5.9</v>
      </c>
      <c r="O43">
        <v>-3.3</v>
      </c>
      <c r="P43" s="4" t="s">
        <v>855</v>
      </c>
      <c r="Q43">
        <f t="shared" si="4"/>
        <v>1.4634667221916344E-4</v>
      </c>
      <c r="R43">
        <v>6.7</v>
      </c>
      <c r="S43">
        <v>8.3000000000000007</v>
      </c>
      <c r="T43">
        <v>224</v>
      </c>
      <c r="U43">
        <v>181.4</v>
      </c>
      <c r="V43">
        <f t="shared" si="5"/>
        <v>1.4634667221916344E-4</v>
      </c>
      <c r="Y43">
        <v>5.7</v>
      </c>
      <c r="AD43" t="s">
        <v>1701</v>
      </c>
      <c r="AG43">
        <v>292</v>
      </c>
      <c r="AH43" s="337">
        <v>201</v>
      </c>
      <c r="AI43">
        <v>-12.85</v>
      </c>
      <c r="AN43">
        <f t="shared" si="6"/>
        <v>13.347999999999999</v>
      </c>
      <c r="AO43" s="139">
        <f t="shared" si="7"/>
        <v>13.0145</v>
      </c>
      <c r="AP43" s="4"/>
    </row>
    <row r="44" spans="1:42" x14ac:dyDescent="0.2">
      <c r="H44">
        <v>-1713</v>
      </c>
      <c r="I44" t="s">
        <v>988</v>
      </c>
      <c r="J44">
        <v>-1713</v>
      </c>
      <c r="K44">
        <v>292</v>
      </c>
      <c r="L44">
        <v>5.7</v>
      </c>
      <c r="M44" s="4" t="s">
        <v>1558</v>
      </c>
      <c r="N44">
        <v>5.6</v>
      </c>
      <c r="O44">
        <v>-3</v>
      </c>
      <c r="P44" s="4" t="s">
        <v>855</v>
      </c>
      <c r="Q44">
        <f t="shared" si="4"/>
        <v>2.92E-4</v>
      </c>
      <c r="R44">
        <v>6.5</v>
      </c>
      <c r="S44">
        <v>9.1999999999999993</v>
      </c>
      <c r="T44">
        <v>235.4</v>
      </c>
      <c r="U44">
        <v>181.4</v>
      </c>
      <c r="V44">
        <f t="shared" si="5"/>
        <v>2.92E-4</v>
      </c>
      <c r="Y44">
        <v>5.5</v>
      </c>
      <c r="AD44" t="s">
        <v>1702</v>
      </c>
      <c r="AG44">
        <v>292</v>
      </c>
      <c r="AH44" s="337">
        <v>200.3</v>
      </c>
      <c r="AI44">
        <v>-12.91</v>
      </c>
      <c r="AN44">
        <f t="shared" si="6"/>
        <v>13.513300000000001</v>
      </c>
      <c r="AO44" s="139">
        <f t="shared" si="7"/>
        <v>13.004350000000001</v>
      </c>
      <c r="AP44" s="4"/>
    </row>
    <row r="45" spans="1:42" x14ac:dyDescent="0.2">
      <c r="H45">
        <v>-1714</v>
      </c>
      <c r="I45" t="s">
        <v>989</v>
      </c>
      <c r="J45">
        <v>-1714</v>
      </c>
      <c r="K45">
        <v>292</v>
      </c>
      <c r="L45">
        <v>5.9</v>
      </c>
      <c r="N45">
        <v>5.8</v>
      </c>
      <c r="O45">
        <v>-3.4</v>
      </c>
      <c r="Q45">
        <f t="shared" si="4"/>
        <v>1.1624729380162115E-4</v>
      </c>
      <c r="R45">
        <v>6.8</v>
      </c>
      <c r="S45">
        <v>6.2</v>
      </c>
      <c r="T45">
        <v>188.1</v>
      </c>
      <c r="U45">
        <v>181.4</v>
      </c>
      <c r="V45">
        <f t="shared" si="5"/>
        <v>1.1624729380162115E-4</v>
      </c>
      <c r="W45">
        <v>5.5</v>
      </c>
      <c r="X45">
        <v>5.4</v>
      </c>
      <c r="Y45">
        <v>5.6</v>
      </c>
      <c r="Z45">
        <v>5.5</v>
      </c>
      <c r="AA45">
        <v>5.5</v>
      </c>
      <c r="AD45" t="s">
        <v>1703</v>
      </c>
      <c r="AG45">
        <v>292</v>
      </c>
      <c r="AH45" s="337">
        <v>200.8</v>
      </c>
      <c r="AI45">
        <v>-12.88</v>
      </c>
      <c r="AN45">
        <f t="shared" si="6"/>
        <v>12.827449999999999</v>
      </c>
      <c r="AO45" s="139">
        <f t="shared" si="7"/>
        <v>13.0116</v>
      </c>
      <c r="AP45" s="4"/>
    </row>
    <row r="46" spans="1:42" x14ac:dyDescent="0.2">
      <c r="H46">
        <v>-1715</v>
      </c>
      <c r="I46" t="s">
        <v>990</v>
      </c>
      <c r="J46">
        <v>-1715</v>
      </c>
      <c r="K46">
        <v>292</v>
      </c>
      <c r="L46">
        <v>6.2</v>
      </c>
      <c r="M46" s="4" t="s">
        <v>1558</v>
      </c>
      <c r="N46">
        <v>6.1</v>
      </c>
      <c r="O46">
        <v>-3.6</v>
      </c>
      <c r="P46" s="4" t="s">
        <v>855</v>
      </c>
      <c r="Q46">
        <f t="shared" si="4"/>
        <v>7.3347083800079669E-5</v>
      </c>
      <c r="R46">
        <v>7.1</v>
      </c>
      <c r="S46">
        <v>6.8</v>
      </c>
      <c r="T46">
        <v>200.8</v>
      </c>
      <c r="U46">
        <v>181.4</v>
      </c>
      <c r="V46">
        <f t="shared" si="5"/>
        <v>7.3347083800079669E-5</v>
      </c>
      <c r="Y46">
        <v>5.8</v>
      </c>
      <c r="AP46" s="4"/>
    </row>
    <row r="47" spans="1:42" x14ac:dyDescent="0.2">
      <c r="H47">
        <v>-1598</v>
      </c>
      <c r="I47" s="4" t="s">
        <v>1105</v>
      </c>
      <c r="J47" s="148">
        <v>-1598</v>
      </c>
      <c r="K47">
        <v>292</v>
      </c>
      <c r="L47">
        <v>6.2</v>
      </c>
      <c r="M47" s="4" t="s">
        <v>1558</v>
      </c>
      <c r="N47">
        <v>6.1</v>
      </c>
      <c r="O47">
        <v>-3.6</v>
      </c>
      <c r="P47" s="4" t="s">
        <v>855</v>
      </c>
      <c r="Q47">
        <f t="shared" si="4"/>
        <v>7.3347083800079669E-5</v>
      </c>
      <c r="R47">
        <v>7.1</v>
      </c>
      <c r="S47">
        <v>7.5</v>
      </c>
      <c r="T47">
        <v>210.9</v>
      </c>
      <c r="U47">
        <v>181.4</v>
      </c>
      <c r="V47">
        <f t="shared" si="5"/>
        <v>7.3347083800079669E-5</v>
      </c>
      <c r="Y47">
        <v>5.9</v>
      </c>
      <c r="AD47" t="s">
        <v>1704</v>
      </c>
      <c r="AG47">
        <v>292</v>
      </c>
      <c r="AH47" s="337">
        <v>198.6</v>
      </c>
      <c r="AI47">
        <v>-12.81</v>
      </c>
      <c r="AP47" s="4"/>
    </row>
    <row r="48" spans="1:42" x14ac:dyDescent="0.2">
      <c r="H48">
        <v>-1717</v>
      </c>
      <c r="I48" t="s">
        <v>992</v>
      </c>
      <c r="J48">
        <v>-1717</v>
      </c>
      <c r="K48">
        <v>292</v>
      </c>
      <c r="L48">
        <v>6.3</v>
      </c>
      <c r="M48" s="4" t="s">
        <v>1558</v>
      </c>
      <c r="N48">
        <v>6.2</v>
      </c>
      <c r="O48">
        <v>-3.7</v>
      </c>
      <c r="P48" s="4" t="s">
        <v>855</v>
      </c>
      <c r="Q48">
        <f t="shared" si="4"/>
        <v>5.8261659597091176E-5</v>
      </c>
      <c r="R48">
        <v>7.2</v>
      </c>
      <c r="S48">
        <v>5.6</v>
      </c>
      <c r="T48">
        <v>176.4</v>
      </c>
      <c r="U48">
        <v>181.4</v>
      </c>
      <c r="V48">
        <f t="shared" si="5"/>
        <v>5.8261659597091176E-5</v>
      </c>
      <c r="Y48">
        <v>6</v>
      </c>
      <c r="Z48">
        <v>5.9</v>
      </c>
      <c r="AA48">
        <v>6.5</v>
      </c>
      <c r="AD48" t="s">
        <v>1705</v>
      </c>
      <c r="AG48">
        <v>292</v>
      </c>
      <c r="AH48" s="337">
        <v>199.4</v>
      </c>
      <c r="AI48">
        <v>-12.75</v>
      </c>
      <c r="AP48" s="4"/>
    </row>
    <row r="49" spans="8:42" x14ac:dyDescent="0.2">
      <c r="H49">
        <v>-1602</v>
      </c>
      <c r="I49" s="4" t="s">
        <v>1109</v>
      </c>
      <c r="J49" s="148">
        <v>-1602</v>
      </c>
      <c r="K49">
        <v>292</v>
      </c>
      <c r="L49">
        <v>6.1</v>
      </c>
      <c r="M49" s="4" t="s">
        <v>1558</v>
      </c>
      <c r="N49">
        <v>6</v>
      </c>
      <c r="O49">
        <v>-3.5</v>
      </c>
      <c r="P49" s="4" t="s">
        <v>855</v>
      </c>
      <c r="Q49">
        <f t="shared" si="4"/>
        <v>9.2338507676916642E-5</v>
      </c>
      <c r="R49">
        <v>7</v>
      </c>
      <c r="S49">
        <v>5.7</v>
      </c>
      <c r="T49">
        <v>175.1</v>
      </c>
      <c r="U49">
        <v>181.4</v>
      </c>
      <c r="V49">
        <f t="shared" si="5"/>
        <v>9.2338507676916642E-5</v>
      </c>
      <c r="X49">
        <v>5.6</v>
      </c>
      <c r="AP49" s="4"/>
    </row>
    <row r="50" spans="8:42" x14ac:dyDescent="0.2">
      <c r="H50">
        <v>-1604</v>
      </c>
      <c r="I50" s="4" t="s">
        <v>1111</v>
      </c>
      <c r="J50">
        <v>-1604</v>
      </c>
      <c r="K50">
        <v>292</v>
      </c>
      <c r="M50" s="4"/>
      <c r="P50" s="4"/>
      <c r="AD50" s="4" t="s">
        <v>1706</v>
      </c>
      <c r="AG50">
        <v>292</v>
      </c>
      <c r="AH50" s="337">
        <v>199.5</v>
      </c>
      <c r="AI50">
        <v>-12.91</v>
      </c>
      <c r="AP50" s="4"/>
    </row>
    <row r="51" spans="8:42" x14ac:dyDescent="0.2">
      <c r="H51">
        <v>-1719</v>
      </c>
      <c r="I51" t="s">
        <v>994</v>
      </c>
      <c r="J51">
        <v>-1719</v>
      </c>
      <c r="K51">
        <v>292</v>
      </c>
      <c r="L51">
        <v>6.4</v>
      </c>
      <c r="M51" s="4" t="s">
        <v>1558</v>
      </c>
      <c r="N51">
        <v>6.4</v>
      </c>
      <c r="O51">
        <v>-3.9</v>
      </c>
      <c r="P51" s="4" t="s">
        <v>855</v>
      </c>
      <c r="Q51">
        <f t="shared" si="4"/>
        <v>3.6760622024389685E-5</v>
      </c>
      <c r="R51">
        <v>7.4</v>
      </c>
      <c r="S51">
        <v>5.7</v>
      </c>
      <c r="T51">
        <v>175.1</v>
      </c>
      <c r="U51">
        <v>181.4</v>
      </c>
      <c r="V51">
        <f t="shared" ref="V51:V75" si="8">K51*10^O51/1000</f>
        <v>3.6760622024389685E-5</v>
      </c>
      <c r="Y51">
        <v>6</v>
      </c>
      <c r="AP51" s="4"/>
    </row>
    <row r="52" spans="8:42" x14ac:dyDescent="0.2">
      <c r="H52">
        <v>-1609</v>
      </c>
      <c r="I52" s="4" t="s">
        <v>1116</v>
      </c>
      <c r="J52" s="148">
        <v>-1609</v>
      </c>
      <c r="K52">
        <v>326.39999999999998</v>
      </c>
      <c r="L52">
        <v>6.4</v>
      </c>
      <c r="M52" s="4" t="s">
        <v>1558</v>
      </c>
      <c r="N52">
        <v>6.3</v>
      </c>
      <c r="O52">
        <v>-3.8</v>
      </c>
      <c r="P52" s="4" t="s">
        <v>855</v>
      </c>
      <c r="Q52">
        <f t="shared" si="4"/>
        <v>5.1730913801930691E-5</v>
      </c>
      <c r="R52">
        <v>7.3</v>
      </c>
      <c r="S52">
        <v>6.2</v>
      </c>
      <c r="T52">
        <v>188.6</v>
      </c>
      <c r="U52">
        <v>193.6</v>
      </c>
      <c r="V52">
        <f t="shared" si="8"/>
        <v>5.1730913801930691E-5</v>
      </c>
      <c r="Y52">
        <v>6.1</v>
      </c>
      <c r="AD52" t="s">
        <v>1707</v>
      </c>
      <c r="AG52">
        <v>326.39999999999998</v>
      </c>
      <c r="AH52" s="337">
        <v>212.1</v>
      </c>
      <c r="AI52">
        <v>-12.99</v>
      </c>
      <c r="AP52" s="4"/>
    </row>
    <row r="53" spans="8:42" x14ac:dyDescent="0.2">
      <c r="H53">
        <v>-1610</v>
      </c>
      <c r="I53" s="4" t="s">
        <v>1117</v>
      </c>
      <c r="J53" s="148">
        <v>-1610</v>
      </c>
      <c r="K53">
        <v>326.39999999999998</v>
      </c>
      <c r="L53">
        <v>6.4</v>
      </c>
      <c r="M53" s="4" t="s">
        <v>1558</v>
      </c>
      <c r="N53">
        <v>6.3</v>
      </c>
      <c r="O53">
        <v>-3.8</v>
      </c>
      <c r="P53" s="4" t="s">
        <v>855</v>
      </c>
      <c r="Q53">
        <f t="shared" si="4"/>
        <v>5.1730913801930691E-5</v>
      </c>
      <c r="R53">
        <v>7.3</v>
      </c>
      <c r="S53">
        <v>6.4</v>
      </c>
      <c r="T53">
        <v>186.9</v>
      </c>
      <c r="U53">
        <v>193.6</v>
      </c>
      <c r="V53">
        <f t="shared" si="8"/>
        <v>5.1730913801930691E-5</v>
      </c>
      <c r="Y53">
        <v>6.2</v>
      </c>
      <c r="AD53" t="s">
        <v>1708</v>
      </c>
      <c r="AG53">
        <v>326.39999999999998</v>
      </c>
      <c r="AH53" s="337">
        <v>212</v>
      </c>
      <c r="AI53">
        <v>-13.03</v>
      </c>
      <c r="AP53" s="4"/>
    </row>
    <row r="54" spans="8:42" x14ac:dyDescent="0.2">
      <c r="H54">
        <v>-1613</v>
      </c>
      <c r="I54" s="4" t="s">
        <v>1120</v>
      </c>
      <c r="J54" s="148">
        <v>-1613</v>
      </c>
      <c r="K54">
        <v>326.39999999999998</v>
      </c>
      <c r="L54">
        <v>6.4</v>
      </c>
      <c r="M54" s="4" t="s">
        <v>1558</v>
      </c>
      <c r="N54">
        <v>6.3</v>
      </c>
      <c r="O54">
        <v>-3.8</v>
      </c>
      <c r="P54" s="4" t="s">
        <v>855</v>
      </c>
      <c r="Q54">
        <f t="shared" si="4"/>
        <v>5.1730913801930691E-5</v>
      </c>
      <c r="R54">
        <v>7.3</v>
      </c>
      <c r="S54">
        <v>6.2</v>
      </c>
      <c r="T54">
        <v>188.1</v>
      </c>
      <c r="U54">
        <v>193.6</v>
      </c>
      <c r="V54">
        <f t="shared" si="8"/>
        <v>5.1730913801930691E-5</v>
      </c>
      <c r="X54">
        <v>6.3</v>
      </c>
      <c r="Y54">
        <v>6.1</v>
      </c>
      <c r="AD54" t="s">
        <v>1709</v>
      </c>
      <c r="AG54">
        <v>326.39999999999998</v>
      </c>
      <c r="AH54" s="337">
        <v>211.7</v>
      </c>
      <c r="AI54">
        <v>-13.02</v>
      </c>
      <c r="AP54" s="4"/>
    </row>
    <row r="55" spans="8:42" x14ac:dyDescent="0.2">
      <c r="H55">
        <v>-1723</v>
      </c>
      <c r="I55" t="s">
        <v>998</v>
      </c>
      <c r="J55">
        <v>-1723</v>
      </c>
      <c r="K55">
        <v>326.39999999999998</v>
      </c>
      <c r="L55">
        <v>6.5</v>
      </c>
      <c r="M55" s="4" t="s">
        <v>1558</v>
      </c>
      <c r="N55">
        <v>6.4</v>
      </c>
      <c r="O55">
        <v>-3.9</v>
      </c>
      <c r="P55" s="4" t="s">
        <v>855</v>
      </c>
      <c r="Q55">
        <f t="shared" si="4"/>
        <v>4.1091325440961611E-5</v>
      </c>
      <c r="R55">
        <v>7.4</v>
      </c>
      <c r="S55">
        <v>6.2</v>
      </c>
      <c r="T55">
        <v>188.1</v>
      </c>
      <c r="U55">
        <v>193.6</v>
      </c>
      <c r="V55">
        <f t="shared" si="8"/>
        <v>4.1091325440961611E-5</v>
      </c>
      <c r="AA55">
        <v>6.7</v>
      </c>
      <c r="AD55" t="s">
        <v>1710</v>
      </c>
      <c r="AG55">
        <v>326.39999999999998</v>
      </c>
      <c r="AH55" s="337">
        <v>212.5</v>
      </c>
      <c r="AI55">
        <v>-13.03</v>
      </c>
    </row>
    <row r="56" spans="8:42" x14ac:dyDescent="0.2">
      <c r="H56">
        <v>-1616</v>
      </c>
      <c r="I56" s="4" t="s">
        <v>1123</v>
      </c>
      <c r="J56" s="148">
        <v>-1616</v>
      </c>
      <c r="K56">
        <v>326.39999999999998</v>
      </c>
      <c r="L56">
        <v>6.4</v>
      </c>
      <c r="N56">
        <v>6.4</v>
      </c>
      <c r="O56">
        <v>-4</v>
      </c>
      <c r="Q56">
        <f t="shared" si="4"/>
        <v>3.2639999999999999E-5</v>
      </c>
      <c r="R56">
        <v>7.3</v>
      </c>
      <c r="S56">
        <v>6.5</v>
      </c>
      <c r="T56">
        <v>187.6</v>
      </c>
      <c r="U56">
        <v>193.6</v>
      </c>
      <c r="V56">
        <f t="shared" si="8"/>
        <v>3.2639999999999999E-5</v>
      </c>
      <c r="Y56">
        <v>6.2</v>
      </c>
      <c r="Z56">
        <v>6.2</v>
      </c>
      <c r="AA56">
        <v>6.3</v>
      </c>
      <c r="AD56" t="s">
        <v>1711</v>
      </c>
      <c r="AG56">
        <v>326.39999999999998</v>
      </c>
      <c r="AH56" s="337">
        <v>212.4</v>
      </c>
      <c r="AI56">
        <v>-13.06</v>
      </c>
      <c r="AP56" s="4"/>
    </row>
    <row r="57" spans="8:42" x14ac:dyDescent="0.2">
      <c r="H57">
        <v>-1725</v>
      </c>
      <c r="I57" t="s">
        <v>1000</v>
      </c>
      <c r="J57">
        <v>-1725</v>
      </c>
      <c r="K57">
        <v>326.39999999999998</v>
      </c>
      <c r="L57">
        <v>5.9</v>
      </c>
      <c r="M57" s="4" t="s">
        <v>1558</v>
      </c>
      <c r="N57">
        <v>5.8</v>
      </c>
      <c r="O57">
        <v>-3.2</v>
      </c>
      <c r="P57" s="4" t="s">
        <v>855</v>
      </c>
      <c r="Q57">
        <f t="shared" si="4"/>
        <v>2.0594447723833482E-4</v>
      </c>
      <c r="R57">
        <v>6.7</v>
      </c>
      <c r="S57">
        <v>6.1</v>
      </c>
      <c r="T57">
        <v>187.9</v>
      </c>
      <c r="U57">
        <v>193.6</v>
      </c>
      <c r="V57">
        <f t="shared" si="8"/>
        <v>2.0594447723833482E-4</v>
      </c>
      <c r="Y57">
        <v>6</v>
      </c>
      <c r="AD57" t="s">
        <v>1712</v>
      </c>
      <c r="AG57">
        <v>326.39999999999998</v>
      </c>
      <c r="AH57" s="337">
        <v>211.5</v>
      </c>
      <c r="AI57">
        <v>-13.04</v>
      </c>
      <c r="AP57" s="4"/>
    </row>
    <row r="58" spans="8:42" x14ac:dyDescent="0.2">
      <c r="H58">
        <v>-1618</v>
      </c>
      <c r="I58" s="4" t="s">
        <v>1125</v>
      </c>
      <c r="J58" s="148">
        <v>-1618</v>
      </c>
      <c r="K58">
        <v>326.39999999999998</v>
      </c>
      <c r="L58">
        <v>6.8</v>
      </c>
      <c r="N58">
        <v>6.7</v>
      </c>
      <c r="O58">
        <v>-4.0999999999999996</v>
      </c>
      <c r="Q58">
        <f t="shared" si="4"/>
        <v>2.5926873581400549E-5</v>
      </c>
      <c r="R58">
        <v>7.8</v>
      </c>
      <c r="S58">
        <v>6.9</v>
      </c>
      <c r="T58">
        <v>200.2</v>
      </c>
      <c r="U58">
        <v>193.6</v>
      </c>
      <c r="V58">
        <f t="shared" si="8"/>
        <v>2.5926873581400549E-5</v>
      </c>
      <c r="Y58">
        <v>6.4</v>
      </c>
      <c r="Z58">
        <v>6.3</v>
      </c>
      <c r="AA58">
        <v>6.8</v>
      </c>
      <c r="AD58" t="s">
        <v>1713</v>
      </c>
      <c r="AG58">
        <v>326.39999999999998</v>
      </c>
      <c r="AH58" s="337">
        <v>210.4</v>
      </c>
      <c r="AI58">
        <v>-13.02</v>
      </c>
    </row>
    <row r="59" spans="8:42" x14ac:dyDescent="0.2">
      <c r="H59">
        <v>-1620</v>
      </c>
      <c r="I59" s="4" t="s">
        <v>1127</v>
      </c>
      <c r="J59" s="148">
        <v>-1620</v>
      </c>
      <c r="K59">
        <v>326.39999999999998</v>
      </c>
      <c r="L59">
        <v>6.6</v>
      </c>
      <c r="M59" s="4" t="s">
        <v>1558</v>
      </c>
      <c r="N59">
        <v>6.5</v>
      </c>
      <c r="O59">
        <v>-4</v>
      </c>
      <c r="P59" s="4" t="s">
        <v>855</v>
      </c>
      <c r="Q59">
        <f t="shared" si="4"/>
        <v>3.2639999999999999E-5</v>
      </c>
      <c r="R59">
        <v>7.5</v>
      </c>
      <c r="S59">
        <v>6.9</v>
      </c>
      <c r="T59">
        <v>201.1</v>
      </c>
      <c r="U59">
        <v>193.6</v>
      </c>
      <c r="V59">
        <f t="shared" si="8"/>
        <v>3.2639999999999999E-5</v>
      </c>
      <c r="Y59">
        <v>6.2</v>
      </c>
      <c r="Z59">
        <v>6.1</v>
      </c>
      <c r="AA59">
        <v>6.4</v>
      </c>
      <c r="AD59" t="s">
        <v>1714</v>
      </c>
      <c r="AG59">
        <v>326.39999999999998</v>
      </c>
      <c r="AH59" s="337">
        <v>210.1</v>
      </c>
      <c r="AI59">
        <v>-13.04</v>
      </c>
    </row>
    <row r="60" spans="8:42" x14ac:dyDescent="0.2">
      <c r="H60">
        <v>-1621</v>
      </c>
      <c r="I60" s="4" t="s">
        <v>1128</v>
      </c>
      <c r="J60" s="148">
        <v>-1621</v>
      </c>
      <c r="K60">
        <v>326.39999999999998</v>
      </c>
      <c r="L60">
        <v>6.7</v>
      </c>
      <c r="N60">
        <v>6.7</v>
      </c>
      <c r="O60">
        <v>-4.0999999999999996</v>
      </c>
      <c r="Q60">
        <f t="shared" si="4"/>
        <v>2.5926873581400549E-5</v>
      </c>
      <c r="R60">
        <v>7.6</v>
      </c>
      <c r="S60">
        <v>6.8</v>
      </c>
      <c r="T60">
        <v>201</v>
      </c>
      <c r="U60">
        <v>193.6</v>
      </c>
      <c r="V60">
        <f t="shared" si="8"/>
        <v>2.5926873581400549E-5</v>
      </c>
      <c r="W60">
        <v>5.9</v>
      </c>
      <c r="Y60">
        <v>6.5</v>
      </c>
      <c r="Z60">
        <v>6.4</v>
      </c>
      <c r="AA60">
        <v>7</v>
      </c>
      <c r="AD60" t="s">
        <v>1715</v>
      </c>
      <c r="AG60">
        <v>326.39999999999998</v>
      </c>
      <c r="AH60" s="337">
        <v>210.9</v>
      </c>
      <c r="AI60">
        <v>-13.05</v>
      </c>
    </row>
    <row r="61" spans="8:42" x14ac:dyDescent="0.2">
      <c r="H61">
        <v>-1623</v>
      </c>
      <c r="I61" s="4" t="s">
        <v>1130</v>
      </c>
      <c r="J61" s="148">
        <v>-1623</v>
      </c>
      <c r="K61">
        <v>360.9</v>
      </c>
      <c r="L61">
        <v>6.8</v>
      </c>
      <c r="M61" s="4" t="s">
        <v>1558</v>
      </c>
      <c r="N61">
        <v>6.7</v>
      </c>
      <c r="O61">
        <v>-4.3</v>
      </c>
      <c r="P61" s="4" t="s">
        <v>855</v>
      </c>
      <c r="Q61">
        <f t="shared" si="4"/>
        <v>1.8087847261608259E-5</v>
      </c>
      <c r="R61">
        <v>7.8</v>
      </c>
      <c r="S61">
        <v>7.1</v>
      </c>
      <c r="T61">
        <v>200.3</v>
      </c>
      <c r="U61">
        <v>205.9</v>
      </c>
      <c r="V61">
        <f t="shared" si="8"/>
        <v>1.8087847261608259E-5</v>
      </c>
      <c r="Y61">
        <v>6.7</v>
      </c>
      <c r="Z61">
        <v>6.5</v>
      </c>
      <c r="AA61">
        <v>7</v>
      </c>
      <c r="AD61" t="s">
        <v>1716</v>
      </c>
      <c r="AG61">
        <v>360.9</v>
      </c>
      <c r="AH61" s="337">
        <v>223.1</v>
      </c>
      <c r="AI61">
        <v>-13.25</v>
      </c>
    </row>
    <row r="62" spans="8:42" x14ac:dyDescent="0.2">
      <c r="H62">
        <v>-1730</v>
      </c>
      <c r="I62" t="s">
        <v>1005</v>
      </c>
      <c r="J62">
        <v>-1730</v>
      </c>
      <c r="K62">
        <v>360.9</v>
      </c>
      <c r="L62">
        <v>6.8</v>
      </c>
      <c r="M62" s="4" t="s">
        <v>1558</v>
      </c>
      <c r="N62">
        <v>6.7</v>
      </c>
      <c r="O62">
        <v>-4.3</v>
      </c>
      <c r="P62" s="4" t="s">
        <v>855</v>
      </c>
      <c r="Q62">
        <f t="shared" si="4"/>
        <v>1.8087847261608259E-5</v>
      </c>
      <c r="R62">
        <v>7.8</v>
      </c>
      <c r="S62">
        <v>6.8</v>
      </c>
      <c r="T62">
        <v>200.8</v>
      </c>
      <c r="U62">
        <v>205.9</v>
      </c>
      <c r="V62">
        <f t="shared" si="8"/>
        <v>1.8087847261608259E-5</v>
      </c>
      <c r="Z62">
        <v>6.6</v>
      </c>
    </row>
    <row r="63" spans="8:42" x14ac:dyDescent="0.2">
      <c r="H63">
        <v>-1731</v>
      </c>
      <c r="I63" t="s">
        <v>1006</v>
      </c>
      <c r="J63">
        <v>-1731</v>
      </c>
      <c r="K63">
        <v>360.9</v>
      </c>
      <c r="L63">
        <v>6.9</v>
      </c>
      <c r="M63" s="4" t="s">
        <v>1558</v>
      </c>
      <c r="N63">
        <v>6.8</v>
      </c>
      <c r="O63">
        <v>-4.4000000000000004</v>
      </c>
      <c r="P63" s="4" t="s">
        <v>855</v>
      </c>
      <c r="Q63">
        <f t="shared" si="4"/>
        <v>1.4367687785275681E-5</v>
      </c>
      <c r="R63">
        <v>8</v>
      </c>
      <c r="S63">
        <v>6.9</v>
      </c>
      <c r="T63">
        <v>199</v>
      </c>
      <c r="U63">
        <v>205.9</v>
      </c>
      <c r="V63">
        <f t="shared" si="8"/>
        <v>1.4367687785275681E-5</v>
      </c>
      <c r="Y63">
        <v>6.9</v>
      </c>
      <c r="AD63" t="s">
        <v>1717</v>
      </c>
      <c r="AG63">
        <v>360.9</v>
      </c>
      <c r="AH63" s="337">
        <v>223.9</v>
      </c>
      <c r="AI63">
        <v>-13.28</v>
      </c>
    </row>
    <row r="64" spans="8:42" x14ac:dyDescent="0.2">
      <c r="H64">
        <v>-1628</v>
      </c>
      <c r="I64" s="4" t="s">
        <v>1135</v>
      </c>
      <c r="J64" s="148">
        <v>-1628</v>
      </c>
      <c r="K64">
        <v>360.9</v>
      </c>
      <c r="L64">
        <v>7.2</v>
      </c>
      <c r="N64">
        <v>6.8</v>
      </c>
      <c r="O64">
        <v>-4.7</v>
      </c>
      <c r="Q64">
        <f t="shared" si="4"/>
        <v>7.2009016947226762E-6</v>
      </c>
      <c r="R64">
        <v>8.3000000000000007</v>
      </c>
      <c r="S64">
        <v>6.9</v>
      </c>
      <c r="T64">
        <v>198.6</v>
      </c>
      <c r="U64">
        <v>205.9</v>
      </c>
      <c r="V64">
        <f t="shared" si="8"/>
        <v>7.2009016947226762E-6</v>
      </c>
      <c r="Y64">
        <v>6.8</v>
      </c>
      <c r="Z64">
        <v>6.6</v>
      </c>
      <c r="AA64">
        <v>6.9</v>
      </c>
      <c r="AD64" t="s">
        <v>1718</v>
      </c>
      <c r="AG64">
        <v>360.9</v>
      </c>
      <c r="AH64" s="337">
        <v>223.5</v>
      </c>
      <c r="AI64">
        <v>-13.28</v>
      </c>
    </row>
    <row r="65" spans="8:45" x14ac:dyDescent="0.2">
      <c r="H65">
        <v>-1629</v>
      </c>
      <c r="I65" s="4" t="s">
        <v>1136</v>
      </c>
      <c r="J65" s="148">
        <v>-1629</v>
      </c>
      <c r="K65">
        <v>360.9</v>
      </c>
      <c r="L65">
        <v>6.9</v>
      </c>
      <c r="M65" s="4" t="s">
        <v>1558</v>
      </c>
      <c r="N65">
        <v>6.8</v>
      </c>
      <c r="O65">
        <v>-4.4000000000000004</v>
      </c>
      <c r="P65" s="4" t="s">
        <v>855</v>
      </c>
      <c r="Q65">
        <f t="shared" si="4"/>
        <v>1.4367687785275681E-5</v>
      </c>
      <c r="R65">
        <v>7.9</v>
      </c>
      <c r="S65">
        <v>6.8</v>
      </c>
      <c r="T65">
        <v>199.4</v>
      </c>
      <c r="U65">
        <v>205.9</v>
      </c>
      <c r="V65">
        <f t="shared" si="8"/>
        <v>1.4367687785275681E-5</v>
      </c>
      <c r="Y65">
        <v>6.7</v>
      </c>
      <c r="AD65" t="s">
        <v>1719</v>
      </c>
      <c r="AG65">
        <v>360.9</v>
      </c>
      <c r="AH65" s="337">
        <v>223.8</v>
      </c>
      <c r="AI65">
        <v>-13.29</v>
      </c>
    </row>
    <row r="66" spans="8:45" x14ac:dyDescent="0.2">
      <c r="H66">
        <v>-1734</v>
      </c>
      <c r="I66" t="s">
        <v>1009</v>
      </c>
      <c r="J66">
        <v>-1734</v>
      </c>
      <c r="K66">
        <v>360.9</v>
      </c>
      <c r="L66">
        <v>6.7</v>
      </c>
      <c r="M66" s="4" t="s">
        <v>1558</v>
      </c>
      <c r="N66">
        <v>6.6</v>
      </c>
      <c r="O66">
        <v>-4.2</v>
      </c>
      <c r="P66" s="4" t="s">
        <v>855</v>
      </c>
      <c r="Q66">
        <f t="shared" si="4"/>
        <v>2.2771250562290154E-5</v>
      </c>
      <c r="R66">
        <v>7.7</v>
      </c>
      <c r="S66">
        <v>6.8</v>
      </c>
      <c r="T66">
        <v>198.1</v>
      </c>
      <c r="U66">
        <v>205.9</v>
      </c>
      <c r="V66">
        <f t="shared" si="8"/>
        <v>2.2771250562290154E-5</v>
      </c>
      <c r="X66">
        <v>6.8</v>
      </c>
    </row>
    <row r="67" spans="8:45" x14ac:dyDescent="0.2">
      <c r="H67">
        <v>-1735</v>
      </c>
      <c r="I67" t="s">
        <v>1010</v>
      </c>
      <c r="J67">
        <v>-1735</v>
      </c>
      <c r="K67">
        <v>360.9</v>
      </c>
      <c r="L67">
        <v>6.3</v>
      </c>
      <c r="M67" s="4" t="s">
        <v>1558</v>
      </c>
      <c r="N67">
        <v>6.3</v>
      </c>
      <c r="O67">
        <v>-3.7</v>
      </c>
      <c r="P67" s="4" t="s">
        <v>855</v>
      </c>
      <c r="Q67">
        <f t="shared" si="4"/>
        <v>7.2009016947226725E-5</v>
      </c>
      <c r="R67">
        <v>7.2</v>
      </c>
      <c r="S67">
        <v>7.7</v>
      </c>
      <c r="T67">
        <v>212.1</v>
      </c>
      <c r="U67">
        <v>205.9</v>
      </c>
      <c r="V67">
        <f t="shared" si="8"/>
        <v>7.2009016947226725E-5</v>
      </c>
      <c r="Y67">
        <v>6.5</v>
      </c>
      <c r="AD67" t="s">
        <v>1720</v>
      </c>
      <c r="AG67">
        <v>360.9</v>
      </c>
      <c r="AH67" s="337">
        <v>222.5</v>
      </c>
      <c r="AI67">
        <v>-13.22</v>
      </c>
    </row>
    <row r="68" spans="8:45" x14ac:dyDescent="0.2">
      <c r="H68">
        <v>-1736</v>
      </c>
      <c r="I68" t="s">
        <v>1011</v>
      </c>
      <c r="J68">
        <v>-1736</v>
      </c>
      <c r="K68">
        <v>360.9</v>
      </c>
      <c r="L68">
        <v>6.8</v>
      </c>
      <c r="M68" s="4" t="s">
        <v>1558</v>
      </c>
      <c r="N68">
        <v>6.7</v>
      </c>
      <c r="O68">
        <v>-4.2</v>
      </c>
      <c r="P68" s="4" t="s">
        <v>855</v>
      </c>
      <c r="Q68">
        <f t="shared" si="4"/>
        <v>2.2771250562290154E-5</v>
      </c>
      <c r="R68">
        <v>7.8</v>
      </c>
      <c r="S68">
        <v>7.6</v>
      </c>
      <c r="T68">
        <v>212</v>
      </c>
      <c r="U68">
        <v>205.9</v>
      </c>
      <c r="V68">
        <f t="shared" si="8"/>
        <v>2.2771250562290154E-5</v>
      </c>
      <c r="Y68">
        <v>6.6</v>
      </c>
      <c r="AD68" t="s">
        <v>1721</v>
      </c>
      <c r="AG68">
        <v>360.9</v>
      </c>
      <c r="AH68" s="337">
        <v>223.1</v>
      </c>
      <c r="AI68">
        <v>-13.25</v>
      </c>
    </row>
    <row r="69" spans="8:45" x14ac:dyDescent="0.2">
      <c r="H69">
        <v>-1631</v>
      </c>
      <c r="I69" s="4" t="s">
        <v>1138</v>
      </c>
      <c r="J69" s="148">
        <v>-1631</v>
      </c>
      <c r="K69">
        <v>360.9</v>
      </c>
      <c r="L69">
        <v>6.7</v>
      </c>
      <c r="M69" s="4" t="s">
        <v>1558</v>
      </c>
      <c r="N69">
        <v>6.6</v>
      </c>
      <c r="O69">
        <v>-4.2</v>
      </c>
      <c r="P69" s="4" t="s">
        <v>855</v>
      </c>
      <c r="Q69">
        <f t="shared" si="4"/>
        <v>2.2771250562290154E-5</v>
      </c>
      <c r="R69">
        <v>7.7</v>
      </c>
      <c r="S69">
        <v>7.6</v>
      </c>
      <c r="T69">
        <v>211.7</v>
      </c>
      <c r="U69">
        <v>205.9</v>
      </c>
      <c r="V69">
        <f t="shared" si="8"/>
        <v>2.2771250562290154E-5</v>
      </c>
      <c r="Y69">
        <v>6.6</v>
      </c>
      <c r="AD69" t="s">
        <v>1722</v>
      </c>
      <c r="AG69">
        <v>360.9</v>
      </c>
      <c r="AH69" s="337">
        <v>223.4</v>
      </c>
      <c r="AI69">
        <v>-13.26</v>
      </c>
    </row>
    <row r="70" spans="8:45" x14ac:dyDescent="0.2">
      <c r="H70">
        <v>-1632</v>
      </c>
      <c r="I70" s="4" t="s">
        <v>1139</v>
      </c>
      <c r="J70" s="148">
        <v>-1632</v>
      </c>
      <c r="K70">
        <v>360.9</v>
      </c>
      <c r="L70">
        <v>6.9</v>
      </c>
      <c r="N70">
        <v>6.9</v>
      </c>
      <c r="O70">
        <v>-4.5</v>
      </c>
      <c r="Q70">
        <f t="shared" si="4"/>
        <v>1.1412660075547664E-5</v>
      </c>
      <c r="R70">
        <v>7.9</v>
      </c>
      <c r="S70">
        <v>7.5</v>
      </c>
      <c r="T70">
        <v>212.4</v>
      </c>
      <c r="U70">
        <v>205.9</v>
      </c>
      <c r="V70">
        <f t="shared" si="8"/>
        <v>1.1412660075547664E-5</v>
      </c>
      <c r="Y70">
        <v>6.8</v>
      </c>
      <c r="Z70">
        <v>6.4</v>
      </c>
      <c r="AA70">
        <v>6.8</v>
      </c>
      <c r="AD70" t="s">
        <v>1723</v>
      </c>
      <c r="AG70">
        <v>360.9</v>
      </c>
      <c r="AH70" s="337">
        <v>224</v>
      </c>
      <c r="AI70">
        <v>-13.28</v>
      </c>
    </row>
    <row r="71" spans="8:45" x14ac:dyDescent="0.2">
      <c r="H71">
        <v>-1633</v>
      </c>
      <c r="I71" s="4" t="s">
        <v>1140</v>
      </c>
      <c r="J71" s="148">
        <v>-1633</v>
      </c>
      <c r="K71">
        <v>360.9</v>
      </c>
      <c r="L71">
        <v>7.2</v>
      </c>
      <c r="N71">
        <v>6.4</v>
      </c>
      <c r="O71">
        <v>-4.5</v>
      </c>
      <c r="Q71">
        <f t="shared" si="4"/>
        <v>1.1412660075547664E-5</v>
      </c>
      <c r="R71">
        <v>8.3000000000000007</v>
      </c>
      <c r="S71">
        <v>7.8</v>
      </c>
      <c r="T71">
        <v>211.5</v>
      </c>
      <c r="U71">
        <v>205.9</v>
      </c>
      <c r="V71">
        <f t="shared" si="8"/>
        <v>1.1412660075547664E-5</v>
      </c>
      <c r="Y71">
        <v>6.9</v>
      </c>
      <c r="AD71" t="s">
        <v>1724</v>
      </c>
      <c r="AG71">
        <v>360.9</v>
      </c>
      <c r="AH71" s="337">
        <v>224.1</v>
      </c>
      <c r="AI71">
        <v>-13.24</v>
      </c>
    </row>
    <row r="72" spans="8:45" x14ac:dyDescent="0.2">
      <c r="H72">
        <v>-1634</v>
      </c>
      <c r="I72" s="4" t="s">
        <v>1141</v>
      </c>
      <c r="J72" s="148">
        <v>-1634</v>
      </c>
      <c r="K72">
        <v>360.9</v>
      </c>
      <c r="L72">
        <v>7.3</v>
      </c>
      <c r="M72" s="4" t="s">
        <v>1558</v>
      </c>
      <c r="N72">
        <v>7.2</v>
      </c>
      <c r="O72">
        <v>-4.8</v>
      </c>
      <c r="P72" s="4" t="s">
        <v>855</v>
      </c>
      <c r="Q72">
        <f t="shared" si="4"/>
        <v>5.719879531592157E-6</v>
      </c>
      <c r="R72">
        <v>8.4</v>
      </c>
      <c r="S72">
        <v>7.6</v>
      </c>
      <c r="T72">
        <v>210.4</v>
      </c>
      <c r="U72">
        <v>205.9</v>
      </c>
      <c r="V72">
        <f t="shared" si="8"/>
        <v>5.719879531592157E-6</v>
      </c>
      <c r="Y72">
        <v>7</v>
      </c>
      <c r="AD72" t="s">
        <v>1725</v>
      </c>
      <c r="AG72">
        <v>360.9</v>
      </c>
      <c r="AH72" s="337">
        <v>222.3</v>
      </c>
      <c r="AI72">
        <v>-13.34</v>
      </c>
    </row>
    <row r="73" spans="8:45" x14ac:dyDescent="0.2">
      <c r="H73">
        <v>-1741</v>
      </c>
      <c r="I73" t="s">
        <v>1016</v>
      </c>
      <c r="J73">
        <v>-1741</v>
      </c>
      <c r="K73">
        <v>395.3</v>
      </c>
      <c r="L73">
        <v>7.4</v>
      </c>
      <c r="M73" s="4" t="s">
        <v>1558</v>
      </c>
      <c r="N73">
        <v>7.3</v>
      </c>
      <c r="O73">
        <v>-4.9000000000000004</v>
      </c>
      <c r="P73" s="4" t="s">
        <v>855</v>
      </c>
      <c r="Q73">
        <f t="shared" si="4"/>
        <v>4.976532152822338E-6</v>
      </c>
      <c r="R73">
        <v>8.5</v>
      </c>
      <c r="S73">
        <v>7.6</v>
      </c>
      <c r="T73">
        <v>210.1</v>
      </c>
      <c r="U73">
        <v>218.1</v>
      </c>
      <c r="V73">
        <f t="shared" si="8"/>
        <v>4.976532152822338E-6</v>
      </c>
      <c r="Y73">
        <v>7.3</v>
      </c>
      <c r="Z73">
        <v>6.9</v>
      </c>
      <c r="AD73" t="s">
        <v>1726</v>
      </c>
      <c r="AG73" s="337">
        <v>395.3</v>
      </c>
      <c r="AH73" s="337">
        <v>234.9</v>
      </c>
      <c r="AI73">
        <v>-13.56</v>
      </c>
    </row>
    <row r="74" spans="8:45" x14ac:dyDescent="0.2">
      <c r="H74">
        <v>-1742</v>
      </c>
      <c r="I74" t="s">
        <v>1017</v>
      </c>
      <c r="J74">
        <v>-1742</v>
      </c>
      <c r="K74">
        <v>395.3</v>
      </c>
      <c r="L74">
        <v>7.2</v>
      </c>
      <c r="N74">
        <v>7.4</v>
      </c>
      <c r="O74">
        <v>-4.8</v>
      </c>
      <c r="Q74">
        <f t="shared" si="4"/>
        <v>6.2650827897987805E-6</v>
      </c>
      <c r="R74">
        <v>8.1999999999999993</v>
      </c>
      <c r="S74">
        <v>7.5</v>
      </c>
      <c r="T74">
        <v>210.9</v>
      </c>
      <c r="U74">
        <v>218.1</v>
      </c>
      <c r="V74">
        <f t="shared" si="8"/>
        <v>6.2650827897987805E-6</v>
      </c>
      <c r="Y74">
        <v>7.2</v>
      </c>
      <c r="Z74">
        <v>7</v>
      </c>
      <c r="AA74">
        <v>7.6</v>
      </c>
      <c r="AD74" t="s">
        <v>1727</v>
      </c>
      <c r="AG74" s="337">
        <v>395.3</v>
      </c>
      <c r="AH74" s="337">
        <v>235.4</v>
      </c>
      <c r="AI74">
        <v>-13.57</v>
      </c>
    </row>
    <row r="75" spans="8:45" x14ac:dyDescent="0.2">
      <c r="H75">
        <v>-1743</v>
      </c>
      <c r="I75" s="4" t="s">
        <v>1599</v>
      </c>
      <c r="J75">
        <v>-1743</v>
      </c>
      <c r="K75">
        <v>395.3</v>
      </c>
      <c r="L75">
        <v>7.3</v>
      </c>
      <c r="M75" s="4" t="s">
        <v>1558</v>
      </c>
      <c r="N75">
        <v>7.2</v>
      </c>
      <c r="O75">
        <v>-4.8</v>
      </c>
      <c r="P75" t="s">
        <v>855</v>
      </c>
      <c r="Q75">
        <f t="shared" si="4"/>
        <v>6.2650827897987805E-6</v>
      </c>
      <c r="R75">
        <v>8.4</v>
      </c>
      <c r="S75">
        <v>8.5</v>
      </c>
      <c r="T75">
        <v>223.1</v>
      </c>
      <c r="U75">
        <v>218.1</v>
      </c>
      <c r="V75">
        <f t="shared" si="8"/>
        <v>6.2650827897987805E-6</v>
      </c>
      <c r="Y75">
        <v>7</v>
      </c>
      <c r="Z75">
        <v>7.1</v>
      </c>
      <c r="AD75" s="4" t="s">
        <v>1728</v>
      </c>
      <c r="AG75" s="337">
        <v>395.3</v>
      </c>
      <c r="AH75" s="337">
        <v>235</v>
      </c>
      <c r="AI75">
        <v>-13.5</v>
      </c>
    </row>
    <row r="76" spans="8:45" x14ac:dyDescent="0.2">
      <c r="H76">
        <v>-1646</v>
      </c>
      <c r="I76" s="4" t="s">
        <v>1739</v>
      </c>
      <c r="J76">
        <v>-1646</v>
      </c>
      <c r="M76" s="4"/>
      <c r="AD76" s="4"/>
      <c r="AG76" s="337">
        <v>429.8</v>
      </c>
      <c r="AH76" s="337">
        <v>246.8</v>
      </c>
      <c r="AI76">
        <v>-13.17</v>
      </c>
    </row>
    <row r="77" spans="8:45" x14ac:dyDescent="0.2">
      <c r="H77">
        <v>-1744</v>
      </c>
      <c r="I77" s="4" t="s">
        <v>1600</v>
      </c>
      <c r="J77">
        <v>-1744</v>
      </c>
      <c r="K77">
        <v>429.8</v>
      </c>
      <c r="L77">
        <v>7.4</v>
      </c>
      <c r="M77" s="4" t="s">
        <v>1558</v>
      </c>
      <c r="N77">
        <v>7.3</v>
      </c>
      <c r="O77">
        <v>-5</v>
      </c>
      <c r="P77" t="s">
        <v>855</v>
      </c>
      <c r="Q77">
        <f t="shared" si="4"/>
        <v>4.2980000000000002E-6</v>
      </c>
      <c r="R77">
        <v>8.5</v>
      </c>
      <c r="S77">
        <v>8.5</v>
      </c>
      <c r="T77">
        <v>223.9</v>
      </c>
      <c r="U77">
        <v>230.3</v>
      </c>
      <c r="V77">
        <f>K77*10^O77/1000</f>
        <v>4.2980000000000002E-6</v>
      </c>
      <c r="Y77">
        <v>7.8</v>
      </c>
      <c r="AD77" s="4"/>
      <c r="AG77" s="337">
        <v>429.8</v>
      </c>
      <c r="AH77" s="337">
        <v>246.5</v>
      </c>
      <c r="AI77">
        <v>-13.68</v>
      </c>
    </row>
    <row r="78" spans="8:45" x14ac:dyDescent="0.2">
      <c r="L78" s="4" t="s">
        <v>1038</v>
      </c>
      <c r="M78" s="4"/>
      <c r="W78" s="4" t="s">
        <v>1601</v>
      </c>
      <c r="X78" s="4" t="s">
        <v>1602</v>
      </c>
      <c r="AL78" s="33"/>
      <c r="AP78" s="4"/>
      <c r="AS78" s="4"/>
    </row>
    <row r="79" spans="8:45" x14ac:dyDescent="0.2">
      <c r="I79" t="s">
        <v>1024</v>
      </c>
      <c r="J79">
        <v>-1746</v>
      </c>
      <c r="K79">
        <v>249.1</v>
      </c>
      <c r="L79">
        <v>4.5999999999999996</v>
      </c>
      <c r="O79">
        <v>-2</v>
      </c>
      <c r="Q79">
        <f t="shared" ref="Q79:Q92" si="9">10^O79*K79/1000</f>
        <v>2.4910000000000002E-3</v>
      </c>
      <c r="R79">
        <v>5</v>
      </c>
      <c r="S79">
        <v>5.5</v>
      </c>
      <c r="T79">
        <v>174.7</v>
      </c>
      <c r="V79">
        <f t="shared" ref="V79:V92" si="10">K79*10^O79/1000</f>
        <v>2.4910000000000002E-3</v>
      </c>
      <c r="W79">
        <v>3.9</v>
      </c>
      <c r="AP79" s="4"/>
    </row>
    <row r="80" spans="8:45" x14ac:dyDescent="0.2">
      <c r="I80" t="s">
        <v>1025</v>
      </c>
      <c r="J80">
        <v>-1747</v>
      </c>
      <c r="K80">
        <v>249.1</v>
      </c>
      <c r="L80">
        <v>4.5</v>
      </c>
      <c r="O80">
        <v>-2.1</v>
      </c>
      <c r="Q80">
        <f t="shared" si="9"/>
        <v>1.9786716326981842E-3</v>
      </c>
      <c r="R80">
        <v>5.0999999999999996</v>
      </c>
      <c r="S80">
        <v>5.4</v>
      </c>
      <c r="T80">
        <v>173</v>
      </c>
      <c r="V80">
        <f t="shared" si="10"/>
        <v>1.9786716326981842E-3</v>
      </c>
      <c r="X80">
        <v>4</v>
      </c>
      <c r="AP80" s="4"/>
      <c r="AS80" s="4"/>
    </row>
    <row r="81" spans="9:45" x14ac:dyDescent="0.2">
      <c r="I81" t="s">
        <v>1026</v>
      </c>
      <c r="J81">
        <v>-1748</v>
      </c>
      <c r="K81">
        <v>328</v>
      </c>
      <c r="L81">
        <v>5.2</v>
      </c>
      <c r="O81">
        <v>-2.8</v>
      </c>
      <c r="Q81">
        <f t="shared" si="9"/>
        <v>5.1984496712724514E-4</v>
      </c>
      <c r="R81">
        <v>5.9</v>
      </c>
      <c r="S81">
        <v>6.4</v>
      </c>
      <c r="T81">
        <v>189.9</v>
      </c>
      <c r="V81">
        <f t="shared" si="10"/>
        <v>5.1984496712724514E-4</v>
      </c>
      <c r="W81">
        <v>5.0999999999999996</v>
      </c>
      <c r="X81">
        <v>4.5</v>
      </c>
      <c r="AP81" s="4"/>
      <c r="AS81" s="4"/>
    </row>
    <row r="82" spans="9:45" x14ac:dyDescent="0.2">
      <c r="I82" t="s">
        <v>1027</v>
      </c>
      <c r="J82">
        <v>-1749</v>
      </c>
      <c r="K82">
        <v>406.9</v>
      </c>
      <c r="L82">
        <v>5.8</v>
      </c>
      <c r="O82">
        <v>-3.3</v>
      </c>
      <c r="Q82">
        <f t="shared" si="9"/>
        <v>2.0393308536293699E-4</v>
      </c>
      <c r="R82">
        <v>6.6</v>
      </c>
      <c r="S82">
        <v>7.1</v>
      </c>
      <c r="T82">
        <v>202.1</v>
      </c>
      <c r="V82">
        <f t="shared" si="10"/>
        <v>2.0393308536293699E-4</v>
      </c>
      <c r="W82">
        <v>5.5</v>
      </c>
      <c r="AP82" s="4"/>
      <c r="AS82" s="4"/>
    </row>
    <row r="83" spans="9:45" x14ac:dyDescent="0.2">
      <c r="I83" t="s">
        <v>1028</v>
      </c>
      <c r="J83">
        <v>-1750</v>
      </c>
      <c r="K83">
        <v>406.9</v>
      </c>
      <c r="L83">
        <v>5.8</v>
      </c>
      <c r="O83">
        <v>-3.4</v>
      </c>
      <c r="Q83">
        <f t="shared" si="9"/>
        <v>1.6198980769821793E-4</v>
      </c>
      <c r="R83">
        <v>6.6</v>
      </c>
      <c r="S83">
        <v>7.2</v>
      </c>
      <c r="T83">
        <v>203.8</v>
      </c>
      <c r="V83">
        <f t="shared" si="10"/>
        <v>1.6198980769821793E-4</v>
      </c>
      <c r="W83">
        <v>5.7</v>
      </c>
      <c r="AP83" s="4"/>
      <c r="AS83" s="4"/>
    </row>
    <row r="84" spans="9:45" x14ac:dyDescent="0.2">
      <c r="I84" t="s">
        <v>1029</v>
      </c>
      <c r="J84">
        <v>-1751</v>
      </c>
      <c r="K84">
        <v>485.8</v>
      </c>
      <c r="L84">
        <v>6.5</v>
      </c>
      <c r="O84">
        <v>-4</v>
      </c>
      <c r="Q84">
        <f t="shared" si="9"/>
        <v>4.8580000000000006E-5</v>
      </c>
      <c r="R84">
        <v>7.4</v>
      </c>
      <c r="S84">
        <v>8</v>
      </c>
      <c r="T84">
        <v>217.6</v>
      </c>
      <c r="V84">
        <f t="shared" si="10"/>
        <v>4.8580000000000006E-5</v>
      </c>
      <c r="W84">
        <v>6.3</v>
      </c>
      <c r="AP84" s="4"/>
      <c r="AS84" s="4"/>
    </row>
    <row r="85" spans="9:45" x14ac:dyDescent="0.2">
      <c r="I85" t="s">
        <v>1030</v>
      </c>
      <c r="J85">
        <v>-1752</v>
      </c>
      <c r="K85">
        <v>485.8</v>
      </c>
      <c r="L85">
        <v>6.5</v>
      </c>
      <c r="O85">
        <v>-4</v>
      </c>
      <c r="Q85">
        <f t="shared" si="9"/>
        <v>4.8580000000000006E-5</v>
      </c>
      <c r="R85">
        <v>7.5</v>
      </c>
      <c r="S85">
        <v>8.1</v>
      </c>
      <c r="T85">
        <v>218.2</v>
      </c>
      <c r="V85">
        <f t="shared" si="10"/>
        <v>4.8580000000000006E-5</v>
      </c>
      <c r="W85">
        <v>6.4</v>
      </c>
      <c r="AP85" s="4"/>
      <c r="AS85" s="4"/>
    </row>
    <row r="86" spans="9:45" x14ac:dyDescent="0.2">
      <c r="I86" t="s">
        <v>1031</v>
      </c>
      <c r="J86">
        <v>-1753</v>
      </c>
      <c r="K86">
        <v>485.8</v>
      </c>
      <c r="L86">
        <v>6.6</v>
      </c>
      <c r="O86">
        <v>-4</v>
      </c>
      <c r="Q86">
        <f t="shared" si="9"/>
        <v>4.8580000000000006E-5</v>
      </c>
      <c r="R86">
        <v>7.5</v>
      </c>
      <c r="S86">
        <v>8.1</v>
      </c>
      <c r="T86">
        <v>217</v>
      </c>
      <c r="V86">
        <f t="shared" si="10"/>
        <v>4.8580000000000006E-5</v>
      </c>
      <c r="W86">
        <v>6.1</v>
      </c>
    </row>
    <row r="87" spans="9:45" x14ac:dyDescent="0.2">
      <c r="I87" t="s">
        <v>1032</v>
      </c>
      <c r="J87">
        <v>-1754</v>
      </c>
      <c r="K87">
        <v>564.70000000000005</v>
      </c>
      <c r="L87">
        <v>7.2</v>
      </c>
      <c r="O87">
        <v>-4.5999999999999996</v>
      </c>
      <c r="Q87">
        <f t="shared" si="9"/>
        <v>1.4184622678734594E-5</v>
      </c>
      <c r="R87">
        <v>8.3000000000000007</v>
      </c>
      <c r="S87">
        <v>9</v>
      </c>
      <c r="T87">
        <v>231.6</v>
      </c>
      <c r="V87">
        <f t="shared" si="10"/>
        <v>1.4184622678734594E-5</v>
      </c>
      <c r="W87">
        <v>6.8</v>
      </c>
    </row>
    <row r="88" spans="9:45" x14ac:dyDescent="0.2">
      <c r="I88" t="s">
        <v>1033</v>
      </c>
      <c r="J88">
        <v>-1755</v>
      </c>
      <c r="K88">
        <v>564.70000000000005</v>
      </c>
      <c r="L88">
        <v>7.2</v>
      </c>
      <c r="O88">
        <v>-4.5999999999999996</v>
      </c>
      <c r="Q88">
        <f t="shared" si="9"/>
        <v>1.4184622678734594E-5</v>
      </c>
      <c r="R88">
        <v>8.3000000000000007</v>
      </c>
      <c r="S88">
        <v>8.9</v>
      </c>
      <c r="T88">
        <v>232.1</v>
      </c>
      <c r="V88">
        <f t="shared" si="10"/>
        <v>1.4184622678734594E-5</v>
      </c>
      <c r="W88">
        <v>6.9</v>
      </c>
      <c r="AP88" s="4"/>
      <c r="AS88" s="4"/>
    </row>
    <row r="89" spans="9:45" x14ac:dyDescent="0.2">
      <c r="I89" t="s">
        <v>1034</v>
      </c>
      <c r="J89">
        <v>-1756</v>
      </c>
      <c r="K89">
        <v>564.70000000000005</v>
      </c>
      <c r="L89">
        <v>7.3</v>
      </c>
      <c r="O89">
        <v>-4.5999999999999996</v>
      </c>
      <c r="Q89">
        <f t="shared" si="9"/>
        <v>1.4184622678734594E-5</v>
      </c>
      <c r="R89">
        <v>8.4</v>
      </c>
      <c r="S89">
        <v>9</v>
      </c>
      <c r="T89">
        <v>232</v>
      </c>
      <c r="V89">
        <f t="shared" si="10"/>
        <v>1.4184622678734594E-5</v>
      </c>
      <c r="W89">
        <v>6.9</v>
      </c>
    </row>
    <row r="90" spans="9:45" x14ac:dyDescent="0.2">
      <c r="I90" t="s">
        <v>1035</v>
      </c>
      <c r="J90">
        <v>-1757</v>
      </c>
      <c r="K90">
        <v>564.70000000000005</v>
      </c>
      <c r="L90">
        <v>7.4</v>
      </c>
      <c r="O90">
        <v>-4.7</v>
      </c>
      <c r="Q90">
        <f t="shared" si="9"/>
        <v>1.1267246292629248E-5</v>
      </c>
      <c r="R90">
        <v>8.5</v>
      </c>
      <c r="S90">
        <v>9.1</v>
      </c>
      <c r="T90">
        <v>233.7</v>
      </c>
      <c r="V90">
        <f t="shared" si="10"/>
        <v>1.1267246292629248E-5</v>
      </c>
      <c r="W90">
        <v>7.2</v>
      </c>
      <c r="AP90" s="4"/>
      <c r="AS90" s="4"/>
    </row>
    <row r="91" spans="9:45" x14ac:dyDescent="0.2">
      <c r="I91" t="s">
        <v>1036</v>
      </c>
      <c r="J91">
        <v>-1758</v>
      </c>
      <c r="K91">
        <v>643.6</v>
      </c>
      <c r="L91">
        <v>8</v>
      </c>
      <c r="O91">
        <v>-5.2</v>
      </c>
      <c r="Q91">
        <f t="shared" si="9"/>
        <v>4.0608414690745174E-6</v>
      </c>
      <c r="R91">
        <v>9.1999999999999993</v>
      </c>
      <c r="S91">
        <v>9.9</v>
      </c>
      <c r="T91">
        <v>246.6</v>
      </c>
      <c r="V91">
        <f t="shared" si="10"/>
        <v>4.0608414690745174E-6</v>
      </c>
      <c r="W91">
        <v>7.4</v>
      </c>
    </row>
    <row r="92" spans="9:45" x14ac:dyDescent="0.2">
      <c r="I92" t="s">
        <v>1037</v>
      </c>
      <c r="J92">
        <v>-1759</v>
      </c>
      <c r="K92">
        <v>643.6</v>
      </c>
      <c r="L92">
        <v>8</v>
      </c>
      <c r="O92">
        <v>-5.2</v>
      </c>
      <c r="Q92">
        <f t="shared" si="9"/>
        <v>4.0608414690745174E-6</v>
      </c>
      <c r="R92">
        <v>9.3000000000000007</v>
      </c>
      <c r="S92">
        <v>10</v>
      </c>
      <c r="T92">
        <v>246.5</v>
      </c>
      <c r="V92">
        <f t="shared" si="10"/>
        <v>4.0608414690745174E-6</v>
      </c>
      <c r="W92">
        <v>7.4</v>
      </c>
      <c r="AP92" s="4"/>
      <c r="AS92" s="4"/>
    </row>
    <row r="93" spans="9:45" x14ac:dyDescent="0.2">
      <c r="AP93" s="4"/>
      <c r="AS93" s="4"/>
    </row>
    <row r="94" spans="9:45" x14ac:dyDescent="0.2">
      <c r="K94" t="s">
        <v>964</v>
      </c>
      <c r="L94" s="4" t="s">
        <v>972</v>
      </c>
      <c r="M94" s="4"/>
      <c r="N94" s="4" t="s">
        <v>972</v>
      </c>
      <c r="O94" s="4" t="s">
        <v>973</v>
      </c>
      <c r="P94" s="4"/>
      <c r="Q94" s="4"/>
      <c r="R94" s="4" t="s">
        <v>1018</v>
      </c>
      <c r="S94" s="4" t="s">
        <v>1018</v>
      </c>
      <c r="T94" t="s">
        <v>965</v>
      </c>
      <c r="U94" t="s">
        <v>965</v>
      </c>
    </row>
    <row r="95" spans="9:45" x14ac:dyDescent="0.2">
      <c r="L95" t="s">
        <v>9</v>
      </c>
      <c r="N95" s="4" t="s">
        <v>1021</v>
      </c>
      <c r="O95" s="4" t="s">
        <v>1639</v>
      </c>
      <c r="P95" s="4"/>
      <c r="Q95" s="4" t="s">
        <v>400</v>
      </c>
      <c r="R95" s="4" t="s">
        <v>1020</v>
      </c>
      <c r="S95" s="4" t="s">
        <v>1019</v>
      </c>
      <c r="T95" s="4" t="s">
        <v>1019</v>
      </c>
      <c r="U95" s="4" t="s">
        <v>1020</v>
      </c>
    </row>
    <row r="96" spans="9:45" x14ac:dyDescent="0.2">
      <c r="K96" t="s">
        <v>258</v>
      </c>
      <c r="L96" t="s">
        <v>349</v>
      </c>
      <c r="AP96" s="4"/>
      <c r="AS96" s="4"/>
    </row>
    <row r="97" spans="8:36" x14ac:dyDescent="0.2">
      <c r="I97" t="s">
        <v>1190</v>
      </c>
      <c r="J97">
        <v>-1760</v>
      </c>
      <c r="K97">
        <v>218.6</v>
      </c>
      <c r="L97">
        <v>5.2</v>
      </c>
      <c r="O97">
        <v>-2.1</v>
      </c>
      <c r="Q97">
        <f>10^O97*K97/1000</f>
        <v>1.7364015211072787E-3</v>
      </c>
      <c r="R97">
        <v>5.9</v>
      </c>
      <c r="S97">
        <v>4.9000000000000004</v>
      </c>
      <c r="T97">
        <v>156.4</v>
      </c>
      <c r="V97">
        <f t="shared" ref="V97:V105" si="11">K97*10^O97/1000</f>
        <v>1.7364015211072787E-3</v>
      </c>
      <c r="W97" t="s">
        <v>1606</v>
      </c>
      <c r="X97" s="4" t="s">
        <v>9</v>
      </c>
      <c r="Y97" s="4" t="s">
        <v>1631</v>
      </c>
    </row>
    <row r="98" spans="8:36" x14ac:dyDescent="0.2">
      <c r="I98" t="s">
        <v>1191</v>
      </c>
      <c r="J98">
        <v>-1761</v>
      </c>
      <c r="K98">
        <v>253.1</v>
      </c>
      <c r="L98">
        <v>5.6</v>
      </c>
      <c r="O98">
        <v>-3.1</v>
      </c>
      <c r="Q98">
        <f t="shared" ref="Q98:Q105" si="12">10^O98*K98/1000</f>
        <v>2.0104447620871552E-4</v>
      </c>
      <c r="R98">
        <v>6.3</v>
      </c>
      <c r="S98">
        <v>5.6</v>
      </c>
      <c r="T98">
        <v>168.5</v>
      </c>
      <c r="V98">
        <f t="shared" si="11"/>
        <v>2.0104447620871552E-4</v>
      </c>
      <c r="W98" t="s">
        <v>1607</v>
      </c>
      <c r="X98" s="4" t="s">
        <v>10</v>
      </c>
      <c r="Y98" s="4" t="s">
        <v>1632</v>
      </c>
    </row>
    <row r="99" spans="8:36" x14ac:dyDescent="0.2">
      <c r="I99" t="s">
        <v>1192</v>
      </c>
      <c r="J99">
        <v>-1762</v>
      </c>
      <c r="K99">
        <v>287.5</v>
      </c>
      <c r="L99">
        <v>6.1</v>
      </c>
      <c r="O99">
        <v>-3.3</v>
      </c>
      <c r="Q99">
        <f t="shared" si="12"/>
        <v>1.4409132966784071E-4</v>
      </c>
      <c r="R99">
        <v>6.9</v>
      </c>
      <c r="S99">
        <v>6.3</v>
      </c>
      <c r="T99">
        <v>179.9</v>
      </c>
      <c r="V99">
        <f t="shared" si="11"/>
        <v>1.4409132966784071E-4</v>
      </c>
      <c r="W99" t="s">
        <v>1608</v>
      </c>
      <c r="X99" s="4" t="s">
        <v>9</v>
      </c>
      <c r="Y99" s="4" t="s">
        <v>1631</v>
      </c>
    </row>
    <row r="100" spans="8:36" x14ac:dyDescent="0.2">
      <c r="I100" t="s">
        <v>1193</v>
      </c>
      <c r="J100">
        <v>-1763</v>
      </c>
      <c r="K100">
        <v>354.5</v>
      </c>
      <c r="L100">
        <v>6.4</v>
      </c>
      <c r="O100">
        <v>-3.4</v>
      </c>
      <c r="Q100">
        <f t="shared" si="12"/>
        <v>1.4112899196121472E-4</v>
      </c>
      <c r="R100">
        <v>7.3</v>
      </c>
      <c r="S100">
        <v>7.4</v>
      </c>
      <c r="T100">
        <v>240.1</v>
      </c>
      <c r="V100">
        <f t="shared" si="11"/>
        <v>1.4112899196121472E-4</v>
      </c>
      <c r="W100" t="s">
        <v>1609</v>
      </c>
      <c r="X100" s="4" t="s">
        <v>486</v>
      </c>
      <c r="Y100" s="4" t="s">
        <v>1633</v>
      </c>
    </row>
    <row r="101" spans="8:36" x14ac:dyDescent="0.2">
      <c r="I101" t="s">
        <v>1194</v>
      </c>
      <c r="J101">
        <v>-1764</v>
      </c>
      <c r="K101">
        <v>354.5</v>
      </c>
      <c r="L101">
        <v>6.4</v>
      </c>
      <c r="O101">
        <v>-3.3</v>
      </c>
      <c r="Q101">
        <f t="shared" si="12"/>
        <v>1.7767087432086795E-4</v>
      </c>
      <c r="R101">
        <v>7.3</v>
      </c>
      <c r="S101">
        <v>7.2</v>
      </c>
      <c r="T101">
        <v>237.7</v>
      </c>
      <c r="V101">
        <f t="shared" si="11"/>
        <v>1.7767087432086795E-4</v>
      </c>
      <c r="W101" t="s">
        <v>1608</v>
      </c>
      <c r="X101" s="4" t="s">
        <v>486</v>
      </c>
      <c r="Y101" s="4" t="s">
        <v>1633</v>
      </c>
    </row>
    <row r="102" spans="8:36" x14ac:dyDescent="0.2">
      <c r="I102" t="s">
        <v>1195</v>
      </c>
      <c r="J102">
        <v>-1765</v>
      </c>
      <c r="K102">
        <v>320.10000000000002</v>
      </c>
      <c r="L102">
        <v>6.3</v>
      </c>
      <c r="O102">
        <v>-2.6</v>
      </c>
      <c r="Q102">
        <f t="shared" si="12"/>
        <v>8.0405484672621584E-4</v>
      </c>
      <c r="R102">
        <v>7.2</v>
      </c>
      <c r="S102">
        <v>6.5</v>
      </c>
      <c r="T102">
        <v>227.1</v>
      </c>
      <c r="V102">
        <f t="shared" si="11"/>
        <v>8.0405484672621584E-4</v>
      </c>
      <c r="W102" t="s">
        <v>1610</v>
      </c>
      <c r="X102" s="4" t="s">
        <v>486</v>
      </c>
      <c r="Y102" s="4" t="s">
        <v>1633</v>
      </c>
    </row>
    <row r="103" spans="8:36" x14ac:dyDescent="0.2">
      <c r="I103" t="s">
        <v>1196</v>
      </c>
      <c r="J103">
        <v>-1766</v>
      </c>
      <c r="K103">
        <v>320.10000000000002</v>
      </c>
      <c r="L103">
        <v>6.8</v>
      </c>
      <c r="O103">
        <v>-3</v>
      </c>
      <c r="Q103">
        <f t="shared" si="12"/>
        <v>3.2010000000000003E-4</v>
      </c>
      <c r="R103">
        <v>7.8</v>
      </c>
      <c r="S103">
        <v>6.4</v>
      </c>
      <c r="T103">
        <v>224.8</v>
      </c>
      <c r="V103">
        <f t="shared" si="11"/>
        <v>3.2010000000000003E-4</v>
      </c>
      <c r="W103" t="s">
        <v>1611</v>
      </c>
      <c r="X103" s="4" t="s">
        <v>486</v>
      </c>
      <c r="Y103" s="4" t="s">
        <v>1633</v>
      </c>
    </row>
    <row r="104" spans="8:36" x14ac:dyDescent="0.2">
      <c r="I104" t="s">
        <v>1197</v>
      </c>
      <c r="J104">
        <v>-1767</v>
      </c>
      <c r="K104">
        <v>318</v>
      </c>
      <c r="L104">
        <v>6.9</v>
      </c>
      <c r="O104">
        <v>-3.1</v>
      </c>
      <c r="Q104">
        <f t="shared" si="12"/>
        <v>2.5259637864232139E-4</v>
      </c>
      <c r="R104">
        <v>8</v>
      </c>
      <c r="S104">
        <v>7.6</v>
      </c>
      <c r="T104">
        <v>222.4</v>
      </c>
      <c r="V104">
        <f t="shared" si="11"/>
        <v>2.5259637864232139E-4</v>
      </c>
      <c r="W104" t="s">
        <v>1608</v>
      </c>
      <c r="X104" s="4" t="s">
        <v>486</v>
      </c>
      <c r="Y104" s="4" t="s">
        <v>1633</v>
      </c>
    </row>
    <row r="105" spans="8:36" x14ac:dyDescent="0.2">
      <c r="I105" t="s">
        <v>1198</v>
      </c>
      <c r="J105">
        <v>-1768</v>
      </c>
      <c r="K105">
        <v>318</v>
      </c>
      <c r="L105">
        <v>7.1</v>
      </c>
      <c r="O105">
        <v>-2.9</v>
      </c>
      <c r="Q105">
        <f t="shared" si="12"/>
        <v>4.0033828095054487E-4</v>
      </c>
      <c r="R105">
        <v>8.1</v>
      </c>
      <c r="S105">
        <v>7.5</v>
      </c>
      <c r="T105">
        <v>221.1</v>
      </c>
      <c r="V105">
        <f t="shared" si="11"/>
        <v>4.0033828095054487E-4</v>
      </c>
      <c r="W105" t="s">
        <v>1612</v>
      </c>
      <c r="X105" s="4" t="s">
        <v>486</v>
      </c>
      <c r="Y105" s="4" t="s">
        <v>1633</v>
      </c>
    </row>
    <row r="106" spans="8:36" x14ac:dyDescent="0.2">
      <c r="I106" t="s">
        <v>1199</v>
      </c>
      <c r="J106">
        <v>-1769</v>
      </c>
      <c r="K106">
        <v>283.60000000000002</v>
      </c>
      <c r="L106">
        <v>6.2</v>
      </c>
      <c r="R106">
        <v>7.1</v>
      </c>
      <c r="S106">
        <v>6.7</v>
      </c>
      <c r="T106">
        <v>210.4</v>
      </c>
      <c r="W106" t="s">
        <v>1607</v>
      </c>
      <c r="X106" s="4" t="s">
        <v>486</v>
      </c>
      <c r="Y106" s="4" t="s">
        <v>1633</v>
      </c>
    </row>
    <row r="107" spans="8:36" x14ac:dyDescent="0.2">
      <c r="H107">
        <v>-1770</v>
      </c>
      <c r="I107" t="s">
        <v>1200</v>
      </c>
      <c r="J107">
        <v>-1770</v>
      </c>
      <c r="K107">
        <v>284.8</v>
      </c>
      <c r="L107">
        <v>5.6</v>
      </c>
      <c r="O107">
        <v>-2.9</v>
      </c>
      <c r="Q107">
        <f t="shared" ref="Q107:Q114" si="13">10^O107*K107/1000</f>
        <v>3.5854195727897851E-4</v>
      </c>
      <c r="R107">
        <v>6.4</v>
      </c>
      <c r="S107">
        <v>6.5</v>
      </c>
      <c r="T107">
        <v>161.19999999999999</v>
      </c>
      <c r="V107">
        <f t="shared" ref="V107:V114" si="14">K107*10^O107/1000</f>
        <v>3.5854195727897851E-4</v>
      </c>
      <c r="W107" t="s">
        <v>1607</v>
      </c>
      <c r="X107" s="4" t="s">
        <v>34</v>
      </c>
      <c r="Y107" s="4" t="s">
        <v>1634</v>
      </c>
      <c r="AI107">
        <v>-12.68</v>
      </c>
      <c r="AJ107" s="4" t="s">
        <v>1680</v>
      </c>
    </row>
    <row r="108" spans="8:36" x14ac:dyDescent="0.2">
      <c r="H108">
        <v>-1771</v>
      </c>
      <c r="I108" t="s">
        <v>1201</v>
      </c>
      <c r="J108">
        <v>-1771</v>
      </c>
      <c r="K108">
        <v>290.8</v>
      </c>
      <c r="L108">
        <v>3.9</v>
      </c>
      <c r="O108">
        <v>-0.5</v>
      </c>
      <c r="Q108">
        <f t="shared" si="13"/>
        <v>9.1959034357696479E-2</v>
      </c>
      <c r="R108">
        <v>4.3</v>
      </c>
      <c r="S108">
        <v>3.2</v>
      </c>
      <c r="T108">
        <v>178</v>
      </c>
      <c r="V108">
        <f t="shared" si="14"/>
        <v>9.1959034357696479E-2</v>
      </c>
      <c r="W108" t="s">
        <v>1613</v>
      </c>
      <c r="X108" s="4" t="s">
        <v>487</v>
      </c>
      <c r="Y108" s="4" t="s">
        <v>1635</v>
      </c>
      <c r="AA108" t="s">
        <v>1613</v>
      </c>
      <c r="AB108" s="4" t="s">
        <v>1603</v>
      </c>
      <c r="AC108" s="4" t="s">
        <v>1635</v>
      </c>
      <c r="AI108">
        <v>-12.9</v>
      </c>
      <c r="AJ108" s="4" t="s">
        <v>1597</v>
      </c>
    </row>
    <row r="109" spans="8:36" x14ac:dyDescent="0.2">
      <c r="H109">
        <v>-1772</v>
      </c>
      <c r="I109" t="s">
        <v>1202</v>
      </c>
      <c r="J109">
        <v>-1772</v>
      </c>
      <c r="K109">
        <v>290.8</v>
      </c>
      <c r="L109">
        <v>3.9</v>
      </c>
      <c r="O109">
        <v>0.2</v>
      </c>
      <c r="Q109">
        <f t="shared" si="13"/>
        <v>0.46088694036769184</v>
      </c>
      <c r="R109">
        <v>4.3</v>
      </c>
      <c r="S109">
        <v>3.2</v>
      </c>
      <c r="T109">
        <v>178</v>
      </c>
      <c r="V109">
        <f t="shared" si="14"/>
        <v>0.46088694036769184</v>
      </c>
      <c r="W109" t="s">
        <v>1614</v>
      </c>
      <c r="X109" s="4" t="s">
        <v>487</v>
      </c>
      <c r="Y109" s="4" t="s">
        <v>1635</v>
      </c>
      <c r="AA109" t="s">
        <v>1615</v>
      </c>
      <c r="AB109" s="4" t="s">
        <v>1603</v>
      </c>
      <c r="AC109" s="4" t="s">
        <v>1635</v>
      </c>
      <c r="AI109">
        <v>-12.67</v>
      </c>
      <c r="AJ109" s="4" t="s">
        <v>1597</v>
      </c>
    </row>
    <row r="110" spans="8:36" x14ac:dyDescent="0.2">
      <c r="H110">
        <v>-1773</v>
      </c>
      <c r="I110" t="s">
        <v>1203</v>
      </c>
      <c r="J110">
        <v>-1773</v>
      </c>
      <c r="K110">
        <v>290.8</v>
      </c>
      <c r="L110">
        <v>3.8</v>
      </c>
      <c r="O110">
        <v>-0.6</v>
      </c>
      <c r="Q110">
        <f t="shared" si="13"/>
        <v>7.3045657428298591E-2</v>
      </c>
      <c r="R110">
        <v>4.0999999999999996</v>
      </c>
      <c r="S110">
        <v>3.2</v>
      </c>
      <c r="T110">
        <v>178</v>
      </c>
      <c r="V110">
        <f t="shared" si="14"/>
        <v>7.3045657428298591E-2</v>
      </c>
      <c r="W110" t="s">
        <v>1616</v>
      </c>
      <c r="X110" s="4" t="s">
        <v>487</v>
      </c>
      <c r="Y110" s="4" t="s">
        <v>1635</v>
      </c>
      <c r="AA110" t="s">
        <v>1616</v>
      </c>
      <c r="AB110" s="4" t="s">
        <v>1603</v>
      </c>
      <c r="AC110" s="4" t="s">
        <v>1635</v>
      </c>
      <c r="AI110">
        <v>-13</v>
      </c>
      <c r="AJ110" s="4" t="s">
        <v>1597</v>
      </c>
    </row>
    <row r="111" spans="8:36" x14ac:dyDescent="0.2">
      <c r="H111">
        <v>-1774</v>
      </c>
      <c r="I111" t="s">
        <v>1204</v>
      </c>
      <c r="J111">
        <v>-1774</v>
      </c>
      <c r="K111">
        <v>290.8</v>
      </c>
      <c r="L111">
        <v>3.9</v>
      </c>
      <c r="O111">
        <v>-0.4</v>
      </c>
      <c r="Q111">
        <f t="shared" si="13"/>
        <v>0.11576956519695698</v>
      </c>
      <c r="R111">
        <v>4.2</v>
      </c>
      <c r="S111">
        <v>3.2</v>
      </c>
      <c r="T111">
        <v>178</v>
      </c>
      <c r="V111">
        <f t="shared" si="14"/>
        <v>0.11576956519695698</v>
      </c>
      <c r="W111" t="s">
        <v>1617</v>
      </c>
      <c r="X111" s="4" t="s">
        <v>487</v>
      </c>
      <c r="Y111" s="4" t="s">
        <v>1635</v>
      </c>
      <c r="AA111" t="s">
        <v>1618</v>
      </c>
      <c r="AB111" s="4" t="s">
        <v>1603</v>
      </c>
      <c r="AC111" s="4" t="s">
        <v>1635</v>
      </c>
      <c r="AI111">
        <v>-12.8</v>
      </c>
      <c r="AJ111" s="4" t="s">
        <v>1597</v>
      </c>
    </row>
    <row r="112" spans="8:36" x14ac:dyDescent="0.2">
      <c r="H112">
        <v>-1775</v>
      </c>
      <c r="I112" t="s">
        <v>1205</v>
      </c>
      <c r="J112">
        <v>-1775</v>
      </c>
      <c r="K112">
        <v>364.9</v>
      </c>
      <c r="L112">
        <v>6.3</v>
      </c>
      <c r="O112">
        <v>-2.6</v>
      </c>
      <c r="Q112">
        <f t="shared" si="13"/>
        <v>9.1658735885784476E-4</v>
      </c>
      <c r="R112">
        <v>7.1</v>
      </c>
      <c r="S112">
        <v>6.9</v>
      </c>
      <c r="T112">
        <v>240.1</v>
      </c>
      <c r="V112">
        <f t="shared" si="14"/>
        <v>9.1658735885784476E-4</v>
      </c>
      <c r="W112" t="s">
        <v>1606</v>
      </c>
      <c r="X112" s="4" t="s">
        <v>487</v>
      </c>
      <c r="Y112" s="4" t="s">
        <v>1635</v>
      </c>
      <c r="AA112" t="s">
        <v>1619</v>
      </c>
      <c r="AB112" s="4" t="s">
        <v>1603</v>
      </c>
      <c r="AC112" s="4" t="s">
        <v>1635</v>
      </c>
      <c r="AI112">
        <v>-14.13</v>
      </c>
      <c r="AJ112" s="4" t="s">
        <v>1597</v>
      </c>
    </row>
    <row r="113" spans="8:36" x14ac:dyDescent="0.2">
      <c r="H113">
        <v>-1776</v>
      </c>
      <c r="I113" t="s">
        <v>1206</v>
      </c>
      <c r="J113">
        <v>-1776</v>
      </c>
      <c r="K113">
        <v>380.9</v>
      </c>
      <c r="L113">
        <v>5.5</v>
      </c>
      <c r="O113">
        <v>-1.9</v>
      </c>
      <c r="Q113">
        <f t="shared" si="13"/>
        <v>4.79524689352398E-3</v>
      </c>
      <c r="R113">
        <v>6.2</v>
      </c>
      <c r="S113">
        <v>6.3</v>
      </c>
      <c r="T113">
        <v>253.7</v>
      </c>
      <c r="V113">
        <f t="shared" si="14"/>
        <v>4.79524689352398E-3</v>
      </c>
      <c r="W113" t="s">
        <v>1606</v>
      </c>
      <c r="X113" s="4" t="s">
        <v>487</v>
      </c>
      <c r="Y113" s="4" t="s">
        <v>1635</v>
      </c>
      <c r="AA113" t="s">
        <v>1620</v>
      </c>
      <c r="AB113" s="4" t="s">
        <v>1603</v>
      </c>
      <c r="AC113" s="4" t="s">
        <v>1635</v>
      </c>
      <c r="AI113">
        <v>-14.13</v>
      </c>
      <c r="AJ113" s="4" t="s">
        <v>1597</v>
      </c>
    </row>
    <row r="114" spans="8:36" x14ac:dyDescent="0.2">
      <c r="H114">
        <v>-1777</v>
      </c>
      <c r="I114" t="s">
        <v>1207</v>
      </c>
      <c r="J114">
        <v>-1777</v>
      </c>
      <c r="K114">
        <v>406.9</v>
      </c>
      <c r="L114">
        <v>4.9000000000000004</v>
      </c>
      <c r="O114">
        <v>-2.2000000000000002</v>
      </c>
      <c r="Q114">
        <f t="shared" si="13"/>
        <v>2.5673654346899033E-3</v>
      </c>
      <c r="R114">
        <v>5.5</v>
      </c>
      <c r="S114">
        <v>4.9000000000000004</v>
      </c>
      <c r="T114">
        <v>236.3</v>
      </c>
      <c r="V114">
        <f t="shared" si="14"/>
        <v>2.5673654346899033E-3</v>
      </c>
      <c r="W114" t="s">
        <v>1619</v>
      </c>
      <c r="X114" s="4" t="s">
        <v>487</v>
      </c>
      <c r="Y114" s="4" t="s">
        <v>1635</v>
      </c>
      <c r="AA114" t="s">
        <v>1621</v>
      </c>
      <c r="AB114" s="4" t="s">
        <v>1605</v>
      </c>
      <c r="AC114" s="4" t="s">
        <v>1636</v>
      </c>
      <c r="AI114">
        <v>-13.63</v>
      </c>
      <c r="AJ114" s="4" t="s">
        <v>1597</v>
      </c>
    </row>
    <row r="115" spans="8:36" x14ac:dyDescent="0.2">
      <c r="H115">
        <v>-1778</v>
      </c>
      <c r="I115" s="4" t="s">
        <v>1216</v>
      </c>
      <c r="J115">
        <v>-1778</v>
      </c>
      <c r="K115">
        <v>422.9</v>
      </c>
      <c r="L115">
        <v>5.0999999999999996</v>
      </c>
      <c r="R115">
        <v>5.7</v>
      </c>
      <c r="S115">
        <v>3</v>
      </c>
      <c r="T115">
        <v>239.8</v>
      </c>
      <c r="W115" t="s">
        <v>1622</v>
      </c>
      <c r="X115" s="4" t="s">
        <v>487</v>
      </c>
      <c r="Y115" s="4" t="s">
        <v>1635</v>
      </c>
      <c r="AA115" t="s">
        <v>1623</v>
      </c>
      <c r="AB115" s="4" t="s">
        <v>1603</v>
      </c>
      <c r="AC115" s="4" t="s">
        <v>1635</v>
      </c>
      <c r="AI115">
        <v>-13.5</v>
      </c>
      <c r="AJ115" s="4" t="s">
        <v>1597</v>
      </c>
    </row>
    <row r="116" spans="8:36" x14ac:dyDescent="0.2">
      <c r="H116">
        <v>-1779</v>
      </c>
      <c r="I116" t="s">
        <v>1208</v>
      </c>
      <c r="J116">
        <v>-1779</v>
      </c>
      <c r="K116">
        <v>380.9</v>
      </c>
      <c r="L116">
        <v>5</v>
      </c>
      <c r="O116">
        <v>-2.5</v>
      </c>
      <c r="Q116">
        <f>10^O116*K116/1000</f>
        <v>1.2045115607581345E-3</v>
      </c>
      <c r="R116">
        <v>5.6</v>
      </c>
      <c r="S116">
        <v>6.3</v>
      </c>
      <c r="T116">
        <v>253.7</v>
      </c>
      <c r="V116">
        <f>K116*10^O116/1000</f>
        <v>1.2045115607581345E-3</v>
      </c>
      <c r="W116" t="s">
        <v>1624</v>
      </c>
      <c r="X116" s="4" t="s">
        <v>1603</v>
      </c>
      <c r="Y116" s="4" t="s">
        <v>1635</v>
      </c>
      <c r="AA116" t="s">
        <v>68</v>
      </c>
      <c r="AI116">
        <v>-13.83</v>
      </c>
      <c r="AJ116" s="4" t="s">
        <v>1597</v>
      </c>
    </row>
    <row r="117" spans="8:36" x14ac:dyDescent="0.2">
      <c r="H117">
        <v>-1780</v>
      </c>
      <c r="I117" s="4" t="s">
        <v>1217</v>
      </c>
      <c r="J117">
        <v>-1780</v>
      </c>
      <c r="K117">
        <v>380.9</v>
      </c>
      <c r="L117">
        <v>5.5</v>
      </c>
      <c r="R117">
        <v>6.2</v>
      </c>
      <c r="S117">
        <v>5.0999999999999996</v>
      </c>
      <c r="T117">
        <v>253.2</v>
      </c>
      <c r="W117" t="s">
        <v>1613</v>
      </c>
      <c r="X117" s="4" t="s">
        <v>487</v>
      </c>
      <c r="Y117" s="4" t="s">
        <v>1635</v>
      </c>
      <c r="AA117" t="s">
        <v>1614</v>
      </c>
      <c r="AB117" s="4" t="s">
        <v>1603</v>
      </c>
      <c r="AC117" s="4" t="s">
        <v>1635</v>
      </c>
    </row>
    <row r="118" spans="8:36" x14ac:dyDescent="0.2">
      <c r="H118">
        <v>-1781</v>
      </c>
      <c r="I118" s="4" t="s">
        <v>1218</v>
      </c>
      <c r="J118">
        <v>-1781</v>
      </c>
      <c r="K118">
        <v>364.5</v>
      </c>
      <c r="L118">
        <v>6.8</v>
      </c>
      <c r="R118">
        <v>7.8</v>
      </c>
      <c r="W118" t="s">
        <v>1622</v>
      </c>
      <c r="X118" s="4" t="s">
        <v>487</v>
      </c>
      <c r="Y118" s="4" t="s">
        <v>1635</v>
      </c>
      <c r="AA118" t="s">
        <v>1623</v>
      </c>
      <c r="AB118" s="4" t="s">
        <v>1603</v>
      </c>
      <c r="AC118" s="4" t="s">
        <v>1635</v>
      </c>
      <c r="AI118">
        <v>-13.53</v>
      </c>
      <c r="AJ118" s="4" t="s">
        <v>1597</v>
      </c>
    </row>
    <row r="119" spans="8:36" x14ac:dyDescent="0.2">
      <c r="H119">
        <v>-1782</v>
      </c>
      <c r="I119" t="s">
        <v>1209</v>
      </c>
      <c r="J119">
        <v>-1782</v>
      </c>
      <c r="K119">
        <v>373.3</v>
      </c>
      <c r="L119">
        <v>6</v>
      </c>
      <c r="O119">
        <v>-2.5</v>
      </c>
      <c r="Q119">
        <f t="shared" ref="Q119:Q126" si="15">10^O119*K119/1000</f>
        <v>1.1804782505408548E-3</v>
      </c>
      <c r="R119">
        <v>6.8</v>
      </c>
      <c r="S119">
        <v>6.4</v>
      </c>
      <c r="T119">
        <v>230.8</v>
      </c>
      <c r="V119">
        <f t="shared" ref="V119:V126" si="16">K119*10^O119/1000</f>
        <v>1.1804782505408548E-3</v>
      </c>
      <c r="W119" t="s">
        <v>1625</v>
      </c>
      <c r="X119" s="4" t="s">
        <v>1603</v>
      </c>
      <c r="Y119" s="4" t="s">
        <v>1635</v>
      </c>
      <c r="AA119" t="s">
        <v>68</v>
      </c>
      <c r="AI119">
        <v>-14.03</v>
      </c>
      <c r="AJ119" s="4" t="s">
        <v>1597</v>
      </c>
    </row>
    <row r="120" spans="8:36" x14ac:dyDescent="0.2">
      <c r="H120">
        <v>-1783</v>
      </c>
      <c r="I120" s="4" t="s">
        <v>1219</v>
      </c>
      <c r="J120">
        <v>-1783</v>
      </c>
      <c r="K120">
        <v>389.3</v>
      </c>
      <c r="L120">
        <v>5.4</v>
      </c>
      <c r="O120">
        <v>-1.9</v>
      </c>
      <c r="Q120">
        <f t="shared" si="15"/>
        <v>4.9009966281146899E-3</v>
      </c>
      <c r="R120">
        <v>6.1</v>
      </c>
      <c r="S120">
        <v>5.8</v>
      </c>
      <c r="T120">
        <v>233.7</v>
      </c>
      <c r="V120">
        <f t="shared" si="16"/>
        <v>4.9009966281146899E-3</v>
      </c>
      <c r="W120" t="s">
        <v>1624</v>
      </c>
      <c r="X120" s="4" t="s">
        <v>487</v>
      </c>
      <c r="Y120" s="4" t="s">
        <v>1635</v>
      </c>
      <c r="AA120" t="s">
        <v>1626</v>
      </c>
      <c r="AB120" s="4" t="s">
        <v>1603</v>
      </c>
      <c r="AC120" s="4" t="s">
        <v>1635</v>
      </c>
      <c r="AI120">
        <v>-13.6</v>
      </c>
      <c r="AJ120" s="4" t="s">
        <v>1597</v>
      </c>
    </row>
    <row r="121" spans="8:36" x14ac:dyDescent="0.2">
      <c r="H121">
        <v>-1784</v>
      </c>
      <c r="I121" t="s">
        <v>1210</v>
      </c>
      <c r="J121">
        <v>-1784</v>
      </c>
      <c r="K121">
        <v>345.7</v>
      </c>
      <c r="L121">
        <v>5.0999999999999996</v>
      </c>
      <c r="O121">
        <v>-3.3</v>
      </c>
      <c r="Q121">
        <f t="shared" si="15"/>
        <v>1.7326042666494795E-4</v>
      </c>
      <c r="R121">
        <v>5.7</v>
      </c>
      <c r="S121">
        <v>6.6</v>
      </c>
      <c r="T121">
        <v>260.5</v>
      </c>
      <c r="V121">
        <f t="shared" si="16"/>
        <v>1.7326042666494795E-4</v>
      </c>
      <c r="W121" t="s">
        <v>1627</v>
      </c>
      <c r="X121" s="4" t="s">
        <v>487</v>
      </c>
      <c r="Y121" s="4" t="s">
        <v>1635</v>
      </c>
      <c r="AA121" t="s">
        <v>1624</v>
      </c>
      <c r="AB121" s="4" t="s">
        <v>1603</v>
      </c>
      <c r="AC121" s="4" t="s">
        <v>1635</v>
      </c>
      <c r="AI121">
        <v>-13.5</v>
      </c>
      <c r="AJ121" s="4" t="s">
        <v>1597</v>
      </c>
    </row>
    <row r="122" spans="8:36" x14ac:dyDescent="0.2">
      <c r="H122">
        <v>-1785</v>
      </c>
      <c r="I122" t="s">
        <v>1211</v>
      </c>
      <c r="J122">
        <v>-1785</v>
      </c>
      <c r="K122">
        <v>289.5</v>
      </c>
      <c r="L122">
        <v>4.8</v>
      </c>
      <c r="O122">
        <v>-1.4</v>
      </c>
      <c r="Q122">
        <f t="shared" si="15"/>
        <v>1.1525202587523745E-2</v>
      </c>
      <c r="R122">
        <v>5.4</v>
      </c>
      <c r="S122">
        <v>4.5999999999999996</v>
      </c>
      <c r="T122">
        <v>192.1</v>
      </c>
      <c r="V122">
        <f t="shared" si="16"/>
        <v>1.1525202587523745E-2</v>
      </c>
      <c r="W122" t="s">
        <v>1628</v>
      </c>
      <c r="X122" s="4" t="s">
        <v>1604</v>
      </c>
      <c r="Y122" s="4" t="s">
        <v>1637</v>
      </c>
    </row>
    <row r="123" spans="8:36" x14ac:dyDescent="0.2">
      <c r="H123">
        <v>-1786</v>
      </c>
      <c r="I123" t="s">
        <v>1212</v>
      </c>
      <c r="J123">
        <v>-1786</v>
      </c>
      <c r="K123">
        <v>303.60000000000002</v>
      </c>
      <c r="L123">
        <v>5.4</v>
      </c>
      <c r="O123">
        <v>-2.1</v>
      </c>
      <c r="Q123">
        <f t="shared" si="15"/>
        <v>2.411580520622918E-3</v>
      </c>
      <c r="R123">
        <v>6.1</v>
      </c>
      <c r="S123">
        <v>4.9000000000000004</v>
      </c>
      <c r="T123">
        <v>214.2</v>
      </c>
      <c r="V123">
        <f t="shared" si="16"/>
        <v>2.411580520622918E-3</v>
      </c>
      <c r="W123" t="s">
        <v>1619</v>
      </c>
      <c r="X123" s="4" t="s">
        <v>1604</v>
      </c>
      <c r="Y123" s="4" t="s">
        <v>1637</v>
      </c>
    </row>
    <row r="124" spans="8:36" x14ac:dyDescent="0.2">
      <c r="H124">
        <v>-1787</v>
      </c>
      <c r="I124" t="s">
        <v>1213</v>
      </c>
      <c r="J124">
        <v>-1787</v>
      </c>
      <c r="K124">
        <v>220.4</v>
      </c>
      <c r="L124">
        <v>4.5</v>
      </c>
      <c r="O124">
        <v>-2.2999999999999998</v>
      </c>
      <c r="Q124">
        <f t="shared" si="15"/>
        <v>1.1046166629145077E-3</v>
      </c>
      <c r="R124">
        <v>5</v>
      </c>
      <c r="S124">
        <v>4.7</v>
      </c>
      <c r="T124">
        <v>238.8</v>
      </c>
      <c r="V124">
        <f t="shared" si="16"/>
        <v>1.1046166629145077E-3</v>
      </c>
      <c r="W124" t="s">
        <v>1629</v>
      </c>
      <c r="X124" s="4" t="s">
        <v>1604</v>
      </c>
      <c r="Y124" s="4" t="s">
        <v>1637</v>
      </c>
    </row>
    <row r="125" spans="8:36" x14ac:dyDescent="0.2">
      <c r="H125">
        <v>-1788</v>
      </c>
      <c r="I125" t="s">
        <v>1214</v>
      </c>
      <c r="J125">
        <v>-1788</v>
      </c>
      <c r="K125">
        <v>206.3</v>
      </c>
      <c r="L125">
        <v>4</v>
      </c>
      <c r="O125">
        <v>-1.6</v>
      </c>
      <c r="Q125">
        <f t="shared" si="15"/>
        <v>5.1820217082042593E-3</v>
      </c>
      <c r="R125">
        <v>4.4000000000000004</v>
      </c>
      <c r="S125">
        <v>4.0999999999999996</v>
      </c>
      <c r="T125">
        <v>222.3</v>
      </c>
      <c r="V125">
        <f t="shared" si="16"/>
        <v>5.1820217082042593E-3</v>
      </c>
      <c r="W125" t="s">
        <v>1630</v>
      </c>
      <c r="X125" s="4" t="s">
        <v>1604</v>
      </c>
      <c r="Y125" s="4" t="s">
        <v>1637</v>
      </c>
    </row>
    <row r="126" spans="8:36" x14ac:dyDescent="0.2">
      <c r="H126">
        <v>-1789</v>
      </c>
      <c r="I126" t="s">
        <v>1215</v>
      </c>
      <c r="J126">
        <v>-1789</v>
      </c>
      <c r="K126">
        <v>206.3</v>
      </c>
      <c r="L126">
        <v>4.0999999999999996</v>
      </c>
      <c r="O126">
        <v>-0.9</v>
      </c>
      <c r="Q126">
        <f t="shared" si="15"/>
        <v>2.597163124531366E-2</v>
      </c>
      <c r="R126">
        <v>4.5</v>
      </c>
      <c r="S126">
        <v>3.1</v>
      </c>
      <c r="T126">
        <v>219.5</v>
      </c>
      <c r="V126">
        <f t="shared" si="16"/>
        <v>2.597163124531366E-2</v>
      </c>
      <c r="W126" t="s">
        <v>1616</v>
      </c>
      <c r="X126" s="4" t="s">
        <v>1604</v>
      </c>
      <c r="Y126" s="4" t="s">
        <v>1637</v>
      </c>
    </row>
    <row r="127" spans="8:36" x14ac:dyDescent="0.2">
      <c r="H127">
        <v>-1793</v>
      </c>
      <c r="I127" s="4" t="s">
        <v>1689</v>
      </c>
      <c r="K127">
        <v>180.2</v>
      </c>
      <c r="T127">
        <v>175.7</v>
      </c>
      <c r="X127" t="str">
        <f t="shared" ref="X127" si="17">LEFT(W127,3)</f>
        <v/>
      </c>
      <c r="AI127">
        <v>-12.47</v>
      </c>
      <c r="AJ127" s="4" t="s">
        <v>1691</v>
      </c>
    </row>
    <row r="128" spans="8:36" x14ac:dyDescent="0.2">
      <c r="H128">
        <v>-1794</v>
      </c>
      <c r="I128" s="4" t="s">
        <v>1690</v>
      </c>
      <c r="K128">
        <v>220.4</v>
      </c>
      <c r="T128">
        <v>235</v>
      </c>
      <c r="AI128">
        <v>-13.54</v>
      </c>
      <c r="AJ128" s="4" t="s">
        <v>1691</v>
      </c>
    </row>
  </sheetData>
  <sortState xmlns:xlrd2="http://schemas.microsoft.com/office/spreadsheetml/2017/richdata2" ref="AK28:AW72">
    <sortCondition descending="1" ref="AK28:AK72"/>
    <sortCondition descending="1" ref="AL28:AL72"/>
  </sortState>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27"/>
  <sheetViews>
    <sheetView zoomScale="70" zoomScaleNormal="70" workbookViewId="0">
      <selection activeCell="O20" sqref="O20:O27"/>
    </sheetView>
  </sheetViews>
  <sheetFormatPr defaultRowHeight="12.75" x14ac:dyDescent="0.2"/>
  <cols>
    <col min="1" max="1" width="9.140625" style="33"/>
    <col min="2" max="3" width="13.42578125" style="33" customWidth="1"/>
    <col min="4" max="16" width="11.7109375" style="33" customWidth="1"/>
    <col min="17" max="17" width="9.140625" style="33"/>
    <col min="18" max="19" width="11.7109375" style="33" customWidth="1"/>
    <col min="20" max="16384" width="9.140625" style="33"/>
  </cols>
  <sheetData>
    <row r="1" spans="1:25" x14ac:dyDescent="0.2">
      <c r="B1" s="33" t="s">
        <v>734</v>
      </c>
      <c r="X1" s="33" t="s">
        <v>754</v>
      </c>
    </row>
    <row r="2" spans="1:25" x14ac:dyDescent="0.2">
      <c r="B2" s="142" t="s">
        <v>731</v>
      </c>
      <c r="C2" s="143"/>
      <c r="D2" s="144"/>
      <c r="E2" s="142" t="s">
        <v>735</v>
      </c>
      <c r="F2" s="143"/>
      <c r="G2" s="143"/>
      <c r="H2" s="143"/>
      <c r="I2" s="144"/>
      <c r="J2" s="142" t="s">
        <v>532</v>
      </c>
      <c r="K2" s="143"/>
      <c r="L2" s="143"/>
      <c r="M2" s="143"/>
      <c r="N2" s="143"/>
      <c r="O2" s="143"/>
      <c r="P2" s="143"/>
      <c r="Q2" s="143"/>
      <c r="R2" s="143"/>
      <c r="S2" s="143"/>
      <c r="T2" s="143"/>
      <c r="U2" s="144"/>
      <c r="W2" s="145"/>
      <c r="X2" s="33" t="s">
        <v>9</v>
      </c>
      <c r="Y2" s="33">
        <v>0.03</v>
      </c>
    </row>
    <row r="3" spans="1:25" x14ac:dyDescent="0.2">
      <c r="B3" s="73" t="s">
        <v>742</v>
      </c>
      <c r="C3" s="73" t="s">
        <v>732</v>
      </c>
      <c r="D3" s="73"/>
      <c r="E3" s="73" t="s">
        <v>736</v>
      </c>
      <c r="F3" s="73"/>
      <c r="G3" s="73" t="s">
        <v>398</v>
      </c>
      <c r="H3" s="73"/>
      <c r="I3" s="73" t="s">
        <v>34</v>
      </c>
      <c r="J3" s="73" t="s">
        <v>397</v>
      </c>
      <c r="K3" s="73" t="s">
        <v>399</v>
      </c>
      <c r="L3" s="73" t="s">
        <v>365</v>
      </c>
      <c r="M3" s="73" t="s">
        <v>745</v>
      </c>
      <c r="N3" s="73" t="s">
        <v>743</v>
      </c>
      <c r="O3" s="73" t="s">
        <v>747</v>
      </c>
      <c r="P3" s="73" t="s">
        <v>749</v>
      </c>
      <c r="Q3" s="73" t="s">
        <v>746</v>
      </c>
      <c r="R3" s="73" t="s">
        <v>748</v>
      </c>
      <c r="S3" s="73" t="s">
        <v>743</v>
      </c>
      <c r="T3" s="73" t="s">
        <v>751</v>
      </c>
      <c r="U3" s="73" t="s">
        <v>750</v>
      </c>
      <c r="W3" s="33" t="s">
        <v>749</v>
      </c>
      <c r="X3" s="33" t="s">
        <v>752</v>
      </c>
      <c r="Y3" s="33">
        <f>(-1.389+1)</f>
        <v>-0.38900000000000001</v>
      </c>
    </row>
    <row r="4" spans="1:25" x14ac:dyDescent="0.2">
      <c r="B4" s="168"/>
      <c r="C4" s="73" t="s">
        <v>733</v>
      </c>
      <c r="D4" s="73"/>
      <c r="E4" s="73" t="s">
        <v>737</v>
      </c>
      <c r="F4" s="73"/>
      <c r="G4" s="73" t="s">
        <v>367</v>
      </c>
      <c r="H4" s="73"/>
      <c r="I4" s="73" t="s">
        <v>738</v>
      </c>
      <c r="J4" s="73" t="s">
        <v>739</v>
      </c>
      <c r="K4" s="73" t="s">
        <v>740</v>
      </c>
      <c r="L4" s="73" t="s">
        <v>744</v>
      </c>
      <c r="M4" s="73"/>
      <c r="N4" s="73"/>
      <c r="O4" s="73"/>
      <c r="P4" s="73"/>
      <c r="Q4" s="73"/>
      <c r="R4" s="73"/>
      <c r="S4" s="73"/>
      <c r="T4" s="73"/>
      <c r="U4" s="73"/>
      <c r="W4" s="33" t="s">
        <v>386</v>
      </c>
      <c r="X4" s="33" t="s">
        <v>753</v>
      </c>
      <c r="Y4" s="33">
        <v>1.2</v>
      </c>
    </row>
    <row r="5" spans="1:25" ht="15.75" x14ac:dyDescent="0.2">
      <c r="B5" s="168"/>
      <c r="C5" s="73" t="s">
        <v>400</v>
      </c>
      <c r="D5" s="73" t="s">
        <v>420</v>
      </c>
      <c r="E5" s="73" t="s">
        <v>401</v>
      </c>
      <c r="F5" s="73" t="s">
        <v>741</v>
      </c>
      <c r="G5" s="73" t="s">
        <v>402</v>
      </c>
      <c r="H5" s="73" t="s">
        <v>1229</v>
      </c>
      <c r="I5" s="73" t="s">
        <v>7</v>
      </c>
      <c r="J5" s="73" t="s">
        <v>402</v>
      </c>
      <c r="K5" s="73"/>
      <c r="L5" s="73" t="s">
        <v>400</v>
      </c>
      <c r="M5" s="73"/>
      <c r="N5" s="73"/>
      <c r="O5" s="73"/>
      <c r="P5" s="73"/>
      <c r="Q5" s="73"/>
      <c r="R5" s="73"/>
      <c r="S5" s="73"/>
      <c r="T5" s="73"/>
      <c r="U5" s="73"/>
    </row>
    <row r="6" spans="1:25" x14ac:dyDescent="0.2">
      <c r="A6" s="33">
        <v>1</v>
      </c>
      <c r="B6" s="33" t="s">
        <v>374</v>
      </c>
      <c r="C6" s="33">
        <f>D6/10^3</f>
        <v>5.62E-2</v>
      </c>
      <c r="D6" s="33">
        <v>56.2</v>
      </c>
      <c r="E6" s="33">
        <v>1.0109999999999999</v>
      </c>
      <c r="F6" s="33">
        <f t="shared" ref="F6:F13" si="0">E6*10000</f>
        <v>10109.999999999998</v>
      </c>
      <c r="G6" s="33">
        <v>2.9</v>
      </c>
      <c r="H6" s="33">
        <f>G6/24/60/60*10^-8</f>
        <v>3.3564814814814817E-13</v>
      </c>
      <c r="I6" s="33">
        <f t="shared" ref="I6:I13" si="1">0.117*0.0254</f>
        <v>2.9718000000000001E-3</v>
      </c>
      <c r="J6" s="49">
        <f>F6*I6/(C6*10^9)/10^-8</f>
        <v>53.460672597864765</v>
      </c>
      <c r="K6" s="49">
        <f t="shared" ref="K6:K13" si="2">J6/G6</f>
        <v>18.434714688918884</v>
      </c>
      <c r="L6" s="49">
        <v>0.61059105234897149</v>
      </c>
      <c r="M6" s="104">
        <f>C6/L6</f>
        <v>9.2041964558432443E-2</v>
      </c>
      <c r="N6" s="104">
        <f>D6/D$6</f>
        <v>1</v>
      </c>
      <c r="O6" s="104">
        <f>K6/K$6</f>
        <v>1</v>
      </c>
      <c r="P6" s="104">
        <f>G6/G$6</f>
        <v>1</v>
      </c>
      <c r="Q6" s="104">
        <f>J6/J$6</f>
        <v>1</v>
      </c>
      <c r="R6" s="104">
        <f>E6/E$6</f>
        <v>1</v>
      </c>
      <c r="S6" s="104"/>
      <c r="W6" s="104">
        <f t="shared" ref="W6:W13" si="3">Y$2/Y$3*(M6^Y$3)+Y$4</f>
        <v>1.0049341941693923</v>
      </c>
    </row>
    <row r="7" spans="1:25" x14ac:dyDescent="0.2">
      <c r="A7" s="33">
        <v>2</v>
      </c>
      <c r="B7" s="33" t="s">
        <v>20</v>
      </c>
      <c r="C7" s="33">
        <f t="shared" ref="C7:C13" si="4">D7/10^3</f>
        <v>2.63E-2</v>
      </c>
      <c r="D7" s="33">
        <v>26.3</v>
      </c>
      <c r="E7" s="33">
        <v>0.32500000000000001</v>
      </c>
      <c r="F7" s="33">
        <f t="shared" si="0"/>
        <v>3250</v>
      </c>
      <c r="G7" s="33">
        <v>2.6</v>
      </c>
      <c r="H7" s="33">
        <f t="shared" ref="H7:H13" si="5">G7/24/60/60*10^-8</f>
        <v>3.0092592592592594E-13</v>
      </c>
      <c r="I7" s="33">
        <f t="shared" si="1"/>
        <v>2.9718000000000001E-3</v>
      </c>
      <c r="J7" s="49">
        <f t="shared" ref="J7:J13" si="6">E7*10000*I7/(C7*10^9)/10^-8</f>
        <v>36.723764258555136</v>
      </c>
      <c r="K7" s="49">
        <f t="shared" si="2"/>
        <v>14.124524714828897</v>
      </c>
      <c r="L7" s="49">
        <v>0.61059105234897149</v>
      </c>
      <c r="M7" s="104">
        <f t="shared" ref="M7:M13" si="7">C7/L7</f>
        <v>4.3073019001544005E-2</v>
      </c>
      <c r="N7" s="104">
        <f>D7/D$6</f>
        <v>0.46797153024911031</v>
      </c>
      <c r="O7" s="104">
        <f>K7/K$6</f>
        <v>0.76619166356391488</v>
      </c>
      <c r="P7" s="104">
        <f>G7/G$6</f>
        <v>0.89655172413793105</v>
      </c>
      <c r="Q7" s="104">
        <f>J7/J$6</f>
        <v>0.68693045698833755</v>
      </c>
      <c r="R7" s="104">
        <f>E7/E$6</f>
        <v>0.32146389713155293</v>
      </c>
      <c r="S7" s="104">
        <f>AVERAGE(M6:M7)</f>
        <v>6.7557491779988224E-2</v>
      </c>
      <c r="T7" s="104">
        <f>(O6-O7)/($M6-$M7)</f>
        <v>4.7746246887114241</v>
      </c>
      <c r="U7" s="104">
        <f>(P6/P7-1)/($M6-$M7)</f>
        <v>2.3562813957382489</v>
      </c>
      <c r="W7" s="104">
        <f t="shared" si="3"/>
        <v>0.93790074483600727</v>
      </c>
    </row>
    <row r="8" spans="1:25" x14ac:dyDescent="0.2">
      <c r="A8" s="33">
        <v>3</v>
      </c>
      <c r="B8" s="33" t="s">
        <v>20</v>
      </c>
      <c r="C8" s="33">
        <f t="shared" si="4"/>
        <v>5.1999999999999998E-3</v>
      </c>
      <c r="D8" s="33">
        <v>5.2</v>
      </c>
      <c r="E8" s="33">
        <v>5.1999999999999998E-2</v>
      </c>
      <c r="F8" s="33">
        <f t="shared" si="0"/>
        <v>520</v>
      </c>
      <c r="G8" s="33">
        <v>2.2000000000000002</v>
      </c>
      <c r="H8" s="33">
        <f t="shared" si="5"/>
        <v>2.5462962962962965E-13</v>
      </c>
      <c r="I8" s="33">
        <f t="shared" si="1"/>
        <v>2.9718000000000001E-3</v>
      </c>
      <c r="J8" s="49">
        <f t="shared" si="6"/>
        <v>29.718</v>
      </c>
      <c r="K8" s="49">
        <f t="shared" si="2"/>
        <v>13.508181818181818</v>
      </c>
      <c r="L8" s="49">
        <v>0.61059105234897149</v>
      </c>
      <c r="M8" s="104">
        <f t="shared" si="7"/>
        <v>8.5163383577197271E-3</v>
      </c>
      <c r="N8" s="104">
        <f>D8/D$6</f>
        <v>9.2526690391459068E-2</v>
      </c>
      <c r="O8" s="104">
        <f>K8/K$6</f>
        <v>0.73275784551748946</v>
      </c>
      <c r="P8" s="104">
        <f>G8/G$6</f>
        <v>0.75862068965517249</v>
      </c>
      <c r="Q8" s="104">
        <f>J8/J$6</f>
        <v>0.55588526211671618</v>
      </c>
      <c r="R8" s="104">
        <f>E8/E$6</f>
        <v>5.1434223541048471E-2</v>
      </c>
      <c r="S8" s="104">
        <f>AVERAGE(M7:M8)</f>
        <v>2.5794678679631866E-2</v>
      </c>
      <c r="T8" s="104">
        <f>(O7-O8)/($M7-$M8)</f>
        <v>0.96750664194364611</v>
      </c>
      <c r="U8" s="104">
        <f>(P7/P8-1)/($M7-$M8)</f>
        <v>5.261448102963989</v>
      </c>
      <c r="W8" s="104">
        <f t="shared" si="3"/>
        <v>0.70761674810874275</v>
      </c>
    </row>
    <row r="9" spans="1:25" x14ac:dyDescent="0.2">
      <c r="A9" s="33">
        <v>4</v>
      </c>
      <c r="B9" s="33" t="s">
        <v>20</v>
      </c>
      <c r="C9" s="33">
        <f t="shared" si="4"/>
        <v>5.0000000000000001E-4</v>
      </c>
      <c r="D9" s="33">
        <v>0.5</v>
      </c>
      <c r="E9" s="33">
        <v>4.62E-3</v>
      </c>
      <c r="F9" s="33">
        <f t="shared" si="0"/>
        <v>46.2</v>
      </c>
      <c r="G9" s="33">
        <v>1.5</v>
      </c>
      <c r="H9" s="33">
        <f t="shared" si="5"/>
        <v>1.7361111111111111E-13</v>
      </c>
      <c r="I9" s="33">
        <f t="shared" si="1"/>
        <v>2.9718000000000001E-3</v>
      </c>
      <c r="J9" s="49">
        <f t="shared" si="6"/>
        <v>27.459432000000003</v>
      </c>
      <c r="K9" s="49">
        <f t="shared" si="2"/>
        <v>18.306288000000002</v>
      </c>
      <c r="L9" s="49">
        <v>0.61059105234897149</v>
      </c>
      <c r="M9" s="104">
        <f t="shared" si="7"/>
        <v>8.1887868824228151E-4</v>
      </c>
      <c r="N9" s="104">
        <f>D9/D$6</f>
        <v>8.8967971530249101E-3</v>
      </c>
      <c r="O9" s="104">
        <f>K9/K$6</f>
        <v>0.99303343224530183</v>
      </c>
      <c r="P9" s="104">
        <f>G9/G$6</f>
        <v>0.51724137931034486</v>
      </c>
      <c r="Q9" s="104">
        <f>J9/J$6</f>
        <v>0.51363798219584578</v>
      </c>
      <c r="R9" s="104">
        <f>E9/E$6</f>
        <v>4.5697329376854605E-3</v>
      </c>
      <c r="S9" s="104">
        <f>AVERAGE(M8:M9)</f>
        <v>4.6676085229810042E-3</v>
      </c>
      <c r="T9" s="104">
        <f>(O8-O9)/($M8-$M9)</f>
        <v>-33.813179659761907</v>
      </c>
      <c r="U9" s="104">
        <f>(P8/P9-1)/($M8-$M9)</f>
        <v>60.626061935358884</v>
      </c>
      <c r="W9" s="104">
        <f t="shared" si="3"/>
        <v>-2.4416691175564109E-2</v>
      </c>
    </row>
    <row r="10" spans="1:25" x14ac:dyDescent="0.2">
      <c r="A10" s="33">
        <v>5</v>
      </c>
      <c r="B10" s="33" t="s">
        <v>375</v>
      </c>
      <c r="C10" s="33">
        <f t="shared" si="4"/>
        <v>6.7500000000000004E-2</v>
      </c>
      <c r="D10" s="33">
        <v>67.5</v>
      </c>
      <c r="E10" s="33">
        <v>1.044</v>
      </c>
      <c r="F10" s="33">
        <f t="shared" si="0"/>
        <v>10440</v>
      </c>
      <c r="G10" s="33">
        <v>3.2</v>
      </c>
      <c r="H10" s="33">
        <f t="shared" si="5"/>
        <v>3.7037037037037036E-13</v>
      </c>
      <c r="I10" s="33">
        <f t="shared" si="1"/>
        <v>2.9718000000000001E-3</v>
      </c>
      <c r="J10" s="49">
        <f t="shared" si="6"/>
        <v>45.963840000000005</v>
      </c>
      <c r="K10" s="49">
        <f t="shared" si="2"/>
        <v>14.363700000000001</v>
      </c>
      <c r="L10" s="49">
        <v>1.9888988259336799</v>
      </c>
      <c r="M10" s="104">
        <f t="shared" si="7"/>
        <v>3.3938377920411524E-2</v>
      </c>
      <c r="N10" s="104">
        <f>D10/D$10</f>
        <v>1</v>
      </c>
      <c r="O10" s="104">
        <f>K10/K$10</f>
        <v>1</v>
      </c>
      <c r="P10" s="104">
        <f>G10/G$10</f>
        <v>1</v>
      </c>
      <c r="Q10" s="104">
        <f>J10/J$10</f>
        <v>1</v>
      </c>
      <c r="R10" s="104">
        <f>E10/E$10</f>
        <v>1</v>
      </c>
      <c r="S10" s="104"/>
      <c r="W10" s="104">
        <f t="shared" si="3"/>
        <v>0.91243712118764986</v>
      </c>
    </row>
    <row r="11" spans="1:25" x14ac:dyDescent="0.2">
      <c r="A11" s="33">
        <v>6</v>
      </c>
      <c r="B11" s="33" t="s">
        <v>376</v>
      </c>
      <c r="C11" s="33">
        <f t="shared" si="4"/>
        <v>3.1199999999999999E-2</v>
      </c>
      <c r="D11" s="33">
        <v>31.2</v>
      </c>
      <c r="E11" s="33">
        <v>0.34399999999999997</v>
      </c>
      <c r="F11" s="33">
        <f t="shared" si="0"/>
        <v>3439.9999999999995</v>
      </c>
      <c r="G11" s="33">
        <v>3.1</v>
      </c>
      <c r="H11" s="33">
        <f t="shared" si="5"/>
        <v>3.5879629629629636E-13</v>
      </c>
      <c r="I11" s="33">
        <f t="shared" si="1"/>
        <v>2.9718000000000001E-3</v>
      </c>
      <c r="J11" s="49">
        <f t="shared" si="6"/>
        <v>32.765999999999998</v>
      </c>
      <c r="K11" s="49">
        <f t="shared" si="2"/>
        <v>10.569677419354838</v>
      </c>
      <c r="L11" s="49">
        <v>1.9888988259336799</v>
      </c>
      <c r="M11" s="104">
        <f t="shared" si="7"/>
        <v>1.5687072460990215E-2</v>
      </c>
      <c r="N11" s="104">
        <f>D11/D$10</f>
        <v>0.4622222222222222</v>
      </c>
      <c r="O11" s="104">
        <f>K11/K$10</f>
        <v>0.73586035766235969</v>
      </c>
      <c r="P11" s="104">
        <f>G11/G$10</f>
        <v>0.96875</v>
      </c>
      <c r="Q11" s="104">
        <f>J11/J$10</f>
        <v>0.71286472148541102</v>
      </c>
      <c r="R11" s="104">
        <f>E11/E$10</f>
        <v>0.32950191570881221</v>
      </c>
      <c r="S11" s="104">
        <f>AVERAGE(M10:M11)</f>
        <v>2.4812725190700869E-2</v>
      </c>
      <c r="T11" s="104">
        <f>(O10-O11)/($M10-$M11)</f>
        <v>14.472369821704543</v>
      </c>
      <c r="U11" s="149">
        <f>(P10/P11-1)/($M10-$M11)</f>
        <v>1.7674387504964701</v>
      </c>
      <c r="W11" s="104">
        <f t="shared" si="3"/>
        <v>0.81175501619667301</v>
      </c>
    </row>
    <row r="12" spans="1:25" x14ac:dyDescent="0.2">
      <c r="A12" s="33">
        <v>7</v>
      </c>
      <c r="B12" s="33" t="s">
        <v>376</v>
      </c>
      <c r="C12" s="33">
        <f t="shared" si="4"/>
        <v>6.0000000000000001E-3</v>
      </c>
      <c r="D12" s="33">
        <v>6</v>
      </c>
      <c r="E12" s="33">
        <v>5.7000000000000002E-2</v>
      </c>
      <c r="F12" s="33">
        <f t="shared" si="0"/>
        <v>570</v>
      </c>
      <c r="G12" s="33">
        <v>2.5</v>
      </c>
      <c r="H12" s="33">
        <f t="shared" si="5"/>
        <v>2.8935185185185189E-13</v>
      </c>
      <c r="I12" s="33">
        <f t="shared" si="1"/>
        <v>2.9718000000000001E-3</v>
      </c>
      <c r="J12" s="49">
        <f t="shared" si="6"/>
        <v>28.232100000000003</v>
      </c>
      <c r="K12" s="49">
        <f t="shared" si="2"/>
        <v>11.292840000000002</v>
      </c>
      <c r="L12" s="49">
        <v>1.9888988259336799</v>
      </c>
      <c r="M12" s="104">
        <f t="shared" si="7"/>
        <v>3.0167447040365795E-3</v>
      </c>
      <c r="N12" s="104">
        <f>D12/D$10</f>
        <v>8.8888888888888892E-2</v>
      </c>
      <c r="O12" s="104">
        <f>K12/K$10</f>
        <v>0.78620689655172415</v>
      </c>
      <c r="P12" s="104">
        <f>G12/G$10</f>
        <v>0.78125</v>
      </c>
      <c r="Q12" s="104">
        <f>J12/J$10</f>
        <v>0.61422413793103448</v>
      </c>
      <c r="R12" s="104">
        <f>E12/E$10</f>
        <v>5.459770114942529E-2</v>
      </c>
      <c r="S12" s="104">
        <f>AVERAGE(M11:M12)</f>
        <v>9.3519085825133977E-3</v>
      </c>
      <c r="T12" s="104">
        <f>(O11-O12)/($M11-$M12)</f>
        <v>-3.9735782574159262</v>
      </c>
      <c r="U12" s="149">
        <f>(P11/P12-1)/($M11-$M12)</f>
        <v>18.941893580320759</v>
      </c>
      <c r="W12" s="104">
        <f t="shared" si="3"/>
        <v>0.46272220545611842</v>
      </c>
    </row>
    <row r="13" spans="1:25" x14ac:dyDescent="0.2">
      <c r="A13" s="33">
        <v>8</v>
      </c>
      <c r="B13" s="33" t="s">
        <v>376</v>
      </c>
      <c r="C13" s="33">
        <f t="shared" si="4"/>
        <v>5.9999999999999995E-4</v>
      </c>
      <c r="D13" s="33">
        <v>0.6</v>
      </c>
      <c r="E13" s="33">
        <v>4.5999999999999999E-3</v>
      </c>
      <c r="F13" s="33">
        <f t="shared" si="0"/>
        <v>46</v>
      </c>
      <c r="G13" s="33">
        <v>1.5</v>
      </c>
      <c r="H13" s="33">
        <f t="shared" si="5"/>
        <v>1.7361111111111111E-13</v>
      </c>
      <c r="I13" s="33">
        <f t="shared" si="1"/>
        <v>2.9718000000000001E-3</v>
      </c>
      <c r="J13" s="49">
        <f t="shared" si="6"/>
        <v>22.783800000000003</v>
      </c>
      <c r="K13" s="49">
        <f t="shared" si="2"/>
        <v>15.189200000000001</v>
      </c>
      <c r="L13" s="49">
        <v>1.9888988259336799</v>
      </c>
      <c r="M13" s="104">
        <f t="shared" si="7"/>
        <v>3.0167447040365796E-4</v>
      </c>
      <c r="N13" s="104">
        <f>D13/D$10</f>
        <v>8.8888888888888889E-3</v>
      </c>
      <c r="O13" s="104">
        <f>K13/K$10</f>
        <v>1.0574712643678161</v>
      </c>
      <c r="P13" s="104">
        <f>G13/G$10</f>
        <v>0.46875</v>
      </c>
      <c r="Q13" s="104">
        <f>J13/J$10</f>
        <v>0.49568965517241381</v>
      </c>
      <c r="R13" s="104">
        <f>E13/E$10</f>
        <v>4.4061302681992331E-3</v>
      </c>
      <c r="S13" s="104">
        <f>AVERAGE(M12:M13)</f>
        <v>1.6592095872201187E-3</v>
      </c>
      <c r="T13" s="104">
        <f>(O12-O13)/($M12-$M13)</f>
        <v>-99.910626419827267</v>
      </c>
      <c r="U13" s="149">
        <f>(P12/P13-1)/($M12-$M13)</f>
        <v>245.54306493008397</v>
      </c>
      <c r="W13" s="104">
        <f t="shared" si="3"/>
        <v>-0.60563994564578238</v>
      </c>
    </row>
    <row r="15" spans="1:25" x14ac:dyDescent="0.2">
      <c r="I15" s="33" t="s">
        <v>403</v>
      </c>
    </row>
    <row r="20" spans="15:15" x14ac:dyDescent="0.2">
      <c r="O20" s="33">
        <f>G6*K6</f>
        <v>53.460672597864765</v>
      </c>
    </row>
    <row r="21" spans="15:15" x14ac:dyDescent="0.2">
      <c r="O21" s="33">
        <f t="shared" ref="O21:O27" si="8">G7*K7</f>
        <v>36.723764258555136</v>
      </c>
    </row>
    <row r="22" spans="15:15" x14ac:dyDescent="0.2">
      <c r="O22" s="33">
        <f t="shared" si="8"/>
        <v>29.718</v>
      </c>
    </row>
    <row r="23" spans="15:15" x14ac:dyDescent="0.2">
      <c r="O23" s="33">
        <f t="shared" si="8"/>
        <v>27.459432000000003</v>
      </c>
    </row>
    <row r="24" spans="15:15" x14ac:dyDescent="0.2">
      <c r="O24" s="33">
        <f t="shared" si="8"/>
        <v>45.963840000000005</v>
      </c>
    </row>
    <row r="25" spans="15:15" x14ac:dyDescent="0.2">
      <c r="O25" s="33">
        <f t="shared" si="8"/>
        <v>32.765999999999998</v>
      </c>
    </row>
    <row r="26" spans="15:15" x14ac:dyDescent="0.2">
      <c r="O26" s="33">
        <f t="shared" si="8"/>
        <v>28.232100000000003</v>
      </c>
    </row>
    <row r="27" spans="15:15" x14ac:dyDescent="0.2">
      <c r="O27" s="33">
        <f t="shared" si="8"/>
        <v>22.783800000000003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F45"/>
  <sheetViews>
    <sheetView zoomScale="70" zoomScaleNormal="70" workbookViewId="0">
      <selection activeCell="AA9" sqref="AA9"/>
    </sheetView>
  </sheetViews>
  <sheetFormatPr defaultRowHeight="12.75" x14ac:dyDescent="0.2"/>
  <cols>
    <col min="2" max="2" width="19.140625" customWidth="1"/>
    <col min="10" max="10" width="13.7109375" bestFit="1" customWidth="1"/>
  </cols>
  <sheetData>
    <row r="1" spans="1:32" x14ac:dyDescent="0.2">
      <c r="B1" t="s">
        <v>756</v>
      </c>
      <c r="K1" s="4"/>
      <c r="U1" s="4" t="s">
        <v>532</v>
      </c>
    </row>
    <row r="2" spans="1:32" x14ac:dyDescent="0.2">
      <c r="B2" s="107" t="s">
        <v>763</v>
      </c>
      <c r="C2" s="110"/>
      <c r="D2" s="110"/>
      <c r="E2" s="110"/>
      <c r="F2" s="111"/>
      <c r="G2" s="107" t="s">
        <v>773</v>
      </c>
      <c r="H2" s="110"/>
      <c r="I2" s="110"/>
      <c r="J2" s="110"/>
      <c r="K2" s="108" t="s">
        <v>775</v>
      </c>
      <c r="L2" s="111"/>
      <c r="O2" s="107" t="s">
        <v>776</v>
      </c>
      <c r="P2" s="108"/>
      <c r="Q2" s="108"/>
      <c r="R2" s="110"/>
      <c r="S2" s="110"/>
      <c r="T2" s="110"/>
      <c r="U2" s="110"/>
      <c r="V2" s="110"/>
      <c r="W2" s="110"/>
      <c r="X2" s="110"/>
      <c r="Y2" s="110"/>
      <c r="Z2" s="110"/>
      <c r="AA2" s="110"/>
      <c r="AB2" s="110"/>
      <c r="AC2" s="110"/>
      <c r="AD2" s="110"/>
    </row>
    <row r="3" spans="1:32" ht="15.75" x14ac:dyDescent="0.3">
      <c r="B3" s="61" t="s">
        <v>543</v>
      </c>
      <c r="C3" s="51" t="s">
        <v>43</v>
      </c>
      <c r="D3" s="51" t="s">
        <v>766</v>
      </c>
      <c r="E3" s="51" t="s">
        <v>365</v>
      </c>
      <c r="F3" s="51" t="s">
        <v>408</v>
      </c>
      <c r="G3" s="51" t="s">
        <v>767</v>
      </c>
      <c r="H3" s="51" t="s">
        <v>723</v>
      </c>
      <c r="I3" s="51"/>
      <c r="J3" s="51" t="s">
        <v>366</v>
      </c>
      <c r="K3" s="51" t="s">
        <v>768</v>
      </c>
      <c r="L3" s="52" t="s">
        <v>774</v>
      </c>
      <c r="M3" s="4"/>
      <c r="O3" s="61" t="s">
        <v>777</v>
      </c>
      <c r="P3" s="51" t="s">
        <v>43</v>
      </c>
      <c r="Q3" s="51" t="s">
        <v>365</v>
      </c>
      <c r="R3" s="51" t="s">
        <v>780</v>
      </c>
      <c r="S3" s="51"/>
      <c r="T3" s="51"/>
      <c r="U3" s="51" t="s">
        <v>779</v>
      </c>
      <c r="V3" s="51"/>
      <c r="W3" s="51"/>
      <c r="X3" s="51" t="s">
        <v>398</v>
      </c>
      <c r="Y3" s="51"/>
      <c r="Z3" s="51" t="s">
        <v>526</v>
      </c>
      <c r="AA3" s="51" t="s">
        <v>397</v>
      </c>
      <c r="AB3" s="51" t="s">
        <v>749</v>
      </c>
      <c r="AC3" s="51" t="s">
        <v>747</v>
      </c>
      <c r="AD3" s="52" t="s">
        <v>779</v>
      </c>
      <c r="AF3" s="4" t="s">
        <v>726</v>
      </c>
    </row>
    <row r="4" spans="1:32" x14ac:dyDescent="0.2">
      <c r="B4" s="62"/>
      <c r="C4" s="65"/>
      <c r="D4" s="65"/>
      <c r="E4" s="53" t="s">
        <v>764</v>
      </c>
      <c r="F4" s="65"/>
      <c r="G4" s="65"/>
      <c r="H4" s="65"/>
      <c r="I4" s="65"/>
      <c r="J4" s="65"/>
      <c r="K4" s="65"/>
      <c r="L4" s="55"/>
      <c r="O4" s="62"/>
      <c r="P4" s="65"/>
      <c r="Q4" s="65"/>
      <c r="R4" s="53" t="s">
        <v>778</v>
      </c>
      <c r="S4" s="53" t="s">
        <v>784</v>
      </c>
      <c r="T4" s="53" t="s">
        <v>784</v>
      </c>
      <c r="U4" s="53" t="s">
        <v>781</v>
      </c>
      <c r="V4" s="53" t="s">
        <v>782</v>
      </c>
      <c r="W4" s="53" t="s">
        <v>784</v>
      </c>
      <c r="X4" s="65"/>
      <c r="Y4" s="65"/>
      <c r="Z4" s="65"/>
      <c r="AA4" s="65"/>
      <c r="AB4" s="65"/>
      <c r="AC4" s="65"/>
      <c r="AD4" s="55"/>
    </row>
    <row r="5" spans="1:32" x14ac:dyDescent="0.2">
      <c r="B5" s="63"/>
      <c r="C5" s="57" t="s">
        <v>546</v>
      </c>
      <c r="D5" s="57" t="s">
        <v>523</v>
      </c>
      <c r="E5" s="57" t="s">
        <v>765</v>
      </c>
      <c r="F5" s="119" t="s">
        <v>289</v>
      </c>
      <c r="G5" s="66"/>
      <c r="H5" s="57" t="s">
        <v>772</v>
      </c>
      <c r="I5" s="57" t="s">
        <v>1229</v>
      </c>
      <c r="J5" s="57" t="s">
        <v>400</v>
      </c>
      <c r="K5" s="66"/>
      <c r="L5" s="59"/>
      <c r="O5" s="63"/>
      <c r="P5" s="57" t="s">
        <v>546</v>
      </c>
      <c r="Q5" s="57" t="s">
        <v>420</v>
      </c>
      <c r="R5" s="57" t="s">
        <v>783</v>
      </c>
      <c r="S5" s="57" t="s">
        <v>400</v>
      </c>
      <c r="T5" s="57" t="s">
        <v>400</v>
      </c>
      <c r="U5" s="66"/>
      <c r="V5" s="66"/>
      <c r="W5" s="66"/>
      <c r="X5" s="57" t="s">
        <v>772</v>
      </c>
      <c r="Y5" s="57"/>
      <c r="Z5" s="119" t="s">
        <v>289</v>
      </c>
      <c r="AA5" s="57" t="s">
        <v>772</v>
      </c>
      <c r="AB5" s="57"/>
      <c r="AC5" s="57"/>
      <c r="AD5" s="120" t="s">
        <v>785</v>
      </c>
    </row>
    <row r="6" spans="1:32" x14ac:dyDescent="0.2">
      <c r="A6">
        <v>1</v>
      </c>
      <c r="B6" s="4" t="s">
        <v>755</v>
      </c>
      <c r="C6">
        <v>58.1</v>
      </c>
      <c r="D6">
        <v>0.78900000000000003</v>
      </c>
      <c r="E6" s="4">
        <f>D6*10^6</f>
        <v>789000</v>
      </c>
      <c r="F6">
        <v>-0.24</v>
      </c>
      <c r="G6" s="146">
        <v>0.01</v>
      </c>
      <c r="H6" s="148">
        <v>0.51</v>
      </c>
      <c r="I6">
        <f>H6*10^-8*10^-4</f>
        <v>5.1000000000000005E-13</v>
      </c>
      <c r="J6" s="137">
        <f>G6*C$22/D6</f>
        <v>1.1913814955640051E-2</v>
      </c>
      <c r="K6" s="138">
        <f>G6*C$22/(E6*10^-6)</f>
        <v>1.1913814955640051E-2</v>
      </c>
      <c r="L6">
        <f>LOG(K6)</f>
        <v>-1.9239491496097216</v>
      </c>
      <c r="N6">
        <v>11</v>
      </c>
      <c r="O6" s="4" t="s">
        <v>492</v>
      </c>
      <c r="P6">
        <v>92.14</v>
      </c>
      <c r="Q6">
        <v>515</v>
      </c>
      <c r="R6">
        <v>5.03</v>
      </c>
      <c r="S6">
        <f>W6/U6*R6*P6/1000</f>
        <v>0.41969258111111107</v>
      </c>
      <c r="T6">
        <f>AVERAGE(U6:V6)*Q6/1000</f>
        <v>0.41972499999999996</v>
      </c>
      <c r="U6" s="140">
        <v>0.9</v>
      </c>
      <c r="V6" s="140">
        <v>0.73</v>
      </c>
      <c r="W6" s="140">
        <f>AVERAGE(U6:V6)</f>
        <v>0.81499999999999995</v>
      </c>
      <c r="X6">
        <v>5.14</v>
      </c>
      <c r="Y6">
        <f t="shared" ref="Y6:Y22" si="0">X6*10^-8*10^-4</f>
        <v>5.1400000000000003E-12</v>
      </c>
      <c r="Z6">
        <v>63.45</v>
      </c>
      <c r="AA6" s="141">
        <f>X6*Z6</f>
        <v>326.13299999999998</v>
      </c>
      <c r="AB6" s="140">
        <f>X6/X$6</f>
        <v>1</v>
      </c>
      <c r="AC6" s="140">
        <f>Z6/Z$6</f>
        <v>1</v>
      </c>
      <c r="AD6" s="141"/>
    </row>
    <row r="7" spans="1:32" x14ac:dyDescent="0.2">
      <c r="A7">
        <v>2</v>
      </c>
      <c r="B7" s="4" t="s">
        <v>503</v>
      </c>
      <c r="C7">
        <v>112.56</v>
      </c>
      <c r="D7">
        <v>1.107</v>
      </c>
      <c r="E7">
        <v>488</v>
      </c>
      <c r="F7">
        <v>2.84</v>
      </c>
      <c r="G7" s="146">
        <v>9.8199999999999996E-2</v>
      </c>
      <c r="H7">
        <v>2.42</v>
      </c>
      <c r="I7">
        <f t="shared" ref="I7:I15" si="1">H7*10^-8*10^-4</f>
        <v>2.4199999999999998E-12</v>
      </c>
      <c r="J7" s="137">
        <f>G7*C$22</f>
        <v>9.2307999999999987E-2</v>
      </c>
      <c r="K7" s="138">
        <f t="shared" ref="K7:K15" si="2">G7*C$22/(E7*10^-6)</f>
        <v>189.15573770491801</v>
      </c>
      <c r="L7">
        <f t="shared" ref="L7:L15" si="3">LOG(K7)</f>
        <v>2.2768195193839378</v>
      </c>
      <c r="N7">
        <v>12</v>
      </c>
      <c r="P7">
        <f>P6</f>
        <v>92.14</v>
      </c>
      <c r="Q7">
        <f>Q6</f>
        <v>515</v>
      </c>
      <c r="R7">
        <v>3.25</v>
      </c>
      <c r="S7">
        <f t="shared" ref="S7:S22" si="4">W7/U7*R7*P7/1000</f>
        <v>0.26451858333333339</v>
      </c>
      <c r="T7">
        <f t="shared" ref="T7:T22" si="5">AVERAGE(U7:V7)*Q7/1000</f>
        <v>0.27294999999999997</v>
      </c>
      <c r="U7" s="140">
        <v>0.6</v>
      </c>
      <c r="V7" s="140">
        <v>0.46</v>
      </c>
      <c r="W7" s="140">
        <f t="shared" ref="W7:W22" si="6">AVERAGE(U7:V7)</f>
        <v>0.53</v>
      </c>
      <c r="X7">
        <v>4.72</v>
      </c>
      <c r="Y7">
        <f t="shared" si="0"/>
        <v>4.7200000000000001E-12</v>
      </c>
      <c r="Z7">
        <v>86.27</v>
      </c>
      <c r="AA7" s="141">
        <f t="shared" ref="AA7:AA22" si="7">X7*Z7</f>
        <v>407.19439999999997</v>
      </c>
      <c r="AB7" s="140">
        <f>X7/X$6</f>
        <v>0.91828793774319062</v>
      </c>
      <c r="AC7" s="140">
        <f>Z7/Z$6</f>
        <v>1.359653270291568</v>
      </c>
      <c r="AD7" s="140">
        <f>AVERAGE(W6:W7)</f>
        <v>0.67249999999999999</v>
      </c>
      <c r="AF7" s="140">
        <f>(X6/X7-1)/(W6-W7)</f>
        <v>0.31222123104371102</v>
      </c>
    </row>
    <row r="8" spans="1:32" x14ac:dyDescent="0.2">
      <c r="A8">
        <v>3</v>
      </c>
      <c r="B8" s="4" t="s">
        <v>758</v>
      </c>
      <c r="C8">
        <v>88.11</v>
      </c>
      <c r="D8">
        <v>0.90200000000000002</v>
      </c>
      <c r="E8">
        <v>85300</v>
      </c>
      <c r="F8">
        <v>0.73</v>
      </c>
      <c r="G8" s="146">
        <v>2.35E-2</v>
      </c>
      <c r="H8" s="148">
        <v>0.79</v>
      </c>
      <c r="I8">
        <f t="shared" si="1"/>
        <v>7.9000000000000017E-13</v>
      </c>
      <c r="J8" s="137">
        <f t="shared" ref="J8:J15" si="8">G8*C$22/D8</f>
        <v>2.4490022172948999E-2</v>
      </c>
      <c r="K8" s="138">
        <f t="shared" si="2"/>
        <v>0.25896834701055099</v>
      </c>
      <c r="L8">
        <f t="shared" si="3"/>
        <v>-0.5867533152960881</v>
      </c>
      <c r="N8">
        <v>13</v>
      </c>
      <c r="P8">
        <f t="shared" ref="P8:Q13" si="9">P7</f>
        <v>92.14</v>
      </c>
      <c r="Q8">
        <f t="shared" si="9"/>
        <v>515</v>
      </c>
      <c r="R8">
        <v>1.68</v>
      </c>
      <c r="S8">
        <f t="shared" si="4"/>
        <v>0.14189560000000001</v>
      </c>
      <c r="T8">
        <f t="shared" si="5"/>
        <v>0.141625</v>
      </c>
      <c r="U8" s="140">
        <v>0.3</v>
      </c>
      <c r="V8" s="140">
        <v>0.25</v>
      </c>
      <c r="W8" s="140">
        <f t="shared" si="6"/>
        <v>0.27500000000000002</v>
      </c>
      <c r="X8">
        <v>3.47</v>
      </c>
      <c r="Y8">
        <f t="shared" si="0"/>
        <v>3.47E-12</v>
      </c>
      <c r="Z8">
        <v>83.92</v>
      </c>
      <c r="AA8" s="141">
        <f t="shared" si="7"/>
        <v>291.20240000000001</v>
      </c>
      <c r="AB8" s="140">
        <f>X8/X$6</f>
        <v>0.67509727626459148</v>
      </c>
      <c r="AC8" s="140">
        <f>Z8/Z$6</f>
        <v>1.322616233254531</v>
      </c>
      <c r="AD8" s="140">
        <f t="shared" ref="AD8:AD22" si="10">AVERAGE(W7:W8)</f>
        <v>0.40250000000000002</v>
      </c>
      <c r="AF8" s="140">
        <f t="shared" ref="AF8:AF22" si="11">(X7/X8-1)/(W7-W8)</f>
        <v>1.4126688139232633</v>
      </c>
    </row>
    <row r="9" spans="1:32" x14ac:dyDescent="0.2">
      <c r="A9">
        <v>4</v>
      </c>
      <c r="B9" s="4" t="s">
        <v>694</v>
      </c>
      <c r="C9">
        <v>106.17</v>
      </c>
      <c r="D9">
        <v>0.86699999999999999</v>
      </c>
      <c r="E9">
        <v>152</v>
      </c>
      <c r="F9">
        <v>3.15</v>
      </c>
      <c r="G9" s="146">
        <v>7.85E-2</v>
      </c>
      <c r="H9">
        <v>2.78</v>
      </c>
      <c r="I9">
        <f t="shared" si="1"/>
        <v>2.7799999999999999E-12</v>
      </c>
      <c r="J9" s="137">
        <f t="shared" si="8"/>
        <v>8.5109573241061123E-2</v>
      </c>
      <c r="K9" s="138">
        <f t="shared" si="2"/>
        <v>485.46052631578948</v>
      </c>
      <c r="L9">
        <f t="shared" si="3"/>
        <v>2.6861539224001785</v>
      </c>
      <c r="N9">
        <v>14</v>
      </c>
      <c r="P9">
        <f t="shared" si="9"/>
        <v>92.14</v>
      </c>
      <c r="Q9">
        <f t="shared" si="9"/>
        <v>515</v>
      </c>
      <c r="R9">
        <v>0.28000000000000003</v>
      </c>
      <c r="S9">
        <f t="shared" si="4"/>
        <v>2.1929320000000002E-2</v>
      </c>
      <c r="T9">
        <f t="shared" si="5"/>
        <v>2.1887500000000004E-2</v>
      </c>
      <c r="U9" s="140">
        <v>0.05</v>
      </c>
      <c r="V9" s="140">
        <v>3.5000000000000003E-2</v>
      </c>
      <c r="W9" s="140">
        <f t="shared" si="6"/>
        <v>4.2500000000000003E-2</v>
      </c>
      <c r="X9">
        <v>5.55</v>
      </c>
      <c r="Y9">
        <f t="shared" si="0"/>
        <v>5.5500000000000004E-12</v>
      </c>
      <c r="Z9">
        <v>151.03</v>
      </c>
      <c r="AA9" s="141">
        <f t="shared" si="7"/>
        <v>838.2165</v>
      </c>
      <c r="AB9" s="140">
        <f>X9/X$6</f>
        <v>1.0797665369649805</v>
      </c>
      <c r="AC9" s="140">
        <f>Z9/Z$6</f>
        <v>2.3802994483845548</v>
      </c>
      <c r="AD9" s="140">
        <f t="shared" si="10"/>
        <v>0.15875</v>
      </c>
      <c r="AF9" s="140">
        <f t="shared" si="11"/>
        <v>-1.6119345151603213</v>
      </c>
    </row>
    <row r="10" spans="1:32" x14ac:dyDescent="0.2">
      <c r="A10">
        <v>5</v>
      </c>
      <c r="B10" s="4" t="s">
        <v>759</v>
      </c>
      <c r="C10">
        <v>86.18</v>
      </c>
      <c r="D10">
        <v>0.66</v>
      </c>
      <c r="E10">
        <v>140</v>
      </c>
      <c r="F10">
        <v>4.0999999999999996</v>
      </c>
      <c r="G10" s="146">
        <v>5.9900000000000002E-2</v>
      </c>
      <c r="H10">
        <v>3.61</v>
      </c>
      <c r="I10">
        <f t="shared" si="1"/>
        <v>3.6100000000000002E-12</v>
      </c>
      <c r="J10" s="137">
        <f t="shared" si="8"/>
        <v>8.5312121212121214E-2</v>
      </c>
      <c r="K10" s="138">
        <f t="shared" si="2"/>
        <v>402.18571428571431</v>
      </c>
      <c r="L10">
        <f t="shared" si="3"/>
        <v>2.6044266403107721</v>
      </c>
      <c r="N10">
        <v>15</v>
      </c>
      <c r="O10" s="4" t="s">
        <v>540</v>
      </c>
      <c r="P10">
        <v>131.38999999999999</v>
      </c>
      <c r="Q10">
        <v>1100</v>
      </c>
      <c r="R10">
        <v>8.3699999999999992</v>
      </c>
      <c r="S10">
        <f t="shared" si="4"/>
        <v>1.0062568844999999</v>
      </c>
      <c r="T10">
        <f t="shared" si="5"/>
        <v>1.0065</v>
      </c>
      <c r="U10" s="140">
        <v>1</v>
      </c>
      <c r="V10" s="140">
        <v>0.83</v>
      </c>
      <c r="W10" s="140">
        <f t="shared" si="6"/>
        <v>0.91500000000000004</v>
      </c>
      <c r="X10">
        <v>7.55</v>
      </c>
      <c r="Y10">
        <f t="shared" si="0"/>
        <v>7.5499999999999991E-12</v>
      </c>
      <c r="Z10">
        <v>52.25</v>
      </c>
      <c r="AA10" s="141">
        <f t="shared" si="7"/>
        <v>394.48750000000001</v>
      </c>
      <c r="AB10" s="140">
        <f>X10/X$10</f>
        <v>1</v>
      </c>
      <c r="AC10" s="140">
        <f>Z10/Z$10</f>
        <v>1</v>
      </c>
      <c r="AD10" s="140"/>
      <c r="AF10" s="140"/>
    </row>
    <row r="11" spans="1:32" x14ac:dyDescent="0.2">
      <c r="A11">
        <v>6</v>
      </c>
      <c r="B11" s="4" t="s">
        <v>760</v>
      </c>
      <c r="C11">
        <v>84.93</v>
      </c>
      <c r="D11">
        <v>1.327</v>
      </c>
      <c r="E11" s="148">
        <v>22000</v>
      </c>
      <c r="F11">
        <v>1.25</v>
      </c>
      <c r="G11" s="146">
        <v>8.4099999999999994E-2</v>
      </c>
      <c r="H11">
        <v>4.66</v>
      </c>
      <c r="I11">
        <f t="shared" si="1"/>
        <v>4.6599999999999999E-12</v>
      </c>
      <c r="J11" s="137">
        <f t="shared" si="8"/>
        <v>5.957347400150715E-2</v>
      </c>
      <c r="K11" s="138">
        <f t="shared" si="2"/>
        <v>3.5933636363636361</v>
      </c>
      <c r="L11">
        <f t="shared" si="3"/>
        <v>0.55550116857540455</v>
      </c>
      <c r="N11">
        <v>16</v>
      </c>
      <c r="P11">
        <f t="shared" si="9"/>
        <v>131.38999999999999</v>
      </c>
      <c r="Q11">
        <f t="shared" si="9"/>
        <v>1100</v>
      </c>
      <c r="R11">
        <v>5.0199999999999996</v>
      </c>
      <c r="S11">
        <f t="shared" si="4"/>
        <v>0.61175840949999982</v>
      </c>
      <c r="T11">
        <f t="shared" si="5"/>
        <v>0.61214999999999997</v>
      </c>
      <c r="U11" s="140">
        <v>0.6</v>
      </c>
      <c r="V11" s="140">
        <v>0.51300000000000001</v>
      </c>
      <c r="W11" s="140">
        <f t="shared" si="6"/>
        <v>0.55649999999999999</v>
      </c>
      <c r="X11">
        <v>7.22</v>
      </c>
      <c r="Y11">
        <f t="shared" si="0"/>
        <v>7.2200000000000003E-12</v>
      </c>
      <c r="Z11">
        <v>44.48</v>
      </c>
      <c r="AA11" s="141">
        <f t="shared" si="7"/>
        <v>321.14559999999994</v>
      </c>
      <c r="AB11" s="140">
        <f>X11/X$10</f>
        <v>0.9562913907284768</v>
      </c>
      <c r="AC11" s="140">
        <f>Z11/Z$10</f>
        <v>0.8512918660287081</v>
      </c>
      <c r="AD11" s="140">
        <f t="shared" si="10"/>
        <v>0.73575000000000002</v>
      </c>
      <c r="AF11" s="140">
        <f t="shared" si="11"/>
        <v>0.1274933645498908</v>
      </c>
    </row>
    <row r="12" spans="1:32" x14ac:dyDescent="0.2">
      <c r="A12">
        <v>7</v>
      </c>
      <c r="B12" s="4" t="s">
        <v>761</v>
      </c>
      <c r="C12">
        <v>114.23</v>
      </c>
      <c r="D12">
        <v>0.70299999999999996</v>
      </c>
      <c r="E12">
        <v>20</v>
      </c>
      <c r="F12">
        <v>5.18</v>
      </c>
      <c r="G12" s="146">
        <v>6.0400000000000002E-2</v>
      </c>
      <c r="H12">
        <v>1.89</v>
      </c>
      <c r="I12">
        <f t="shared" si="1"/>
        <v>1.8900000000000002E-12</v>
      </c>
      <c r="J12" s="137">
        <f t="shared" si="8"/>
        <v>8.0762446657183504E-2</v>
      </c>
      <c r="K12" s="138">
        <f t="shared" si="2"/>
        <v>2838.8</v>
      </c>
      <c r="L12">
        <f t="shared" si="3"/>
        <v>3.4531347965568493</v>
      </c>
      <c r="N12">
        <v>17</v>
      </c>
      <c r="P12">
        <f t="shared" si="9"/>
        <v>131.38999999999999</v>
      </c>
      <c r="Q12">
        <f t="shared" si="9"/>
        <v>1100</v>
      </c>
      <c r="R12">
        <v>2.5</v>
      </c>
      <c r="S12">
        <f t="shared" si="4"/>
        <v>0.30164954166666663</v>
      </c>
      <c r="T12">
        <f t="shared" si="5"/>
        <v>0.30304999999999993</v>
      </c>
      <c r="U12" s="140">
        <v>0.3</v>
      </c>
      <c r="V12" s="140">
        <v>0.251</v>
      </c>
      <c r="W12" s="140">
        <f t="shared" si="6"/>
        <v>0.27549999999999997</v>
      </c>
      <c r="X12">
        <v>5</v>
      </c>
      <c r="Y12">
        <f t="shared" si="0"/>
        <v>4.9999999999999997E-12</v>
      </c>
      <c r="Z12">
        <v>53.79</v>
      </c>
      <c r="AA12" s="141">
        <f t="shared" si="7"/>
        <v>268.95</v>
      </c>
      <c r="AB12" s="140">
        <f>X12/X$10</f>
        <v>0.66225165562913912</v>
      </c>
      <c r="AC12" s="140">
        <f>Z12/Z$10</f>
        <v>1.0294736842105263</v>
      </c>
      <c r="AD12" s="140">
        <f t="shared" si="10"/>
        <v>0.41599999999999998</v>
      </c>
      <c r="AF12" s="140">
        <f t="shared" si="11"/>
        <v>1.5800711743772238</v>
      </c>
    </row>
    <row r="13" spans="1:32" x14ac:dyDescent="0.2">
      <c r="A13">
        <v>8</v>
      </c>
      <c r="B13" s="4" t="s">
        <v>492</v>
      </c>
      <c r="C13">
        <v>92.14</v>
      </c>
      <c r="D13">
        <v>0.86699999999999999</v>
      </c>
      <c r="E13">
        <v>515</v>
      </c>
      <c r="F13">
        <v>2.69</v>
      </c>
      <c r="G13" s="146">
        <v>8.3799999999999999E-2</v>
      </c>
      <c r="H13">
        <v>4.4400000000000004</v>
      </c>
      <c r="I13">
        <f t="shared" si="1"/>
        <v>4.4400000000000013E-12</v>
      </c>
      <c r="J13" s="137">
        <f t="shared" si="8"/>
        <v>9.0855824682814293E-2</v>
      </c>
      <c r="K13" s="138">
        <f t="shared" si="2"/>
        <v>152.95533980582525</v>
      </c>
      <c r="L13">
        <f t="shared" si="3"/>
        <v>2.184564643188784</v>
      </c>
      <c r="N13">
        <v>18</v>
      </c>
      <c r="P13">
        <f t="shared" si="9"/>
        <v>131.38999999999999</v>
      </c>
      <c r="Q13">
        <f t="shared" si="9"/>
        <v>1100</v>
      </c>
      <c r="R13">
        <v>0.42</v>
      </c>
      <c r="S13">
        <f t="shared" si="4"/>
        <v>4.8561743999999983E-2</v>
      </c>
      <c r="T13">
        <f t="shared" si="5"/>
        <v>4.8399999999999999E-2</v>
      </c>
      <c r="U13" s="140">
        <v>0.05</v>
      </c>
      <c r="V13" s="140">
        <v>3.7999999999999999E-2</v>
      </c>
      <c r="W13" s="140">
        <f t="shared" si="6"/>
        <v>4.3999999999999997E-2</v>
      </c>
      <c r="X13">
        <v>4.4400000000000004</v>
      </c>
      <c r="Y13">
        <f t="shared" si="0"/>
        <v>4.4400000000000013E-12</v>
      </c>
      <c r="Z13">
        <v>82.31</v>
      </c>
      <c r="AA13" s="141">
        <f t="shared" si="7"/>
        <v>365.45640000000003</v>
      </c>
      <c r="AB13" s="140">
        <f>X13/X$10</f>
        <v>0.58807947019867557</v>
      </c>
      <c r="AC13" s="140">
        <f>Z13/Z$10</f>
        <v>1.575311004784689</v>
      </c>
      <c r="AD13" s="140">
        <f t="shared" si="10"/>
        <v>0.15974999999999998</v>
      </c>
      <c r="AF13" s="140">
        <f t="shared" si="11"/>
        <v>0.54482127916253109</v>
      </c>
    </row>
    <row r="14" spans="1:32" x14ac:dyDescent="0.2">
      <c r="A14">
        <v>9</v>
      </c>
      <c r="B14" s="4" t="s">
        <v>540</v>
      </c>
      <c r="C14">
        <v>131.38999999999999</v>
      </c>
      <c r="D14">
        <v>1.4670000000000001</v>
      </c>
      <c r="E14">
        <v>1100</v>
      </c>
      <c r="F14">
        <v>2.5299999999999998</v>
      </c>
      <c r="G14" s="146">
        <v>0.17069999999999999</v>
      </c>
      <c r="H14" s="148">
        <v>11.9</v>
      </c>
      <c r="I14">
        <f t="shared" si="1"/>
        <v>1.1900000000000001E-11</v>
      </c>
      <c r="J14" s="137">
        <f t="shared" si="8"/>
        <v>0.10937832310838444</v>
      </c>
      <c r="K14" s="138">
        <f t="shared" si="2"/>
        <v>145.87090909090909</v>
      </c>
      <c r="L14">
        <f t="shared" si="3"/>
        <v>2.1639686895562074</v>
      </c>
      <c r="N14">
        <v>19</v>
      </c>
      <c r="O14" s="4" t="s">
        <v>760</v>
      </c>
      <c r="P14">
        <v>84.93</v>
      </c>
      <c r="Q14" s="148">
        <v>22000</v>
      </c>
      <c r="R14">
        <v>234.4</v>
      </c>
      <c r="S14">
        <f t="shared" si="4"/>
        <v>19.796994266666669</v>
      </c>
      <c r="T14">
        <f t="shared" si="5"/>
        <v>19.690000000000001</v>
      </c>
      <c r="U14" s="140">
        <v>0.9</v>
      </c>
      <c r="V14" s="140">
        <v>0.89</v>
      </c>
      <c r="W14" s="140">
        <f t="shared" si="6"/>
        <v>0.89500000000000002</v>
      </c>
      <c r="X14">
        <v>22.8</v>
      </c>
      <c r="Y14">
        <f t="shared" si="0"/>
        <v>2.2800000000000001E-11</v>
      </c>
      <c r="Z14">
        <v>2.36</v>
      </c>
      <c r="AA14" s="141">
        <f t="shared" si="7"/>
        <v>53.808</v>
      </c>
      <c r="AB14" s="140">
        <f>X14/X$14</f>
        <v>1</v>
      </c>
      <c r="AC14" s="140">
        <f>Z14/Z$14</f>
        <v>1</v>
      </c>
      <c r="AD14" s="140"/>
      <c r="AF14" s="140"/>
    </row>
    <row r="15" spans="1:32" x14ac:dyDescent="0.2">
      <c r="A15">
        <v>10</v>
      </c>
      <c r="B15" s="4" t="s">
        <v>762</v>
      </c>
      <c r="C15">
        <v>106.17</v>
      </c>
      <c r="D15">
        <v>0.86599999999999999</v>
      </c>
      <c r="E15">
        <v>200</v>
      </c>
      <c r="F15">
        <v>3.2</v>
      </c>
      <c r="G15" s="146">
        <v>8.5400000000000004E-2</v>
      </c>
      <c r="H15">
        <v>3.68</v>
      </c>
      <c r="I15">
        <f t="shared" si="1"/>
        <v>3.6800000000000005E-12</v>
      </c>
      <c r="J15" s="137">
        <f t="shared" si="8"/>
        <v>9.2697459584295608E-2</v>
      </c>
      <c r="K15" s="138">
        <f t="shared" si="2"/>
        <v>401.38000000000005</v>
      </c>
      <c r="L15">
        <f t="shared" si="3"/>
        <v>2.6035557286247224</v>
      </c>
      <c r="N15">
        <v>20</v>
      </c>
      <c r="P15">
        <f t="shared" ref="P15:Q18" si="12">P14</f>
        <v>84.93</v>
      </c>
      <c r="Q15">
        <f t="shared" si="12"/>
        <v>22000</v>
      </c>
      <c r="R15">
        <v>157.5</v>
      </c>
      <c r="S15">
        <f t="shared" si="4"/>
        <v>13.376475000000001</v>
      </c>
      <c r="T15">
        <f t="shared" si="5"/>
        <v>13.2</v>
      </c>
      <c r="U15" s="140">
        <v>0.6</v>
      </c>
      <c r="V15" s="140">
        <v>0.6</v>
      </c>
      <c r="W15" s="140">
        <f t="shared" si="6"/>
        <v>0.6</v>
      </c>
      <c r="X15">
        <v>15.8</v>
      </c>
      <c r="Y15">
        <f t="shared" si="0"/>
        <v>1.5800000000000003E-11</v>
      </c>
      <c r="Z15">
        <v>2.0099999999999998</v>
      </c>
      <c r="AA15" s="141">
        <f t="shared" si="7"/>
        <v>31.757999999999999</v>
      </c>
      <c r="AB15" s="140">
        <f>X15/X$14</f>
        <v>0.69298245614035092</v>
      </c>
      <c r="AC15" s="140">
        <f>Z15/Z$14</f>
        <v>0.85169491525423724</v>
      </c>
      <c r="AD15" s="140">
        <f t="shared" si="10"/>
        <v>0.74750000000000005</v>
      </c>
      <c r="AF15" s="140">
        <f t="shared" si="11"/>
        <v>1.5018236429950649</v>
      </c>
    </row>
    <row r="16" spans="1:32" x14ac:dyDescent="0.2">
      <c r="N16">
        <v>21</v>
      </c>
      <c r="P16">
        <f t="shared" si="12"/>
        <v>84.93</v>
      </c>
      <c r="Q16">
        <f t="shared" si="12"/>
        <v>22000</v>
      </c>
      <c r="R16">
        <v>117.1</v>
      </c>
      <c r="S16">
        <f t="shared" si="4"/>
        <v>9.9453029999999991</v>
      </c>
      <c r="T16">
        <f t="shared" si="5"/>
        <v>9.9</v>
      </c>
      <c r="U16" s="140">
        <v>0.45</v>
      </c>
      <c r="V16" s="140">
        <v>0.45</v>
      </c>
      <c r="W16" s="140">
        <f t="shared" si="6"/>
        <v>0.45</v>
      </c>
      <c r="X16">
        <v>19.7</v>
      </c>
      <c r="Y16">
        <f t="shared" si="0"/>
        <v>1.97E-11</v>
      </c>
      <c r="Z16">
        <v>1.68</v>
      </c>
      <c r="AA16" s="141">
        <f t="shared" si="7"/>
        <v>33.095999999999997</v>
      </c>
      <c r="AB16" s="140">
        <f>X16/X$14</f>
        <v>0.86403508771929816</v>
      </c>
      <c r="AC16" s="140">
        <f>Z16/Z$14</f>
        <v>0.71186440677966101</v>
      </c>
      <c r="AD16" s="140">
        <f t="shared" si="10"/>
        <v>0.52500000000000002</v>
      </c>
      <c r="AF16" s="140">
        <f t="shared" si="11"/>
        <v>-1.3197969543147205</v>
      </c>
    </row>
    <row r="17" spans="2:32" x14ac:dyDescent="0.2">
      <c r="N17">
        <v>22</v>
      </c>
      <c r="P17">
        <f t="shared" si="12"/>
        <v>84.93</v>
      </c>
      <c r="Q17">
        <f t="shared" si="12"/>
        <v>22000</v>
      </c>
      <c r="R17">
        <v>78.75</v>
      </c>
      <c r="S17">
        <f t="shared" si="4"/>
        <v>6.6882375000000005</v>
      </c>
      <c r="T17">
        <f t="shared" si="5"/>
        <v>6.6</v>
      </c>
      <c r="U17" s="140">
        <v>0.3</v>
      </c>
      <c r="V17" s="140">
        <v>0.3</v>
      </c>
      <c r="W17" s="140">
        <f t="shared" si="6"/>
        <v>0.3</v>
      </c>
      <c r="X17">
        <v>11.7</v>
      </c>
      <c r="Y17">
        <f t="shared" si="0"/>
        <v>1.1699999999999999E-11</v>
      </c>
      <c r="Z17">
        <v>1.77</v>
      </c>
      <c r="AA17" s="141">
        <f t="shared" si="7"/>
        <v>20.709</v>
      </c>
      <c r="AB17" s="140">
        <f>X17/X$14</f>
        <v>0.51315789473684204</v>
      </c>
      <c r="AC17" s="140">
        <f>Z17/Z$14</f>
        <v>0.75</v>
      </c>
      <c r="AD17" s="140">
        <f t="shared" si="10"/>
        <v>0.375</v>
      </c>
      <c r="AF17" s="140">
        <f t="shared" si="11"/>
        <v>4.5584045584045576</v>
      </c>
    </row>
    <row r="18" spans="2:32" x14ac:dyDescent="0.2">
      <c r="B18" s="4" t="s">
        <v>757</v>
      </c>
      <c r="N18">
        <v>23</v>
      </c>
      <c r="P18">
        <f t="shared" si="12"/>
        <v>84.93</v>
      </c>
      <c r="Q18">
        <f t="shared" si="12"/>
        <v>22000</v>
      </c>
      <c r="R18">
        <v>13.12</v>
      </c>
      <c r="S18">
        <f t="shared" si="4"/>
        <v>1.1142816</v>
      </c>
      <c r="T18">
        <f t="shared" si="5"/>
        <v>1.1000000000000001</v>
      </c>
      <c r="U18" s="140">
        <v>0.05</v>
      </c>
      <c r="V18" s="140">
        <v>0.05</v>
      </c>
      <c r="W18" s="140">
        <f t="shared" si="6"/>
        <v>0.05</v>
      </c>
      <c r="X18">
        <v>5.83</v>
      </c>
      <c r="Y18">
        <f t="shared" si="0"/>
        <v>5.83E-12</v>
      </c>
      <c r="Z18">
        <v>2.85</v>
      </c>
      <c r="AA18" s="141">
        <f t="shared" si="7"/>
        <v>16.615500000000001</v>
      </c>
      <c r="AB18" s="140">
        <f>X18/X$14</f>
        <v>0.25570175438596493</v>
      </c>
      <c r="AC18" s="140">
        <f>Z18/Z$14</f>
        <v>1.2076271186440679</v>
      </c>
      <c r="AD18" s="140">
        <f t="shared" si="10"/>
        <v>0.17499999999999999</v>
      </c>
      <c r="AF18" s="140">
        <f t="shared" si="11"/>
        <v>4.0274442538593469</v>
      </c>
    </row>
    <row r="19" spans="2:32" x14ac:dyDescent="0.2">
      <c r="N19">
        <v>24</v>
      </c>
      <c r="O19" s="4" t="s">
        <v>762</v>
      </c>
      <c r="P19">
        <v>106.17</v>
      </c>
      <c r="Q19">
        <v>200</v>
      </c>
      <c r="R19">
        <v>1.61</v>
      </c>
      <c r="S19">
        <f t="shared" si="4"/>
        <v>0.13294843333333334</v>
      </c>
      <c r="T19">
        <f t="shared" si="5"/>
        <v>0.14000000000000001</v>
      </c>
      <c r="U19" s="140">
        <v>0.9</v>
      </c>
      <c r="V19" s="140">
        <v>0.5</v>
      </c>
      <c r="W19" s="140">
        <f t="shared" si="6"/>
        <v>0.7</v>
      </c>
      <c r="X19">
        <v>3.33</v>
      </c>
      <c r="Y19">
        <f t="shared" si="0"/>
        <v>3.3300000000000001E-12</v>
      </c>
      <c r="Z19">
        <v>201.32</v>
      </c>
      <c r="AA19" s="141">
        <f t="shared" si="7"/>
        <v>670.39559999999994</v>
      </c>
      <c r="AB19" s="140">
        <f>X19/X$19</f>
        <v>1</v>
      </c>
      <c r="AC19" s="140">
        <f>Z19/Z$19</f>
        <v>1</v>
      </c>
      <c r="AD19" s="140"/>
      <c r="AF19" s="140"/>
    </row>
    <row r="20" spans="2:32" x14ac:dyDescent="0.2">
      <c r="B20" s="132" t="s">
        <v>766</v>
      </c>
      <c r="C20" s="134"/>
      <c r="D20" s="135"/>
      <c r="N20">
        <v>25</v>
      </c>
      <c r="P20">
        <f t="shared" ref="P20:Q22" si="13">P19</f>
        <v>106.17</v>
      </c>
      <c r="Q20">
        <f t="shared" si="13"/>
        <v>200</v>
      </c>
      <c r="R20">
        <v>1.07</v>
      </c>
      <c r="S20">
        <f t="shared" si="4"/>
        <v>8.8988154999999999E-2</v>
      </c>
      <c r="T20">
        <f t="shared" si="5"/>
        <v>9.4E-2</v>
      </c>
      <c r="U20" s="140">
        <v>0.6</v>
      </c>
      <c r="V20" s="140">
        <v>0.34</v>
      </c>
      <c r="W20" s="140">
        <f t="shared" si="6"/>
        <v>0.47</v>
      </c>
      <c r="X20">
        <v>3.61</v>
      </c>
      <c r="Y20">
        <f t="shared" si="0"/>
        <v>3.6100000000000002E-12</v>
      </c>
      <c r="Z20">
        <v>192.63</v>
      </c>
      <c r="AA20" s="141">
        <f t="shared" si="7"/>
        <v>695.39429999999993</v>
      </c>
      <c r="AB20" s="140">
        <f>X20/X$19</f>
        <v>1.084084084084084</v>
      </c>
      <c r="AC20" s="140">
        <f>Z20/Z$19</f>
        <v>0.95683488972779651</v>
      </c>
      <c r="AD20" s="140">
        <f t="shared" si="10"/>
        <v>0.58499999999999996</v>
      </c>
      <c r="AF20" s="140">
        <f t="shared" si="11"/>
        <v>-0.3372275081295914</v>
      </c>
    </row>
    <row r="21" spans="2:32" x14ac:dyDescent="0.2">
      <c r="B21" s="147" t="s">
        <v>769</v>
      </c>
      <c r="C21">
        <v>0.92</v>
      </c>
      <c r="D21" s="18" t="s">
        <v>523</v>
      </c>
      <c r="N21">
        <v>26</v>
      </c>
      <c r="P21">
        <f t="shared" si="13"/>
        <v>106.17</v>
      </c>
      <c r="Q21">
        <f t="shared" si="13"/>
        <v>200</v>
      </c>
      <c r="R21">
        <v>0.54</v>
      </c>
      <c r="S21">
        <f t="shared" si="4"/>
        <v>4.3954380000000001E-2</v>
      </c>
      <c r="T21">
        <f t="shared" si="5"/>
        <v>4.5999999999999999E-2</v>
      </c>
      <c r="U21" s="140">
        <v>0.3</v>
      </c>
      <c r="V21" s="140">
        <v>0.16</v>
      </c>
      <c r="W21" s="140">
        <f t="shared" si="6"/>
        <v>0.22999999999999998</v>
      </c>
      <c r="X21">
        <v>3.06</v>
      </c>
      <c r="Y21">
        <f t="shared" si="0"/>
        <v>3.0600000000000003E-12</v>
      </c>
      <c r="Z21">
        <v>215.81</v>
      </c>
      <c r="AA21" s="141">
        <f t="shared" si="7"/>
        <v>660.37860000000001</v>
      </c>
      <c r="AB21" s="140">
        <f>X21/X$19</f>
        <v>0.91891891891891897</v>
      </c>
      <c r="AC21" s="140">
        <f>Z21/Z$19</f>
        <v>1.0719749652294854</v>
      </c>
      <c r="AD21" s="140">
        <f t="shared" si="10"/>
        <v>0.35</v>
      </c>
      <c r="AF21" s="140">
        <f t="shared" si="11"/>
        <v>0.74891067538126377</v>
      </c>
    </row>
    <row r="22" spans="2:32" x14ac:dyDescent="0.2">
      <c r="B22" s="147" t="s">
        <v>717</v>
      </c>
      <c r="C22">
        <v>0.94</v>
      </c>
      <c r="D22" s="18" t="s">
        <v>523</v>
      </c>
      <c r="N22">
        <v>27</v>
      </c>
      <c r="P22">
        <f t="shared" si="13"/>
        <v>106.17</v>
      </c>
      <c r="Q22">
        <f t="shared" si="13"/>
        <v>200</v>
      </c>
      <c r="R22">
        <v>0.19</v>
      </c>
      <c r="S22">
        <f t="shared" si="4"/>
        <v>1.5129225000000001E-2</v>
      </c>
      <c r="T22">
        <f t="shared" si="5"/>
        <v>1.5000000000000001E-2</v>
      </c>
      <c r="U22" s="140">
        <v>0.1</v>
      </c>
      <c r="V22" s="140">
        <v>0.05</v>
      </c>
      <c r="W22" s="140">
        <f t="shared" si="6"/>
        <v>7.5000000000000011E-2</v>
      </c>
      <c r="X22">
        <v>3.11</v>
      </c>
      <c r="Y22">
        <f t="shared" si="0"/>
        <v>3.1100000000000003E-12</v>
      </c>
      <c r="Z22">
        <v>310.22000000000003</v>
      </c>
      <c r="AA22" s="141">
        <f t="shared" si="7"/>
        <v>964.78420000000006</v>
      </c>
      <c r="AB22" s="140">
        <f>X22/X$19</f>
        <v>0.93393393393393387</v>
      </c>
      <c r="AC22" s="140">
        <f>Z22/Z$19</f>
        <v>1.5409298629048283</v>
      </c>
      <c r="AD22" s="140">
        <f t="shared" si="10"/>
        <v>0.1525</v>
      </c>
      <c r="AF22" s="140">
        <f t="shared" si="11"/>
        <v>-0.10372368011617022</v>
      </c>
    </row>
    <row r="23" spans="2:32" x14ac:dyDescent="0.2">
      <c r="B23" s="72" t="s">
        <v>770</v>
      </c>
      <c r="C23" s="13">
        <v>20</v>
      </c>
      <c r="D23" s="20" t="s">
        <v>771</v>
      </c>
    </row>
    <row r="44" spans="2:2" x14ac:dyDescent="0.2">
      <c r="B44" s="4" t="s">
        <v>786</v>
      </c>
    </row>
    <row r="45" spans="2:2" x14ac:dyDescent="0.2">
      <c r="B45" s="4" t="s">
        <v>787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26"/>
  <sheetViews>
    <sheetView workbookViewId="0">
      <selection activeCell="B26" sqref="B26"/>
    </sheetView>
  </sheetViews>
  <sheetFormatPr defaultRowHeight="12.75" x14ac:dyDescent="0.2"/>
  <cols>
    <col min="2" max="2" width="30.28515625" customWidth="1"/>
  </cols>
  <sheetData>
    <row r="1" spans="1:10" x14ac:dyDescent="0.2">
      <c r="B1" s="4" t="s">
        <v>789</v>
      </c>
    </row>
    <row r="3" spans="1:10" x14ac:dyDescent="0.2">
      <c r="B3" s="61" t="s">
        <v>904</v>
      </c>
      <c r="C3" s="51" t="s">
        <v>378</v>
      </c>
      <c r="D3" s="51" t="s">
        <v>6</v>
      </c>
      <c r="E3" s="51"/>
      <c r="F3" s="51" t="s">
        <v>526</v>
      </c>
      <c r="G3" s="51" t="s">
        <v>791</v>
      </c>
      <c r="H3" s="51" t="s">
        <v>792</v>
      </c>
      <c r="I3" s="52" t="s">
        <v>793</v>
      </c>
    </row>
    <row r="4" spans="1:10" x14ac:dyDescent="0.2">
      <c r="B4" s="62"/>
      <c r="C4" s="53" t="s">
        <v>790</v>
      </c>
      <c r="D4" s="65"/>
      <c r="E4" s="65"/>
      <c r="F4" s="65"/>
      <c r="G4" s="65"/>
      <c r="H4" s="65"/>
      <c r="I4" s="55"/>
    </row>
    <row r="5" spans="1:10" x14ac:dyDescent="0.2">
      <c r="B5" s="63"/>
      <c r="C5" s="57" t="s">
        <v>420</v>
      </c>
      <c r="D5" s="57" t="s">
        <v>711</v>
      </c>
      <c r="E5" s="57"/>
      <c r="F5" s="57"/>
      <c r="G5" s="66"/>
      <c r="H5" s="66"/>
      <c r="I5" s="59"/>
    </row>
    <row r="6" spans="1:10" x14ac:dyDescent="0.2">
      <c r="A6">
        <v>1</v>
      </c>
      <c r="B6" s="4" t="s">
        <v>703</v>
      </c>
      <c r="C6">
        <v>100</v>
      </c>
      <c r="D6">
        <v>3.6</v>
      </c>
      <c r="E6">
        <f>D6*10^-9*10^-4</f>
        <v>3.6000000000000003E-13</v>
      </c>
      <c r="F6">
        <v>455</v>
      </c>
      <c r="G6" s="150">
        <f>H6*EXP(I6*C6)</f>
        <v>4.609104298294203</v>
      </c>
      <c r="H6">
        <v>1.97</v>
      </c>
      <c r="I6">
        <v>8.5000000000000006E-3</v>
      </c>
      <c r="J6" s="138"/>
    </row>
    <row r="7" spans="1:10" x14ac:dyDescent="0.2">
      <c r="A7">
        <v>2</v>
      </c>
      <c r="C7">
        <v>50</v>
      </c>
      <c r="D7">
        <v>2.4</v>
      </c>
      <c r="E7">
        <f t="shared" ref="E7:E17" si="0">D7*10^-9*10^-4</f>
        <v>2.3999999999999999E-13</v>
      </c>
      <c r="F7">
        <v>450</v>
      </c>
      <c r="G7" s="150">
        <f t="shared" ref="G7:G17" si="1">H7*EXP(I7*C7)</f>
        <v>3.0132931267368561</v>
      </c>
      <c r="H7">
        <f>H6</f>
        <v>1.97</v>
      </c>
      <c r="I7">
        <f>I6</f>
        <v>8.5000000000000006E-3</v>
      </c>
    </row>
    <row r="8" spans="1:10" x14ac:dyDescent="0.2">
      <c r="A8">
        <v>3</v>
      </c>
      <c r="C8">
        <v>10</v>
      </c>
      <c r="D8">
        <v>2.2000000000000002</v>
      </c>
      <c r="E8">
        <f t="shared" si="0"/>
        <v>2.2000000000000005E-13</v>
      </c>
      <c r="F8">
        <v>440</v>
      </c>
      <c r="G8" s="150">
        <f t="shared" si="1"/>
        <v>2.1447726213958456</v>
      </c>
      <c r="H8">
        <f>H7</f>
        <v>1.97</v>
      </c>
      <c r="I8">
        <f>I7</f>
        <v>8.5000000000000006E-3</v>
      </c>
    </row>
    <row r="9" spans="1:10" x14ac:dyDescent="0.2">
      <c r="A9">
        <v>4</v>
      </c>
      <c r="B9" s="4" t="s">
        <v>492</v>
      </c>
      <c r="C9">
        <v>100</v>
      </c>
      <c r="D9">
        <v>5.3</v>
      </c>
      <c r="E9">
        <f t="shared" si="0"/>
        <v>5.3000000000000006E-13</v>
      </c>
      <c r="F9">
        <v>140</v>
      </c>
      <c r="G9" s="150">
        <f t="shared" si="1"/>
        <v>6.0757900476783773</v>
      </c>
      <c r="H9">
        <v>2.87</v>
      </c>
      <c r="I9">
        <v>7.4999999999999997E-3</v>
      </c>
      <c r="J9" s="138"/>
    </row>
    <row r="10" spans="1:10" x14ac:dyDescent="0.2">
      <c r="A10">
        <v>5</v>
      </c>
      <c r="C10">
        <v>50</v>
      </c>
      <c r="D10">
        <v>3.6</v>
      </c>
      <c r="E10">
        <f t="shared" si="0"/>
        <v>3.6000000000000003E-13</v>
      </c>
      <c r="F10">
        <v>145</v>
      </c>
      <c r="G10" s="150">
        <f t="shared" si="1"/>
        <v>4.1758253599542376</v>
      </c>
      <c r="H10">
        <f>H9</f>
        <v>2.87</v>
      </c>
      <c r="I10">
        <f>I9</f>
        <v>7.4999999999999997E-3</v>
      </c>
    </row>
    <row r="11" spans="1:10" x14ac:dyDescent="0.2">
      <c r="A11">
        <v>6</v>
      </c>
      <c r="C11">
        <v>10</v>
      </c>
      <c r="D11">
        <v>3.2</v>
      </c>
      <c r="E11">
        <f t="shared" si="0"/>
        <v>3.2000000000000005E-13</v>
      </c>
      <c r="F11">
        <v>135</v>
      </c>
      <c r="G11" s="150">
        <f t="shared" si="1"/>
        <v>3.0935275130388926</v>
      </c>
      <c r="H11">
        <f>H10</f>
        <v>2.87</v>
      </c>
      <c r="I11">
        <f>I10</f>
        <v>7.4999999999999997E-3</v>
      </c>
    </row>
    <row r="12" spans="1:10" x14ac:dyDescent="0.2">
      <c r="A12">
        <v>7</v>
      </c>
      <c r="B12" s="4" t="s">
        <v>788</v>
      </c>
      <c r="C12">
        <v>100</v>
      </c>
      <c r="D12">
        <v>6.6</v>
      </c>
      <c r="E12">
        <f t="shared" si="0"/>
        <v>6.6000000000000012E-13</v>
      </c>
      <c r="F12">
        <v>113</v>
      </c>
      <c r="G12" s="150">
        <f t="shared" si="1"/>
        <v>7.4764332496615582</v>
      </c>
      <c r="H12">
        <v>3.75</v>
      </c>
      <c r="I12">
        <v>6.8999999999999999E-3</v>
      </c>
      <c r="J12" s="138"/>
    </row>
    <row r="13" spans="1:10" x14ac:dyDescent="0.2">
      <c r="A13">
        <v>8</v>
      </c>
      <c r="C13">
        <v>50</v>
      </c>
      <c r="D13">
        <v>4.7</v>
      </c>
      <c r="E13">
        <f t="shared" si="0"/>
        <v>4.7000000000000012E-13</v>
      </c>
      <c r="F13">
        <v>113</v>
      </c>
      <c r="G13" s="150">
        <f t="shared" si="1"/>
        <v>5.2949621987537219</v>
      </c>
      <c r="H13">
        <f>H12</f>
        <v>3.75</v>
      </c>
      <c r="I13">
        <f>I12</f>
        <v>6.8999999999999999E-3</v>
      </c>
    </row>
    <row r="14" spans="1:10" x14ac:dyDescent="0.2">
      <c r="A14">
        <v>9</v>
      </c>
      <c r="C14">
        <v>10</v>
      </c>
      <c r="D14">
        <v>4.0999999999999996</v>
      </c>
      <c r="E14">
        <f t="shared" si="0"/>
        <v>4.0999999999999997E-13</v>
      </c>
      <c r="F14">
        <v>112</v>
      </c>
      <c r="G14" s="150">
        <f t="shared" si="1"/>
        <v>4.0178857843062987</v>
      </c>
      <c r="H14">
        <f>H13</f>
        <v>3.75</v>
      </c>
      <c r="I14">
        <f>I13</f>
        <v>6.8999999999999999E-3</v>
      </c>
    </row>
    <row r="15" spans="1:10" x14ac:dyDescent="0.2">
      <c r="A15">
        <v>10</v>
      </c>
      <c r="B15" s="4" t="s">
        <v>762</v>
      </c>
      <c r="C15">
        <v>100</v>
      </c>
      <c r="D15">
        <v>9.6</v>
      </c>
      <c r="E15">
        <f t="shared" si="0"/>
        <v>9.5999999999999995E-13</v>
      </c>
      <c r="F15">
        <v>6.3</v>
      </c>
      <c r="G15" s="150">
        <f t="shared" si="1"/>
        <v>9.8875257936800409</v>
      </c>
      <c r="H15">
        <v>4.91</v>
      </c>
      <c r="I15">
        <v>7.0000000000000001E-3</v>
      </c>
      <c r="J15" s="138"/>
    </row>
    <row r="16" spans="1:10" x14ac:dyDescent="0.2">
      <c r="A16">
        <v>11</v>
      </c>
      <c r="C16">
        <v>50</v>
      </c>
      <c r="D16">
        <v>6.7</v>
      </c>
      <c r="E16">
        <f t="shared" si="0"/>
        <v>6.7000000000000007E-13</v>
      </c>
      <c r="F16">
        <v>6.5</v>
      </c>
      <c r="G16" s="150">
        <f t="shared" si="1"/>
        <v>6.9676216635928938</v>
      </c>
      <c r="H16">
        <f>H15</f>
        <v>4.91</v>
      </c>
      <c r="I16">
        <f>I15</f>
        <v>7.0000000000000001E-3</v>
      </c>
    </row>
    <row r="17" spans="1:9" x14ac:dyDescent="0.2">
      <c r="A17">
        <v>12</v>
      </c>
      <c r="C17">
        <v>10</v>
      </c>
      <c r="D17">
        <v>5.3</v>
      </c>
      <c r="E17">
        <f t="shared" si="0"/>
        <v>5.3000000000000006E-13</v>
      </c>
      <c r="F17">
        <v>6.3</v>
      </c>
      <c r="G17" s="150">
        <f t="shared" si="1"/>
        <v>5.2660151699582034</v>
      </c>
      <c r="H17">
        <f>H16</f>
        <v>4.91</v>
      </c>
      <c r="I17">
        <f>I16</f>
        <v>7.0000000000000001E-3</v>
      </c>
    </row>
    <row r="22" spans="1:9" x14ac:dyDescent="0.2">
      <c r="B22" s="4" t="s">
        <v>794</v>
      </c>
    </row>
    <row r="23" spans="1:9" x14ac:dyDescent="0.2">
      <c r="B23" s="4" t="s">
        <v>795</v>
      </c>
    </row>
    <row r="26" spans="1:9" x14ac:dyDescent="0.2">
      <c r="B26" s="4" t="s">
        <v>1232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
  <sheetViews>
    <sheetView workbookViewId="0">
      <selection activeCell="E6" activeCellId="1" sqref="C6:C47 E6:E47"/>
    </sheetView>
  </sheetViews>
  <sheetFormatPr defaultRowHeight="12.75" x14ac:dyDescent="0.2"/>
  <cols>
    <col min="2" max="2" width="19.85546875" customWidth="1"/>
    <col min="5" max="5" width="9.42578125" bestFit="1" customWidth="1"/>
  </cols>
  <sheetData>
    <row r="1" spans="1:5" x14ac:dyDescent="0.2">
      <c r="A1" t="s">
        <v>836</v>
      </c>
    </row>
    <row r="2" spans="1:5" x14ac:dyDescent="0.2">
      <c r="A2" s="107" t="s">
        <v>837</v>
      </c>
      <c r="B2" s="110"/>
      <c r="C2" s="110"/>
      <c r="D2" s="110"/>
      <c r="E2" s="110"/>
    </row>
    <row r="3" spans="1:5" x14ac:dyDescent="0.2">
      <c r="A3" s="51"/>
      <c r="B3" s="51" t="s">
        <v>769</v>
      </c>
      <c r="C3" s="51" t="s">
        <v>43</v>
      </c>
      <c r="D3" s="51" t="s">
        <v>6</v>
      </c>
      <c r="E3" s="65"/>
    </row>
    <row r="4" spans="1:5" x14ac:dyDescent="0.2">
      <c r="A4" s="53"/>
      <c r="B4" s="53" t="s">
        <v>835</v>
      </c>
      <c r="C4" s="65"/>
      <c r="D4" s="65"/>
      <c r="E4" s="65"/>
    </row>
    <row r="5" spans="1:5" x14ac:dyDescent="0.2">
      <c r="A5" s="66"/>
      <c r="B5" s="66"/>
      <c r="C5" s="57" t="s">
        <v>800</v>
      </c>
      <c r="D5" s="57" t="s">
        <v>801</v>
      </c>
      <c r="E5" s="57" t="s">
        <v>1233</v>
      </c>
    </row>
    <row r="6" spans="1:5" x14ac:dyDescent="0.2">
      <c r="A6">
        <v>1</v>
      </c>
      <c r="B6" s="4" t="s">
        <v>796</v>
      </c>
      <c r="C6">
        <v>16</v>
      </c>
      <c r="D6">
        <v>1940</v>
      </c>
      <c r="E6">
        <f>D6*10^-10*10^-4</f>
        <v>1.9400000000000002E-11</v>
      </c>
    </row>
    <row r="7" spans="1:5" x14ac:dyDescent="0.2">
      <c r="A7">
        <v>2</v>
      </c>
      <c r="B7" s="4" t="s">
        <v>797</v>
      </c>
      <c r="C7">
        <v>16</v>
      </c>
      <c r="D7">
        <v>2980</v>
      </c>
      <c r="E7">
        <f t="shared" ref="E7:E48" si="0">D7*10^-10*10^-4</f>
        <v>2.9800000000000003E-11</v>
      </c>
    </row>
    <row r="8" spans="1:5" x14ac:dyDescent="0.2">
      <c r="A8">
        <v>3</v>
      </c>
      <c r="B8" s="4" t="s">
        <v>798</v>
      </c>
      <c r="C8">
        <v>30</v>
      </c>
      <c r="D8">
        <v>480</v>
      </c>
      <c r="E8">
        <f t="shared" si="0"/>
        <v>4.8000000000000005E-12</v>
      </c>
    </row>
    <row r="9" spans="1:5" x14ac:dyDescent="0.2">
      <c r="A9">
        <v>4</v>
      </c>
      <c r="B9" s="4" t="s">
        <v>798</v>
      </c>
      <c r="C9">
        <v>30</v>
      </c>
      <c r="D9">
        <v>538</v>
      </c>
      <c r="E9">
        <f t="shared" si="0"/>
        <v>5.3800000000000001E-12</v>
      </c>
    </row>
    <row r="10" spans="1:5" x14ac:dyDescent="0.2">
      <c r="A10">
        <v>5</v>
      </c>
      <c r="B10" s="4" t="s">
        <v>435</v>
      </c>
      <c r="C10">
        <v>32</v>
      </c>
      <c r="D10">
        <v>480</v>
      </c>
      <c r="E10">
        <f t="shared" si="0"/>
        <v>4.8000000000000005E-12</v>
      </c>
    </row>
    <row r="11" spans="1:5" x14ac:dyDescent="0.2">
      <c r="A11">
        <v>6</v>
      </c>
      <c r="B11" s="4" t="s">
        <v>799</v>
      </c>
      <c r="C11">
        <v>44</v>
      </c>
      <c r="D11">
        <v>520</v>
      </c>
      <c r="E11">
        <f t="shared" si="0"/>
        <v>5.2000000000000005E-12</v>
      </c>
    </row>
    <row r="12" spans="1:5" x14ac:dyDescent="0.2">
      <c r="A12">
        <v>7</v>
      </c>
      <c r="B12" s="4" t="s">
        <v>450</v>
      </c>
      <c r="C12">
        <v>72</v>
      </c>
      <c r="D12">
        <v>80.5</v>
      </c>
      <c r="E12">
        <f t="shared" si="0"/>
        <v>8.050000000000001E-13</v>
      </c>
    </row>
    <row r="13" spans="1:5" x14ac:dyDescent="0.2">
      <c r="A13">
        <v>8</v>
      </c>
      <c r="B13" s="4" t="s">
        <v>548</v>
      </c>
      <c r="C13">
        <v>78</v>
      </c>
      <c r="D13">
        <v>105</v>
      </c>
      <c r="E13">
        <f t="shared" si="0"/>
        <v>1.05E-12</v>
      </c>
    </row>
    <row r="14" spans="1:5" x14ac:dyDescent="0.2">
      <c r="A14">
        <v>9</v>
      </c>
      <c r="B14" s="4" t="s">
        <v>548</v>
      </c>
      <c r="C14">
        <v>78</v>
      </c>
      <c r="D14">
        <v>40</v>
      </c>
      <c r="E14">
        <f t="shared" si="0"/>
        <v>4.0000000000000006E-13</v>
      </c>
    </row>
    <row r="15" spans="1:5" x14ac:dyDescent="0.2">
      <c r="A15">
        <v>10</v>
      </c>
      <c r="B15" s="4" t="s">
        <v>802</v>
      </c>
      <c r="C15">
        <v>86</v>
      </c>
      <c r="D15">
        <v>105</v>
      </c>
      <c r="E15">
        <f t="shared" si="0"/>
        <v>1.05E-12</v>
      </c>
    </row>
    <row r="16" spans="1:5" x14ac:dyDescent="0.2">
      <c r="A16">
        <v>11</v>
      </c>
      <c r="B16" s="4" t="s">
        <v>802</v>
      </c>
      <c r="C16">
        <v>86</v>
      </c>
      <c r="D16">
        <v>84</v>
      </c>
      <c r="E16">
        <f t="shared" si="0"/>
        <v>8.4000000000000016E-13</v>
      </c>
    </row>
    <row r="17" spans="1:5" x14ac:dyDescent="0.2">
      <c r="A17">
        <v>12</v>
      </c>
      <c r="B17" s="4" t="s">
        <v>803</v>
      </c>
      <c r="C17">
        <v>94</v>
      </c>
      <c r="D17">
        <v>45</v>
      </c>
      <c r="E17">
        <f t="shared" si="0"/>
        <v>4.5E-13</v>
      </c>
    </row>
    <row r="18" spans="1:5" x14ac:dyDescent="0.2">
      <c r="A18">
        <v>13</v>
      </c>
      <c r="B18" s="4" t="s">
        <v>804</v>
      </c>
      <c r="C18">
        <v>116</v>
      </c>
      <c r="D18">
        <v>53</v>
      </c>
      <c r="E18">
        <f t="shared" si="0"/>
        <v>5.3000000000000006E-13</v>
      </c>
    </row>
    <row r="19" spans="1:5" x14ac:dyDescent="0.2">
      <c r="A19">
        <v>14</v>
      </c>
      <c r="B19" s="4" t="s">
        <v>805</v>
      </c>
      <c r="C19">
        <v>117</v>
      </c>
      <c r="D19">
        <v>55</v>
      </c>
      <c r="E19">
        <f t="shared" si="0"/>
        <v>5.5000000000000008E-13</v>
      </c>
    </row>
    <row r="20" spans="1:5" x14ac:dyDescent="0.2">
      <c r="A20">
        <v>15</v>
      </c>
      <c r="B20" s="4" t="s">
        <v>806</v>
      </c>
      <c r="C20">
        <v>122</v>
      </c>
      <c r="D20">
        <v>43</v>
      </c>
      <c r="E20">
        <f t="shared" si="0"/>
        <v>4.3000000000000009E-13</v>
      </c>
    </row>
    <row r="21" spans="1:5" x14ac:dyDescent="0.2">
      <c r="A21">
        <v>16</v>
      </c>
      <c r="B21" s="4" t="s">
        <v>807</v>
      </c>
      <c r="C21">
        <v>126</v>
      </c>
      <c r="D21">
        <v>73</v>
      </c>
      <c r="E21">
        <f t="shared" si="0"/>
        <v>7.3000000000000002E-13</v>
      </c>
    </row>
    <row r="22" spans="1:5" x14ac:dyDescent="0.2">
      <c r="A22">
        <v>17</v>
      </c>
      <c r="B22" s="4" t="s">
        <v>808</v>
      </c>
      <c r="C22">
        <v>128</v>
      </c>
      <c r="D22">
        <v>23</v>
      </c>
      <c r="E22">
        <f t="shared" si="0"/>
        <v>2.2999999999999998E-13</v>
      </c>
    </row>
    <row r="23" spans="1:5" x14ac:dyDescent="0.2">
      <c r="A23">
        <v>18</v>
      </c>
      <c r="B23" s="4" t="s">
        <v>834</v>
      </c>
      <c r="C23">
        <v>134</v>
      </c>
      <c r="D23">
        <v>54</v>
      </c>
      <c r="E23">
        <f t="shared" si="0"/>
        <v>5.4000000000000002E-13</v>
      </c>
    </row>
    <row r="24" spans="1:5" x14ac:dyDescent="0.2">
      <c r="A24">
        <v>19</v>
      </c>
      <c r="B24" s="4" t="s">
        <v>809</v>
      </c>
      <c r="C24">
        <v>136</v>
      </c>
      <c r="D24">
        <v>43</v>
      </c>
      <c r="E24">
        <f t="shared" si="0"/>
        <v>4.3000000000000009E-13</v>
      </c>
    </row>
    <row r="25" spans="1:5" x14ac:dyDescent="0.2">
      <c r="A25">
        <v>20</v>
      </c>
      <c r="B25" s="4" t="s">
        <v>810</v>
      </c>
      <c r="C25">
        <v>136</v>
      </c>
      <c r="D25">
        <v>28</v>
      </c>
      <c r="E25">
        <f t="shared" si="0"/>
        <v>2.8000000000000002E-13</v>
      </c>
    </row>
    <row r="26" spans="1:5" x14ac:dyDescent="0.2">
      <c r="A26">
        <v>21</v>
      </c>
      <c r="B26" s="4" t="s">
        <v>811</v>
      </c>
      <c r="C26">
        <v>142</v>
      </c>
      <c r="D26">
        <v>18</v>
      </c>
      <c r="E26">
        <f t="shared" si="0"/>
        <v>1.8000000000000002E-13</v>
      </c>
    </row>
    <row r="27" spans="1:5" x14ac:dyDescent="0.2">
      <c r="A27">
        <v>22</v>
      </c>
      <c r="B27" s="4" t="s">
        <v>812</v>
      </c>
      <c r="C27">
        <v>143</v>
      </c>
      <c r="D27">
        <v>43</v>
      </c>
      <c r="E27">
        <f t="shared" si="0"/>
        <v>4.3000000000000009E-13</v>
      </c>
    </row>
    <row r="28" spans="1:5" x14ac:dyDescent="0.2">
      <c r="A28">
        <v>23</v>
      </c>
      <c r="B28" s="4" t="s">
        <v>813</v>
      </c>
      <c r="C28">
        <v>150</v>
      </c>
      <c r="D28">
        <v>16</v>
      </c>
      <c r="E28">
        <f t="shared" si="0"/>
        <v>1.6000000000000003E-13</v>
      </c>
    </row>
    <row r="29" spans="1:5" x14ac:dyDescent="0.2">
      <c r="A29">
        <v>24</v>
      </c>
      <c r="B29" s="4" t="s">
        <v>814</v>
      </c>
      <c r="C29">
        <v>150</v>
      </c>
      <c r="D29">
        <v>7.5</v>
      </c>
      <c r="E29">
        <f t="shared" si="0"/>
        <v>7.5000000000000009E-14</v>
      </c>
    </row>
    <row r="30" spans="1:5" x14ac:dyDescent="0.2">
      <c r="A30">
        <v>25</v>
      </c>
      <c r="B30" s="4" t="s">
        <v>815</v>
      </c>
      <c r="C30">
        <v>154</v>
      </c>
      <c r="D30">
        <v>10</v>
      </c>
      <c r="E30">
        <f t="shared" si="0"/>
        <v>1.0000000000000002E-13</v>
      </c>
    </row>
    <row r="31" spans="1:5" x14ac:dyDescent="0.2">
      <c r="A31">
        <v>26</v>
      </c>
      <c r="B31" s="4" t="s">
        <v>816</v>
      </c>
      <c r="C31">
        <v>156</v>
      </c>
      <c r="D31">
        <v>14</v>
      </c>
      <c r="E31">
        <f t="shared" si="0"/>
        <v>1.4000000000000001E-13</v>
      </c>
    </row>
    <row r="32" spans="1:5" x14ac:dyDescent="0.2">
      <c r="A32">
        <v>27</v>
      </c>
      <c r="B32" s="4" t="s">
        <v>817</v>
      </c>
      <c r="C32">
        <v>158</v>
      </c>
      <c r="D32">
        <v>13</v>
      </c>
      <c r="E32">
        <f t="shared" si="0"/>
        <v>1.3E-13</v>
      </c>
    </row>
    <row r="33" spans="1:5" x14ac:dyDescent="0.2">
      <c r="A33">
        <v>28</v>
      </c>
      <c r="B33" s="4" t="s">
        <v>818</v>
      </c>
      <c r="C33">
        <v>164</v>
      </c>
      <c r="D33">
        <v>15.5</v>
      </c>
      <c r="E33">
        <f t="shared" si="0"/>
        <v>1.5500000000000002E-13</v>
      </c>
    </row>
    <row r="34" spans="1:5" x14ac:dyDescent="0.2">
      <c r="A34">
        <v>29</v>
      </c>
      <c r="B34" s="4" t="s">
        <v>819</v>
      </c>
      <c r="C34">
        <v>170</v>
      </c>
      <c r="D34">
        <v>37</v>
      </c>
      <c r="E34">
        <f t="shared" si="0"/>
        <v>3.7000000000000004E-13</v>
      </c>
    </row>
    <row r="35" spans="1:5" x14ac:dyDescent="0.2">
      <c r="A35">
        <v>30</v>
      </c>
      <c r="B35" s="4" t="s">
        <v>820</v>
      </c>
      <c r="C35">
        <v>170</v>
      </c>
      <c r="D35">
        <v>26</v>
      </c>
      <c r="E35">
        <f t="shared" si="0"/>
        <v>2.6E-13</v>
      </c>
    </row>
    <row r="36" spans="1:5" x14ac:dyDescent="0.2">
      <c r="A36">
        <v>31</v>
      </c>
      <c r="B36" s="4" t="s">
        <v>821</v>
      </c>
      <c r="C36">
        <v>194</v>
      </c>
      <c r="D36">
        <v>19</v>
      </c>
      <c r="E36">
        <f t="shared" si="0"/>
        <v>1.9000000000000002E-13</v>
      </c>
    </row>
    <row r="37" spans="1:5" x14ac:dyDescent="0.2">
      <c r="A37">
        <v>32</v>
      </c>
      <c r="B37" s="4" t="s">
        <v>822</v>
      </c>
      <c r="C37">
        <v>198</v>
      </c>
      <c r="D37">
        <v>19</v>
      </c>
      <c r="E37">
        <f t="shared" si="0"/>
        <v>1.9000000000000002E-13</v>
      </c>
    </row>
    <row r="38" spans="1:5" x14ac:dyDescent="0.2">
      <c r="A38">
        <v>33</v>
      </c>
      <c r="B38" s="4" t="s">
        <v>823</v>
      </c>
      <c r="C38">
        <v>214</v>
      </c>
      <c r="D38">
        <v>8.1999999999999993</v>
      </c>
      <c r="E38">
        <f t="shared" si="0"/>
        <v>8.2000000000000004E-14</v>
      </c>
    </row>
    <row r="39" spans="1:5" x14ac:dyDescent="0.2">
      <c r="A39">
        <v>34</v>
      </c>
      <c r="B39" s="4" t="s">
        <v>824</v>
      </c>
      <c r="C39">
        <v>220</v>
      </c>
      <c r="D39">
        <v>4.8</v>
      </c>
      <c r="E39">
        <f t="shared" si="0"/>
        <v>4.8000000000000004E-14</v>
      </c>
    </row>
    <row r="40" spans="1:5" x14ac:dyDescent="0.2">
      <c r="A40">
        <v>35</v>
      </c>
      <c r="B40" s="4" t="s">
        <v>825</v>
      </c>
      <c r="C40">
        <v>264</v>
      </c>
      <c r="D40">
        <v>4.0999999999999996</v>
      </c>
      <c r="E40">
        <f t="shared" si="0"/>
        <v>4.1000000000000002E-14</v>
      </c>
    </row>
    <row r="41" spans="1:5" x14ac:dyDescent="0.2">
      <c r="A41">
        <v>36</v>
      </c>
      <c r="B41" s="4" t="s">
        <v>826</v>
      </c>
      <c r="C41">
        <v>282</v>
      </c>
      <c r="D41">
        <v>6.3</v>
      </c>
      <c r="E41">
        <f t="shared" si="0"/>
        <v>6.2999999999999997E-14</v>
      </c>
    </row>
    <row r="42" spans="1:5" x14ac:dyDescent="0.2">
      <c r="A42">
        <v>37</v>
      </c>
      <c r="B42" s="4" t="s">
        <v>827</v>
      </c>
      <c r="C42">
        <v>310</v>
      </c>
      <c r="D42">
        <v>3.5</v>
      </c>
      <c r="E42">
        <f t="shared" si="0"/>
        <v>3.5000000000000002E-14</v>
      </c>
    </row>
    <row r="43" spans="1:5" x14ac:dyDescent="0.2">
      <c r="A43">
        <v>38</v>
      </c>
      <c r="B43" s="4" t="s">
        <v>828</v>
      </c>
      <c r="C43">
        <v>315.8</v>
      </c>
      <c r="D43">
        <v>2</v>
      </c>
      <c r="E43">
        <f t="shared" si="0"/>
        <v>2.0000000000000003E-14</v>
      </c>
    </row>
    <row r="44" spans="1:5" x14ac:dyDescent="0.2">
      <c r="A44">
        <v>39</v>
      </c>
      <c r="B44" s="4" t="s">
        <v>829</v>
      </c>
      <c r="C44">
        <v>346</v>
      </c>
      <c r="D44">
        <v>0.9</v>
      </c>
      <c r="E44">
        <f t="shared" si="0"/>
        <v>9.0000000000000011E-15</v>
      </c>
    </row>
    <row r="45" spans="1:5" x14ac:dyDescent="0.2">
      <c r="A45">
        <v>40</v>
      </c>
      <c r="B45" s="4" t="s">
        <v>830</v>
      </c>
      <c r="C45">
        <v>368</v>
      </c>
      <c r="D45">
        <v>1.5</v>
      </c>
      <c r="E45">
        <f t="shared" si="0"/>
        <v>1.4999999999999999E-14</v>
      </c>
    </row>
    <row r="46" spans="1:5" x14ac:dyDescent="0.2">
      <c r="A46">
        <v>41</v>
      </c>
      <c r="B46" s="4" t="s">
        <v>831</v>
      </c>
      <c r="C46">
        <v>438</v>
      </c>
      <c r="D46">
        <v>0.3</v>
      </c>
      <c r="E46">
        <f t="shared" si="0"/>
        <v>3.0000000000000002E-15</v>
      </c>
    </row>
    <row r="47" spans="1:5" x14ac:dyDescent="0.2">
      <c r="A47">
        <v>42</v>
      </c>
      <c r="B47" s="4" t="s">
        <v>832</v>
      </c>
      <c r="C47">
        <v>514</v>
      </c>
      <c r="D47">
        <v>0.2</v>
      </c>
      <c r="E47">
        <f t="shared" si="0"/>
        <v>2.0000000000000002E-15</v>
      </c>
    </row>
    <row r="48" spans="1:5" x14ac:dyDescent="0.2">
      <c r="A48">
        <v>43</v>
      </c>
      <c r="B48" s="4" t="s">
        <v>833</v>
      </c>
      <c r="C48">
        <v>531</v>
      </c>
      <c r="D48">
        <v>0.11</v>
      </c>
      <c r="E48">
        <f t="shared" si="0"/>
        <v>1.1000000000000001E-15</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X15"/>
  <sheetViews>
    <sheetView zoomScale="85" zoomScaleNormal="85" workbookViewId="0">
      <selection activeCell="R11" sqref="R11:R15"/>
    </sheetView>
  </sheetViews>
  <sheetFormatPr defaultRowHeight="12.75" x14ac:dyDescent="0.2"/>
  <cols>
    <col min="17" max="17" width="12.42578125" bestFit="1" customWidth="1"/>
  </cols>
  <sheetData>
    <row r="1" spans="2:24" x14ac:dyDescent="0.2">
      <c r="J1" s="366" t="s">
        <v>1796</v>
      </c>
      <c r="S1" s="366" t="s">
        <v>1796</v>
      </c>
    </row>
    <row r="2" spans="2:24" x14ac:dyDescent="0.2">
      <c r="B2" s="107" t="s">
        <v>905</v>
      </c>
      <c r="C2" s="110"/>
      <c r="D2" s="110"/>
      <c r="E2" s="107" t="s">
        <v>1779</v>
      </c>
      <c r="F2" s="110"/>
      <c r="G2" s="110"/>
      <c r="H2" s="107" t="s">
        <v>1781</v>
      </c>
      <c r="I2" s="111"/>
      <c r="J2" s="280" t="s">
        <v>1788</v>
      </c>
      <c r="K2" s="224"/>
      <c r="L2" s="280" t="s">
        <v>1453</v>
      </c>
      <c r="M2" s="224"/>
      <c r="N2" s="224"/>
      <c r="O2" s="224"/>
      <c r="Q2" s="107" t="s">
        <v>1785</v>
      </c>
      <c r="R2" s="110"/>
      <c r="S2" s="280" t="s">
        <v>1788</v>
      </c>
      <c r="T2" s="224"/>
      <c r="U2" s="280" t="s">
        <v>1453</v>
      </c>
      <c r="V2" s="224"/>
      <c r="W2" s="224"/>
      <c r="X2" s="224"/>
    </row>
    <row r="3" spans="2:24" ht="15.75" x14ac:dyDescent="0.3">
      <c r="B3" s="61" t="s">
        <v>613</v>
      </c>
      <c r="C3" s="51" t="s">
        <v>43</v>
      </c>
      <c r="D3" s="51" t="s">
        <v>365</v>
      </c>
      <c r="E3" s="51" t="s">
        <v>377</v>
      </c>
      <c r="F3" s="51"/>
      <c r="G3" s="123"/>
      <c r="H3" s="123" t="s">
        <v>377</v>
      </c>
      <c r="I3" s="130"/>
      <c r="J3" s="53" t="s">
        <v>1795</v>
      </c>
      <c r="K3" s="65"/>
      <c r="L3" s="65"/>
      <c r="M3" s="65"/>
      <c r="N3" s="65"/>
      <c r="O3" s="51" t="s">
        <v>1542</v>
      </c>
      <c r="Q3" s="51" t="s">
        <v>6</v>
      </c>
      <c r="R3" s="51"/>
      <c r="S3" s="53" t="s">
        <v>1797</v>
      </c>
      <c r="T3" s="65"/>
      <c r="U3" s="65"/>
      <c r="V3" s="65"/>
      <c r="W3" s="65"/>
      <c r="X3" s="51" t="s">
        <v>496</v>
      </c>
    </row>
    <row r="4" spans="2:24" x14ac:dyDescent="0.2">
      <c r="B4" s="62"/>
      <c r="C4" s="65"/>
      <c r="D4" s="53" t="s">
        <v>910</v>
      </c>
      <c r="E4" s="53" t="s">
        <v>1782</v>
      </c>
      <c r="F4" s="65"/>
      <c r="G4" s="65"/>
      <c r="H4" s="53" t="s">
        <v>1783</v>
      </c>
      <c r="I4" s="67"/>
      <c r="J4" s="53" t="s">
        <v>1791</v>
      </c>
      <c r="K4" s="53" t="s">
        <v>1792</v>
      </c>
      <c r="L4" s="53"/>
      <c r="M4" s="53"/>
      <c r="N4" s="53"/>
      <c r="O4" s="53" t="s">
        <v>1545</v>
      </c>
      <c r="Q4" s="53" t="s">
        <v>1782</v>
      </c>
      <c r="R4" s="53" t="s">
        <v>1783</v>
      </c>
      <c r="S4" s="53" t="s">
        <v>1791</v>
      </c>
      <c r="T4" s="53" t="s">
        <v>1792</v>
      </c>
      <c r="U4" s="53"/>
      <c r="V4" s="53"/>
      <c r="W4" s="53"/>
      <c r="X4" s="53" t="s">
        <v>513</v>
      </c>
    </row>
    <row r="5" spans="2:24" x14ac:dyDescent="0.2">
      <c r="B5" s="115" t="s">
        <v>800</v>
      </c>
      <c r="C5" s="57" t="s">
        <v>800</v>
      </c>
      <c r="D5" s="57" t="s">
        <v>420</v>
      </c>
      <c r="E5" s="57" t="s">
        <v>1780</v>
      </c>
      <c r="F5" s="57" t="s">
        <v>947</v>
      </c>
      <c r="G5" s="57" t="s">
        <v>784</v>
      </c>
      <c r="H5" s="57" t="s">
        <v>1780</v>
      </c>
      <c r="I5" s="59"/>
      <c r="J5" s="53" t="s">
        <v>784</v>
      </c>
      <c r="K5" s="53" t="s">
        <v>1780</v>
      </c>
      <c r="L5" s="53" t="s">
        <v>9</v>
      </c>
      <c r="M5" s="53" t="s">
        <v>10</v>
      </c>
      <c r="N5" s="53" t="s">
        <v>1649</v>
      </c>
      <c r="O5" s="57"/>
      <c r="Q5" s="57" t="s">
        <v>1659</v>
      </c>
      <c r="R5" s="57" t="s">
        <v>1659</v>
      </c>
      <c r="S5" s="53" t="s">
        <v>784</v>
      </c>
      <c r="T5" s="53" t="s">
        <v>1780</v>
      </c>
      <c r="U5" s="53" t="s">
        <v>9</v>
      </c>
      <c r="V5" s="53" t="s">
        <v>10</v>
      </c>
      <c r="W5" s="53" t="s">
        <v>1649</v>
      </c>
      <c r="X5" s="57" t="s">
        <v>494</v>
      </c>
    </row>
    <row r="6" spans="2:24" x14ac:dyDescent="0.2">
      <c r="E6" s="176" t="s">
        <v>1784</v>
      </c>
      <c r="I6" s="4" t="s">
        <v>1793</v>
      </c>
      <c r="J6" s="229">
        <v>22</v>
      </c>
      <c r="K6" s="229">
        <v>6</v>
      </c>
      <c r="L6" s="229"/>
      <c r="M6" s="229"/>
      <c r="N6" s="229"/>
      <c r="O6" s="225"/>
      <c r="S6" s="229">
        <v>22</v>
      </c>
      <c r="T6" s="229">
        <v>6</v>
      </c>
      <c r="U6" s="229"/>
      <c r="V6" s="229"/>
      <c r="W6" s="229"/>
      <c r="X6" s="225"/>
    </row>
    <row r="7" spans="2:24" x14ac:dyDescent="0.2">
      <c r="I7" s="4" t="s">
        <v>526</v>
      </c>
      <c r="J7" s="229">
        <f>J6+273</f>
        <v>295</v>
      </c>
      <c r="K7" s="229">
        <f>K6+273</f>
        <v>279</v>
      </c>
      <c r="L7" s="229"/>
      <c r="M7" s="229"/>
      <c r="N7" s="229"/>
      <c r="O7" s="225"/>
      <c r="S7" s="229">
        <f>S6+273</f>
        <v>295</v>
      </c>
      <c r="T7" s="229">
        <f>T6+273</f>
        <v>279</v>
      </c>
      <c r="U7" s="229"/>
      <c r="V7" s="229"/>
      <c r="W7" s="229"/>
      <c r="X7" s="225"/>
    </row>
    <row r="8" spans="2:24" x14ac:dyDescent="0.2">
      <c r="I8" s="4" t="s">
        <v>1794</v>
      </c>
      <c r="J8" s="236">
        <f>1/J7</f>
        <v>3.3898305084745762E-3</v>
      </c>
      <c r="K8" s="236">
        <f>1/K7</f>
        <v>3.5842293906810036E-3</v>
      </c>
      <c r="L8" s="236"/>
      <c r="M8" s="236"/>
      <c r="N8" s="236"/>
      <c r="O8" s="236" t="s">
        <v>1788</v>
      </c>
      <c r="S8" s="236">
        <f>1/S7</f>
        <v>3.3898305084745762E-3</v>
      </c>
      <c r="T8" s="236">
        <f>1/T7</f>
        <v>3.5842293906810036E-3</v>
      </c>
      <c r="U8" s="236"/>
      <c r="V8" s="236"/>
      <c r="W8" s="236"/>
      <c r="X8" s="236" t="s">
        <v>1789</v>
      </c>
    </row>
    <row r="11" spans="2:24" x14ac:dyDescent="0.2">
      <c r="B11" s="53" t="s">
        <v>548</v>
      </c>
      <c r="E11">
        <v>36</v>
      </c>
      <c r="F11">
        <v>30</v>
      </c>
      <c r="G11">
        <v>35</v>
      </c>
      <c r="H11">
        <v>21</v>
      </c>
      <c r="J11" s="95">
        <f>LN(G11)</f>
        <v>3.5553480614894135</v>
      </c>
      <c r="K11" s="95">
        <f t="shared" ref="K11:K15" si="0">LN(H11)</f>
        <v>3.044522437723423</v>
      </c>
      <c r="L11" s="95">
        <f>SLOPE(J11:K11,J$8:K$8)</f>
        <v>-2627.7189352537393</v>
      </c>
      <c r="M11" s="95">
        <f>INTERCEPT(J11:K11,J$8:K$8)</f>
        <v>12.462869875908869</v>
      </c>
      <c r="N11" s="95">
        <f>RSQ(J$8:K$8,J11:K11)</f>
        <v>1</v>
      </c>
      <c r="O11" s="288">
        <f>-L11*8.314/1000</f>
        <v>21.846855227699592</v>
      </c>
      <c r="Q11">
        <f>2.7*10^-13</f>
        <v>2.7000000000000001E-13</v>
      </c>
      <c r="R11">
        <f>0.9*10^-13</f>
        <v>9.0000000000000008E-14</v>
      </c>
      <c r="S11" s="95">
        <f>LN(Q11)</f>
        <v>-28.940354435912312</v>
      </c>
      <c r="T11" s="95">
        <f>LN(R11)</f>
        <v>-30.038966724580419</v>
      </c>
      <c r="U11" s="95">
        <f>SLOPE(S11:T11,S$8:T$8)</f>
        <v>-5651.3302761767836</v>
      </c>
      <c r="V11" s="95">
        <f>INTERCEPT(S11:T11,S$8:T$8)</f>
        <v>-9.7833026522622006</v>
      </c>
      <c r="W11" s="95">
        <f>RSQ(S$8:T$8,S11:T11)</f>
        <v>1.0000000000000004</v>
      </c>
      <c r="X11" s="288">
        <f>-U11*8.314/1000</f>
        <v>46.985159916133782</v>
      </c>
    </row>
    <row r="12" spans="2:24" x14ac:dyDescent="0.2">
      <c r="B12" s="53" t="s">
        <v>1777</v>
      </c>
      <c r="E12">
        <v>121</v>
      </c>
      <c r="F12">
        <v>114</v>
      </c>
      <c r="G12">
        <v>135</v>
      </c>
      <c r="H12">
        <v>87</v>
      </c>
      <c r="J12" s="95">
        <f t="shared" ref="J12:J15" si="1">LN(G12)</f>
        <v>4.9052747784384296</v>
      </c>
      <c r="K12" s="95">
        <f t="shared" si="0"/>
        <v>4.4659081186545837</v>
      </c>
      <c r="L12" s="95">
        <f t="shared" ref="L12:L15" si="2">SLOPE(J12:K12,J$8:K$8)</f>
        <v>-2260.1295583443389</v>
      </c>
      <c r="M12" s="95">
        <f t="shared" ref="M12:M15" si="3">INTERCEPT(J12:K12,J$8:K$8)</f>
        <v>12.566730908419238</v>
      </c>
      <c r="N12" s="95">
        <f t="shared" ref="N12:N15" si="4">RSQ(J$8:K$8,J12:K12)</f>
        <v>1</v>
      </c>
      <c r="O12" s="288">
        <f t="shared" ref="O12:O15" si="5">-L12*8.314/1000</f>
        <v>18.790717148074833</v>
      </c>
      <c r="Q12">
        <f>2.3*10^-13</f>
        <v>2.2999999999999998E-13</v>
      </c>
      <c r="R12">
        <f>0.65*10^-13</f>
        <v>6.5000000000000001E-14</v>
      </c>
      <c r="S12" s="95">
        <f t="shared" ref="S12:S15" si="6">LN(Q12)</f>
        <v>-29.100697085987491</v>
      </c>
      <c r="T12" s="95">
        <f t="shared" ref="T12:T15" si="7">LN(R12)</f>
        <v>-30.364389125015048</v>
      </c>
      <c r="U12" s="95">
        <f t="shared" ref="U12:U15" si="8">SLOPE(S12:T12,S$8:T$8)</f>
        <v>-6500.51082951019</v>
      </c>
      <c r="V12" s="95">
        <f t="shared" ref="V12:V15" si="9">INTERCEPT(S12:T12,S$8:T$8)</f>
        <v>-7.0650671554444777</v>
      </c>
      <c r="W12" s="95">
        <f t="shared" ref="W12:W15" si="10">RSQ(S$8:T$8,S12:T12)</f>
        <v>1.0000000000000004</v>
      </c>
      <c r="X12" s="288">
        <f t="shared" ref="X12:X15" si="11">-U12*8.314/1000</f>
        <v>54.045247036547721</v>
      </c>
    </row>
    <row r="13" spans="2:24" x14ac:dyDescent="0.2">
      <c r="B13" s="53" t="s">
        <v>1778</v>
      </c>
      <c r="E13">
        <v>309</v>
      </c>
      <c r="F13">
        <v>325</v>
      </c>
      <c r="G13">
        <v>310</v>
      </c>
      <c r="H13">
        <v>214</v>
      </c>
      <c r="J13" s="95">
        <f t="shared" si="1"/>
        <v>5.7365722974791922</v>
      </c>
      <c r="K13" s="95">
        <f t="shared" si="0"/>
        <v>5.3659760150218512</v>
      </c>
      <c r="L13" s="95">
        <f t="shared" si="2"/>
        <v>-1906.370439228215</v>
      </c>
      <c r="M13" s="95">
        <f t="shared" si="3"/>
        <v>12.198844972829072</v>
      </c>
      <c r="N13" s="95">
        <f t="shared" si="4"/>
        <v>1.0000000000000004</v>
      </c>
      <c r="O13" s="288">
        <f t="shared" si="5"/>
        <v>15.84956383174338</v>
      </c>
      <c r="Q13">
        <f>1.9*10^-13</f>
        <v>1.9E-13</v>
      </c>
      <c r="R13">
        <f>0.5*10^-13</f>
        <v>5.0000000000000002E-14</v>
      </c>
      <c r="S13" s="95">
        <f t="shared" si="6"/>
        <v>-29.291752322750199</v>
      </c>
      <c r="T13" s="95">
        <f t="shared" si="7"/>
        <v>-30.626753389482538</v>
      </c>
      <c r="U13" s="95">
        <f t="shared" si="8"/>
        <v>-6867.3289248378187</v>
      </c>
      <c r="V13" s="95">
        <f t="shared" si="9"/>
        <v>-6.0126712216050535</v>
      </c>
      <c r="W13" s="95">
        <f t="shared" si="10"/>
        <v>1</v>
      </c>
      <c r="X13" s="288">
        <f t="shared" si="11"/>
        <v>57.094972681101623</v>
      </c>
    </row>
    <row r="14" spans="2:24" x14ac:dyDescent="0.2">
      <c r="B14" s="53" t="s">
        <v>762</v>
      </c>
      <c r="E14">
        <v>337</v>
      </c>
      <c r="F14">
        <v>412</v>
      </c>
      <c r="G14">
        <v>350</v>
      </c>
      <c r="H14">
        <v>247</v>
      </c>
      <c r="J14" s="95">
        <f t="shared" si="1"/>
        <v>5.857933154483459</v>
      </c>
      <c r="K14" s="95">
        <f t="shared" si="0"/>
        <v>5.5093883366279774</v>
      </c>
      <c r="L14" s="95">
        <f t="shared" si="2"/>
        <v>-1792.9363270997121</v>
      </c>
      <c r="M14" s="95">
        <f t="shared" si="3"/>
        <v>11.935683415838415</v>
      </c>
      <c r="N14" s="95">
        <f t="shared" si="4"/>
        <v>1</v>
      </c>
      <c r="O14" s="288">
        <f t="shared" si="5"/>
        <v>14.906472623507007</v>
      </c>
      <c r="Q14">
        <f>1.9*10^-13</f>
        <v>1.9E-13</v>
      </c>
      <c r="R14">
        <f>0.5*10^-13</f>
        <v>5.0000000000000002E-14</v>
      </c>
      <c r="S14" s="95">
        <f t="shared" si="6"/>
        <v>-29.291752322750199</v>
      </c>
      <c r="T14" s="95">
        <f t="shared" si="7"/>
        <v>-30.626753389482538</v>
      </c>
      <c r="U14" s="95">
        <f t="shared" si="8"/>
        <v>-6867.3289248378187</v>
      </c>
      <c r="V14" s="95">
        <f t="shared" si="9"/>
        <v>-6.0126712216050535</v>
      </c>
      <c r="W14" s="95">
        <f t="shared" si="10"/>
        <v>1</v>
      </c>
      <c r="X14" s="288">
        <f t="shared" si="11"/>
        <v>57.094972681101623</v>
      </c>
    </row>
    <row r="15" spans="2:24" x14ac:dyDescent="0.2">
      <c r="B15" s="53" t="s">
        <v>872</v>
      </c>
      <c r="E15">
        <v>243</v>
      </c>
      <c r="F15">
        <v>349</v>
      </c>
      <c r="G15">
        <v>260</v>
      </c>
      <c r="H15">
        <v>184</v>
      </c>
      <c r="J15" s="95">
        <f t="shared" si="1"/>
        <v>5.5606816310155276</v>
      </c>
      <c r="K15" s="95">
        <f t="shared" si="0"/>
        <v>5.2149357576089859</v>
      </c>
      <c r="L15" s="95">
        <f t="shared" si="2"/>
        <v>-1778.5383819203378</v>
      </c>
      <c r="M15" s="95">
        <f t="shared" si="3"/>
        <v>11.589625298542096</v>
      </c>
      <c r="N15" s="95">
        <f t="shared" si="4"/>
        <v>1</v>
      </c>
      <c r="O15" s="288">
        <f t="shared" si="5"/>
        <v>14.786768107285688</v>
      </c>
      <c r="Q15">
        <f>1.7*10^-13</f>
        <v>1.7000000000000001E-13</v>
      </c>
      <c r="R15">
        <f>0.45*10^-13</f>
        <v>4.5000000000000004E-14</v>
      </c>
      <c r="S15" s="95">
        <f t="shared" si="6"/>
        <v>-29.402977957860422</v>
      </c>
      <c r="T15" s="95">
        <f t="shared" si="7"/>
        <v>-30.732113905140366</v>
      </c>
      <c r="U15" s="95">
        <f t="shared" si="8"/>
        <v>-6837.1583838047363</v>
      </c>
      <c r="V15" s="95">
        <f t="shared" si="9"/>
        <v>-6.2261698771664022</v>
      </c>
      <c r="W15" s="95">
        <f t="shared" si="10"/>
        <v>1.0000000000000004</v>
      </c>
      <c r="X15" s="288">
        <f t="shared" si="11"/>
        <v>56.844134802952574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20"/>
  <sheetViews>
    <sheetView workbookViewId="0">
      <selection activeCell="B5" sqref="B5"/>
    </sheetView>
  </sheetViews>
  <sheetFormatPr defaultRowHeight="12.75" x14ac:dyDescent="0.2"/>
  <cols>
    <col min="1" max="1" width="6.140625" customWidth="1"/>
    <col min="2" max="2" width="20.42578125" customWidth="1"/>
  </cols>
  <sheetData>
    <row r="1" spans="1:13" x14ac:dyDescent="0.2">
      <c r="B1" t="s">
        <v>919</v>
      </c>
    </row>
    <row r="2" spans="1:13" x14ac:dyDescent="0.2">
      <c r="B2" s="107" t="s">
        <v>905</v>
      </c>
      <c r="C2" s="110"/>
      <c r="D2" s="110"/>
      <c r="E2" s="107" t="s">
        <v>915</v>
      </c>
      <c r="F2" s="110"/>
      <c r="G2" s="110"/>
      <c r="H2" s="111"/>
      <c r="I2" s="107" t="s">
        <v>916</v>
      </c>
      <c r="J2" s="110"/>
      <c r="K2" s="110"/>
      <c r="L2" s="110"/>
      <c r="M2" s="111"/>
    </row>
    <row r="3" spans="1:13" x14ac:dyDescent="0.2">
      <c r="B3" s="61" t="s">
        <v>613</v>
      </c>
      <c r="C3" s="51" t="s">
        <v>43</v>
      </c>
      <c r="D3" s="51" t="s">
        <v>365</v>
      </c>
      <c r="E3" s="61" t="s">
        <v>381</v>
      </c>
      <c r="F3" s="51" t="s">
        <v>377</v>
      </c>
      <c r="G3" s="123"/>
      <c r="H3" s="130"/>
      <c r="I3" s="123" t="s">
        <v>377</v>
      </c>
      <c r="J3" s="123" t="s">
        <v>917</v>
      </c>
      <c r="K3" s="123"/>
      <c r="L3" s="123" t="s">
        <v>918</v>
      </c>
      <c r="M3" s="130"/>
    </row>
    <row r="4" spans="1:13" x14ac:dyDescent="0.2">
      <c r="B4" s="62"/>
      <c r="C4" s="65"/>
      <c r="D4" s="53" t="s">
        <v>910</v>
      </c>
      <c r="E4" s="78" t="s">
        <v>911</v>
      </c>
      <c r="F4" s="65"/>
      <c r="G4" s="65"/>
      <c r="H4" s="55"/>
      <c r="I4" s="65"/>
      <c r="J4" s="65"/>
      <c r="K4" s="65"/>
      <c r="L4" s="65"/>
      <c r="M4" s="55"/>
    </row>
    <row r="5" spans="1:13" x14ac:dyDescent="0.2">
      <c r="B5" s="115"/>
      <c r="C5" s="57" t="s">
        <v>800</v>
      </c>
      <c r="D5" s="57" t="s">
        <v>420</v>
      </c>
      <c r="E5" s="115" t="s">
        <v>420</v>
      </c>
      <c r="F5" s="57" t="s">
        <v>912</v>
      </c>
      <c r="G5" s="57" t="s">
        <v>913</v>
      </c>
      <c r="H5" s="120" t="s">
        <v>784</v>
      </c>
      <c r="I5" s="66"/>
      <c r="J5" s="57" t="s">
        <v>772</v>
      </c>
      <c r="K5" s="57"/>
      <c r="L5" s="57" t="s">
        <v>772</v>
      </c>
      <c r="M5" s="59"/>
    </row>
    <row r="6" spans="1:13" x14ac:dyDescent="0.2">
      <c r="B6" s="4" t="s">
        <v>906</v>
      </c>
    </row>
    <row r="7" spans="1:13" x14ac:dyDescent="0.2">
      <c r="A7">
        <v>1</v>
      </c>
      <c r="B7" s="4" t="s">
        <v>311</v>
      </c>
      <c r="C7">
        <v>84.93</v>
      </c>
      <c r="D7">
        <v>20000</v>
      </c>
      <c r="E7">
        <v>3</v>
      </c>
      <c r="F7">
        <v>6.1</v>
      </c>
      <c r="G7">
        <v>6.1</v>
      </c>
      <c r="H7">
        <f>AVERAGE(F7,G7)</f>
        <v>6.1</v>
      </c>
      <c r="I7">
        <v>6</v>
      </c>
      <c r="J7">
        <v>0.65</v>
      </c>
      <c r="K7">
        <f>J7*10^-8*10^-4</f>
        <v>6.5000000000000006E-13</v>
      </c>
      <c r="L7">
        <v>3.9</v>
      </c>
    </row>
    <row r="8" spans="1:13" x14ac:dyDescent="0.2">
      <c r="A8">
        <v>2</v>
      </c>
      <c r="B8" s="4" t="s">
        <v>907</v>
      </c>
      <c r="C8">
        <v>98.96</v>
      </c>
      <c r="D8">
        <v>86900</v>
      </c>
      <c r="E8">
        <v>3</v>
      </c>
      <c r="F8">
        <v>9.4</v>
      </c>
      <c r="G8">
        <v>9.4</v>
      </c>
      <c r="H8">
        <f>AVERAGE(F8,G8)</f>
        <v>9.4</v>
      </c>
      <c r="I8">
        <v>12</v>
      </c>
      <c r="J8">
        <v>0.4</v>
      </c>
      <c r="K8">
        <f>J8*10^-8*10^-4</f>
        <v>4.0000000000000006E-13</v>
      </c>
      <c r="L8">
        <v>4.8</v>
      </c>
    </row>
    <row r="9" spans="1:13" x14ac:dyDescent="0.2">
      <c r="A9">
        <v>3</v>
      </c>
      <c r="B9" s="4" t="s">
        <v>908</v>
      </c>
      <c r="C9">
        <v>131.38999999999999</v>
      </c>
      <c r="D9">
        <v>1100</v>
      </c>
      <c r="E9">
        <v>3</v>
      </c>
      <c r="F9">
        <v>87</v>
      </c>
      <c r="G9">
        <v>59</v>
      </c>
      <c r="H9">
        <f>AVERAGE(F9,G9)</f>
        <v>73</v>
      </c>
      <c r="I9">
        <v>85</v>
      </c>
      <c r="J9">
        <v>0.4</v>
      </c>
      <c r="K9">
        <f>J9*10^-8*10^-4</f>
        <v>4.0000000000000006E-13</v>
      </c>
      <c r="L9">
        <v>34</v>
      </c>
    </row>
    <row r="11" spans="1:13" x14ac:dyDescent="0.2">
      <c r="B11" s="4" t="s">
        <v>909</v>
      </c>
    </row>
    <row r="12" spans="1:13" x14ac:dyDescent="0.2">
      <c r="A12">
        <v>4</v>
      </c>
      <c r="B12" s="4" t="s">
        <v>548</v>
      </c>
      <c r="C12">
        <v>78.11</v>
      </c>
      <c r="D12">
        <v>1780</v>
      </c>
      <c r="E12">
        <v>3</v>
      </c>
      <c r="F12">
        <v>31</v>
      </c>
      <c r="G12">
        <v>25</v>
      </c>
      <c r="H12">
        <f>AVERAGE(F12,G12)</f>
        <v>28</v>
      </c>
      <c r="I12">
        <v>30</v>
      </c>
      <c r="J12">
        <v>0.35</v>
      </c>
      <c r="K12">
        <f>J12*10^-8*10^-4</f>
        <v>3.5000000000000002E-13</v>
      </c>
      <c r="L12">
        <v>10.5</v>
      </c>
    </row>
    <row r="13" spans="1:13" x14ac:dyDescent="0.2">
      <c r="A13">
        <v>5</v>
      </c>
      <c r="B13" s="4" t="s">
        <v>492</v>
      </c>
      <c r="C13">
        <v>92.14</v>
      </c>
      <c r="D13">
        <v>515</v>
      </c>
      <c r="E13">
        <v>3</v>
      </c>
      <c r="F13">
        <v>120</v>
      </c>
      <c r="G13">
        <v>95</v>
      </c>
      <c r="H13">
        <f>AVERAGE(F13,G13)</f>
        <v>107.5</v>
      </c>
      <c r="I13">
        <v>100</v>
      </c>
      <c r="J13">
        <v>0.3</v>
      </c>
      <c r="K13">
        <f>J13*10^-8*10^-4</f>
        <v>3.0000000000000003E-13</v>
      </c>
      <c r="L13">
        <v>30</v>
      </c>
    </row>
    <row r="14" spans="1:13" x14ac:dyDescent="0.2">
      <c r="A14">
        <v>6</v>
      </c>
      <c r="B14" s="4" t="s">
        <v>694</v>
      </c>
      <c r="C14">
        <v>106.17</v>
      </c>
      <c r="D14">
        <v>152</v>
      </c>
      <c r="E14">
        <v>3</v>
      </c>
      <c r="F14">
        <v>315</v>
      </c>
      <c r="G14">
        <v>237</v>
      </c>
      <c r="H14">
        <f>AVERAGE(F14,G14)</f>
        <v>276</v>
      </c>
      <c r="I14">
        <v>285</v>
      </c>
      <c r="J14">
        <v>0.18</v>
      </c>
      <c r="K14">
        <f>J14*10^-8*10^-4</f>
        <v>1.8000000000000002E-13</v>
      </c>
      <c r="L14">
        <v>51.3</v>
      </c>
    </row>
    <row r="15" spans="1:13" x14ac:dyDescent="0.2">
      <c r="A15">
        <v>7</v>
      </c>
      <c r="B15" s="4" t="s">
        <v>914</v>
      </c>
      <c r="C15">
        <v>106.17</v>
      </c>
      <c r="D15">
        <v>161.9</v>
      </c>
      <c r="E15">
        <v>3</v>
      </c>
      <c r="F15">
        <v>408</v>
      </c>
      <c r="G15">
        <v>300</v>
      </c>
      <c r="H15">
        <f>AVERAGE(F15,G15)</f>
        <v>354</v>
      </c>
      <c r="I15">
        <v>347</v>
      </c>
      <c r="J15">
        <v>0.17</v>
      </c>
      <c r="K15">
        <f>J15*10^-8*10^-4</f>
        <v>1.7000000000000003E-13</v>
      </c>
      <c r="L15">
        <v>59</v>
      </c>
    </row>
    <row r="16" spans="1:13" x14ac:dyDescent="0.2">
      <c r="A16">
        <v>8</v>
      </c>
      <c r="B16" s="4" t="s">
        <v>872</v>
      </c>
      <c r="C16">
        <v>106.17</v>
      </c>
      <c r="D16">
        <v>152</v>
      </c>
      <c r="E16">
        <v>3</v>
      </c>
      <c r="F16">
        <v>285</v>
      </c>
      <c r="G16">
        <v>193</v>
      </c>
      <c r="H16">
        <f>AVERAGE(F16,G16)</f>
        <v>239</v>
      </c>
      <c r="I16">
        <v>240</v>
      </c>
      <c r="J16">
        <v>0.15</v>
      </c>
      <c r="K16">
        <f>J16*10^-8*10^-4</f>
        <v>1.5000000000000002E-13</v>
      </c>
      <c r="L16">
        <v>36</v>
      </c>
    </row>
    <row r="19" spans="2:2" x14ac:dyDescent="0.2">
      <c r="B19" s="4" t="s">
        <v>1237</v>
      </c>
    </row>
    <row r="20" spans="2:2" x14ac:dyDescent="0.2">
      <c r="B20" s="4" t="s">
        <v>1238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7"/>
  <sheetViews>
    <sheetView workbookViewId="0">
      <selection activeCell="A8" sqref="A8"/>
    </sheetView>
  </sheetViews>
  <sheetFormatPr defaultRowHeight="12.75" x14ac:dyDescent="0.2"/>
  <sheetData>
    <row r="7" spans="1:1" x14ac:dyDescent="0.2">
      <c r="A7" s="4" t="s">
        <v>920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Z83"/>
  <sheetViews>
    <sheetView zoomScale="70" zoomScaleNormal="70" workbookViewId="0">
      <pane xSplit="5" ySplit="7" topLeftCell="F20" activePane="bottomRight" state="frozen"/>
      <selection pane="topRight" activeCell="B1" sqref="B1"/>
      <selection pane="bottomLeft" activeCell="A7" sqref="A7"/>
      <selection pane="bottomRight" activeCell="P32" sqref="P32"/>
    </sheetView>
  </sheetViews>
  <sheetFormatPr defaultRowHeight="12.75" x14ac:dyDescent="0.2"/>
  <cols>
    <col min="1" max="1" width="9.140625" style="33"/>
    <col min="2" max="2" width="15.5703125" style="33" customWidth="1"/>
    <col min="3" max="4" width="9.140625" style="33"/>
    <col min="5" max="5" width="26.5703125" style="33" customWidth="1"/>
    <col min="6" max="6" width="14.28515625" style="34" customWidth="1"/>
    <col min="7" max="9" width="9.140625" style="33"/>
    <col min="10" max="10" width="12.5703125" style="33" bestFit="1" customWidth="1"/>
    <col min="11" max="12" width="9.140625" style="33"/>
    <col min="13" max="14" width="10.42578125" style="33" customWidth="1"/>
    <col min="15" max="16" width="9.140625" style="33"/>
    <col min="17" max="17" width="10.42578125" style="33" customWidth="1"/>
    <col min="18" max="20" width="9.140625" style="33"/>
    <col min="21" max="21" width="8" style="33" customWidth="1"/>
    <col min="24" max="26" width="9.140625" style="33"/>
    <col min="27" max="27" width="12.5703125" style="33" bestFit="1" customWidth="1"/>
    <col min="28" max="16384" width="9.140625" style="33"/>
  </cols>
  <sheetData>
    <row r="2" spans="1:26" s="34" customFormat="1" x14ac:dyDescent="0.2">
      <c r="B2" s="88" t="s">
        <v>372</v>
      </c>
      <c r="C2" s="89"/>
      <c r="D2" s="89"/>
      <c r="E2" s="89"/>
      <c r="F2" s="89"/>
      <c r="G2" s="88" t="s">
        <v>373</v>
      </c>
      <c r="H2" s="89"/>
      <c r="I2" s="89"/>
      <c r="J2" s="89"/>
      <c r="K2" s="90"/>
      <c r="L2" s="89"/>
      <c r="M2" s="173" t="s">
        <v>960</v>
      </c>
      <c r="N2" s="89"/>
      <c r="O2" s="89"/>
      <c r="P2" s="89"/>
      <c r="Q2" s="89"/>
      <c r="R2" s="90"/>
      <c r="S2" s="89"/>
      <c r="T2" s="101"/>
      <c r="U2" s="174" t="s">
        <v>962</v>
      </c>
      <c r="V2" s="101"/>
      <c r="W2" s="101"/>
    </row>
    <row r="3" spans="1:26" x14ac:dyDescent="0.2">
      <c r="B3" s="75" t="s">
        <v>354</v>
      </c>
      <c r="C3" s="78" t="s">
        <v>37</v>
      </c>
      <c r="D3" s="53" t="s">
        <v>41</v>
      </c>
      <c r="E3" s="79" t="s">
        <v>254</v>
      </c>
      <c r="F3" s="171" t="s">
        <v>260</v>
      </c>
      <c r="G3" s="80" t="s">
        <v>255</v>
      </c>
      <c r="H3" s="73"/>
      <c r="I3" s="73" t="s">
        <v>395</v>
      </c>
      <c r="J3" s="73"/>
      <c r="K3" s="79" t="s">
        <v>395</v>
      </c>
      <c r="L3" s="73"/>
      <c r="M3" s="80" t="s">
        <v>359</v>
      </c>
      <c r="N3" s="73" t="s">
        <v>359</v>
      </c>
      <c r="O3" s="73" t="s">
        <v>388</v>
      </c>
      <c r="P3" s="73"/>
      <c r="Q3" s="73" t="s">
        <v>961</v>
      </c>
      <c r="R3" s="73"/>
      <c r="S3" s="73"/>
      <c r="T3" s="73"/>
      <c r="U3" s="86" t="s">
        <v>962</v>
      </c>
      <c r="V3" s="87"/>
      <c r="W3" s="77"/>
    </row>
    <row r="4" spans="1:26" x14ac:dyDescent="0.2">
      <c r="B4" s="75" t="s">
        <v>355</v>
      </c>
      <c r="C4" s="78"/>
      <c r="D4" s="53"/>
      <c r="E4" s="79"/>
      <c r="F4" s="171"/>
      <c r="G4" s="80" t="s">
        <v>44</v>
      </c>
      <c r="H4" s="73" t="s">
        <v>44</v>
      </c>
      <c r="I4" s="73" t="s">
        <v>389</v>
      </c>
      <c r="J4" s="73"/>
      <c r="K4" s="79" t="s">
        <v>389</v>
      </c>
      <c r="L4" s="73"/>
      <c r="M4" s="80" t="s">
        <v>390</v>
      </c>
      <c r="N4" s="73" t="s">
        <v>390</v>
      </c>
      <c r="O4" s="73" t="s">
        <v>389</v>
      </c>
      <c r="P4" s="73"/>
      <c r="Q4" s="73" t="s">
        <v>378</v>
      </c>
      <c r="R4" s="73" t="s">
        <v>389</v>
      </c>
      <c r="S4" s="73"/>
      <c r="T4" s="73"/>
      <c r="U4" s="80" t="s">
        <v>351</v>
      </c>
      <c r="V4" s="73"/>
      <c r="W4" s="79"/>
      <c r="Z4" s="33" t="s">
        <v>1239</v>
      </c>
    </row>
    <row r="5" spans="1:26" x14ac:dyDescent="0.2">
      <c r="B5" s="75" t="s">
        <v>356</v>
      </c>
      <c r="C5" s="80"/>
      <c r="D5" s="73"/>
      <c r="E5" s="79"/>
      <c r="F5" s="171"/>
      <c r="G5" s="80" t="s">
        <v>341</v>
      </c>
      <c r="H5" s="73" t="s">
        <v>341</v>
      </c>
      <c r="I5" s="73" t="s">
        <v>391</v>
      </c>
      <c r="J5" s="73" t="s">
        <v>1229</v>
      </c>
      <c r="K5" s="79" t="s">
        <v>391</v>
      </c>
      <c r="L5" s="73" t="s">
        <v>1229</v>
      </c>
      <c r="M5" s="80" t="s">
        <v>349</v>
      </c>
      <c r="N5" s="73" t="s">
        <v>349</v>
      </c>
      <c r="O5" s="73" t="s">
        <v>391</v>
      </c>
      <c r="P5" s="73" t="s">
        <v>1229</v>
      </c>
      <c r="Q5" s="73" t="s">
        <v>352</v>
      </c>
      <c r="R5" s="73" t="s">
        <v>391</v>
      </c>
      <c r="S5" s="73" t="s">
        <v>1229</v>
      </c>
      <c r="T5" s="73" t="s">
        <v>1229</v>
      </c>
      <c r="U5" s="80" t="s">
        <v>342</v>
      </c>
      <c r="V5" s="73"/>
      <c r="W5" s="79"/>
      <c r="Z5" s="33" t="s">
        <v>1240</v>
      </c>
    </row>
    <row r="6" spans="1:26" x14ac:dyDescent="0.2">
      <c r="B6" s="75" t="s">
        <v>357</v>
      </c>
      <c r="C6" s="80"/>
      <c r="D6" s="73"/>
      <c r="E6" s="79"/>
      <c r="F6" s="80"/>
      <c r="G6" s="80" t="s">
        <v>261</v>
      </c>
      <c r="H6" s="73" t="s">
        <v>261</v>
      </c>
      <c r="I6" s="79" t="s">
        <v>383</v>
      </c>
      <c r="J6" s="79"/>
      <c r="K6" s="79" t="s">
        <v>383</v>
      </c>
      <c r="L6" s="73"/>
      <c r="M6" s="80" t="s">
        <v>261</v>
      </c>
      <c r="N6" s="73" t="s">
        <v>261</v>
      </c>
      <c r="O6" s="73" t="s">
        <v>383</v>
      </c>
      <c r="P6" s="73"/>
      <c r="Q6" s="73" t="s">
        <v>261</v>
      </c>
      <c r="R6" s="73" t="s">
        <v>383</v>
      </c>
      <c r="S6" s="73"/>
      <c r="T6" s="73"/>
      <c r="U6" s="80" t="s">
        <v>265</v>
      </c>
      <c r="V6" s="73"/>
      <c r="W6" s="79"/>
    </row>
    <row r="7" spans="1:26" x14ac:dyDescent="0.2">
      <c r="B7" s="76" t="s">
        <v>358</v>
      </c>
      <c r="C7" s="81"/>
      <c r="D7" s="82"/>
      <c r="E7" s="83"/>
      <c r="F7" s="172"/>
      <c r="G7" s="81" t="s">
        <v>11</v>
      </c>
      <c r="H7" s="82" t="s">
        <v>12</v>
      </c>
      <c r="I7" s="82" t="s">
        <v>11</v>
      </c>
      <c r="J7" s="82"/>
      <c r="K7" s="83" t="s">
        <v>12</v>
      </c>
      <c r="L7" s="82"/>
      <c r="M7" s="81" t="s">
        <v>11</v>
      </c>
      <c r="N7" s="82" t="s">
        <v>12</v>
      </c>
      <c r="O7" s="82" t="s">
        <v>11</v>
      </c>
      <c r="P7" s="82"/>
      <c r="Q7" s="82"/>
      <c r="R7" s="82" t="s">
        <v>12</v>
      </c>
      <c r="S7" s="82"/>
      <c r="T7" s="82"/>
      <c r="U7" s="81" t="s">
        <v>259</v>
      </c>
      <c r="V7" s="82"/>
      <c r="W7" s="83"/>
    </row>
    <row r="8" spans="1:26" x14ac:dyDescent="0.2">
      <c r="F8" s="32"/>
    </row>
    <row r="9" spans="1:26" x14ac:dyDescent="0.2">
      <c r="A9" s="33">
        <v>1</v>
      </c>
      <c r="B9" s="31" t="s">
        <v>267</v>
      </c>
      <c r="C9" s="33">
        <v>200</v>
      </c>
      <c r="D9" s="33">
        <f>VLOOKUP(E9,Sanscrit!D:AA,24,FALSE)</f>
        <v>407</v>
      </c>
      <c r="E9" s="33" t="s">
        <v>0</v>
      </c>
      <c r="F9" s="34" t="s">
        <v>18</v>
      </c>
      <c r="G9" s="33">
        <v>0.105</v>
      </c>
      <c r="H9" s="33">
        <v>7.0000000000000007E-2</v>
      </c>
      <c r="M9" s="45"/>
      <c r="N9" s="45"/>
      <c r="Q9" s="45"/>
      <c r="U9" s="36">
        <v>1.78</v>
      </c>
    </row>
    <row r="10" spans="1:26" x14ac:dyDescent="0.2">
      <c r="A10" s="33">
        <v>2</v>
      </c>
      <c r="C10" s="33">
        <v>204</v>
      </c>
      <c r="D10" s="33">
        <f>VLOOKUP(E10,Sanscrit!D:AA,24,FALSE)</f>
        <v>815</v>
      </c>
      <c r="E10" s="33" t="s">
        <v>20</v>
      </c>
      <c r="F10" s="34" t="s">
        <v>21</v>
      </c>
      <c r="G10" s="33">
        <v>0.11600000000000001</v>
      </c>
      <c r="H10" s="33">
        <v>7.5999999999999998E-2</v>
      </c>
      <c r="I10" s="33">
        <v>34</v>
      </c>
      <c r="J10" s="33">
        <f>I10*10^-8/60/60/24</f>
        <v>3.9351851851851855E-12</v>
      </c>
      <c r="K10" s="33">
        <v>14</v>
      </c>
      <c r="L10" s="33">
        <f>K10*10^-8/60/60/24</f>
        <v>1.6203703703703706E-12</v>
      </c>
      <c r="M10" s="45">
        <v>54</v>
      </c>
      <c r="N10" s="45"/>
      <c r="O10" s="33">
        <v>7.8</v>
      </c>
      <c r="P10" s="33">
        <f>O10*10^-8/60/60/24</f>
        <v>9.0277777777777766E-13</v>
      </c>
      <c r="Q10" s="41">
        <v>0.313</v>
      </c>
      <c r="T10" s="33">
        <f>R10*10^-8/60/60/24</f>
        <v>0</v>
      </c>
      <c r="U10" s="36">
        <v>0.51500000000000001</v>
      </c>
    </row>
    <row r="11" spans="1:26" x14ac:dyDescent="0.2">
      <c r="A11" s="33">
        <v>3</v>
      </c>
      <c r="C11" s="33">
        <v>218</v>
      </c>
      <c r="D11" s="33">
        <f>VLOOKUP(E11,Sanscrit!D:AA,24,FALSE)</f>
        <v>629</v>
      </c>
      <c r="E11" s="33" t="s">
        <v>98</v>
      </c>
      <c r="F11" s="34" t="s">
        <v>479</v>
      </c>
      <c r="G11" s="33">
        <v>0.121</v>
      </c>
      <c r="H11" s="33">
        <v>0.08</v>
      </c>
      <c r="M11" s="45"/>
      <c r="N11" s="45"/>
      <c r="Q11" s="45"/>
      <c r="U11" s="36">
        <v>0.17499999999999999</v>
      </c>
    </row>
    <row r="12" spans="1:26" ht="12" customHeight="1" x14ac:dyDescent="0.2">
      <c r="A12" s="33">
        <v>4</v>
      </c>
      <c r="C12" s="33">
        <v>205</v>
      </c>
      <c r="D12" s="33">
        <f>VLOOKUP(E12,Sanscrit!D:AA,24,FALSE)</f>
        <v>617</v>
      </c>
      <c r="E12" s="33" t="s">
        <v>91</v>
      </c>
      <c r="F12" s="34" t="s">
        <v>478</v>
      </c>
      <c r="G12" s="33">
        <v>0.11799999999999999</v>
      </c>
      <c r="H12" s="33">
        <v>7.9000000000000001E-2</v>
      </c>
      <c r="M12" s="45"/>
      <c r="N12" s="45"/>
      <c r="Q12" s="45"/>
      <c r="U12" s="36">
        <v>0.17399999999999999</v>
      </c>
    </row>
    <row r="13" spans="1:26" x14ac:dyDescent="0.2">
      <c r="A13" s="33">
        <v>5</v>
      </c>
      <c r="C13" s="33">
        <v>219</v>
      </c>
      <c r="D13" s="33">
        <f>VLOOKUP(E13,Sanscrit!D:AA,24,FALSE)</f>
        <v>742</v>
      </c>
      <c r="E13" s="33" t="s">
        <v>99</v>
      </c>
      <c r="G13" s="33">
        <v>0.124</v>
      </c>
      <c r="H13" s="33">
        <v>8.1000000000000003E-2</v>
      </c>
      <c r="M13" s="45"/>
      <c r="N13" s="45"/>
      <c r="Q13" s="45"/>
      <c r="U13" s="36">
        <v>0.19800000000000001</v>
      </c>
    </row>
    <row r="14" spans="1:26" x14ac:dyDescent="0.2">
      <c r="A14" s="33">
        <v>6</v>
      </c>
      <c r="C14" s="33">
        <v>-201</v>
      </c>
      <c r="D14" s="33" t="e">
        <f>VLOOKUP(E14,Sanscrit!D:AA,24,FALSE)</f>
        <v>#N/A</v>
      </c>
      <c r="E14" s="33" t="s">
        <v>268</v>
      </c>
      <c r="F14" s="34" t="s">
        <v>269</v>
      </c>
      <c r="G14" s="33">
        <v>0.115</v>
      </c>
      <c r="H14" s="33">
        <v>7.9000000000000001E-2</v>
      </c>
      <c r="M14" s="45"/>
      <c r="N14" s="45"/>
      <c r="Q14" s="45"/>
      <c r="U14" s="36">
        <v>0.02</v>
      </c>
    </row>
    <row r="15" spans="1:26" x14ac:dyDescent="0.2">
      <c r="A15" s="33">
        <v>7</v>
      </c>
      <c r="C15" s="33">
        <v>201</v>
      </c>
      <c r="D15" s="33">
        <f>VLOOKUP(E15,Sanscrit!D:AA,24,FALSE)</f>
        <v>541</v>
      </c>
      <c r="E15" s="33" t="s">
        <v>3</v>
      </c>
      <c r="F15" s="34" t="s">
        <v>19</v>
      </c>
      <c r="G15" s="33">
        <v>0.10100000000000001</v>
      </c>
      <c r="H15" s="33">
        <v>6.8000000000000005E-2</v>
      </c>
      <c r="M15" s="45"/>
      <c r="N15" s="45"/>
      <c r="Q15" s="45"/>
      <c r="U15" s="36">
        <v>0.152</v>
      </c>
    </row>
    <row r="16" spans="1:26" x14ac:dyDescent="0.2">
      <c r="A16" s="33">
        <v>8</v>
      </c>
      <c r="C16" s="33">
        <v>-202</v>
      </c>
      <c r="D16" s="33" t="e">
        <f>VLOOKUP(E16,Sanscrit!D:AA,24,FALSE)</f>
        <v>#N/A</v>
      </c>
      <c r="E16" s="33" t="s">
        <v>271</v>
      </c>
      <c r="F16" s="34" t="s">
        <v>272</v>
      </c>
      <c r="G16" s="33">
        <v>9.6000000000000002E-2</v>
      </c>
      <c r="H16" s="33">
        <v>6.6000000000000003E-2</v>
      </c>
      <c r="M16" s="45"/>
      <c r="N16" s="45"/>
      <c r="Q16" s="45"/>
      <c r="U16" s="36">
        <v>0.06</v>
      </c>
    </row>
    <row r="17" spans="1:26" x14ac:dyDescent="0.2">
      <c r="A17" s="33">
        <v>9</v>
      </c>
      <c r="C17" s="33">
        <v>-203</v>
      </c>
      <c r="D17" s="33" t="e">
        <f>VLOOKUP(E17,Sanscrit!D:AA,24,FALSE)</f>
        <v>#N/A</v>
      </c>
      <c r="E17" s="33" t="s">
        <v>273</v>
      </c>
      <c r="G17" s="33">
        <v>8.3000000000000004E-2</v>
      </c>
      <c r="H17" s="33">
        <v>0.06</v>
      </c>
      <c r="M17" s="45"/>
      <c r="N17" s="45"/>
      <c r="Q17" s="45"/>
      <c r="U17" s="36" t="s">
        <v>270</v>
      </c>
    </row>
    <row r="18" spans="1:26" x14ac:dyDescent="0.2">
      <c r="A18" s="33">
        <v>10</v>
      </c>
      <c r="C18" s="33">
        <v>-200</v>
      </c>
      <c r="D18" s="33" t="e">
        <f>VLOOKUP(E18,Sanscrit!D:AA,24,FALSE)</f>
        <v>#N/A</v>
      </c>
      <c r="E18" s="33" t="s">
        <v>14</v>
      </c>
      <c r="F18" s="17" t="s">
        <v>16</v>
      </c>
      <c r="G18" s="50">
        <f>AVERAGE(G11:G13)</f>
        <v>0.121</v>
      </c>
      <c r="H18" s="50">
        <f>AVERAGE(H11:H13)</f>
        <v>0.08</v>
      </c>
      <c r="M18" s="45"/>
      <c r="N18" s="45"/>
      <c r="Q18" s="45"/>
      <c r="U18" s="36"/>
    </row>
    <row r="19" spans="1:26" x14ac:dyDescent="0.2">
      <c r="A19" s="33">
        <v>11</v>
      </c>
      <c r="B19" s="31" t="s">
        <v>274</v>
      </c>
      <c r="C19" s="33">
        <v>-1300</v>
      </c>
      <c r="D19" s="33" t="e">
        <f>VLOOKUP(E19,Sanscrit!D:AA,24,FALSE)</f>
        <v>#N/A</v>
      </c>
      <c r="E19" s="33" t="s">
        <v>275</v>
      </c>
      <c r="F19" s="34" t="s">
        <v>276</v>
      </c>
      <c r="G19" s="36">
        <v>0.08</v>
      </c>
      <c r="H19" s="36">
        <v>5.0999999999999997E-2</v>
      </c>
      <c r="M19" s="45"/>
      <c r="N19" s="45"/>
      <c r="Q19" s="45"/>
      <c r="U19" s="33">
        <v>3.85E-2</v>
      </c>
    </row>
    <row r="20" spans="1:26" x14ac:dyDescent="0.2">
      <c r="A20" s="33">
        <v>12</v>
      </c>
      <c r="C20" s="33">
        <v>-1301</v>
      </c>
      <c r="D20" s="33" t="e">
        <f>VLOOKUP(E20,Sanscrit!D:AA,24,FALSE)</f>
        <v>#N/A</v>
      </c>
      <c r="E20" s="33" t="s">
        <v>277</v>
      </c>
      <c r="G20" s="36">
        <v>8.2000000000000003E-2</v>
      </c>
      <c r="H20" s="36">
        <v>5.2999999999999999E-2</v>
      </c>
      <c r="M20" s="45"/>
      <c r="N20" s="45"/>
      <c r="Q20" s="45"/>
      <c r="U20" s="33">
        <v>9.4999999999999998E-3</v>
      </c>
    </row>
    <row r="21" spans="1:26" x14ac:dyDescent="0.2">
      <c r="A21" s="33">
        <v>13</v>
      </c>
      <c r="C21" s="33">
        <v>-1302</v>
      </c>
      <c r="D21" s="33" t="e">
        <f>VLOOKUP(E21,Sanscrit!D:AA,24,FALSE)</f>
        <v>#N/A</v>
      </c>
      <c r="E21" s="33" t="s">
        <v>278</v>
      </c>
      <c r="F21" s="34" t="s">
        <v>279</v>
      </c>
      <c r="G21" s="36">
        <v>0.13200000000000001</v>
      </c>
      <c r="H21" s="36">
        <v>7.9000000000000001E-2</v>
      </c>
      <c r="M21" s="45"/>
      <c r="N21" s="45"/>
      <c r="Q21" s="45"/>
      <c r="U21" s="33">
        <v>5.5E-2</v>
      </c>
    </row>
    <row r="22" spans="1:26" x14ac:dyDescent="0.2">
      <c r="A22" s="33">
        <v>14</v>
      </c>
      <c r="C22" s="33">
        <v>-1303</v>
      </c>
      <c r="D22" s="33" t="e">
        <f>VLOOKUP(E22,Sanscrit!D:AA,24,FALSE)</f>
        <v>#N/A</v>
      </c>
      <c r="E22" s="33" t="s">
        <v>469</v>
      </c>
      <c r="F22" s="34" t="s">
        <v>280</v>
      </c>
      <c r="G22" s="36">
        <v>0.08</v>
      </c>
      <c r="H22" s="36">
        <v>5.2999999999999999E-2</v>
      </c>
      <c r="M22" s="45"/>
      <c r="N22" s="45"/>
      <c r="Q22" s="45"/>
      <c r="U22" s="33">
        <v>3.0000000000000001E-3</v>
      </c>
    </row>
    <row r="23" spans="1:26" x14ac:dyDescent="0.2">
      <c r="A23" s="33">
        <v>15</v>
      </c>
      <c r="C23" s="33">
        <v>-1304</v>
      </c>
      <c r="D23" s="33" t="e">
        <f>VLOOKUP(E23,Sanscrit!D:AA,24,FALSE)</f>
        <v>#N/A</v>
      </c>
      <c r="E23" s="33" t="s">
        <v>31</v>
      </c>
      <c r="G23" s="36">
        <v>7.9000000000000001E-2</v>
      </c>
      <c r="H23" s="36">
        <v>5.2999999999999999E-2</v>
      </c>
      <c r="M23" s="45"/>
      <c r="N23" s="45"/>
      <c r="Q23" s="45"/>
      <c r="U23" s="33">
        <v>6.9999999999999999E-4</v>
      </c>
    </row>
    <row r="24" spans="1:26" x14ac:dyDescent="0.2">
      <c r="A24" s="33">
        <v>16</v>
      </c>
      <c r="C24" s="33">
        <v>-1305</v>
      </c>
      <c r="D24" s="33" t="e">
        <f>VLOOKUP(E24,Sanscrit!D:AA,24,FALSE)</f>
        <v>#N/A</v>
      </c>
      <c r="E24" s="33" t="s">
        <v>281</v>
      </c>
      <c r="F24" s="34" t="s">
        <v>282</v>
      </c>
      <c r="G24" s="36">
        <v>6.5000000000000002E-2</v>
      </c>
      <c r="H24" s="36">
        <v>4.4999999999999998E-2</v>
      </c>
      <c r="M24" s="45"/>
      <c r="N24" s="45"/>
      <c r="Q24" s="45"/>
      <c r="U24" s="33">
        <v>2.3999999999999998E-3</v>
      </c>
    </row>
    <row r="25" spans="1:26" x14ac:dyDescent="0.2">
      <c r="A25" s="33">
        <v>17</v>
      </c>
      <c r="B25" s="31" t="s">
        <v>283</v>
      </c>
      <c r="C25" s="33">
        <v>500</v>
      </c>
      <c r="D25" s="33">
        <f>VLOOKUP(E25,Sanscrit!D:AA,24,FALSE)</f>
        <v>615</v>
      </c>
      <c r="E25" s="33" t="s">
        <v>127</v>
      </c>
      <c r="F25" s="34" t="s">
        <v>284</v>
      </c>
      <c r="G25" s="36">
        <v>0.13600000000000001</v>
      </c>
      <c r="H25" s="36">
        <v>9.1999999999999998E-2</v>
      </c>
      <c r="M25" s="45">
        <v>35.6</v>
      </c>
      <c r="N25" s="45">
        <v>42.1</v>
      </c>
      <c r="O25" s="33">
        <v>9.8000000000000007</v>
      </c>
      <c r="P25" s="33">
        <f>O25*10^-8/60/60/24</f>
        <v>1.1342592592592593E-12</v>
      </c>
      <c r="Q25" s="41">
        <v>6.6000000000000003E-2</v>
      </c>
      <c r="R25" s="33">
        <v>4.5999999999999996</v>
      </c>
      <c r="S25" s="33">
        <f>R25*10^-8/60/60/24</f>
        <v>5.324074074074074E-13</v>
      </c>
      <c r="U25" s="38">
        <v>0.5</v>
      </c>
      <c r="Z25" s="45"/>
    </row>
    <row r="26" spans="1:26" x14ac:dyDescent="0.2">
      <c r="A26" s="33">
        <v>18</v>
      </c>
      <c r="C26" s="33">
        <v>-500</v>
      </c>
      <c r="D26" s="33" t="e">
        <f>VLOOKUP(E26,Sanscrit!D:AA,24,FALSE)</f>
        <v>#N/A</v>
      </c>
      <c r="E26" s="33" t="s">
        <v>285</v>
      </c>
      <c r="F26" s="34" t="s">
        <v>286</v>
      </c>
      <c r="G26" s="36">
        <v>4.5999999999999999E-2</v>
      </c>
      <c r="H26" s="36">
        <v>3.9E-2</v>
      </c>
      <c r="M26" s="45"/>
      <c r="N26" s="45"/>
      <c r="Q26" s="45"/>
      <c r="Z26" s="45"/>
    </row>
    <row r="27" spans="1:26" x14ac:dyDescent="0.2">
      <c r="A27" s="33">
        <v>19</v>
      </c>
      <c r="C27" s="33">
        <v>-502</v>
      </c>
      <c r="D27" s="33" t="e">
        <f>VLOOKUP(E27,Sanscrit!D:AA,24,FALSE)</f>
        <v>#N/A</v>
      </c>
      <c r="E27" s="33" t="s">
        <v>287</v>
      </c>
      <c r="F27" s="34" t="s">
        <v>288</v>
      </c>
      <c r="G27" s="36">
        <v>0.14399999999999999</v>
      </c>
      <c r="H27" s="36">
        <v>9.7000000000000003E-2</v>
      </c>
      <c r="M27" s="45"/>
      <c r="N27" s="45"/>
      <c r="Q27" s="45"/>
      <c r="U27" s="40" t="s">
        <v>289</v>
      </c>
      <c r="Z27" s="45"/>
    </row>
    <row r="28" spans="1:26" x14ac:dyDescent="0.2">
      <c r="A28" s="33">
        <v>20</v>
      </c>
      <c r="C28" s="33">
        <v>-503</v>
      </c>
      <c r="D28" s="33" t="e">
        <f>VLOOKUP(E28,Sanscrit!D:AA,24,FALSE)</f>
        <v>#N/A</v>
      </c>
      <c r="E28" s="33" t="s">
        <v>290</v>
      </c>
      <c r="F28" s="34" t="s">
        <v>291</v>
      </c>
      <c r="G28" s="36">
        <v>0.127</v>
      </c>
      <c r="H28" s="36">
        <v>8.8999999999999996E-2</v>
      </c>
      <c r="U28" s="40" t="s">
        <v>289</v>
      </c>
      <c r="Z28" s="45"/>
    </row>
    <row r="29" spans="1:26" x14ac:dyDescent="0.2">
      <c r="A29" s="33">
        <v>21</v>
      </c>
      <c r="C29" s="33">
        <v>-504</v>
      </c>
      <c r="D29" s="33" t="e">
        <f>VLOOKUP(E29,Sanscrit!D:AA,24,FALSE)</f>
        <v>#N/A</v>
      </c>
      <c r="E29" s="33" t="s">
        <v>292</v>
      </c>
      <c r="F29" s="34" t="s">
        <v>293</v>
      </c>
      <c r="G29" s="36">
        <v>0.128</v>
      </c>
      <c r="H29" s="36">
        <v>8.8999999999999996E-2</v>
      </c>
      <c r="U29" s="40" t="s">
        <v>289</v>
      </c>
      <c r="Z29" s="45"/>
    </row>
    <row r="30" spans="1:26" x14ac:dyDescent="0.2">
      <c r="A30" s="33">
        <v>22</v>
      </c>
      <c r="C30" s="33">
        <v>528</v>
      </c>
      <c r="D30" s="33">
        <f>VLOOKUP(E30,Sanscrit!D:AA,24,FALSE)</f>
        <v>17</v>
      </c>
      <c r="E30" s="33" t="s">
        <v>294</v>
      </c>
      <c r="F30" s="34" t="s">
        <v>295</v>
      </c>
      <c r="G30" s="36">
        <v>0.13700000000000001</v>
      </c>
      <c r="H30" s="36">
        <v>0.1</v>
      </c>
      <c r="M30" s="45"/>
      <c r="N30" s="45"/>
      <c r="Q30" s="45"/>
      <c r="U30" s="38">
        <v>0.1</v>
      </c>
    </row>
    <row r="31" spans="1:26" x14ac:dyDescent="0.2">
      <c r="A31" s="33">
        <v>23</v>
      </c>
      <c r="C31" s="33">
        <v>-505</v>
      </c>
      <c r="D31" s="33" t="e">
        <f>VLOOKUP(E31,Sanscrit!D:AA,24,FALSE)</f>
        <v>#N/A</v>
      </c>
      <c r="E31" s="33" t="s">
        <v>296</v>
      </c>
      <c r="F31" s="34" t="s">
        <v>297</v>
      </c>
      <c r="G31" s="36">
        <v>0.16700000000000001</v>
      </c>
      <c r="H31" s="36">
        <v>0.115</v>
      </c>
      <c r="I31" s="33">
        <v>19</v>
      </c>
      <c r="J31" s="33">
        <f>I31*10^-8/60/60/24</f>
        <v>2.1990740740740741E-12</v>
      </c>
      <c r="K31" s="33">
        <v>7</v>
      </c>
      <c r="L31" s="33">
        <f>K31*10^-8/60/60/24</f>
        <v>8.1018518518518529E-13</v>
      </c>
      <c r="M31" s="45">
        <v>47.8</v>
      </c>
      <c r="N31" s="45">
        <v>78.7</v>
      </c>
      <c r="O31" s="33">
        <v>3.9</v>
      </c>
      <c r="P31" s="33">
        <f>O31*10^-8/60/60/24</f>
        <v>4.5138888888888883E-13</v>
      </c>
      <c r="Q31" s="41">
        <v>6.0000000000000001E-3</v>
      </c>
      <c r="R31" s="33">
        <v>1.4</v>
      </c>
      <c r="S31" s="33">
        <f>R31*10^-8/60/60/24</f>
        <v>1.6203703703703701E-13</v>
      </c>
      <c r="U31" s="33">
        <v>0.123</v>
      </c>
    </row>
    <row r="32" spans="1:26" x14ac:dyDescent="0.2">
      <c r="A32" s="33">
        <v>24</v>
      </c>
      <c r="C32" s="33">
        <v>501</v>
      </c>
      <c r="D32" s="33">
        <f>VLOOKUP(E32,Sanscrit!D:AA,24,FALSE)</f>
        <v>200</v>
      </c>
      <c r="E32" s="33" t="s">
        <v>298</v>
      </c>
      <c r="F32" s="34" t="s">
        <v>299</v>
      </c>
      <c r="G32" s="36">
        <v>4.3999999999999997E-2</v>
      </c>
      <c r="H32" s="36">
        <v>3.5000000000000003E-2</v>
      </c>
      <c r="M32" s="45"/>
      <c r="N32" s="45"/>
      <c r="P32" s="33">
        <f>LOG(P31)</f>
        <v>-12.345449135452395</v>
      </c>
      <c r="Q32" s="45"/>
      <c r="S32" s="33">
        <f>LOG(S31)</f>
        <v>-12.790385706800656</v>
      </c>
      <c r="U32" s="38">
        <v>4.9000000000000002E-2</v>
      </c>
    </row>
    <row r="33" spans="1:21" x14ac:dyDescent="0.2">
      <c r="A33" s="33">
        <v>25</v>
      </c>
      <c r="C33" s="33">
        <v>530</v>
      </c>
      <c r="D33" s="33">
        <f>VLOOKUP(E33,Sanscrit!D:AA,24,FALSE)</f>
        <v>13</v>
      </c>
      <c r="E33" s="33" t="s">
        <v>300</v>
      </c>
      <c r="F33" s="34" t="s">
        <v>301</v>
      </c>
      <c r="G33" s="36">
        <v>4.2000000000000003E-2</v>
      </c>
      <c r="H33" s="36">
        <v>3.4000000000000002E-2</v>
      </c>
      <c r="M33" s="45"/>
      <c r="N33" s="45"/>
      <c r="Q33" s="45"/>
      <c r="U33" s="33">
        <v>1.2E-2</v>
      </c>
    </row>
    <row r="34" spans="1:21" x14ac:dyDescent="0.2">
      <c r="A34" s="33">
        <v>26</v>
      </c>
      <c r="C34" s="33">
        <v>502</v>
      </c>
      <c r="D34" s="33">
        <f>VLOOKUP(E34,Sanscrit!D:AA,24,FALSE)</f>
        <v>17</v>
      </c>
      <c r="E34" s="33" t="s">
        <v>302</v>
      </c>
      <c r="F34" s="34" t="s">
        <v>303</v>
      </c>
      <c r="G34" s="36">
        <v>0.159</v>
      </c>
      <c r="H34" s="36">
        <v>0.11700000000000001</v>
      </c>
      <c r="M34" s="45"/>
      <c r="N34" s="45"/>
      <c r="Q34" s="45"/>
      <c r="U34" s="38">
        <v>1.9E-2</v>
      </c>
    </row>
    <row r="35" spans="1:21" x14ac:dyDescent="0.2">
      <c r="A35" s="33">
        <v>27</v>
      </c>
      <c r="C35" s="33">
        <v>531</v>
      </c>
      <c r="D35" s="33">
        <f>VLOOKUP(E35,Sanscrit!D:AA,24,FALSE)</f>
        <v>103</v>
      </c>
      <c r="E35" s="33" t="s">
        <v>304</v>
      </c>
      <c r="F35" s="34" t="s">
        <v>305</v>
      </c>
      <c r="G35" s="36">
        <v>4.3999999999999997E-2</v>
      </c>
      <c r="H35" s="36">
        <v>3.5999999999999997E-2</v>
      </c>
      <c r="M35" s="45"/>
      <c r="N35" s="45"/>
      <c r="Q35" s="45"/>
      <c r="U35" s="33">
        <v>5.7999999999999996E-3</v>
      </c>
    </row>
    <row r="36" spans="1:21" x14ac:dyDescent="0.2">
      <c r="A36" s="33">
        <v>28</v>
      </c>
      <c r="C36" s="33">
        <v>-506</v>
      </c>
      <c r="D36" s="33" t="e">
        <f>VLOOKUP(E36,Sanscrit!D:AA,24,FALSE)</f>
        <v>#N/A</v>
      </c>
      <c r="E36" s="33" t="s">
        <v>306</v>
      </c>
      <c r="F36" s="34" t="s">
        <v>307</v>
      </c>
      <c r="G36" s="36">
        <v>0.104</v>
      </c>
      <c r="H36" s="36">
        <v>9.0999999999999998E-2</v>
      </c>
      <c r="U36" s="40" t="s">
        <v>289</v>
      </c>
    </row>
    <row r="37" spans="1:21" x14ac:dyDescent="0.2">
      <c r="A37" s="33">
        <v>29</v>
      </c>
      <c r="C37" s="33">
        <v>-507</v>
      </c>
      <c r="D37" s="33" t="e">
        <f>VLOOKUP(E37,Sanscrit!D:AA,24,FALSE)</f>
        <v>#N/A</v>
      </c>
      <c r="E37" s="33" t="s">
        <v>308</v>
      </c>
      <c r="G37" s="47">
        <v>3.5000000000000003E-2</v>
      </c>
      <c r="H37" s="47">
        <v>3.5000000000000003E-2</v>
      </c>
      <c r="U37" s="35">
        <v>2.3999999999999998E-3</v>
      </c>
    </row>
    <row r="38" spans="1:21" x14ac:dyDescent="0.2">
      <c r="A38" s="33">
        <v>30</v>
      </c>
      <c r="C38" s="33">
        <v>504</v>
      </c>
      <c r="D38" s="33">
        <f>VLOOKUP(E38,Sanscrit!D:AA,24,FALSE)</f>
        <v>739</v>
      </c>
      <c r="E38" s="33" t="s">
        <v>131</v>
      </c>
      <c r="F38" s="34" t="s">
        <v>309</v>
      </c>
      <c r="G38" s="36">
        <v>7.0000000000000001E-3</v>
      </c>
      <c r="H38" s="36">
        <v>5.0000000000000001E-3</v>
      </c>
      <c r="M38" s="45"/>
      <c r="N38" s="45"/>
      <c r="Q38" s="45"/>
      <c r="U38" s="33">
        <v>2.4000000000000001E-4</v>
      </c>
    </row>
    <row r="39" spans="1:21" x14ac:dyDescent="0.2">
      <c r="A39" s="33">
        <v>31</v>
      </c>
      <c r="B39" s="31" t="s">
        <v>310</v>
      </c>
      <c r="C39" s="33">
        <v>-402</v>
      </c>
      <c r="D39" s="33" t="e">
        <f>VLOOKUP(E39,Sanscrit!D:AA,24,FALSE)</f>
        <v>#N/A</v>
      </c>
      <c r="E39" s="33" t="s">
        <v>311</v>
      </c>
      <c r="F39" s="34" t="s">
        <v>312</v>
      </c>
      <c r="G39" s="36">
        <v>0.105</v>
      </c>
      <c r="H39" s="36">
        <v>7.8E-2</v>
      </c>
      <c r="M39" s="45"/>
      <c r="N39" s="45"/>
      <c r="Q39" s="45"/>
      <c r="U39" s="36">
        <v>20</v>
      </c>
    </row>
    <row r="40" spans="1:21" x14ac:dyDescent="0.2">
      <c r="A40" s="33">
        <v>32</v>
      </c>
      <c r="C40" s="33">
        <v>-403</v>
      </c>
      <c r="D40" s="33" t="e">
        <f>VLOOKUP(E40,Sanscrit!D:AA,24,FALSE)</f>
        <v>#N/A</v>
      </c>
      <c r="E40" s="33" t="s">
        <v>313</v>
      </c>
      <c r="F40" s="34" t="s">
        <v>314</v>
      </c>
      <c r="G40" s="36">
        <v>0.28100000000000003</v>
      </c>
      <c r="H40" s="36">
        <v>0.17399999999999999</v>
      </c>
      <c r="M40" s="45"/>
      <c r="N40" s="45"/>
      <c r="Q40" s="45"/>
      <c r="U40" s="36">
        <v>0.8</v>
      </c>
    </row>
    <row r="41" spans="1:21" x14ac:dyDescent="0.2">
      <c r="A41" s="33">
        <v>33</v>
      </c>
      <c r="C41" s="33">
        <v>400</v>
      </c>
      <c r="D41" s="33">
        <f>VLOOKUP(E41,Sanscrit!D:AA,24,FALSE)</f>
        <v>18</v>
      </c>
      <c r="E41" s="33" t="s">
        <v>315</v>
      </c>
      <c r="F41" s="34" t="s">
        <v>23</v>
      </c>
      <c r="G41" s="36">
        <v>5.8000000000000003E-2</v>
      </c>
      <c r="H41" s="36">
        <v>4.5999999999999999E-2</v>
      </c>
      <c r="M41" s="45"/>
      <c r="N41" s="45"/>
      <c r="Q41" s="45"/>
      <c r="U41" s="36">
        <v>8.6999999999999993</v>
      </c>
    </row>
    <row r="42" spans="1:21" x14ac:dyDescent="0.2">
      <c r="A42" s="33">
        <v>34</v>
      </c>
      <c r="C42" s="33">
        <v>-401</v>
      </c>
      <c r="D42" s="33" t="e">
        <f>VLOOKUP(E42,Sanscrit!D:AA,24,FALSE)</f>
        <v>#N/A</v>
      </c>
      <c r="E42" s="33" t="s">
        <v>316</v>
      </c>
      <c r="F42" s="34" t="s">
        <v>317</v>
      </c>
      <c r="G42" s="36">
        <v>0.105</v>
      </c>
      <c r="H42" s="36">
        <v>8.4000000000000005E-2</v>
      </c>
      <c r="M42" s="45"/>
      <c r="N42" s="45"/>
      <c r="Q42" s="45"/>
      <c r="U42" s="36">
        <v>2.9</v>
      </c>
    </row>
    <row r="43" spans="1:21" x14ac:dyDescent="0.2">
      <c r="A43" s="33">
        <v>35</v>
      </c>
      <c r="C43" s="33">
        <v>408</v>
      </c>
      <c r="D43" s="33">
        <f>VLOOKUP(E43,Sanscrit!D:AA,24,FALSE)</f>
        <v>1</v>
      </c>
      <c r="E43" s="33" t="s">
        <v>318</v>
      </c>
      <c r="F43" s="34" t="s">
        <v>27</v>
      </c>
      <c r="G43" s="36">
        <v>0.158</v>
      </c>
      <c r="H43" s="36">
        <v>0.108</v>
      </c>
      <c r="M43" s="45"/>
      <c r="N43" s="45"/>
      <c r="Q43" s="45"/>
      <c r="U43" s="36">
        <v>4.4000000000000004</v>
      </c>
    </row>
    <row r="44" spans="1:21" x14ac:dyDescent="0.2">
      <c r="A44" s="33">
        <v>36</v>
      </c>
      <c r="C44" s="33">
        <v>409</v>
      </c>
      <c r="D44" s="33">
        <f>VLOOKUP(E44,Sanscrit!D:AA,24,FALSE)</f>
        <v>2</v>
      </c>
      <c r="E44" s="33" t="s">
        <v>319</v>
      </c>
      <c r="F44" s="34" t="s">
        <v>320</v>
      </c>
      <c r="G44" s="40">
        <v>8.2000000000000003E-2</v>
      </c>
      <c r="H44" s="40">
        <v>6.6000000000000003E-2</v>
      </c>
      <c r="M44" s="45"/>
      <c r="N44" s="45"/>
      <c r="Q44" s="45"/>
      <c r="U44" s="36">
        <v>4.5</v>
      </c>
    </row>
    <row r="45" spans="1:21" x14ac:dyDescent="0.2">
      <c r="A45" s="33">
        <v>37</v>
      </c>
      <c r="C45" s="33">
        <v>415</v>
      </c>
      <c r="D45" s="33">
        <f>VLOOKUP(E45,Sanscrit!D:AA,24,FALSE)</f>
        <v>102</v>
      </c>
      <c r="E45" s="33" t="s">
        <v>125</v>
      </c>
      <c r="F45" s="34" t="s">
        <v>321</v>
      </c>
      <c r="G45" s="36">
        <v>7.4999999999999997E-2</v>
      </c>
      <c r="H45" s="36">
        <v>5.6000000000000001E-2</v>
      </c>
      <c r="M45" s="45"/>
      <c r="N45" s="45"/>
      <c r="Q45" s="45"/>
      <c r="U45" s="36">
        <v>2.7</v>
      </c>
    </row>
    <row r="46" spans="1:21" x14ac:dyDescent="0.2">
      <c r="A46" s="33">
        <v>38</v>
      </c>
      <c r="C46" s="33">
        <v>410</v>
      </c>
      <c r="D46" s="33">
        <f>VLOOKUP(E46,Sanscrit!D:AA,24,FALSE)</f>
        <v>19</v>
      </c>
      <c r="E46" s="33" t="s">
        <v>322</v>
      </c>
      <c r="F46" s="34" t="s">
        <v>25</v>
      </c>
      <c r="G46" s="36">
        <v>0.19500000000000001</v>
      </c>
      <c r="H46" s="36">
        <v>0.126</v>
      </c>
      <c r="M46" s="45"/>
      <c r="N46" s="45"/>
      <c r="Q46" s="45"/>
      <c r="U46" s="36">
        <v>0.4</v>
      </c>
    </row>
    <row r="47" spans="1:21" x14ac:dyDescent="0.2">
      <c r="A47" s="33">
        <v>39</v>
      </c>
      <c r="C47" s="33">
        <v>403</v>
      </c>
      <c r="D47" s="33">
        <f>VLOOKUP(E47,Sanscrit!D:AA,24,FALSE)</f>
        <v>808</v>
      </c>
      <c r="E47" s="33" t="s">
        <v>8</v>
      </c>
      <c r="F47" s="34" t="s">
        <v>30</v>
      </c>
      <c r="G47" s="36">
        <v>0.14000000000000001</v>
      </c>
      <c r="H47" s="36">
        <v>0.17100000000000001</v>
      </c>
      <c r="I47" s="33">
        <v>32</v>
      </c>
      <c r="J47" s="33">
        <f>I47*10^-8/60/60/24</f>
        <v>3.7037037037037034E-12</v>
      </c>
      <c r="K47" s="33">
        <v>12</v>
      </c>
      <c r="L47" s="33">
        <f>K47*10^-8/60/60/24</f>
        <v>1.3888888888888889E-12</v>
      </c>
      <c r="M47" s="45">
        <v>22.6</v>
      </c>
      <c r="N47" s="45">
        <v>27</v>
      </c>
      <c r="O47" s="33">
        <v>3.4</v>
      </c>
      <c r="P47" s="33">
        <f>O47*10^-8/60/60/24</f>
        <v>3.9351851851851855E-13</v>
      </c>
      <c r="Q47" s="48">
        <v>2.3999999999999998E-3</v>
      </c>
      <c r="R47" s="33">
        <v>1.4</v>
      </c>
      <c r="S47" s="33">
        <f>R47*10^-8/60/60/24</f>
        <v>1.6203703703703701E-13</v>
      </c>
      <c r="U47" s="36">
        <v>0.15</v>
      </c>
    </row>
    <row r="48" spans="1:21" x14ac:dyDescent="0.2">
      <c r="A48" s="33">
        <v>40</v>
      </c>
      <c r="C48" s="33">
        <v>405</v>
      </c>
      <c r="D48" s="33">
        <f>VLOOKUP(E48,Sanscrit!D:AA,24,FALSE)</f>
        <v>1130</v>
      </c>
      <c r="E48" s="33" t="s">
        <v>28</v>
      </c>
      <c r="F48" s="34" t="s">
        <v>29</v>
      </c>
      <c r="G48" s="40">
        <v>0.254</v>
      </c>
      <c r="H48" s="40">
        <v>0.158</v>
      </c>
      <c r="I48" s="33">
        <v>65</v>
      </c>
      <c r="J48" s="33">
        <f>I48*10^-8/60/60/24</f>
        <v>7.5231481481481478E-12</v>
      </c>
      <c r="K48" s="33">
        <v>28</v>
      </c>
      <c r="L48" s="33">
        <f>K48*10^-8/60/60/24</f>
        <v>3.2407407407407412E-12</v>
      </c>
      <c r="M48" s="45">
        <v>32.299999999999997</v>
      </c>
      <c r="N48" s="45">
        <v>37.799999999999997</v>
      </c>
      <c r="O48" s="33">
        <v>5.0999999999999996</v>
      </c>
      <c r="P48" s="33">
        <f>O48*10^-8/60/60/24</f>
        <v>5.9027777777777773E-13</v>
      </c>
      <c r="Q48" s="48">
        <v>3.8199999999999998E-2</v>
      </c>
      <c r="R48" s="33">
        <v>1.9</v>
      </c>
      <c r="S48" s="33">
        <f>R48*10^-8/60/60/24</f>
        <v>2.1990740740740739E-13</v>
      </c>
      <c r="U48" s="36">
        <v>1.1000000000000001</v>
      </c>
    </row>
    <row r="49" spans="1:21" x14ac:dyDescent="0.2">
      <c r="A49" s="33">
        <v>41</v>
      </c>
      <c r="B49" s="31" t="s">
        <v>323</v>
      </c>
      <c r="C49" s="33">
        <v>-1400</v>
      </c>
      <c r="D49" s="33" t="e">
        <f>VLOOKUP(E49,Sanscrit!D:AA,24,FALSE)</f>
        <v>#N/A</v>
      </c>
      <c r="E49" s="33" t="s">
        <v>324</v>
      </c>
      <c r="G49" s="33">
        <v>6.0000000000000001E-3</v>
      </c>
      <c r="H49" s="33">
        <v>5.0000000000000001E-3</v>
      </c>
      <c r="M49" s="45"/>
      <c r="N49" s="45"/>
      <c r="Q49" s="45"/>
      <c r="U49" s="36">
        <v>34</v>
      </c>
    </row>
    <row r="50" spans="1:21" x14ac:dyDescent="0.2">
      <c r="A50" s="33">
        <v>42</v>
      </c>
      <c r="C50" s="33">
        <v>-1401</v>
      </c>
      <c r="D50" s="33" t="e">
        <f>VLOOKUP(E50,Sanscrit!D:AA,24,FALSE)</f>
        <v>#N/A</v>
      </c>
      <c r="E50" s="33" t="s">
        <v>325</v>
      </c>
      <c r="G50" s="33">
        <v>2.3E-2</v>
      </c>
      <c r="H50" s="33">
        <v>2.1999999999999999E-2</v>
      </c>
      <c r="U50" s="40" t="s">
        <v>289</v>
      </c>
    </row>
    <row r="51" spans="1:21" x14ac:dyDescent="0.2">
      <c r="A51" s="33">
        <v>43</v>
      </c>
      <c r="C51" s="33">
        <v>-1402</v>
      </c>
      <c r="D51" s="33" t="e">
        <f>VLOOKUP(E51,Sanscrit!D:AA,24,FALSE)</f>
        <v>#N/A</v>
      </c>
      <c r="E51" s="33" t="s">
        <v>326</v>
      </c>
      <c r="G51" s="33">
        <v>1.0999999999999999E-2</v>
      </c>
      <c r="H51" s="33">
        <v>1.0999999999999999E-2</v>
      </c>
      <c r="U51" s="40" t="s">
        <v>289</v>
      </c>
    </row>
    <row r="52" spans="1:21" x14ac:dyDescent="0.2">
      <c r="A52" s="33">
        <v>44</v>
      </c>
      <c r="C52" s="33">
        <v>-1403</v>
      </c>
      <c r="D52" s="33" t="e">
        <f>VLOOKUP(E52,Sanscrit!D:AA,24,FALSE)</f>
        <v>#N/A</v>
      </c>
      <c r="E52" s="33" t="s">
        <v>327</v>
      </c>
      <c r="G52" s="33">
        <v>4.0000000000000001E-3</v>
      </c>
      <c r="H52" s="33">
        <v>3.0000000000000001E-3</v>
      </c>
      <c r="U52" s="40" t="s">
        <v>289</v>
      </c>
    </row>
    <row r="53" spans="1:21" x14ac:dyDescent="0.2">
      <c r="A53" s="33">
        <v>45</v>
      </c>
      <c r="C53" s="33">
        <v>-1404</v>
      </c>
      <c r="D53" s="33" t="e">
        <f>VLOOKUP(E53,Sanscrit!D:AA,24,FALSE)</f>
        <v>#N/A</v>
      </c>
      <c r="E53" s="33" t="s">
        <v>328</v>
      </c>
      <c r="G53" s="33">
        <v>0.02</v>
      </c>
      <c r="H53" s="33">
        <v>0.02</v>
      </c>
    </row>
    <row r="54" spans="1:21" x14ac:dyDescent="0.2">
      <c r="A54" s="33">
        <v>46</v>
      </c>
      <c r="C54" s="33">
        <v>-1405</v>
      </c>
      <c r="D54" s="33" t="e">
        <f>VLOOKUP(E54,Sanscrit!D:AA,24,FALSE)</f>
        <v>#N/A</v>
      </c>
      <c r="E54" s="33" t="s">
        <v>329</v>
      </c>
      <c r="G54" s="33">
        <v>1E-3</v>
      </c>
      <c r="H54" s="33">
        <v>2E-3</v>
      </c>
    </row>
    <row r="55" spans="1:21" x14ac:dyDescent="0.2">
      <c r="A55" s="33">
        <v>47</v>
      </c>
      <c r="C55" s="33">
        <v>202</v>
      </c>
      <c r="D55" s="33">
        <f>VLOOKUP(E55,Sanscrit!D:AA,24,FALSE)</f>
        <v>544</v>
      </c>
      <c r="E55" s="33" t="s">
        <v>89</v>
      </c>
      <c r="F55" s="34" t="s">
        <v>384</v>
      </c>
      <c r="G55" s="33">
        <v>2E-3</v>
      </c>
      <c r="H55" s="33">
        <v>1E-3</v>
      </c>
      <c r="M55" s="45"/>
      <c r="N55" s="45"/>
      <c r="O55" s="33" t="s">
        <v>392</v>
      </c>
      <c r="Q55" s="45"/>
      <c r="U55" s="33">
        <v>82</v>
      </c>
    </row>
    <row r="56" spans="1:21" x14ac:dyDescent="0.2">
      <c r="A56" s="33">
        <v>48</v>
      </c>
      <c r="C56" s="33">
        <v>-1406</v>
      </c>
      <c r="D56" s="33" t="e">
        <f>VLOOKUP(E56,Sanscrit!D:AA,24,FALSE)</f>
        <v>#N/A</v>
      </c>
      <c r="E56" s="33" t="s">
        <v>330</v>
      </c>
      <c r="G56" s="33">
        <v>4.0000000000000001E-3</v>
      </c>
      <c r="H56" s="33">
        <v>4.0000000000000001E-3</v>
      </c>
      <c r="M56" s="45"/>
      <c r="N56" s="45"/>
      <c r="Q56" s="45"/>
      <c r="U56" s="33">
        <v>27</v>
      </c>
    </row>
    <row r="57" spans="1:21" x14ac:dyDescent="0.2">
      <c r="A57" s="33">
        <v>49</v>
      </c>
      <c r="C57" s="33">
        <v>-1407</v>
      </c>
      <c r="D57" s="33" t="e">
        <f>VLOOKUP(E57,Sanscrit!D:AA,24,FALSE)</f>
        <v>#N/A</v>
      </c>
      <c r="E57" s="33" t="s">
        <v>331</v>
      </c>
      <c r="G57" s="33">
        <v>5.0000000000000001E-3</v>
      </c>
      <c r="H57" s="33">
        <v>4.0000000000000001E-3</v>
      </c>
    </row>
    <row r="58" spans="1:21" x14ac:dyDescent="0.2">
      <c r="A58" s="33">
        <v>50</v>
      </c>
      <c r="C58" s="33">
        <v>508</v>
      </c>
      <c r="D58" s="33">
        <f>VLOOKUP(E58,Sanscrit!D:AA,24,FALSE)</f>
        <v>206</v>
      </c>
      <c r="E58" s="33" t="s">
        <v>135</v>
      </c>
      <c r="G58" s="33">
        <v>7.0000000000000001E-3</v>
      </c>
      <c r="H58" s="33">
        <v>6.0000000000000001E-3</v>
      </c>
    </row>
    <row r="59" spans="1:21" x14ac:dyDescent="0.2">
      <c r="A59" s="33">
        <v>51</v>
      </c>
      <c r="C59" s="33">
        <v>544</v>
      </c>
      <c r="D59" s="33">
        <f>VLOOKUP(E59,Sanscrit!D:AA,24,FALSE)</f>
        <v>300</v>
      </c>
      <c r="E59" s="33" t="s">
        <v>161</v>
      </c>
      <c r="G59" s="33">
        <v>1.4E-2</v>
      </c>
      <c r="H59" s="33">
        <v>1.2E-2</v>
      </c>
      <c r="M59" s="45"/>
      <c r="N59" s="45"/>
      <c r="Q59" s="45"/>
      <c r="U59" s="36">
        <v>0.8</v>
      </c>
    </row>
    <row r="60" spans="1:21" x14ac:dyDescent="0.2">
      <c r="A60" s="33">
        <v>52</v>
      </c>
      <c r="C60" s="33">
        <v>543</v>
      </c>
      <c r="D60" s="33">
        <f>VLOOKUP(E60,Sanscrit!D:AA,24,FALSE)</f>
        <v>306</v>
      </c>
      <c r="E60" s="33" t="s">
        <v>160</v>
      </c>
      <c r="G60" s="33">
        <v>4.0000000000000001E-3</v>
      </c>
      <c r="H60" s="33">
        <v>3.0000000000000001E-3</v>
      </c>
    </row>
    <row r="61" spans="1:21" x14ac:dyDescent="0.2">
      <c r="A61" s="33">
        <v>53</v>
      </c>
      <c r="C61" s="33">
        <v>547</v>
      </c>
      <c r="D61" s="33">
        <f>VLOOKUP(E61,Sanscrit!D:AA,24,FALSE)</f>
        <v>207</v>
      </c>
      <c r="E61" s="33" t="s">
        <v>164</v>
      </c>
      <c r="G61" s="33">
        <v>3.0000000000000001E-3</v>
      </c>
      <c r="H61" s="33">
        <v>2E-3</v>
      </c>
      <c r="U61" s="40" t="s">
        <v>289</v>
      </c>
    </row>
    <row r="62" spans="1:21" x14ac:dyDescent="0.2">
      <c r="A62" s="33">
        <v>54</v>
      </c>
      <c r="C62" s="33">
        <v>510</v>
      </c>
      <c r="D62" s="33">
        <f>VLOOKUP(E62,Sanscrit!D:AA,24,FALSE)</f>
        <v>740</v>
      </c>
      <c r="E62" s="33" t="s">
        <v>137</v>
      </c>
      <c r="G62" s="33">
        <v>1E-3</v>
      </c>
      <c r="H62" s="33">
        <v>1E-3</v>
      </c>
      <c r="M62" s="45"/>
      <c r="N62" s="45"/>
      <c r="Q62" s="45"/>
      <c r="U62" s="36">
        <v>1.4E-2</v>
      </c>
    </row>
    <row r="63" spans="1:21" x14ac:dyDescent="0.2">
      <c r="A63" s="33">
        <v>55</v>
      </c>
      <c r="C63" s="33">
        <v>-1408</v>
      </c>
      <c r="D63" s="33" t="e">
        <f>VLOOKUP(E63,Sanscrit!D:AA,24,FALSE)</f>
        <v>#N/A</v>
      </c>
      <c r="E63" s="33" t="s">
        <v>332</v>
      </c>
      <c r="G63" s="33">
        <v>1.7999999999999999E-2</v>
      </c>
      <c r="H63" s="33">
        <v>1.7000000000000001E-2</v>
      </c>
      <c r="M63" s="45"/>
      <c r="N63" s="45"/>
      <c r="Q63" s="45"/>
      <c r="U63" s="36">
        <v>1.9</v>
      </c>
    </row>
    <row r="64" spans="1:21" x14ac:dyDescent="0.2">
      <c r="A64" s="33">
        <v>56</v>
      </c>
      <c r="C64" s="33">
        <v>-1409</v>
      </c>
      <c r="D64" s="33" t="e">
        <f>VLOOKUP(E64,Sanscrit!D:AA,24,FALSE)</f>
        <v>#N/A</v>
      </c>
      <c r="E64" s="33" t="s">
        <v>333</v>
      </c>
      <c r="G64" s="33">
        <v>7.0000000000000001E-3</v>
      </c>
      <c r="H64" s="33">
        <v>4.0000000000000001E-3</v>
      </c>
    </row>
    <row r="65" spans="1:26" x14ac:dyDescent="0.2">
      <c r="A65" s="33">
        <v>57</v>
      </c>
      <c r="C65" s="33">
        <v>-1410</v>
      </c>
      <c r="D65" s="33" t="e">
        <f>VLOOKUP(E65,Sanscrit!D:AA,24,FALSE)</f>
        <v>#N/A</v>
      </c>
      <c r="E65" s="33" t="s">
        <v>334</v>
      </c>
      <c r="G65" s="33">
        <v>1E-3</v>
      </c>
      <c r="H65" s="33">
        <v>2E-3</v>
      </c>
      <c r="M65" s="45"/>
      <c r="N65" s="45"/>
      <c r="Q65" s="45"/>
      <c r="U65" s="33" t="s">
        <v>335</v>
      </c>
    </row>
    <row r="66" spans="1:26" x14ac:dyDescent="0.2">
      <c r="A66" s="33">
        <v>58</v>
      </c>
      <c r="C66" s="33">
        <v>-1411</v>
      </c>
      <c r="D66" s="33" t="e">
        <f>VLOOKUP(E66,Sanscrit!D:AA,24,FALSE)</f>
        <v>#N/A</v>
      </c>
      <c r="E66" s="33" t="s">
        <v>336</v>
      </c>
      <c r="G66" s="33">
        <v>4.0000000000000001E-3</v>
      </c>
      <c r="H66" s="33">
        <v>4.0000000000000001E-3</v>
      </c>
      <c r="M66" s="44"/>
      <c r="N66" s="44"/>
      <c r="Q66" s="44"/>
      <c r="U66" s="33">
        <v>5.9</v>
      </c>
    </row>
    <row r="67" spans="1:26" x14ac:dyDescent="0.2">
      <c r="A67" s="33">
        <v>59</v>
      </c>
      <c r="C67" s="33">
        <v>-1412</v>
      </c>
      <c r="D67" s="33">
        <f>VLOOKUP(E67,Sanscrit!D:AA,24,FALSE)</f>
        <v>611</v>
      </c>
      <c r="E67" s="33" t="s">
        <v>337</v>
      </c>
      <c r="F67" s="34" t="s">
        <v>385</v>
      </c>
      <c r="G67" s="33">
        <v>1.9E-2</v>
      </c>
      <c r="H67" s="33">
        <v>1.7999999999999999E-2</v>
      </c>
      <c r="I67" s="33">
        <v>7</v>
      </c>
      <c r="J67" s="33">
        <f>I67*10^-8/60/60/24</f>
        <v>8.1018518518518529E-13</v>
      </c>
      <c r="K67" s="33">
        <v>1.2</v>
      </c>
      <c r="L67" s="33">
        <f>K67*10^-8/60/60/24</f>
        <v>1.388888888888889E-13</v>
      </c>
      <c r="M67" s="44">
        <v>0.18</v>
      </c>
      <c r="N67" s="44">
        <v>0.36</v>
      </c>
      <c r="O67" s="33">
        <v>3.2</v>
      </c>
      <c r="P67" s="33">
        <f>O67*10^-8/60/60/24</f>
        <v>3.7037037037037041E-13</v>
      </c>
      <c r="Q67" s="33">
        <v>13.1</v>
      </c>
      <c r="R67" s="33">
        <v>0.8</v>
      </c>
      <c r="S67" s="33">
        <f>R67*10^-8/60/60/24</f>
        <v>9.2592592592592602E-14</v>
      </c>
      <c r="U67" s="33">
        <v>267</v>
      </c>
    </row>
    <row r="68" spans="1:26" x14ac:dyDescent="0.2">
      <c r="A68" s="33">
        <v>60</v>
      </c>
      <c r="C68" s="33">
        <v>-1413</v>
      </c>
      <c r="D68" s="33" t="e">
        <f>VLOOKUP(E68,Sanscrit!D:AA,24,FALSE)</f>
        <v>#N/A</v>
      </c>
      <c r="E68" s="33" t="s">
        <v>338</v>
      </c>
      <c r="G68" s="33">
        <v>3.2000000000000001E-2</v>
      </c>
      <c r="H68" s="33">
        <v>2.5999999999999999E-2</v>
      </c>
    </row>
    <row r="69" spans="1:26" x14ac:dyDescent="0.2">
      <c r="A69" s="33">
        <v>61</v>
      </c>
      <c r="C69" s="33">
        <v>-1414</v>
      </c>
      <c r="D69" s="33" t="e">
        <f>VLOOKUP(E69,Sanscrit!D:AA,24,FALSE)</f>
        <v>#N/A</v>
      </c>
      <c r="E69" s="33" t="s">
        <v>339</v>
      </c>
      <c r="G69" s="33">
        <v>5.5E-2</v>
      </c>
      <c r="H69" s="33">
        <v>3.9E-2</v>
      </c>
      <c r="U69" s="40" t="s">
        <v>289</v>
      </c>
    </row>
    <row r="70" spans="1:26" x14ac:dyDescent="0.2">
      <c r="A70" s="33">
        <v>62</v>
      </c>
      <c r="C70" s="33">
        <v>-1415</v>
      </c>
      <c r="D70" s="33" t="e">
        <f>VLOOKUP(E70,Sanscrit!D:AA,24,FALSE)</f>
        <v>#N/A</v>
      </c>
      <c r="E70" s="33" t="s">
        <v>340</v>
      </c>
      <c r="G70" s="33">
        <v>5.5E-2</v>
      </c>
      <c r="H70" s="33">
        <v>3.9E-2</v>
      </c>
      <c r="M70" s="49"/>
      <c r="N70" s="49"/>
      <c r="Q70" s="49"/>
      <c r="U70" s="33">
        <v>9</v>
      </c>
    </row>
    <row r="71" spans="1:26" x14ac:dyDescent="0.2">
      <c r="A71" s="33">
        <v>63</v>
      </c>
      <c r="C71" s="33">
        <v>-1416</v>
      </c>
      <c r="E71" s="33" t="s">
        <v>369</v>
      </c>
      <c r="F71" s="33" t="s">
        <v>371</v>
      </c>
      <c r="M71" s="33">
        <v>24</v>
      </c>
      <c r="O71" s="33">
        <v>2</v>
      </c>
      <c r="P71" s="33">
        <f>O71*10^-8/60/60/24</f>
        <v>2.3148148148148146E-13</v>
      </c>
      <c r="Q71" s="33">
        <v>1.1000000000000001E-3</v>
      </c>
      <c r="U71" s="33">
        <v>7.4999999999999997E-3</v>
      </c>
      <c r="Z71" s="45"/>
    </row>
    <row r="72" spans="1:26" x14ac:dyDescent="0.2">
      <c r="A72" s="33">
        <v>64</v>
      </c>
      <c r="C72" s="33">
        <v>-1417</v>
      </c>
      <c r="E72" s="33" t="s">
        <v>370</v>
      </c>
      <c r="F72" s="100" t="s">
        <v>387</v>
      </c>
      <c r="M72" s="33">
        <v>25</v>
      </c>
      <c r="O72" s="33">
        <v>2</v>
      </c>
      <c r="P72" s="33">
        <f>O72*10^-8/60/60/24</f>
        <v>2.3148148148148146E-13</v>
      </c>
      <c r="Q72" s="33">
        <v>1.4E-3</v>
      </c>
      <c r="U72" s="33">
        <v>2.1000000000000001E-2</v>
      </c>
      <c r="Z72" s="45"/>
    </row>
    <row r="73" spans="1:26" x14ac:dyDescent="0.2">
      <c r="Z73" s="45"/>
    </row>
    <row r="77" spans="1:26" x14ac:dyDescent="0.2">
      <c r="B77" s="33" t="s">
        <v>1397</v>
      </c>
      <c r="E77" s="33" t="s">
        <v>20</v>
      </c>
      <c r="M77" s="33">
        <v>59.2</v>
      </c>
      <c r="O77" s="33">
        <v>7.8</v>
      </c>
      <c r="P77" s="33">
        <f t="shared" ref="P77:P83" si="0">O77*10^-8/60/60/24</f>
        <v>9.0277777777777766E-13</v>
      </c>
      <c r="Q77" s="33">
        <v>0.313</v>
      </c>
      <c r="R77" s="33" t="s">
        <v>1398</v>
      </c>
    </row>
    <row r="78" spans="1:26" x14ac:dyDescent="0.2">
      <c r="A78" s="33">
        <v>65</v>
      </c>
      <c r="M78" s="33">
        <v>39.9</v>
      </c>
      <c r="O78" s="33">
        <v>6.2</v>
      </c>
      <c r="P78" s="33">
        <f t="shared" si="0"/>
        <v>7.1759259259259253E-13</v>
      </c>
      <c r="Q78" s="33">
        <v>0.16700000000000001</v>
      </c>
    </row>
    <row r="79" spans="1:26" x14ac:dyDescent="0.2">
      <c r="A79" s="33">
        <v>66</v>
      </c>
      <c r="M79" s="33">
        <v>39.700000000000003</v>
      </c>
      <c r="O79" s="33">
        <v>4.0999999999999996</v>
      </c>
      <c r="P79" s="33">
        <f t="shared" si="0"/>
        <v>4.7453703703703697E-13</v>
      </c>
      <c r="Q79" s="33">
        <v>9.0999999999999998E-2</v>
      </c>
    </row>
    <row r="80" spans="1:26" x14ac:dyDescent="0.2">
      <c r="A80" s="33">
        <v>67</v>
      </c>
      <c r="M80" s="33">
        <v>54</v>
      </c>
      <c r="O80" s="33">
        <v>3.4</v>
      </c>
      <c r="P80" s="33">
        <f t="shared" si="0"/>
        <v>3.9351851851851855E-13</v>
      </c>
      <c r="Q80" s="33">
        <v>4.9000000000000002E-2</v>
      </c>
    </row>
    <row r="81" spans="1:17" x14ac:dyDescent="0.2">
      <c r="A81" s="33">
        <v>68</v>
      </c>
      <c r="M81" s="33">
        <v>59.7</v>
      </c>
      <c r="O81" s="33">
        <v>3.4</v>
      </c>
      <c r="P81" s="33">
        <f t="shared" si="0"/>
        <v>3.9351851851851855E-13</v>
      </c>
      <c r="Q81" s="33">
        <v>3.1E-2</v>
      </c>
    </row>
    <row r="82" spans="1:17" x14ac:dyDescent="0.2">
      <c r="A82" s="33">
        <v>69</v>
      </c>
      <c r="M82" s="33">
        <v>22.2</v>
      </c>
      <c r="O82" s="33">
        <v>4.5</v>
      </c>
      <c r="P82" s="33">
        <f t="shared" si="0"/>
        <v>5.2083333333333335E-13</v>
      </c>
      <c r="Q82" s="33">
        <v>8.6999999999999994E-3</v>
      </c>
    </row>
    <row r="83" spans="1:17" x14ac:dyDescent="0.2">
      <c r="A83" s="33">
        <v>70</v>
      </c>
      <c r="M83" s="33">
        <v>39.1</v>
      </c>
      <c r="O83" s="33">
        <v>3.5</v>
      </c>
      <c r="P83" s="33">
        <f t="shared" si="0"/>
        <v>4.0509259259259265E-13</v>
      </c>
      <c r="Q83" s="33">
        <v>2.8999999999999998E-3</v>
      </c>
    </row>
  </sheetData>
  <pageMargins left="0.75" right="0.75" top="1" bottom="1" header="0.5" footer="0.5"/>
  <pageSetup paperSize="9" orientation="portrait"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25"/>
  <sheetViews>
    <sheetView zoomScale="85" zoomScaleNormal="85" workbookViewId="0">
      <selection activeCell="I8" sqref="I8:I21"/>
    </sheetView>
  </sheetViews>
  <sheetFormatPr defaultRowHeight="12.75" x14ac:dyDescent="0.2"/>
  <cols>
    <col min="5" max="5" width="5.140625" customWidth="1"/>
    <col min="9" max="9" width="20" customWidth="1"/>
    <col min="11" max="11" width="9.42578125" bestFit="1" customWidth="1"/>
  </cols>
  <sheetData>
    <row r="1" spans="1:23" x14ac:dyDescent="0.2">
      <c r="A1" t="s">
        <v>921</v>
      </c>
      <c r="N1" s="4" t="s">
        <v>944</v>
      </c>
      <c r="T1" s="4"/>
    </row>
    <row r="2" spans="1:23" x14ac:dyDescent="0.2">
      <c r="F2" s="107" t="s">
        <v>943</v>
      </c>
      <c r="G2" s="110"/>
      <c r="H2" s="111"/>
      <c r="I2" s="107" t="s">
        <v>939</v>
      </c>
      <c r="J2" s="110"/>
      <c r="K2" s="110"/>
      <c r="L2" s="110"/>
      <c r="M2" s="114" t="s">
        <v>775</v>
      </c>
      <c r="N2" s="107" t="s">
        <v>1855</v>
      </c>
      <c r="O2" s="110"/>
      <c r="P2" s="110"/>
      <c r="Q2" s="110"/>
      <c r="R2" s="224"/>
      <c r="S2" s="224"/>
      <c r="T2" s="107" t="s">
        <v>946</v>
      </c>
      <c r="U2" s="110"/>
      <c r="V2" s="110"/>
      <c r="W2" s="224"/>
    </row>
    <row r="3" spans="1:23" x14ac:dyDescent="0.2">
      <c r="F3" s="122"/>
      <c r="G3" s="123"/>
      <c r="H3" s="52" t="s">
        <v>365</v>
      </c>
      <c r="I3" s="61" t="s">
        <v>945</v>
      </c>
      <c r="J3" s="51" t="s">
        <v>398</v>
      </c>
      <c r="K3" s="51"/>
      <c r="L3" s="51" t="s">
        <v>366</v>
      </c>
      <c r="M3" s="124" t="s">
        <v>526</v>
      </c>
      <c r="N3" s="61" t="s">
        <v>945</v>
      </c>
      <c r="O3" s="51" t="s">
        <v>398</v>
      </c>
      <c r="P3" s="51"/>
      <c r="Q3" s="51"/>
      <c r="R3" s="51" t="s">
        <v>366</v>
      </c>
      <c r="S3" s="51"/>
      <c r="T3" s="61" t="s">
        <v>947</v>
      </c>
      <c r="U3" s="51" t="s">
        <v>398</v>
      </c>
      <c r="V3" s="51"/>
    </row>
    <row r="4" spans="1:23" x14ac:dyDescent="0.2">
      <c r="F4" s="78" t="s">
        <v>43</v>
      </c>
      <c r="G4" s="53" t="s">
        <v>408</v>
      </c>
      <c r="H4" s="67" t="s">
        <v>942</v>
      </c>
      <c r="I4" s="62"/>
      <c r="J4" s="53" t="s">
        <v>937</v>
      </c>
      <c r="K4" s="53"/>
      <c r="L4" s="53" t="s">
        <v>940</v>
      </c>
      <c r="M4" s="125"/>
      <c r="N4" s="62"/>
      <c r="O4" s="53" t="s">
        <v>937</v>
      </c>
      <c r="P4" s="53"/>
      <c r="Q4" s="53"/>
      <c r="R4" s="53" t="s">
        <v>940</v>
      </c>
      <c r="S4" s="53"/>
      <c r="T4" s="78" t="s">
        <v>948</v>
      </c>
      <c r="U4" s="53" t="s">
        <v>937</v>
      </c>
      <c r="V4" s="53"/>
    </row>
    <row r="5" spans="1:23" x14ac:dyDescent="0.2">
      <c r="F5" s="78"/>
      <c r="G5" s="53"/>
      <c r="H5" s="67"/>
      <c r="I5" s="62"/>
      <c r="J5" s="385" t="s">
        <v>1852</v>
      </c>
      <c r="K5" s="53"/>
      <c r="L5" s="53"/>
      <c r="M5" s="125"/>
      <c r="N5" s="62"/>
      <c r="O5" s="385" t="s">
        <v>1853</v>
      </c>
      <c r="P5" s="385"/>
      <c r="Q5" s="385" t="s">
        <v>1854</v>
      </c>
      <c r="R5" s="385" t="s">
        <v>1853</v>
      </c>
      <c r="S5" s="385" t="s">
        <v>1854</v>
      </c>
      <c r="T5" s="78"/>
      <c r="U5" s="53"/>
      <c r="V5" s="53"/>
    </row>
    <row r="6" spans="1:23" x14ac:dyDescent="0.2">
      <c r="A6" s="4" t="s">
        <v>717</v>
      </c>
      <c r="F6" s="63"/>
      <c r="G6" s="66"/>
      <c r="H6" s="120" t="s">
        <v>420</v>
      </c>
      <c r="I6" s="63"/>
      <c r="J6" s="57" t="s">
        <v>938</v>
      </c>
      <c r="K6" s="57" t="s">
        <v>1229</v>
      </c>
      <c r="L6" s="57" t="s">
        <v>523</v>
      </c>
      <c r="M6" s="126"/>
      <c r="N6" s="63"/>
      <c r="O6" s="57" t="s">
        <v>938</v>
      </c>
      <c r="P6" s="57"/>
      <c r="Q6" s="57"/>
      <c r="R6" s="57" t="s">
        <v>523</v>
      </c>
      <c r="S6" s="57"/>
      <c r="T6" s="63"/>
      <c r="U6" s="57" t="s">
        <v>938</v>
      </c>
      <c r="V6" s="57" t="s">
        <v>1229</v>
      </c>
    </row>
    <row r="7" spans="1:23" x14ac:dyDescent="0.2">
      <c r="A7" s="4" t="s">
        <v>923</v>
      </c>
      <c r="B7" s="4" t="s">
        <v>523</v>
      </c>
      <c r="C7" s="4" t="s">
        <v>922</v>
      </c>
      <c r="I7" s="4" t="s">
        <v>935</v>
      </c>
    </row>
    <row r="8" spans="1:23" x14ac:dyDescent="0.2">
      <c r="A8" s="4" t="s">
        <v>378</v>
      </c>
      <c r="B8" s="4" t="s">
        <v>420</v>
      </c>
      <c r="C8" s="4" t="s">
        <v>924</v>
      </c>
      <c r="E8">
        <v>1</v>
      </c>
      <c r="F8">
        <v>41.05</v>
      </c>
      <c r="G8" s="169">
        <v>-0.34</v>
      </c>
      <c r="H8" t="s">
        <v>941</v>
      </c>
      <c r="I8" t="s">
        <v>925</v>
      </c>
      <c r="J8">
        <v>11.5</v>
      </c>
      <c r="K8">
        <f>J8*10^-9*10^-4</f>
        <v>1.1500000000000001E-12</v>
      </c>
      <c r="L8">
        <v>1.4E-3</v>
      </c>
      <c r="U8">
        <v>61.46</v>
      </c>
      <c r="V8">
        <f>U8*10^-9*10^-4</f>
        <v>6.1460000000000015E-12</v>
      </c>
    </row>
    <row r="9" spans="1:23" x14ac:dyDescent="0.2">
      <c r="A9" s="4" t="s">
        <v>488</v>
      </c>
      <c r="B9" s="4" t="s">
        <v>771</v>
      </c>
      <c r="C9">
        <v>22</v>
      </c>
      <c r="E9">
        <v>2</v>
      </c>
      <c r="F9">
        <v>58.08</v>
      </c>
      <c r="G9">
        <v>-0.24</v>
      </c>
      <c r="H9" t="s">
        <v>941</v>
      </c>
      <c r="I9" t="s">
        <v>926</v>
      </c>
      <c r="J9">
        <v>10.5</v>
      </c>
      <c r="K9">
        <f t="shared" ref="K9:K14" si="0">J9*10^-9*10^-4</f>
        <v>1.0500000000000002E-12</v>
      </c>
      <c r="L9">
        <v>1.01E-2</v>
      </c>
      <c r="O9">
        <v>19.72</v>
      </c>
      <c r="P9">
        <f t="shared" ref="P9:P14" si="1">O9*10^-9*10^-4</f>
        <v>1.9720000000000001E-12</v>
      </c>
      <c r="Q9">
        <f>O9/J9</f>
        <v>1.878095238095238</v>
      </c>
      <c r="R9">
        <v>1.0699999999999999E-2</v>
      </c>
      <c r="S9">
        <f t="shared" ref="S9:S14" si="2">R9/L9</f>
        <v>1.0594059405940595</v>
      </c>
      <c r="U9">
        <v>8.1</v>
      </c>
      <c r="V9">
        <f t="shared" ref="V9:V14" si="3">U9*10^-9*10^-4</f>
        <v>8.0999999999999998E-13</v>
      </c>
    </row>
    <row r="10" spans="1:23" x14ac:dyDescent="0.2">
      <c r="E10">
        <v>3</v>
      </c>
      <c r="F10">
        <v>106.12</v>
      </c>
      <c r="G10">
        <v>1.48</v>
      </c>
      <c r="H10" s="23">
        <v>3000</v>
      </c>
      <c r="I10" t="s">
        <v>927</v>
      </c>
      <c r="J10">
        <v>4.7699999999999996</v>
      </c>
      <c r="K10">
        <f t="shared" si="0"/>
        <v>4.7699999999999999E-13</v>
      </c>
      <c r="L10">
        <v>2.1600000000000001E-2</v>
      </c>
      <c r="M10">
        <f>L10/H10*10^6</f>
        <v>7.2</v>
      </c>
      <c r="O10">
        <v>6.04</v>
      </c>
      <c r="P10">
        <f t="shared" si="1"/>
        <v>6.0400000000000005E-13</v>
      </c>
      <c r="Q10">
        <f t="shared" ref="Q10:Q14" si="4">O10/J10</f>
        <v>1.2662473794549267</v>
      </c>
      <c r="R10">
        <v>2.1600000000000001E-2</v>
      </c>
      <c r="S10">
        <f t="shared" si="2"/>
        <v>1</v>
      </c>
      <c r="U10">
        <v>4.03</v>
      </c>
      <c r="V10">
        <f t="shared" si="3"/>
        <v>4.0300000000000005E-13</v>
      </c>
    </row>
    <row r="11" spans="1:23" x14ac:dyDescent="0.2">
      <c r="E11">
        <v>4</v>
      </c>
      <c r="F11">
        <v>72.11</v>
      </c>
      <c r="G11">
        <v>0.28999999999999998</v>
      </c>
      <c r="H11" s="23">
        <v>223000</v>
      </c>
      <c r="I11" t="s">
        <v>928</v>
      </c>
      <c r="J11">
        <v>7.9</v>
      </c>
      <c r="K11">
        <f t="shared" si="0"/>
        <v>7.9000000000000017E-13</v>
      </c>
      <c r="L11">
        <v>1.9E-2</v>
      </c>
      <c r="M11">
        <f>L11/H11*10^6</f>
        <v>8.520179372197309E-2</v>
      </c>
      <c r="O11">
        <v>12.32</v>
      </c>
      <c r="P11">
        <f t="shared" si="1"/>
        <v>1.2320000000000002E-12</v>
      </c>
      <c r="Q11">
        <f t="shared" si="4"/>
        <v>1.5594936708860758</v>
      </c>
      <c r="R11">
        <v>1.9900000000000001E-2</v>
      </c>
      <c r="S11">
        <f t="shared" si="2"/>
        <v>1.0473684210526317</v>
      </c>
      <c r="U11">
        <v>6.07</v>
      </c>
      <c r="V11">
        <f t="shared" si="3"/>
        <v>6.0700000000000014E-13</v>
      </c>
    </row>
    <row r="12" spans="1:23" x14ac:dyDescent="0.2">
      <c r="E12">
        <v>5</v>
      </c>
      <c r="F12">
        <v>108.14</v>
      </c>
      <c r="G12">
        <v>1.1000000000000001</v>
      </c>
      <c r="H12" s="23">
        <v>40000</v>
      </c>
      <c r="I12" s="4" t="s">
        <v>936</v>
      </c>
      <c r="J12">
        <v>5.52</v>
      </c>
      <c r="K12">
        <f t="shared" si="0"/>
        <v>5.5200000000000007E-13</v>
      </c>
      <c r="L12">
        <v>4.7999999999999996E-3</v>
      </c>
      <c r="M12">
        <f>L12/H12*10^6</f>
        <v>0.12</v>
      </c>
      <c r="O12">
        <v>9.92</v>
      </c>
      <c r="P12">
        <f t="shared" si="1"/>
        <v>9.9200000000000001E-13</v>
      </c>
      <c r="Q12">
        <f t="shared" si="4"/>
        <v>1.7971014492753625</v>
      </c>
      <c r="R12">
        <v>3.5999999999999999E-3</v>
      </c>
      <c r="S12">
        <f t="shared" si="2"/>
        <v>0.75</v>
      </c>
      <c r="U12">
        <v>49.6</v>
      </c>
      <c r="V12">
        <f t="shared" si="3"/>
        <v>4.9600000000000007E-12</v>
      </c>
    </row>
    <row r="13" spans="1:23" x14ac:dyDescent="0.2">
      <c r="E13">
        <v>6</v>
      </c>
      <c r="F13">
        <v>74.12</v>
      </c>
      <c r="G13">
        <v>-0.3</v>
      </c>
      <c r="H13" s="23">
        <v>74000</v>
      </c>
      <c r="I13" t="s">
        <v>929</v>
      </c>
      <c r="J13">
        <v>0.99</v>
      </c>
      <c r="K13">
        <f t="shared" si="0"/>
        <v>9.900000000000002E-14</v>
      </c>
      <c r="L13">
        <v>5.3E-3</v>
      </c>
      <c r="M13">
        <f>L13/H13*10^6</f>
        <v>7.1621621621621612E-2</v>
      </c>
      <c r="O13">
        <v>2.61</v>
      </c>
      <c r="P13">
        <f t="shared" si="1"/>
        <v>2.61E-13</v>
      </c>
      <c r="Q13">
        <f t="shared" si="4"/>
        <v>2.6363636363636362</v>
      </c>
      <c r="R13">
        <v>6.1999999999999998E-3</v>
      </c>
      <c r="S13">
        <f t="shared" si="2"/>
        <v>1.1698113207547169</v>
      </c>
      <c r="U13">
        <v>1.87</v>
      </c>
      <c r="V13">
        <f t="shared" si="3"/>
        <v>1.8700000000000004E-13</v>
      </c>
    </row>
    <row r="14" spans="1:23" x14ac:dyDescent="0.2">
      <c r="E14">
        <v>7</v>
      </c>
      <c r="F14">
        <v>60.1</v>
      </c>
      <c r="G14">
        <v>0.05</v>
      </c>
      <c r="H14" t="s">
        <v>941</v>
      </c>
      <c r="I14" t="s">
        <v>930</v>
      </c>
      <c r="J14">
        <v>4.97</v>
      </c>
      <c r="K14">
        <f t="shared" si="0"/>
        <v>4.97E-13</v>
      </c>
      <c r="L14">
        <v>3.5000000000000001E-3</v>
      </c>
      <c r="O14">
        <v>4.03</v>
      </c>
      <c r="P14">
        <f t="shared" si="1"/>
        <v>4.0300000000000005E-13</v>
      </c>
      <c r="Q14">
        <f t="shared" si="4"/>
        <v>0.81086519114688138</v>
      </c>
      <c r="R14">
        <v>3.0000000000000001E-3</v>
      </c>
      <c r="S14">
        <f t="shared" si="2"/>
        <v>0.8571428571428571</v>
      </c>
      <c r="U14">
        <v>0.85</v>
      </c>
      <c r="V14">
        <f t="shared" si="3"/>
        <v>8.5000000000000016E-14</v>
      </c>
    </row>
    <row r="15" spans="1:23" x14ac:dyDescent="0.2">
      <c r="I15" s="4" t="s">
        <v>934</v>
      </c>
    </row>
    <row r="16" spans="1:23" x14ac:dyDescent="0.2">
      <c r="E16">
        <v>8</v>
      </c>
      <c r="F16">
        <v>84.93</v>
      </c>
      <c r="G16">
        <v>1.25</v>
      </c>
      <c r="H16" s="23">
        <v>13030</v>
      </c>
      <c r="I16" t="s">
        <v>537</v>
      </c>
      <c r="J16">
        <v>64.400000000000006</v>
      </c>
      <c r="K16">
        <f t="shared" ref="K16:K21" si="5">J16*10^-9*10^-4</f>
        <v>6.4400000000000008E-12</v>
      </c>
      <c r="L16">
        <v>8.6499999999999994E-2</v>
      </c>
      <c r="M16">
        <f t="shared" ref="M16:M21" si="6">L16/H16*10^6</f>
        <v>6.6385264773599388</v>
      </c>
      <c r="U16">
        <v>56.51</v>
      </c>
      <c r="V16">
        <f t="shared" ref="V16:V21" si="7">U16*10^-9*10^-4</f>
        <v>5.6510000000000001E-12</v>
      </c>
    </row>
    <row r="17" spans="5:22" x14ac:dyDescent="0.2">
      <c r="E17">
        <v>9</v>
      </c>
      <c r="F17">
        <v>88.15</v>
      </c>
      <c r="G17">
        <v>1.24</v>
      </c>
      <c r="H17" s="23">
        <v>51000</v>
      </c>
      <c r="I17" t="s">
        <v>931</v>
      </c>
      <c r="J17">
        <v>6.65</v>
      </c>
      <c r="K17">
        <f t="shared" si="5"/>
        <v>6.6500000000000009E-13</v>
      </c>
      <c r="L17">
        <v>5.4600000000000003E-2</v>
      </c>
      <c r="M17">
        <f t="shared" si="6"/>
        <v>1.0705882352941178</v>
      </c>
      <c r="O17">
        <v>7.51</v>
      </c>
      <c r="P17">
        <f t="shared" ref="P17:P20" si="8">O17*10^-9*10^-4</f>
        <v>7.5100000000000013E-13</v>
      </c>
      <c r="Q17">
        <f t="shared" ref="Q17:Q20" si="9">O17/J17</f>
        <v>1.1293233082706766</v>
      </c>
      <c r="R17">
        <v>5.7500000000000002E-2</v>
      </c>
      <c r="S17">
        <f>R17/L17</f>
        <v>1.0531135531135531</v>
      </c>
      <c r="U17">
        <v>2.04</v>
      </c>
      <c r="V17">
        <f t="shared" si="7"/>
        <v>2.0400000000000001E-13</v>
      </c>
    </row>
    <row r="18" spans="5:22" x14ac:dyDescent="0.2">
      <c r="E18">
        <v>10</v>
      </c>
      <c r="F18">
        <v>119.37</v>
      </c>
      <c r="G18">
        <v>1.97</v>
      </c>
      <c r="H18" s="23">
        <v>7290</v>
      </c>
      <c r="I18" t="s">
        <v>932</v>
      </c>
      <c r="J18">
        <v>58.2</v>
      </c>
      <c r="K18">
        <f t="shared" si="5"/>
        <v>5.8200000000000006E-12</v>
      </c>
      <c r="L18">
        <v>0.14280000000000001</v>
      </c>
      <c r="M18">
        <f t="shared" si="6"/>
        <v>19.588477366255148</v>
      </c>
      <c r="O18">
        <v>61.42</v>
      </c>
      <c r="P18">
        <f t="shared" si="8"/>
        <v>6.1420000000000003E-12</v>
      </c>
      <c r="Q18">
        <f t="shared" si="9"/>
        <v>1.0553264604810997</v>
      </c>
      <c r="R18">
        <v>0.14249999999999999</v>
      </c>
      <c r="S18">
        <f>R18/L18</f>
        <v>0.99789915966386544</v>
      </c>
      <c r="U18">
        <v>33.67</v>
      </c>
      <c r="V18">
        <f t="shared" si="7"/>
        <v>3.3670000000000005E-12</v>
      </c>
    </row>
    <row r="19" spans="5:22" x14ac:dyDescent="0.2">
      <c r="E19">
        <v>11</v>
      </c>
      <c r="F19">
        <v>92.14</v>
      </c>
      <c r="G19">
        <v>2.73</v>
      </c>
      <c r="H19">
        <v>526</v>
      </c>
      <c r="I19" t="s">
        <v>492</v>
      </c>
      <c r="J19">
        <v>56.9</v>
      </c>
      <c r="K19">
        <f t="shared" si="5"/>
        <v>5.6900000000000002E-12</v>
      </c>
      <c r="L19">
        <v>8.5199999999999998E-2</v>
      </c>
      <c r="M19">
        <f t="shared" si="6"/>
        <v>161.97718631178708</v>
      </c>
      <c r="O19">
        <v>68.819999999999993</v>
      </c>
      <c r="P19">
        <f t="shared" si="8"/>
        <v>6.8820000000000008E-12</v>
      </c>
      <c r="Q19">
        <f t="shared" si="9"/>
        <v>1.2094903339191563</v>
      </c>
      <c r="R19">
        <v>8.5300000000000001E-2</v>
      </c>
      <c r="S19">
        <f>R19/L19</f>
        <v>1.0011737089201878</v>
      </c>
      <c r="U19">
        <v>29</v>
      </c>
      <c r="V19">
        <f t="shared" si="7"/>
        <v>2.9000000000000002E-12</v>
      </c>
    </row>
    <row r="20" spans="5:22" x14ac:dyDescent="0.2">
      <c r="E20">
        <v>12</v>
      </c>
      <c r="F20">
        <v>106.16</v>
      </c>
      <c r="G20">
        <v>3.2</v>
      </c>
      <c r="H20">
        <v>161</v>
      </c>
      <c r="I20" t="s">
        <v>933</v>
      </c>
      <c r="J20">
        <v>37.1</v>
      </c>
      <c r="K20">
        <f t="shared" si="5"/>
        <v>3.7100000000000001E-12</v>
      </c>
      <c r="L20">
        <v>8.7499999999999994E-2</v>
      </c>
      <c r="M20">
        <f t="shared" si="6"/>
        <v>543.47826086956525</v>
      </c>
      <c r="O20">
        <v>44.04</v>
      </c>
      <c r="P20">
        <f t="shared" si="8"/>
        <v>4.4040000000000002E-12</v>
      </c>
      <c r="Q20">
        <f t="shared" si="9"/>
        <v>1.1870619946091643</v>
      </c>
      <c r="R20">
        <v>8.7400000000000005E-2</v>
      </c>
      <c r="S20">
        <f>R20/L20</f>
        <v>0.998857142857143</v>
      </c>
      <c r="U20">
        <v>18.989999999999998</v>
      </c>
      <c r="V20">
        <f t="shared" si="7"/>
        <v>1.8990000000000003E-12</v>
      </c>
    </row>
    <row r="21" spans="5:22" x14ac:dyDescent="0.2">
      <c r="E21">
        <v>13</v>
      </c>
      <c r="F21">
        <v>106.16</v>
      </c>
      <c r="G21">
        <v>3.15</v>
      </c>
      <c r="H21">
        <v>162</v>
      </c>
      <c r="I21" t="s">
        <v>699</v>
      </c>
      <c r="J21">
        <v>54.9</v>
      </c>
      <c r="K21">
        <f t="shared" si="5"/>
        <v>5.4900000000000002E-12</v>
      </c>
      <c r="L21">
        <v>8.8800000000000004E-2</v>
      </c>
      <c r="M21">
        <f t="shared" si="6"/>
        <v>548.14814814814815</v>
      </c>
      <c r="U21">
        <v>25.78</v>
      </c>
      <c r="V21">
        <f t="shared" si="7"/>
        <v>2.5780000000000005E-12</v>
      </c>
    </row>
    <row r="23" spans="5:22" x14ac:dyDescent="0.2">
      <c r="E23" s="4" t="s">
        <v>1856</v>
      </c>
      <c r="O23" s="4" t="s">
        <v>1658</v>
      </c>
      <c r="P23" s="4"/>
      <c r="Q23" s="140">
        <f>AVERAGE(Q8:Q14)</f>
        <v>1.6580277608703533</v>
      </c>
      <c r="S23" s="140">
        <f>AVERAGE(S8:S14)</f>
        <v>0.98062142325737744</v>
      </c>
    </row>
    <row r="24" spans="5:22" x14ac:dyDescent="0.2">
      <c r="O24" s="4" t="s">
        <v>1857</v>
      </c>
      <c r="P24" s="4"/>
      <c r="Q24" s="140">
        <f>AVERAGE(Q16:Q21)</f>
        <v>1.145300524320024</v>
      </c>
      <c r="S24" s="140">
        <f>AVERAGE(S16:S21)</f>
        <v>1.0127608911386874</v>
      </c>
    </row>
    <row r="25" spans="5:22" x14ac:dyDescent="0.2">
      <c r="O25" s="4" t="s">
        <v>1858</v>
      </c>
      <c r="P25" s="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Almalaika1991</vt:lpstr>
      <vt:lpstr>Aminabavi1999</vt:lpstr>
      <vt:lpstr>Booij2003</vt:lpstr>
      <vt:lpstr>Chao 2007</vt:lpstr>
      <vt:lpstr>LAB</vt:lpstr>
      <vt:lpstr>PE</vt:lpstr>
      <vt:lpstr>TEMP</vt:lpstr>
      <vt:lpstr>CONC</vt:lpstr>
      <vt:lpstr>Age</vt:lpstr>
      <vt:lpstr>PermDbase</vt:lpstr>
      <vt:lpstr>CompDbase</vt:lpstr>
      <vt:lpstr>Literatuur</vt:lpstr>
      <vt:lpstr>Sanscrit</vt:lpstr>
      <vt:lpstr>Choi2013</vt:lpstr>
      <vt:lpstr>Heijden1985</vt:lpstr>
      <vt:lpstr>Hinrichs2002</vt:lpstr>
      <vt:lpstr>Islam 2009</vt:lpstr>
      <vt:lpstr>Joo2005</vt:lpstr>
      <vt:lpstr>Lohman2011</vt:lpstr>
      <vt:lpstr>Mao2006</vt:lpstr>
      <vt:lpstr>Park1993</vt:lpstr>
      <vt:lpstr>Park1996</vt:lpstr>
      <vt:lpstr>Piringer2008</vt:lpstr>
      <vt:lpstr>Rowe2011</vt:lpstr>
      <vt:lpstr>Sangam2001</vt:lpstr>
      <vt:lpstr>Tang2013</vt:lpstr>
      <vt:lpstr>Vonk1985</vt:lpstr>
      <vt:lpstr>Welton2009-2010</vt:lpstr>
    </vt:vector>
  </TitlesOfParts>
  <Company>KWR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beverlhe</dc:creator>
  <cp:lastModifiedBy>Hockin, Alex</cp:lastModifiedBy>
  <cp:lastPrinted>2014-10-03T13:05:59Z</cp:lastPrinted>
  <dcterms:created xsi:type="dcterms:W3CDTF">2013-05-22T09:11:45Z</dcterms:created>
  <dcterms:modified xsi:type="dcterms:W3CDTF">2023-04-13T09:49:49Z</dcterms:modified>
</cp:coreProperties>
</file>